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firstSheet="2" activeTab="30"/>
  </bookViews>
  <sheets>
    <sheet name="1" sheetId="4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34" r:id="rId29"/>
    <sheet name="30" sheetId="35" r:id="rId30"/>
    <sheet name="31" sheetId="36" r:id="rId31"/>
    <sheet name="new_sample" sheetId="5" r:id="rId32"/>
    <sheet name="Sheet1" sheetId="1" r:id="rId33"/>
    <sheet name="Sheet2" sheetId="2" r:id="rId34"/>
    <sheet name="sample_new_current" sheetId="6" r:id="rId35"/>
    <sheet name="Sheet3" sheetId="3" r:id="rId36"/>
  </sheets>
  <externalReferences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 localSheetId="34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 localSheetId="34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1">#REF!</definedName>
    <definedName name="sdasdf" localSheetId="34">#REF!</definedName>
    <definedName name="sdasdf">#REF!</definedName>
  </definedNames>
  <calcPr calcId="145621"/>
  <fileRecoveryPr repairLoad="1"/>
</workbook>
</file>

<file path=xl/calcChain.xml><?xml version="1.0" encoding="utf-8"?>
<calcChain xmlns="http://schemas.openxmlformats.org/spreadsheetml/2006/main">
  <c r="AF93" i="36" l="1"/>
  <c r="AF35" i="36"/>
  <c r="AE93" i="36"/>
  <c r="AE35" i="36"/>
  <c r="AD93" i="36"/>
  <c r="AD35" i="36"/>
  <c r="AC35" i="36"/>
  <c r="AB35" i="36"/>
  <c r="AA35" i="36"/>
  <c r="Q93" i="36"/>
  <c r="O93" i="36"/>
  <c r="N93" i="36" l="1"/>
  <c r="M93" i="36"/>
  <c r="L35" i="36"/>
  <c r="K35" i="36"/>
  <c r="G36" i="36"/>
  <c r="H36" i="36"/>
  <c r="I36" i="36"/>
  <c r="AH97" i="36"/>
  <c r="AI97" i="36" s="1"/>
  <c r="B49" i="36"/>
  <c r="AF236" i="36"/>
  <c r="AE236" i="36"/>
  <c r="AD236" i="36"/>
  <c r="AC236" i="36"/>
  <c r="AB236" i="36"/>
  <c r="AA236" i="36"/>
  <c r="Z236" i="36"/>
  <c r="Y236" i="36"/>
  <c r="X236" i="36"/>
  <c r="W236" i="36"/>
  <c r="V236" i="36"/>
  <c r="U236" i="36"/>
  <c r="T236" i="36"/>
  <c r="S236" i="36"/>
  <c r="R236" i="36"/>
  <c r="Q236" i="36"/>
  <c r="P236" i="36"/>
  <c r="O236" i="36"/>
  <c r="N236" i="36"/>
  <c r="M236" i="36"/>
  <c r="L236" i="36"/>
  <c r="K236" i="36"/>
  <c r="J236" i="36"/>
  <c r="I236" i="36"/>
  <c r="H236" i="36"/>
  <c r="G236" i="36"/>
  <c r="F236" i="36"/>
  <c r="E236" i="36"/>
  <c r="D236" i="36"/>
  <c r="C236" i="36"/>
  <c r="B236" i="36"/>
  <c r="A236" i="36"/>
  <c r="AF235" i="36"/>
  <c r="AE235" i="36"/>
  <c r="AD235" i="36"/>
  <c r="AC235" i="36"/>
  <c r="AB235" i="36"/>
  <c r="AA235" i="36"/>
  <c r="Z235" i="36"/>
  <c r="Y235" i="36"/>
  <c r="X235" i="36"/>
  <c r="W235" i="36"/>
  <c r="V235" i="36"/>
  <c r="U235" i="36"/>
  <c r="T235" i="36"/>
  <c r="S235" i="36"/>
  <c r="R235" i="36"/>
  <c r="Q235" i="36"/>
  <c r="P235" i="36"/>
  <c r="O235" i="36"/>
  <c r="N235" i="36"/>
  <c r="M235" i="36"/>
  <c r="L235" i="36"/>
  <c r="K235" i="36"/>
  <c r="J235" i="36"/>
  <c r="I235" i="36"/>
  <c r="H235" i="36"/>
  <c r="G235" i="36"/>
  <c r="F235" i="36"/>
  <c r="E235" i="36"/>
  <c r="D235" i="36"/>
  <c r="C235" i="36"/>
  <c r="B235" i="36"/>
  <c r="A235" i="36"/>
  <c r="AF234" i="36"/>
  <c r="AE234" i="36"/>
  <c r="AD234" i="36"/>
  <c r="AC234" i="36"/>
  <c r="AB234" i="36"/>
  <c r="AA234" i="36"/>
  <c r="Z234" i="36"/>
  <c r="Y234" i="36"/>
  <c r="X234" i="36"/>
  <c r="W234" i="36"/>
  <c r="V234" i="36"/>
  <c r="U234" i="36"/>
  <c r="T234" i="36"/>
  <c r="S234" i="36"/>
  <c r="R234" i="36"/>
  <c r="Q234" i="36"/>
  <c r="P234" i="36"/>
  <c r="O234" i="36"/>
  <c r="N234" i="36"/>
  <c r="M234" i="36"/>
  <c r="L234" i="36"/>
  <c r="K234" i="36"/>
  <c r="J234" i="36"/>
  <c r="I234" i="36"/>
  <c r="H234" i="36"/>
  <c r="G234" i="36"/>
  <c r="F234" i="36"/>
  <c r="E234" i="36"/>
  <c r="D234" i="36"/>
  <c r="C234" i="36"/>
  <c r="B234" i="36"/>
  <c r="A234" i="36"/>
  <c r="AF233" i="36"/>
  <c r="AE233" i="36"/>
  <c r="AD233" i="36"/>
  <c r="AC233" i="36"/>
  <c r="AB233" i="36"/>
  <c r="AA233" i="36"/>
  <c r="Z233" i="36"/>
  <c r="Y233" i="36"/>
  <c r="X233" i="36"/>
  <c r="W233" i="36"/>
  <c r="V233" i="36"/>
  <c r="U233" i="36"/>
  <c r="T233" i="36"/>
  <c r="S233" i="36"/>
  <c r="R233" i="36"/>
  <c r="Q233" i="36"/>
  <c r="P233" i="36"/>
  <c r="O233" i="36"/>
  <c r="N233" i="36"/>
  <c r="M233" i="36"/>
  <c r="L233" i="36"/>
  <c r="K233" i="36"/>
  <c r="J233" i="36"/>
  <c r="I233" i="36"/>
  <c r="H233" i="36"/>
  <c r="G233" i="36"/>
  <c r="F233" i="36"/>
  <c r="E233" i="36"/>
  <c r="D233" i="36"/>
  <c r="C233" i="36"/>
  <c r="B233" i="36"/>
  <c r="A233" i="36"/>
  <c r="B232" i="36"/>
  <c r="S207" i="36"/>
  <c r="AG197" i="36"/>
  <c r="B197" i="36"/>
  <c r="D196" i="36"/>
  <c r="C196" i="36"/>
  <c r="C232" i="36" s="1"/>
  <c r="H195" i="36"/>
  <c r="I195" i="36" s="1"/>
  <c r="J195" i="36" s="1"/>
  <c r="K195" i="36" s="1"/>
  <c r="L195" i="36" s="1"/>
  <c r="M195" i="36" s="1"/>
  <c r="N195" i="36" s="1"/>
  <c r="O195" i="36" s="1"/>
  <c r="P195" i="36" s="1"/>
  <c r="Q195" i="36" s="1"/>
  <c r="R195" i="36" s="1"/>
  <c r="S195" i="36" s="1"/>
  <c r="T195" i="36" s="1"/>
  <c r="U195" i="36" s="1"/>
  <c r="V195" i="36" s="1"/>
  <c r="W195" i="36" s="1"/>
  <c r="X195" i="36" s="1"/>
  <c r="Y195" i="36" s="1"/>
  <c r="Z195" i="36" s="1"/>
  <c r="AA195" i="36" s="1"/>
  <c r="AB195" i="36" s="1"/>
  <c r="AC195" i="36" s="1"/>
  <c r="AD195" i="36" s="1"/>
  <c r="AE195" i="36" s="1"/>
  <c r="AF195" i="36" s="1"/>
  <c r="C195" i="36"/>
  <c r="D195" i="36" s="1"/>
  <c r="E195" i="36" s="1"/>
  <c r="F195" i="36" s="1"/>
  <c r="G195" i="36" s="1"/>
  <c r="I194" i="36"/>
  <c r="J194" i="36" s="1"/>
  <c r="K194" i="36" s="1"/>
  <c r="L194" i="36" s="1"/>
  <c r="M194" i="36" s="1"/>
  <c r="N194" i="36" s="1"/>
  <c r="O194" i="36" s="1"/>
  <c r="P194" i="36" s="1"/>
  <c r="Q194" i="36" s="1"/>
  <c r="R194" i="36" s="1"/>
  <c r="S194" i="36" s="1"/>
  <c r="T194" i="36" s="1"/>
  <c r="U194" i="36" s="1"/>
  <c r="V194" i="36" s="1"/>
  <c r="W194" i="36" s="1"/>
  <c r="X194" i="36" s="1"/>
  <c r="Y194" i="36" s="1"/>
  <c r="Z194" i="36" s="1"/>
  <c r="AA194" i="36" s="1"/>
  <c r="AB194" i="36" s="1"/>
  <c r="AC194" i="36" s="1"/>
  <c r="AD194" i="36" s="1"/>
  <c r="AE194" i="36" s="1"/>
  <c r="AF194" i="36" s="1"/>
  <c r="D194" i="36"/>
  <c r="E194" i="36" s="1"/>
  <c r="F194" i="36" s="1"/>
  <c r="G194" i="36" s="1"/>
  <c r="H194" i="36" s="1"/>
  <c r="C194" i="36"/>
  <c r="D193" i="36"/>
  <c r="E193" i="36" s="1"/>
  <c r="F193" i="36" s="1"/>
  <c r="G193" i="36" s="1"/>
  <c r="H193" i="36" s="1"/>
  <c r="I193" i="36" s="1"/>
  <c r="J193" i="36" s="1"/>
  <c r="K193" i="36" s="1"/>
  <c r="L193" i="36" s="1"/>
  <c r="M193" i="36" s="1"/>
  <c r="N193" i="36" s="1"/>
  <c r="O193" i="36" s="1"/>
  <c r="P193" i="36" s="1"/>
  <c r="Q193" i="36" s="1"/>
  <c r="R193" i="36" s="1"/>
  <c r="S193" i="36" s="1"/>
  <c r="T193" i="36" s="1"/>
  <c r="U193" i="36" s="1"/>
  <c r="V193" i="36" s="1"/>
  <c r="W193" i="36" s="1"/>
  <c r="X193" i="36" s="1"/>
  <c r="Y193" i="36" s="1"/>
  <c r="Z193" i="36" s="1"/>
  <c r="AA193" i="36" s="1"/>
  <c r="AB193" i="36" s="1"/>
  <c r="AC193" i="36" s="1"/>
  <c r="AD193" i="36" s="1"/>
  <c r="AE193" i="36" s="1"/>
  <c r="AF193" i="36" s="1"/>
  <c r="C193" i="36"/>
  <c r="H192" i="36"/>
  <c r="I192" i="36" s="1"/>
  <c r="J192" i="36" s="1"/>
  <c r="K192" i="36" s="1"/>
  <c r="L192" i="36" s="1"/>
  <c r="M192" i="36" s="1"/>
  <c r="N192" i="36" s="1"/>
  <c r="O192" i="36" s="1"/>
  <c r="P192" i="36" s="1"/>
  <c r="Q192" i="36" s="1"/>
  <c r="R192" i="36" s="1"/>
  <c r="S192" i="36" s="1"/>
  <c r="T192" i="36" s="1"/>
  <c r="U192" i="36" s="1"/>
  <c r="V192" i="36" s="1"/>
  <c r="W192" i="36" s="1"/>
  <c r="X192" i="36" s="1"/>
  <c r="Y192" i="36" s="1"/>
  <c r="Z192" i="36" s="1"/>
  <c r="AA192" i="36" s="1"/>
  <c r="AB192" i="36" s="1"/>
  <c r="AC192" i="36" s="1"/>
  <c r="AD192" i="36" s="1"/>
  <c r="AE192" i="36" s="1"/>
  <c r="AF192" i="36" s="1"/>
  <c r="C192" i="36"/>
  <c r="D192" i="36" s="1"/>
  <c r="E192" i="36" s="1"/>
  <c r="F192" i="36" s="1"/>
  <c r="G192" i="36" s="1"/>
  <c r="C191" i="36"/>
  <c r="D191" i="36" s="1"/>
  <c r="AG189" i="36"/>
  <c r="B189" i="36"/>
  <c r="F188" i="36"/>
  <c r="G188" i="36" s="1"/>
  <c r="H188" i="36" s="1"/>
  <c r="I188" i="36" s="1"/>
  <c r="J188" i="36" s="1"/>
  <c r="K188" i="36" s="1"/>
  <c r="L188" i="36" s="1"/>
  <c r="M188" i="36" s="1"/>
  <c r="N188" i="36" s="1"/>
  <c r="O188" i="36" s="1"/>
  <c r="P188" i="36" s="1"/>
  <c r="Q188" i="36" s="1"/>
  <c r="R188" i="36" s="1"/>
  <c r="S188" i="36" s="1"/>
  <c r="T188" i="36" s="1"/>
  <c r="U188" i="36" s="1"/>
  <c r="V188" i="36" s="1"/>
  <c r="W188" i="36" s="1"/>
  <c r="X188" i="36" s="1"/>
  <c r="Y188" i="36" s="1"/>
  <c r="Z188" i="36" s="1"/>
  <c r="AA188" i="36" s="1"/>
  <c r="AB188" i="36" s="1"/>
  <c r="AC188" i="36" s="1"/>
  <c r="AD188" i="36" s="1"/>
  <c r="AE188" i="36" s="1"/>
  <c r="AF188" i="36" s="1"/>
  <c r="D188" i="36"/>
  <c r="E188" i="36" s="1"/>
  <c r="C188" i="36"/>
  <c r="W187" i="36"/>
  <c r="X187" i="36" s="1"/>
  <c r="Y187" i="36" s="1"/>
  <c r="Z187" i="36" s="1"/>
  <c r="AA187" i="36" s="1"/>
  <c r="AB187" i="36" s="1"/>
  <c r="AC187" i="36" s="1"/>
  <c r="AD187" i="36" s="1"/>
  <c r="AE187" i="36" s="1"/>
  <c r="AF187" i="36" s="1"/>
  <c r="E187" i="36"/>
  <c r="F187" i="36" s="1"/>
  <c r="G187" i="36" s="1"/>
  <c r="H187" i="36" s="1"/>
  <c r="I187" i="36" s="1"/>
  <c r="J187" i="36" s="1"/>
  <c r="K187" i="36" s="1"/>
  <c r="L187" i="36" s="1"/>
  <c r="M187" i="36" s="1"/>
  <c r="N187" i="36" s="1"/>
  <c r="O187" i="36" s="1"/>
  <c r="P187" i="36" s="1"/>
  <c r="Q187" i="36" s="1"/>
  <c r="R187" i="36" s="1"/>
  <c r="S187" i="36" s="1"/>
  <c r="T187" i="36" s="1"/>
  <c r="U187" i="36" s="1"/>
  <c r="V187" i="36" s="1"/>
  <c r="C187" i="36"/>
  <c r="D187" i="36" s="1"/>
  <c r="Q186" i="36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F186" i="36"/>
  <c r="G186" i="36" s="1"/>
  <c r="H186" i="36" s="1"/>
  <c r="I186" i="36" s="1"/>
  <c r="J186" i="36" s="1"/>
  <c r="K186" i="36" s="1"/>
  <c r="L186" i="36" s="1"/>
  <c r="M186" i="36" s="1"/>
  <c r="N186" i="36" s="1"/>
  <c r="O186" i="36" s="1"/>
  <c r="P186" i="36" s="1"/>
  <c r="D186" i="36"/>
  <c r="E186" i="36" s="1"/>
  <c r="C186" i="36"/>
  <c r="F185" i="36"/>
  <c r="G185" i="36" s="1"/>
  <c r="H185" i="36" s="1"/>
  <c r="I185" i="36" s="1"/>
  <c r="J185" i="36" s="1"/>
  <c r="K185" i="36" s="1"/>
  <c r="L185" i="36" s="1"/>
  <c r="M185" i="36" s="1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C185" i="36"/>
  <c r="D185" i="36" s="1"/>
  <c r="E185" i="36" s="1"/>
  <c r="H184" i="36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D184" i="36"/>
  <c r="E184" i="36" s="1"/>
  <c r="F184" i="36" s="1"/>
  <c r="G184" i="36" s="1"/>
  <c r="C184" i="36"/>
  <c r="U183" i="36"/>
  <c r="V183" i="36" s="1"/>
  <c r="W183" i="36" s="1"/>
  <c r="X183" i="36" s="1"/>
  <c r="Y183" i="36" s="1"/>
  <c r="Z183" i="36" s="1"/>
  <c r="AA183" i="36" s="1"/>
  <c r="AB183" i="36" s="1"/>
  <c r="AC183" i="36" s="1"/>
  <c r="AD183" i="36" s="1"/>
  <c r="AE183" i="36" s="1"/>
  <c r="AF183" i="36" s="1"/>
  <c r="C183" i="36"/>
  <c r="D183" i="36" s="1"/>
  <c r="E183" i="36" s="1"/>
  <c r="F183" i="36" s="1"/>
  <c r="G183" i="36" s="1"/>
  <c r="H183" i="36" s="1"/>
  <c r="I183" i="36" s="1"/>
  <c r="J183" i="36" s="1"/>
  <c r="K183" i="36" s="1"/>
  <c r="L183" i="36" s="1"/>
  <c r="M183" i="36" s="1"/>
  <c r="N183" i="36" s="1"/>
  <c r="O183" i="36" s="1"/>
  <c r="P183" i="36" s="1"/>
  <c r="Q183" i="36" s="1"/>
  <c r="R183" i="36" s="1"/>
  <c r="S183" i="36" s="1"/>
  <c r="T183" i="36" s="1"/>
  <c r="N182" i="36"/>
  <c r="O182" i="36" s="1"/>
  <c r="P182" i="36" s="1"/>
  <c r="Q182" i="36" s="1"/>
  <c r="R182" i="36" s="1"/>
  <c r="S182" i="36" s="1"/>
  <c r="T182" i="36" s="1"/>
  <c r="U182" i="36" s="1"/>
  <c r="V182" i="36" s="1"/>
  <c r="W182" i="36" s="1"/>
  <c r="X182" i="36" s="1"/>
  <c r="Y182" i="36" s="1"/>
  <c r="Z182" i="36" s="1"/>
  <c r="AA182" i="36" s="1"/>
  <c r="AB182" i="36" s="1"/>
  <c r="AC182" i="36" s="1"/>
  <c r="AD182" i="36" s="1"/>
  <c r="AE182" i="36" s="1"/>
  <c r="AF182" i="36" s="1"/>
  <c r="E182" i="36"/>
  <c r="F182" i="36" s="1"/>
  <c r="G182" i="36" s="1"/>
  <c r="H182" i="36" s="1"/>
  <c r="I182" i="36" s="1"/>
  <c r="J182" i="36" s="1"/>
  <c r="K182" i="36" s="1"/>
  <c r="L182" i="36" s="1"/>
  <c r="M182" i="36" s="1"/>
  <c r="C182" i="36"/>
  <c r="D182" i="36" s="1"/>
  <c r="AE181" i="36"/>
  <c r="AF181" i="36" s="1"/>
  <c r="K181" i="36"/>
  <c r="L181" i="36" s="1"/>
  <c r="M181" i="36" s="1"/>
  <c r="N181" i="36" s="1"/>
  <c r="O181" i="36" s="1"/>
  <c r="P181" i="36" s="1"/>
  <c r="Q181" i="36" s="1"/>
  <c r="R181" i="36" s="1"/>
  <c r="S181" i="36" s="1"/>
  <c r="T181" i="36" s="1"/>
  <c r="U181" i="36" s="1"/>
  <c r="V181" i="36" s="1"/>
  <c r="W181" i="36" s="1"/>
  <c r="X181" i="36" s="1"/>
  <c r="Y181" i="36" s="1"/>
  <c r="Z181" i="36" s="1"/>
  <c r="AA181" i="36" s="1"/>
  <c r="AB181" i="36" s="1"/>
  <c r="AC181" i="36" s="1"/>
  <c r="AD181" i="36" s="1"/>
  <c r="C181" i="36"/>
  <c r="D181" i="36" s="1"/>
  <c r="E181" i="36" s="1"/>
  <c r="F181" i="36" s="1"/>
  <c r="G181" i="36" s="1"/>
  <c r="H181" i="36" s="1"/>
  <c r="I181" i="36" s="1"/>
  <c r="J181" i="36" s="1"/>
  <c r="V180" i="36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D180" i="36"/>
  <c r="E180" i="36" s="1"/>
  <c r="F180" i="36" s="1"/>
  <c r="G180" i="36" s="1"/>
  <c r="H180" i="36" s="1"/>
  <c r="I180" i="36" s="1"/>
  <c r="J180" i="36" s="1"/>
  <c r="K180" i="36" s="1"/>
  <c r="L180" i="36" s="1"/>
  <c r="M180" i="36" s="1"/>
  <c r="N180" i="36" s="1"/>
  <c r="O180" i="36" s="1"/>
  <c r="P180" i="36" s="1"/>
  <c r="Q180" i="36" s="1"/>
  <c r="R180" i="36" s="1"/>
  <c r="S180" i="36" s="1"/>
  <c r="T180" i="36" s="1"/>
  <c r="U180" i="36" s="1"/>
  <c r="C180" i="36"/>
  <c r="G179" i="36"/>
  <c r="H179" i="36" s="1"/>
  <c r="I179" i="36" s="1"/>
  <c r="J179" i="36" s="1"/>
  <c r="K179" i="36" s="1"/>
  <c r="L179" i="36" s="1"/>
  <c r="M179" i="36" s="1"/>
  <c r="N179" i="36" s="1"/>
  <c r="O179" i="36" s="1"/>
  <c r="P179" i="36" s="1"/>
  <c r="Q179" i="36" s="1"/>
  <c r="R179" i="36" s="1"/>
  <c r="S179" i="36" s="1"/>
  <c r="T179" i="36" s="1"/>
  <c r="U179" i="36" s="1"/>
  <c r="V179" i="36" s="1"/>
  <c r="W179" i="36" s="1"/>
  <c r="X179" i="36" s="1"/>
  <c r="Y179" i="36" s="1"/>
  <c r="Z179" i="36" s="1"/>
  <c r="AA179" i="36" s="1"/>
  <c r="AB179" i="36" s="1"/>
  <c r="AC179" i="36" s="1"/>
  <c r="AD179" i="36" s="1"/>
  <c r="AE179" i="36" s="1"/>
  <c r="AF179" i="36" s="1"/>
  <c r="F179" i="36"/>
  <c r="E179" i="36"/>
  <c r="C179" i="36"/>
  <c r="D179" i="36" s="1"/>
  <c r="T178" i="36"/>
  <c r="U178" i="36" s="1"/>
  <c r="V178" i="36" s="1"/>
  <c r="W178" i="36" s="1"/>
  <c r="X178" i="36" s="1"/>
  <c r="Y178" i="36" s="1"/>
  <c r="Z178" i="36" s="1"/>
  <c r="AA178" i="36" s="1"/>
  <c r="AB178" i="36" s="1"/>
  <c r="AC178" i="36" s="1"/>
  <c r="AD178" i="36" s="1"/>
  <c r="AE178" i="36" s="1"/>
  <c r="AF178" i="36" s="1"/>
  <c r="J178" i="36"/>
  <c r="K178" i="36" s="1"/>
  <c r="L178" i="36" s="1"/>
  <c r="M178" i="36" s="1"/>
  <c r="N178" i="36" s="1"/>
  <c r="O178" i="36" s="1"/>
  <c r="P178" i="36" s="1"/>
  <c r="Q178" i="36" s="1"/>
  <c r="R178" i="36" s="1"/>
  <c r="S178" i="36" s="1"/>
  <c r="H178" i="36"/>
  <c r="I178" i="36" s="1"/>
  <c r="C178" i="36"/>
  <c r="D178" i="36" s="1"/>
  <c r="E178" i="36" s="1"/>
  <c r="F178" i="36" s="1"/>
  <c r="G178" i="36" s="1"/>
  <c r="K177" i="36"/>
  <c r="L177" i="36" s="1"/>
  <c r="M177" i="36" s="1"/>
  <c r="N177" i="36" s="1"/>
  <c r="O177" i="36" s="1"/>
  <c r="P177" i="36" s="1"/>
  <c r="Q177" i="36" s="1"/>
  <c r="R177" i="36" s="1"/>
  <c r="S177" i="36" s="1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F177" i="36"/>
  <c r="G177" i="36" s="1"/>
  <c r="H177" i="36" s="1"/>
  <c r="I177" i="36" s="1"/>
  <c r="J177" i="36" s="1"/>
  <c r="C177" i="36"/>
  <c r="D177" i="36" s="1"/>
  <c r="E177" i="36" s="1"/>
  <c r="E176" i="36"/>
  <c r="F176" i="36" s="1"/>
  <c r="G176" i="36" s="1"/>
  <c r="H176" i="36" s="1"/>
  <c r="I176" i="36" s="1"/>
  <c r="J176" i="36" s="1"/>
  <c r="K176" i="36" s="1"/>
  <c r="L176" i="36" s="1"/>
  <c r="M176" i="36" s="1"/>
  <c r="N176" i="36" s="1"/>
  <c r="O176" i="36" s="1"/>
  <c r="P176" i="36" s="1"/>
  <c r="Q176" i="36" s="1"/>
  <c r="R176" i="36" s="1"/>
  <c r="S176" i="36" s="1"/>
  <c r="T176" i="36" s="1"/>
  <c r="U176" i="36" s="1"/>
  <c r="V176" i="36" s="1"/>
  <c r="W176" i="36" s="1"/>
  <c r="X176" i="36" s="1"/>
  <c r="Y176" i="36" s="1"/>
  <c r="Z176" i="36" s="1"/>
  <c r="AA176" i="36" s="1"/>
  <c r="AB176" i="36" s="1"/>
  <c r="AC176" i="36" s="1"/>
  <c r="AD176" i="36" s="1"/>
  <c r="AE176" i="36" s="1"/>
  <c r="AF176" i="36" s="1"/>
  <c r="D176" i="36"/>
  <c r="C176" i="36"/>
  <c r="C174" i="36"/>
  <c r="D174" i="36" s="1"/>
  <c r="E174" i="36" s="1"/>
  <c r="F174" i="36" s="1"/>
  <c r="G174" i="36" s="1"/>
  <c r="H174" i="36" s="1"/>
  <c r="I174" i="36" s="1"/>
  <c r="J174" i="36" s="1"/>
  <c r="K174" i="36" s="1"/>
  <c r="L174" i="36" s="1"/>
  <c r="M174" i="36" s="1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T173" i="36"/>
  <c r="U173" i="36" s="1"/>
  <c r="V173" i="36" s="1"/>
  <c r="W173" i="36" s="1"/>
  <c r="X173" i="36" s="1"/>
  <c r="Y173" i="36" s="1"/>
  <c r="Z173" i="36" s="1"/>
  <c r="AA173" i="36" s="1"/>
  <c r="AB173" i="36" s="1"/>
  <c r="AC173" i="36" s="1"/>
  <c r="AD173" i="36" s="1"/>
  <c r="AE173" i="36" s="1"/>
  <c r="AF173" i="36" s="1"/>
  <c r="H173" i="36"/>
  <c r="I173" i="36" s="1"/>
  <c r="J173" i="36" s="1"/>
  <c r="K173" i="36" s="1"/>
  <c r="L173" i="36" s="1"/>
  <c r="M173" i="36" s="1"/>
  <c r="N173" i="36" s="1"/>
  <c r="O173" i="36" s="1"/>
  <c r="P173" i="36" s="1"/>
  <c r="Q173" i="36" s="1"/>
  <c r="R173" i="36" s="1"/>
  <c r="S173" i="36" s="1"/>
  <c r="F173" i="36"/>
  <c r="G173" i="36" s="1"/>
  <c r="D173" i="36"/>
  <c r="E173" i="36" s="1"/>
  <c r="C173" i="36"/>
  <c r="E172" i="36"/>
  <c r="F172" i="36" s="1"/>
  <c r="G172" i="36" s="1"/>
  <c r="H172" i="36" s="1"/>
  <c r="I172" i="36" s="1"/>
  <c r="J172" i="36" s="1"/>
  <c r="K172" i="36" s="1"/>
  <c r="L172" i="36" s="1"/>
  <c r="M172" i="36" s="1"/>
  <c r="N172" i="36" s="1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D172" i="36"/>
  <c r="C172" i="36"/>
  <c r="K171" i="36"/>
  <c r="L171" i="36" s="1"/>
  <c r="M171" i="36" s="1"/>
  <c r="N171" i="36" s="1"/>
  <c r="O171" i="36" s="1"/>
  <c r="P171" i="36" s="1"/>
  <c r="Q171" i="36" s="1"/>
  <c r="R171" i="36" s="1"/>
  <c r="S171" i="36" s="1"/>
  <c r="T171" i="36" s="1"/>
  <c r="U171" i="36" s="1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H171" i="36"/>
  <c r="I171" i="36" s="1"/>
  <c r="J171" i="36" s="1"/>
  <c r="C171" i="36"/>
  <c r="D171" i="36" s="1"/>
  <c r="E171" i="36" s="1"/>
  <c r="F171" i="36" s="1"/>
  <c r="G171" i="36" s="1"/>
  <c r="C170" i="36"/>
  <c r="D170" i="36" s="1"/>
  <c r="E170" i="36" s="1"/>
  <c r="F170" i="36" s="1"/>
  <c r="G170" i="36" s="1"/>
  <c r="H170" i="36" s="1"/>
  <c r="I170" i="36" s="1"/>
  <c r="J170" i="36" s="1"/>
  <c r="K170" i="36" s="1"/>
  <c r="L170" i="36" s="1"/>
  <c r="M170" i="36" s="1"/>
  <c r="N170" i="36" s="1"/>
  <c r="O170" i="36" s="1"/>
  <c r="P170" i="36" s="1"/>
  <c r="Q170" i="36" s="1"/>
  <c r="R170" i="36" s="1"/>
  <c r="S170" i="36" s="1"/>
  <c r="T170" i="36" s="1"/>
  <c r="U170" i="36" s="1"/>
  <c r="V170" i="36" s="1"/>
  <c r="W170" i="36" s="1"/>
  <c r="X170" i="36" s="1"/>
  <c r="Y170" i="36" s="1"/>
  <c r="Z170" i="36" s="1"/>
  <c r="AA170" i="36" s="1"/>
  <c r="AB170" i="36" s="1"/>
  <c r="AC170" i="36" s="1"/>
  <c r="AD170" i="36" s="1"/>
  <c r="AE170" i="36" s="1"/>
  <c r="AF170" i="36" s="1"/>
  <c r="U169" i="36"/>
  <c r="V169" i="36" s="1"/>
  <c r="W169" i="36" s="1"/>
  <c r="X169" i="36" s="1"/>
  <c r="Y169" i="36" s="1"/>
  <c r="Z169" i="36" s="1"/>
  <c r="AA169" i="36" s="1"/>
  <c r="AB169" i="36" s="1"/>
  <c r="AC169" i="36" s="1"/>
  <c r="AD169" i="36" s="1"/>
  <c r="AE169" i="36" s="1"/>
  <c r="AF169" i="36" s="1"/>
  <c r="F169" i="36"/>
  <c r="G169" i="36" s="1"/>
  <c r="H169" i="36" s="1"/>
  <c r="I169" i="36" s="1"/>
  <c r="J169" i="36" s="1"/>
  <c r="K169" i="36" s="1"/>
  <c r="L169" i="36" s="1"/>
  <c r="M169" i="36" s="1"/>
  <c r="N169" i="36" s="1"/>
  <c r="O169" i="36" s="1"/>
  <c r="P169" i="36" s="1"/>
  <c r="Q169" i="36" s="1"/>
  <c r="R169" i="36" s="1"/>
  <c r="S169" i="36" s="1"/>
  <c r="T169" i="36" s="1"/>
  <c r="D169" i="36"/>
  <c r="E169" i="36" s="1"/>
  <c r="C169" i="36"/>
  <c r="D168" i="36"/>
  <c r="E168" i="36" s="1"/>
  <c r="F168" i="36" s="1"/>
  <c r="G168" i="36" s="1"/>
  <c r="H168" i="36" s="1"/>
  <c r="I168" i="36" s="1"/>
  <c r="J168" i="36" s="1"/>
  <c r="K168" i="36" s="1"/>
  <c r="L168" i="36" s="1"/>
  <c r="M168" i="36" s="1"/>
  <c r="N168" i="36" s="1"/>
  <c r="O168" i="36" s="1"/>
  <c r="P168" i="36" s="1"/>
  <c r="Q168" i="36" s="1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C168" i="36"/>
  <c r="Z167" i="36"/>
  <c r="AA167" i="36" s="1"/>
  <c r="AB167" i="36" s="1"/>
  <c r="AC167" i="36" s="1"/>
  <c r="AD167" i="36" s="1"/>
  <c r="AE167" i="36" s="1"/>
  <c r="AF167" i="36" s="1"/>
  <c r="Q167" i="36"/>
  <c r="R167" i="36" s="1"/>
  <c r="S167" i="36" s="1"/>
  <c r="T167" i="36" s="1"/>
  <c r="U167" i="36" s="1"/>
  <c r="V167" i="36" s="1"/>
  <c r="W167" i="36" s="1"/>
  <c r="X167" i="36" s="1"/>
  <c r="Y167" i="36" s="1"/>
  <c r="J167" i="36"/>
  <c r="K167" i="36" s="1"/>
  <c r="L167" i="36" s="1"/>
  <c r="M167" i="36" s="1"/>
  <c r="N167" i="36" s="1"/>
  <c r="O167" i="36" s="1"/>
  <c r="P167" i="36" s="1"/>
  <c r="E167" i="36"/>
  <c r="F167" i="36" s="1"/>
  <c r="G167" i="36" s="1"/>
  <c r="H167" i="36" s="1"/>
  <c r="I167" i="36" s="1"/>
  <c r="C167" i="36"/>
  <c r="D167" i="36" s="1"/>
  <c r="E165" i="36"/>
  <c r="F165" i="36" s="1"/>
  <c r="G165" i="36" s="1"/>
  <c r="H165" i="36" s="1"/>
  <c r="I165" i="36" s="1"/>
  <c r="J165" i="36" s="1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AB165" i="36" s="1"/>
  <c r="AC165" i="36" s="1"/>
  <c r="AD165" i="36" s="1"/>
  <c r="AE165" i="36" s="1"/>
  <c r="AF165" i="36" s="1"/>
  <c r="C165" i="36"/>
  <c r="D165" i="36" s="1"/>
  <c r="F164" i="36"/>
  <c r="G164" i="36" s="1"/>
  <c r="H164" i="36" s="1"/>
  <c r="I164" i="36" s="1"/>
  <c r="J164" i="36" s="1"/>
  <c r="K164" i="36" s="1"/>
  <c r="L164" i="36" s="1"/>
  <c r="M164" i="36" s="1"/>
  <c r="N164" i="36" s="1"/>
  <c r="O164" i="36" s="1"/>
  <c r="P164" i="36" s="1"/>
  <c r="Q164" i="36" s="1"/>
  <c r="R164" i="36" s="1"/>
  <c r="S164" i="36" s="1"/>
  <c r="T164" i="36" s="1"/>
  <c r="U164" i="36" s="1"/>
  <c r="V164" i="36" s="1"/>
  <c r="W164" i="36" s="1"/>
  <c r="X164" i="36" s="1"/>
  <c r="Y164" i="36" s="1"/>
  <c r="Z164" i="36" s="1"/>
  <c r="AA164" i="36" s="1"/>
  <c r="AB164" i="36" s="1"/>
  <c r="AC164" i="36" s="1"/>
  <c r="AD164" i="36" s="1"/>
  <c r="AE164" i="36" s="1"/>
  <c r="AF164" i="36" s="1"/>
  <c r="C164" i="36"/>
  <c r="D164" i="36" s="1"/>
  <c r="E164" i="36" s="1"/>
  <c r="O163" i="36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G163" i="36"/>
  <c r="H163" i="36" s="1"/>
  <c r="I163" i="36" s="1"/>
  <c r="J163" i="36" s="1"/>
  <c r="K163" i="36" s="1"/>
  <c r="L163" i="36" s="1"/>
  <c r="M163" i="36" s="1"/>
  <c r="N163" i="36" s="1"/>
  <c r="D163" i="36"/>
  <c r="E163" i="36" s="1"/>
  <c r="F163" i="36" s="1"/>
  <c r="C163" i="36"/>
  <c r="G162" i="36"/>
  <c r="H162" i="36" s="1"/>
  <c r="I162" i="36" s="1"/>
  <c r="J162" i="36" s="1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V162" i="36" s="1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C162" i="36"/>
  <c r="D162" i="36" s="1"/>
  <c r="E162" i="36" s="1"/>
  <c r="F162" i="36" s="1"/>
  <c r="S161" i="36"/>
  <c r="T161" i="36" s="1"/>
  <c r="U161" i="36" s="1"/>
  <c r="V161" i="36" s="1"/>
  <c r="W161" i="36" s="1"/>
  <c r="X161" i="36" s="1"/>
  <c r="Y161" i="36" s="1"/>
  <c r="Z161" i="36" s="1"/>
  <c r="AA161" i="36" s="1"/>
  <c r="AB161" i="36" s="1"/>
  <c r="AC161" i="36" s="1"/>
  <c r="AD161" i="36" s="1"/>
  <c r="AE161" i="36" s="1"/>
  <c r="AF161" i="36" s="1"/>
  <c r="F161" i="36"/>
  <c r="G161" i="36" s="1"/>
  <c r="H161" i="36" s="1"/>
  <c r="I161" i="36" s="1"/>
  <c r="J161" i="36" s="1"/>
  <c r="K161" i="36" s="1"/>
  <c r="L161" i="36" s="1"/>
  <c r="M161" i="36" s="1"/>
  <c r="N161" i="36" s="1"/>
  <c r="O161" i="36" s="1"/>
  <c r="P161" i="36" s="1"/>
  <c r="Q161" i="36" s="1"/>
  <c r="R161" i="36" s="1"/>
  <c r="C161" i="36"/>
  <c r="D161" i="36" s="1"/>
  <c r="E161" i="36" s="1"/>
  <c r="D160" i="36"/>
  <c r="E160" i="36" s="1"/>
  <c r="F160" i="36" s="1"/>
  <c r="G160" i="36" s="1"/>
  <c r="H160" i="36" s="1"/>
  <c r="I160" i="36" s="1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AA160" i="36" s="1"/>
  <c r="AB160" i="36" s="1"/>
  <c r="AC160" i="36" s="1"/>
  <c r="AD160" i="36" s="1"/>
  <c r="AE160" i="36" s="1"/>
  <c r="AF160" i="36" s="1"/>
  <c r="C160" i="36"/>
  <c r="D159" i="36"/>
  <c r="E159" i="36" s="1"/>
  <c r="F159" i="36" s="1"/>
  <c r="G159" i="36" s="1"/>
  <c r="H159" i="36" s="1"/>
  <c r="I159" i="36" s="1"/>
  <c r="J159" i="36" s="1"/>
  <c r="K159" i="36" s="1"/>
  <c r="L159" i="36" s="1"/>
  <c r="M159" i="36" s="1"/>
  <c r="N159" i="36" s="1"/>
  <c r="O159" i="36" s="1"/>
  <c r="P159" i="36" s="1"/>
  <c r="Q159" i="36" s="1"/>
  <c r="R159" i="36" s="1"/>
  <c r="S159" i="36" s="1"/>
  <c r="T159" i="36" s="1"/>
  <c r="U159" i="36" s="1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C159" i="36"/>
  <c r="AF158" i="36"/>
  <c r="Y158" i="36"/>
  <c r="Z158" i="36" s="1"/>
  <c r="AA158" i="36" s="1"/>
  <c r="AB158" i="36" s="1"/>
  <c r="AC158" i="36" s="1"/>
  <c r="AD158" i="36" s="1"/>
  <c r="AE158" i="36" s="1"/>
  <c r="G158" i="36"/>
  <c r="H158" i="36" s="1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C158" i="36"/>
  <c r="D158" i="36" s="1"/>
  <c r="E158" i="36" s="1"/>
  <c r="F158" i="36" s="1"/>
  <c r="X157" i="36"/>
  <c r="Y157" i="36" s="1"/>
  <c r="Z157" i="36" s="1"/>
  <c r="AA157" i="36" s="1"/>
  <c r="AB157" i="36" s="1"/>
  <c r="AC157" i="36" s="1"/>
  <c r="AD157" i="36" s="1"/>
  <c r="AE157" i="36" s="1"/>
  <c r="AF157" i="36" s="1"/>
  <c r="S157" i="36"/>
  <c r="T157" i="36" s="1"/>
  <c r="U157" i="36" s="1"/>
  <c r="V157" i="36" s="1"/>
  <c r="W157" i="36" s="1"/>
  <c r="F157" i="36"/>
  <c r="G157" i="36" s="1"/>
  <c r="H157" i="36" s="1"/>
  <c r="I157" i="36" s="1"/>
  <c r="J157" i="36" s="1"/>
  <c r="K157" i="36" s="1"/>
  <c r="L157" i="36" s="1"/>
  <c r="M157" i="36" s="1"/>
  <c r="N157" i="36" s="1"/>
  <c r="O157" i="36" s="1"/>
  <c r="P157" i="36" s="1"/>
  <c r="Q157" i="36" s="1"/>
  <c r="R157" i="36" s="1"/>
  <c r="C157" i="36"/>
  <c r="D157" i="36" s="1"/>
  <c r="E157" i="36" s="1"/>
  <c r="C156" i="36"/>
  <c r="D156" i="36" s="1"/>
  <c r="E156" i="36" s="1"/>
  <c r="F156" i="36" s="1"/>
  <c r="G156" i="36" s="1"/>
  <c r="H156" i="36" s="1"/>
  <c r="I156" i="36" s="1"/>
  <c r="J156" i="36" s="1"/>
  <c r="K156" i="36" s="1"/>
  <c r="L156" i="36" s="1"/>
  <c r="M156" i="36" s="1"/>
  <c r="N156" i="36" s="1"/>
  <c r="O156" i="36" s="1"/>
  <c r="P156" i="36" s="1"/>
  <c r="Q156" i="36" s="1"/>
  <c r="R156" i="36" s="1"/>
  <c r="S156" i="36" s="1"/>
  <c r="T156" i="36" s="1"/>
  <c r="U156" i="36" s="1"/>
  <c r="V156" i="36" s="1"/>
  <c r="W156" i="36" s="1"/>
  <c r="X156" i="36" s="1"/>
  <c r="Y156" i="36" s="1"/>
  <c r="Z156" i="36" s="1"/>
  <c r="AA156" i="36" s="1"/>
  <c r="AB156" i="36" s="1"/>
  <c r="AC156" i="36" s="1"/>
  <c r="AD156" i="36" s="1"/>
  <c r="AE156" i="36" s="1"/>
  <c r="AF156" i="36" s="1"/>
  <c r="G155" i="36"/>
  <c r="H155" i="36" s="1"/>
  <c r="I155" i="36" s="1"/>
  <c r="J155" i="36" s="1"/>
  <c r="K155" i="36" s="1"/>
  <c r="L155" i="36" s="1"/>
  <c r="M155" i="36" s="1"/>
  <c r="N155" i="36" s="1"/>
  <c r="O155" i="36" s="1"/>
  <c r="P155" i="36" s="1"/>
  <c r="Q155" i="36" s="1"/>
  <c r="R155" i="36" s="1"/>
  <c r="S155" i="36" s="1"/>
  <c r="T155" i="36" s="1"/>
  <c r="U155" i="36" s="1"/>
  <c r="V155" i="36" s="1"/>
  <c r="W155" i="36" s="1"/>
  <c r="X155" i="36" s="1"/>
  <c r="Y155" i="36" s="1"/>
  <c r="Z155" i="36" s="1"/>
  <c r="AA155" i="36" s="1"/>
  <c r="AB155" i="36" s="1"/>
  <c r="AC155" i="36" s="1"/>
  <c r="AD155" i="36" s="1"/>
  <c r="AE155" i="36" s="1"/>
  <c r="AF155" i="36" s="1"/>
  <c r="C155" i="36"/>
  <c r="D155" i="36" s="1"/>
  <c r="E155" i="36" s="1"/>
  <c r="F155" i="36" s="1"/>
  <c r="U154" i="36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Q154" i="36"/>
  <c r="R154" i="36" s="1"/>
  <c r="S154" i="36" s="1"/>
  <c r="T154" i="36" s="1"/>
  <c r="E154" i="36"/>
  <c r="F154" i="36" s="1"/>
  <c r="G154" i="36" s="1"/>
  <c r="H154" i="36" s="1"/>
  <c r="I154" i="36" s="1"/>
  <c r="J154" i="36" s="1"/>
  <c r="K154" i="36" s="1"/>
  <c r="L154" i="36" s="1"/>
  <c r="M154" i="36" s="1"/>
  <c r="N154" i="36" s="1"/>
  <c r="O154" i="36" s="1"/>
  <c r="P154" i="36" s="1"/>
  <c r="C154" i="36"/>
  <c r="D154" i="36" s="1"/>
  <c r="E153" i="36"/>
  <c r="F153" i="36" s="1"/>
  <c r="G153" i="36" s="1"/>
  <c r="H153" i="36" s="1"/>
  <c r="I153" i="36" s="1"/>
  <c r="J153" i="36" s="1"/>
  <c r="K153" i="36" s="1"/>
  <c r="L153" i="36" s="1"/>
  <c r="M153" i="36" s="1"/>
  <c r="N153" i="36" s="1"/>
  <c r="O153" i="36" s="1"/>
  <c r="P153" i="36" s="1"/>
  <c r="Q153" i="36" s="1"/>
  <c r="R153" i="36" s="1"/>
  <c r="S153" i="36" s="1"/>
  <c r="T153" i="36" s="1"/>
  <c r="U153" i="36" s="1"/>
  <c r="V153" i="36" s="1"/>
  <c r="W153" i="36" s="1"/>
  <c r="X153" i="36" s="1"/>
  <c r="Y153" i="36" s="1"/>
  <c r="Z153" i="36" s="1"/>
  <c r="AA153" i="36" s="1"/>
  <c r="AB153" i="36" s="1"/>
  <c r="AC153" i="36" s="1"/>
  <c r="AD153" i="36" s="1"/>
  <c r="AE153" i="36" s="1"/>
  <c r="AF153" i="36" s="1"/>
  <c r="C153" i="36"/>
  <c r="D153" i="36" s="1"/>
  <c r="M151" i="36"/>
  <c r="N151" i="36" s="1"/>
  <c r="O151" i="36" s="1"/>
  <c r="P151" i="36" s="1"/>
  <c r="Q151" i="36" s="1"/>
  <c r="R151" i="36" s="1"/>
  <c r="S151" i="36" s="1"/>
  <c r="T151" i="36" s="1"/>
  <c r="U151" i="36" s="1"/>
  <c r="V151" i="36" s="1"/>
  <c r="W151" i="36" s="1"/>
  <c r="X151" i="36" s="1"/>
  <c r="Y151" i="36" s="1"/>
  <c r="Z151" i="36" s="1"/>
  <c r="AA151" i="36" s="1"/>
  <c r="AB151" i="36" s="1"/>
  <c r="AC151" i="36" s="1"/>
  <c r="AD151" i="36" s="1"/>
  <c r="AE151" i="36" s="1"/>
  <c r="AF151" i="36" s="1"/>
  <c r="K151" i="36"/>
  <c r="L151" i="36" s="1"/>
  <c r="C151" i="36"/>
  <c r="D151" i="36" s="1"/>
  <c r="E151" i="36" s="1"/>
  <c r="F151" i="36" s="1"/>
  <c r="G151" i="36" s="1"/>
  <c r="H151" i="36" s="1"/>
  <c r="I151" i="36" s="1"/>
  <c r="J151" i="36" s="1"/>
  <c r="K150" i="36"/>
  <c r="L150" i="36" s="1"/>
  <c r="M150" i="36" s="1"/>
  <c r="N150" i="36" s="1"/>
  <c r="O150" i="36" s="1"/>
  <c r="P150" i="36" s="1"/>
  <c r="Q150" i="36" s="1"/>
  <c r="R150" i="36" s="1"/>
  <c r="S150" i="36" s="1"/>
  <c r="T150" i="36" s="1"/>
  <c r="U150" i="36" s="1"/>
  <c r="V150" i="36" s="1"/>
  <c r="W150" i="36" s="1"/>
  <c r="X150" i="36" s="1"/>
  <c r="Y150" i="36" s="1"/>
  <c r="Z150" i="36" s="1"/>
  <c r="AA150" i="36" s="1"/>
  <c r="AB150" i="36" s="1"/>
  <c r="AC150" i="36" s="1"/>
  <c r="AD150" i="36" s="1"/>
  <c r="AE150" i="36" s="1"/>
  <c r="AF150" i="36" s="1"/>
  <c r="G150" i="36"/>
  <c r="H150" i="36" s="1"/>
  <c r="I150" i="36" s="1"/>
  <c r="J150" i="36" s="1"/>
  <c r="C150" i="36"/>
  <c r="D150" i="36" s="1"/>
  <c r="E150" i="36" s="1"/>
  <c r="F150" i="36" s="1"/>
  <c r="D149" i="36"/>
  <c r="E149" i="36" s="1"/>
  <c r="F149" i="36" s="1"/>
  <c r="G149" i="36" s="1"/>
  <c r="H149" i="36" s="1"/>
  <c r="I149" i="36" s="1"/>
  <c r="J149" i="36" s="1"/>
  <c r="K149" i="36" s="1"/>
  <c r="L149" i="36" s="1"/>
  <c r="M149" i="36" s="1"/>
  <c r="N149" i="36" s="1"/>
  <c r="O149" i="36" s="1"/>
  <c r="P149" i="36" s="1"/>
  <c r="Q149" i="36" s="1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C149" i="36"/>
  <c r="C148" i="36"/>
  <c r="D148" i="36" s="1"/>
  <c r="E148" i="36" s="1"/>
  <c r="F148" i="36" s="1"/>
  <c r="G148" i="36" s="1"/>
  <c r="H148" i="36" s="1"/>
  <c r="I148" i="36" s="1"/>
  <c r="J148" i="36" s="1"/>
  <c r="K148" i="36" s="1"/>
  <c r="L148" i="36" s="1"/>
  <c r="M148" i="36" s="1"/>
  <c r="N148" i="36" s="1"/>
  <c r="O148" i="36" s="1"/>
  <c r="P148" i="36" s="1"/>
  <c r="Q148" i="36" s="1"/>
  <c r="R148" i="36" s="1"/>
  <c r="S148" i="36" s="1"/>
  <c r="T148" i="36" s="1"/>
  <c r="U148" i="36" s="1"/>
  <c r="V148" i="36" s="1"/>
  <c r="W148" i="36" s="1"/>
  <c r="X148" i="36" s="1"/>
  <c r="Y148" i="36" s="1"/>
  <c r="Z148" i="36" s="1"/>
  <c r="AA148" i="36" s="1"/>
  <c r="AB148" i="36" s="1"/>
  <c r="AC148" i="36" s="1"/>
  <c r="AD148" i="36" s="1"/>
  <c r="AE148" i="36" s="1"/>
  <c r="AF148" i="36" s="1"/>
  <c r="Q146" i="36"/>
  <c r="R146" i="36" s="1"/>
  <c r="S146" i="36" s="1"/>
  <c r="T146" i="36" s="1"/>
  <c r="U146" i="36" s="1"/>
  <c r="V146" i="36" s="1"/>
  <c r="W146" i="36" s="1"/>
  <c r="X146" i="36" s="1"/>
  <c r="Y146" i="36" s="1"/>
  <c r="Z146" i="36" s="1"/>
  <c r="AA146" i="36" s="1"/>
  <c r="AB146" i="36" s="1"/>
  <c r="AC146" i="36" s="1"/>
  <c r="AD146" i="36" s="1"/>
  <c r="AE146" i="36" s="1"/>
  <c r="AF146" i="36" s="1"/>
  <c r="I146" i="36"/>
  <c r="J146" i="36" s="1"/>
  <c r="K146" i="36" s="1"/>
  <c r="L146" i="36" s="1"/>
  <c r="M146" i="36" s="1"/>
  <c r="N146" i="36" s="1"/>
  <c r="O146" i="36" s="1"/>
  <c r="P146" i="36" s="1"/>
  <c r="C146" i="36"/>
  <c r="D146" i="36" s="1"/>
  <c r="E146" i="36" s="1"/>
  <c r="F146" i="36" s="1"/>
  <c r="G146" i="36" s="1"/>
  <c r="H146" i="36" s="1"/>
  <c r="K145" i="36"/>
  <c r="L145" i="36" s="1"/>
  <c r="M145" i="36" s="1"/>
  <c r="N145" i="36" s="1"/>
  <c r="O145" i="36" s="1"/>
  <c r="P145" i="36" s="1"/>
  <c r="Q145" i="36" s="1"/>
  <c r="R145" i="36" s="1"/>
  <c r="S145" i="36" s="1"/>
  <c r="T145" i="36" s="1"/>
  <c r="U145" i="36" s="1"/>
  <c r="V145" i="36" s="1"/>
  <c r="W145" i="36" s="1"/>
  <c r="X145" i="36" s="1"/>
  <c r="Y145" i="36" s="1"/>
  <c r="Z145" i="36" s="1"/>
  <c r="AA145" i="36" s="1"/>
  <c r="AB145" i="36" s="1"/>
  <c r="AC145" i="36" s="1"/>
  <c r="AD145" i="36" s="1"/>
  <c r="AE145" i="36" s="1"/>
  <c r="AF145" i="36" s="1"/>
  <c r="I145" i="36"/>
  <c r="J145" i="36" s="1"/>
  <c r="D145" i="36"/>
  <c r="E145" i="36" s="1"/>
  <c r="F145" i="36" s="1"/>
  <c r="G145" i="36" s="1"/>
  <c r="H145" i="36" s="1"/>
  <c r="C145" i="36"/>
  <c r="Q143" i="36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I143" i="36"/>
  <c r="J143" i="36" s="1"/>
  <c r="K143" i="36" s="1"/>
  <c r="L143" i="36" s="1"/>
  <c r="M143" i="36" s="1"/>
  <c r="N143" i="36" s="1"/>
  <c r="O143" i="36" s="1"/>
  <c r="P143" i="36" s="1"/>
  <c r="D143" i="36"/>
  <c r="E143" i="36" s="1"/>
  <c r="F143" i="36" s="1"/>
  <c r="G143" i="36" s="1"/>
  <c r="H143" i="36" s="1"/>
  <c r="C143" i="36"/>
  <c r="K142" i="36"/>
  <c r="L142" i="36" s="1"/>
  <c r="M142" i="36" s="1"/>
  <c r="N142" i="36" s="1"/>
  <c r="O142" i="36" s="1"/>
  <c r="P142" i="36" s="1"/>
  <c r="Q142" i="36" s="1"/>
  <c r="R142" i="36" s="1"/>
  <c r="S142" i="36" s="1"/>
  <c r="T142" i="36" s="1"/>
  <c r="U142" i="36" s="1"/>
  <c r="V142" i="36" s="1"/>
  <c r="W142" i="36" s="1"/>
  <c r="X142" i="36" s="1"/>
  <c r="Y142" i="36" s="1"/>
  <c r="Z142" i="36" s="1"/>
  <c r="AA142" i="36" s="1"/>
  <c r="AB142" i="36" s="1"/>
  <c r="AC142" i="36" s="1"/>
  <c r="AD142" i="36" s="1"/>
  <c r="AE142" i="36" s="1"/>
  <c r="AF142" i="36" s="1"/>
  <c r="J142" i="36"/>
  <c r="H142" i="36"/>
  <c r="I142" i="36" s="1"/>
  <c r="C142" i="36"/>
  <c r="D142" i="36" s="1"/>
  <c r="E142" i="36" s="1"/>
  <c r="F142" i="36" s="1"/>
  <c r="G142" i="36" s="1"/>
  <c r="U141" i="36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F141" i="36"/>
  <c r="G141" i="36" s="1"/>
  <c r="H141" i="36" s="1"/>
  <c r="I141" i="36" s="1"/>
  <c r="J141" i="36" s="1"/>
  <c r="K141" i="36" s="1"/>
  <c r="L141" i="36" s="1"/>
  <c r="M141" i="36" s="1"/>
  <c r="N141" i="36" s="1"/>
  <c r="O141" i="36" s="1"/>
  <c r="P141" i="36" s="1"/>
  <c r="Q141" i="36" s="1"/>
  <c r="R141" i="36" s="1"/>
  <c r="S141" i="36" s="1"/>
  <c r="T141" i="36" s="1"/>
  <c r="E141" i="36"/>
  <c r="C141" i="36"/>
  <c r="D141" i="36" s="1"/>
  <c r="D140" i="36"/>
  <c r="E140" i="36" s="1"/>
  <c r="F140" i="36" s="1"/>
  <c r="G140" i="36" s="1"/>
  <c r="H140" i="36" s="1"/>
  <c r="I140" i="36" s="1"/>
  <c r="J140" i="36" s="1"/>
  <c r="K140" i="36" s="1"/>
  <c r="L140" i="36" s="1"/>
  <c r="M140" i="36" s="1"/>
  <c r="N140" i="36" s="1"/>
  <c r="O140" i="36" s="1"/>
  <c r="P140" i="36" s="1"/>
  <c r="Q140" i="36" s="1"/>
  <c r="R140" i="36" s="1"/>
  <c r="S140" i="36" s="1"/>
  <c r="T140" i="36" s="1"/>
  <c r="U140" i="36" s="1"/>
  <c r="V140" i="36" s="1"/>
  <c r="W140" i="36" s="1"/>
  <c r="X140" i="36" s="1"/>
  <c r="Y140" i="36" s="1"/>
  <c r="Z140" i="36" s="1"/>
  <c r="AA140" i="36" s="1"/>
  <c r="AB140" i="36" s="1"/>
  <c r="AC140" i="36" s="1"/>
  <c r="AD140" i="36" s="1"/>
  <c r="AE140" i="36" s="1"/>
  <c r="AF140" i="36" s="1"/>
  <c r="C140" i="36"/>
  <c r="F139" i="36"/>
  <c r="G139" i="36" s="1"/>
  <c r="H139" i="36" s="1"/>
  <c r="I139" i="36" s="1"/>
  <c r="J139" i="36" s="1"/>
  <c r="K139" i="36" s="1"/>
  <c r="L139" i="36" s="1"/>
  <c r="M139" i="36" s="1"/>
  <c r="N139" i="36" s="1"/>
  <c r="O139" i="36" s="1"/>
  <c r="P139" i="36" s="1"/>
  <c r="Q139" i="36" s="1"/>
  <c r="R139" i="36" s="1"/>
  <c r="S139" i="36" s="1"/>
  <c r="T139" i="36" s="1"/>
  <c r="U139" i="36" s="1"/>
  <c r="V139" i="36" s="1"/>
  <c r="W139" i="36" s="1"/>
  <c r="X139" i="36" s="1"/>
  <c r="Y139" i="36" s="1"/>
  <c r="Z139" i="36" s="1"/>
  <c r="AA139" i="36" s="1"/>
  <c r="AB139" i="36" s="1"/>
  <c r="AC139" i="36" s="1"/>
  <c r="AD139" i="36" s="1"/>
  <c r="AE139" i="36" s="1"/>
  <c r="AF139" i="36" s="1"/>
  <c r="D139" i="36"/>
  <c r="E139" i="36" s="1"/>
  <c r="C139" i="36"/>
  <c r="C138" i="36"/>
  <c r="D138" i="36" s="1"/>
  <c r="E138" i="36" s="1"/>
  <c r="F138" i="36" s="1"/>
  <c r="G138" i="36" s="1"/>
  <c r="H138" i="36" s="1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U138" i="36" s="1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S137" i="36"/>
  <c r="T137" i="36" s="1"/>
  <c r="U137" i="36" s="1"/>
  <c r="V137" i="36" s="1"/>
  <c r="W137" i="36" s="1"/>
  <c r="X137" i="36" s="1"/>
  <c r="Y137" i="36" s="1"/>
  <c r="Z137" i="36" s="1"/>
  <c r="AA137" i="36" s="1"/>
  <c r="AB137" i="36" s="1"/>
  <c r="AC137" i="36" s="1"/>
  <c r="AD137" i="36" s="1"/>
  <c r="AE137" i="36" s="1"/>
  <c r="AF137" i="36" s="1"/>
  <c r="I137" i="36"/>
  <c r="J137" i="36" s="1"/>
  <c r="K137" i="36" s="1"/>
  <c r="L137" i="36" s="1"/>
  <c r="M137" i="36" s="1"/>
  <c r="N137" i="36" s="1"/>
  <c r="O137" i="36" s="1"/>
  <c r="P137" i="36" s="1"/>
  <c r="Q137" i="36" s="1"/>
  <c r="R137" i="36" s="1"/>
  <c r="H137" i="36"/>
  <c r="C137" i="36"/>
  <c r="D137" i="36" s="1"/>
  <c r="E137" i="36" s="1"/>
  <c r="F137" i="36" s="1"/>
  <c r="G137" i="36" s="1"/>
  <c r="C135" i="36"/>
  <c r="D135" i="36" s="1"/>
  <c r="E135" i="36" s="1"/>
  <c r="F135" i="36" s="1"/>
  <c r="G135" i="36" s="1"/>
  <c r="H135" i="36" s="1"/>
  <c r="I135" i="36" s="1"/>
  <c r="J135" i="36" s="1"/>
  <c r="K135" i="36" s="1"/>
  <c r="L135" i="36" s="1"/>
  <c r="M135" i="36" s="1"/>
  <c r="N135" i="36" s="1"/>
  <c r="O135" i="36" s="1"/>
  <c r="P135" i="36" s="1"/>
  <c r="Q135" i="36" s="1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H134" i="36"/>
  <c r="I134" i="36" s="1"/>
  <c r="J134" i="36" s="1"/>
  <c r="K134" i="36" s="1"/>
  <c r="L134" i="36" s="1"/>
  <c r="M134" i="36" s="1"/>
  <c r="N134" i="36" s="1"/>
  <c r="O134" i="36" s="1"/>
  <c r="P134" i="36" s="1"/>
  <c r="Q134" i="36" s="1"/>
  <c r="R134" i="36" s="1"/>
  <c r="S134" i="36" s="1"/>
  <c r="T134" i="36" s="1"/>
  <c r="U134" i="36" s="1"/>
  <c r="V134" i="36" s="1"/>
  <c r="W134" i="36" s="1"/>
  <c r="X134" i="36" s="1"/>
  <c r="Y134" i="36" s="1"/>
  <c r="Z134" i="36" s="1"/>
  <c r="AA134" i="36" s="1"/>
  <c r="AB134" i="36" s="1"/>
  <c r="AC134" i="36" s="1"/>
  <c r="AD134" i="36" s="1"/>
  <c r="AE134" i="36" s="1"/>
  <c r="AF134" i="36" s="1"/>
  <c r="C134" i="36"/>
  <c r="D134" i="36" s="1"/>
  <c r="E134" i="36" s="1"/>
  <c r="F134" i="36" s="1"/>
  <c r="G134" i="36" s="1"/>
  <c r="C133" i="36"/>
  <c r="D133" i="36" s="1"/>
  <c r="E133" i="36" s="1"/>
  <c r="F133" i="36" s="1"/>
  <c r="G133" i="36" s="1"/>
  <c r="H133" i="36" s="1"/>
  <c r="I133" i="36" s="1"/>
  <c r="J133" i="36" s="1"/>
  <c r="K133" i="36" s="1"/>
  <c r="L133" i="36" s="1"/>
  <c r="M133" i="36" s="1"/>
  <c r="N133" i="36" s="1"/>
  <c r="O133" i="36" s="1"/>
  <c r="P133" i="36" s="1"/>
  <c r="Q133" i="36" s="1"/>
  <c r="R133" i="36" s="1"/>
  <c r="S133" i="36" s="1"/>
  <c r="T133" i="36" s="1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D132" i="36"/>
  <c r="E132" i="36" s="1"/>
  <c r="F132" i="36" s="1"/>
  <c r="G132" i="36" s="1"/>
  <c r="H132" i="36" s="1"/>
  <c r="I132" i="36" s="1"/>
  <c r="J132" i="36" s="1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C132" i="36"/>
  <c r="C131" i="36"/>
  <c r="D131" i="36" s="1"/>
  <c r="E131" i="36" s="1"/>
  <c r="F131" i="36" s="1"/>
  <c r="G131" i="36" s="1"/>
  <c r="H131" i="36" s="1"/>
  <c r="I131" i="36" s="1"/>
  <c r="J131" i="36" s="1"/>
  <c r="K131" i="36" s="1"/>
  <c r="L131" i="36" s="1"/>
  <c r="M131" i="36" s="1"/>
  <c r="N131" i="36" s="1"/>
  <c r="O131" i="36" s="1"/>
  <c r="P131" i="36" s="1"/>
  <c r="Q131" i="36" s="1"/>
  <c r="R131" i="36" s="1"/>
  <c r="S131" i="36" s="1"/>
  <c r="T131" i="36" s="1"/>
  <c r="U131" i="36" s="1"/>
  <c r="V131" i="36" s="1"/>
  <c r="W131" i="36" s="1"/>
  <c r="X131" i="36" s="1"/>
  <c r="Y131" i="36" s="1"/>
  <c r="Z131" i="36" s="1"/>
  <c r="AA131" i="36" s="1"/>
  <c r="AB131" i="36" s="1"/>
  <c r="AC131" i="36" s="1"/>
  <c r="AD131" i="36" s="1"/>
  <c r="AE131" i="36" s="1"/>
  <c r="AF131" i="36" s="1"/>
  <c r="J130" i="36"/>
  <c r="K130" i="36" s="1"/>
  <c r="L130" i="36" s="1"/>
  <c r="M130" i="36" s="1"/>
  <c r="N130" i="36" s="1"/>
  <c r="O130" i="36" s="1"/>
  <c r="P130" i="36" s="1"/>
  <c r="Q130" i="36" s="1"/>
  <c r="R130" i="36" s="1"/>
  <c r="S130" i="36" s="1"/>
  <c r="T130" i="36" s="1"/>
  <c r="U130" i="36" s="1"/>
  <c r="V130" i="36" s="1"/>
  <c r="W130" i="36" s="1"/>
  <c r="X130" i="36" s="1"/>
  <c r="Y130" i="36" s="1"/>
  <c r="Z130" i="36" s="1"/>
  <c r="AA130" i="36" s="1"/>
  <c r="AB130" i="36" s="1"/>
  <c r="AC130" i="36" s="1"/>
  <c r="AD130" i="36" s="1"/>
  <c r="AE130" i="36" s="1"/>
  <c r="AF130" i="36" s="1"/>
  <c r="E130" i="36"/>
  <c r="F130" i="36" s="1"/>
  <c r="G130" i="36" s="1"/>
  <c r="H130" i="36" s="1"/>
  <c r="I130" i="36" s="1"/>
  <c r="C130" i="36"/>
  <c r="D130" i="36" s="1"/>
  <c r="P129" i="36"/>
  <c r="Q129" i="36" s="1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N129" i="36"/>
  <c r="O129" i="36" s="1"/>
  <c r="C129" i="36"/>
  <c r="D129" i="36" s="1"/>
  <c r="E129" i="36" s="1"/>
  <c r="F129" i="36" s="1"/>
  <c r="G129" i="36" s="1"/>
  <c r="H129" i="36" s="1"/>
  <c r="I129" i="36" s="1"/>
  <c r="J129" i="36" s="1"/>
  <c r="K129" i="36" s="1"/>
  <c r="L129" i="36" s="1"/>
  <c r="M129" i="36" s="1"/>
  <c r="E128" i="36"/>
  <c r="F128" i="36" s="1"/>
  <c r="G128" i="36" s="1"/>
  <c r="H128" i="36" s="1"/>
  <c r="I128" i="36" s="1"/>
  <c r="J128" i="36" s="1"/>
  <c r="K128" i="36" s="1"/>
  <c r="L128" i="36" s="1"/>
  <c r="M128" i="36" s="1"/>
  <c r="N128" i="36" s="1"/>
  <c r="O128" i="36" s="1"/>
  <c r="P128" i="36" s="1"/>
  <c r="Q128" i="36" s="1"/>
  <c r="R128" i="36" s="1"/>
  <c r="S128" i="36" s="1"/>
  <c r="T128" i="36" s="1"/>
  <c r="U128" i="36" s="1"/>
  <c r="V128" i="36" s="1"/>
  <c r="W128" i="36" s="1"/>
  <c r="X128" i="36" s="1"/>
  <c r="Y128" i="36" s="1"/>
  <c r="Z128" i="36" s="1"/>
  <c r="AA128" i="36" s="1"/>
  <c r="AB128" i="36" s="1"/>
  <c r="AC128" i="36" s="1"/>
  <c r="AD128" i="36" s="1"/>
  <c r="AE128" i="36" s="1"/>
  <c r="AF128" i="36" s="1"/>
  <c r="D128" i="36"/>
  <c r="C128" i="36"/>
  <c r="D126" i="36"/>
  <c r="E126" i="36" s="1"/>
  <c r="F126" i="36" s="1"/>
  <c r="G126" i="36" s="1"/>
  <c r="H126" i="36" s="1"/>
  <c r="I126" i="36" s="1"/>
  <c r="J126" i="36" s="1"/>
  <c r="K126" i="36" s="1"/>
  <c r="L126" i="36" s="1"/>
  <c r="M126" i="36" s="1"/>
  <c r="N126" i="36" s="1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C126" i="36"/>
  <c r="G125" i="36"/>
  <c r="H125" i="36" s="1"/>
  <c r="I125" i="36" s="1"/>
  <c r="J125" i="36" s="1"/>
  <c r="K125" i="36" s="1"/>
  <c r="L125" i="36" s="1"/>
  <c r="M125" i="36" s="1"/>
  <c r="N125" i="36" s="1"/>
  <c r="O125" i="36" s="1"/>
  <c r="P125" i="36" s="1"/>
  <c r="Q125" i="36" s="1"/>
  <c r="R125" i="36" s="1"/>
  <c r="S125" i="36" s="1"/>
  <c r="T125" i="36" s="1"/>
  <c r="U125" i="36" s="1"/>
  <c r="V125" i="36" s="1"/>
  <c r="W125" i="36" s="1"/>
  <c r="X125" i="36" s="1"/>
  <c r="Y125" i="36" s="1"/>
  <c r="Z125" i="36" s="1"/>
  <c r="AA125" i="36" s="1"/>
  <c r="AB125" i="36" s="1"/>
  <c r="AC125" i="36" s="1"/>
  <c r="AD125" i="36" s="1"/>
  <c r="AE125" i="36" s="1"/>
  <c r="AF125" i="36" s="1"/>
  <c r="C125" i="36"/>
  <c r="D125" i="36" s="1"/>
  <c r="E125" i="36" s="1"/>
  <c r="F125" i="36" s="1"/>
  <c r="E124" i="36"/>
  <c r="F124" i="36" s="1"/>
  <c r="G124" i="36" s="1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C124" i="36"/>
  <c r="D124" i="36" s="1"/>
  <c r="L123" i="36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D123" i="36"/>
  <c r="E123" i="36" s="1"/>
  <c r="F123" i="36" s="1"/>
  <c r="G123" i="36" s="1"/>
  <c r="H123" i="36" s="1"/>
  <c r="I123" i="36" s="1"/>
  <c r="J123" i="36" s="1"/>
  <c r="K123" i="36" s="1"/>
  <c r="C123" i="36"/>
  <c r="D122" i="36"/>
  <c r="E122" i="36" s="1"/>
  <c r="F122" i="36" s="1"/>
  <c r="G122" i="36" s="1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C122" i="36"/>
  <c r="E121" i="36"/>
  <c r="F121" i="36" s="1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C121" i="36"/>
  <c r="D121" i="36" s="1"/>
  <c r="C120" i="36"/>
  <c r="D120" i="36" s="1"/>
  <c r="E120" i="36" s="1"/>
  <c r="F120" i="36" s="1"/>
  <c r="G120" i="36" s="1"/>
  <c r="H120" i="36" s="1"/>
  <c r="I120" i="36" s="1"/>
  <c r="J120" i="36" s="1"/>
  <c r="K120" i="36" s="1"/>
  <c r="L120" i="36" s="1"/>
  <c r="M120" i="36" s="1"/>
  <c r="N120" i="36" s="1"/>
  <c r="O120" i="36" s="1"/>
  <c r="P120" i="36" s="1"/>
  <c r="Q120" i="36" s="1"/>
  <c r="R120" i="36" s="1"/>
  <c r="S120" i="36" s="1"/>
  <c r="T120" i="36" s="1"/>
  <c r="U120" i="36" s="1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C119" i="36"/>
  <c r="D119" i="36" s="1"/>
  <c r="E119" i="36" s="1"/>
  <c r="F119" i="36" s="1"/>
  <c r="G119" i="36" s="1"/>
  <c r="H119" i="36" s="1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E118" i="36"/>
  <c r="F118" i="36" s="1"/>
  <c r="G118" i="36" s="1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C118" i="36"/>
  <c r="D118" i="36" s="1"/>
  <c r="H117" i="36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F117" i="36"/>
  <c r="G117" i="36" s="1"/>
  <c r="E117" i="36"/>
  <c r="C117" i="36"/>
  <c r="D117" i="36" s="1"/>
  <c r="D116" i="36"/>
  <c r="E116" i="36" s="1"/>
  <c r="F116" i="36" s="1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C116" i="36"/>
  <c r="D115" i="36"/>
  <c r="E115" i="36" s="1"/>
  <c r="F115" i="36" s="1"/>
  <c r="G115" i="36" s="1"/>
  <c r="H115" i="36" s="1"/>
  <c r="I115" i="36" s="1"/>
  <c r="J115" i="36" s="1"/>
  <c r="K115" i="36" s="1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C115" i="36"/>
  <c r="F114" i="36"/>
  <c r="G114" i="36" s="1"/>
  <c r="H114" i="36" s="1"/>
  <c r="I114" i="36" s="1"/>
  <c r="J114" i="36" s="1"/>
  <c r="K114" i="36" s="1"/>
  <c r="L114" i="36" s="1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C114" i="36"/>
  <c r="D114" i="36" s="1"/>
  <c r="E114" i="36" s="1"/>
  <c r="F113" i="36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D113" i="36"/>
  <c r="E113" i="36" s="1"/>
  <c r="C113" i="36"/>
  <c r="J112" i="36"/>
  <c r="K112" i="36" s="1"/>
  <c r="L112" i="36" s="1"/>
  <c r="M112" i="36" s="1"/>
  <c r="N112" i="36" s="1"/>
  <c r="O112" i="36" s="1"/>
  <c r="P112" i="36" s="1"/>
  <c r="Q112" i="36" s="1"/>
  <c r="R112" i="36" s="1"/>
  <c r="S112" i="36" s="1"/>
  <c r="T112" i="36" s="1"/>
  <c r="U112" i="36" s="1"/>
  <c r="V112" i="36" s="1"/>
  <c r="W112" i="36" s="1"/>
  <c r="X112" i="36" s="1"/>
  <c r="Y112" i="36" s="1"/>
  <c r="Z112" i="36" s="1"/>
  <c r="AA112" i="36" s="1"/>
  <c r="AB112" i="36" s="1"/>
  <c r="AC112" i="36" s="1"/>
  <c r="AD112" i="36" s="1"/>
  <c r="AE112" i="36" s="1"/>
  <c r="AF112" i="36" s="1"/>
  <c r="D112" i="36"/>
  <c r="E112" i="36" s="1"/>
  <c r="F112" i="36" s="1"/>
  <c r="G112" i="36" s="1"/>
  <c r="H112" i="36" s="1"/>
  <c r="I112" i="36" s="1"/>
  <c r="C112" i="36"/>
  <c r="J111" i="36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C111" i="36"/>
  <c r="D111" i="36" s="1"/>
  <c r="E111" i="36" s="1"/>
  <c r="F111" i="36" s="1"/>
  <c r="G111" i="36" s="1"/>
  <c r="H111" i="36" s="1"/>
  <c r="E110" i="36"/>
  <c r="F110" i="36" s="1"/>
  <c r="G110" i="36" s="1"/>
  <c r="H110" i="36" s="1"/>
  <c r="I110" i="36" s="1"/>
  <c r="J110" i="36" s="1"/>
  <c r="K110" i="36" s="1"/>
  <c r="L110" i="36" s="1"/>
  <c r="M110" i="36" s="1"/>
  <c r="N110" i="36" s="1"/>
  <c r="O110" i="36" s="1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D110" i="36"/>
  <c r="C110" i="36"/>
  <c r="E109" i="36"/>
  <c r="F109" i="36" s="1"/>
  <c r="G109" i="36" s="1"/>
  <c r="H109" i="36" s="1"/>
  <c r="I109" i="36" s="1"/>
  <c r="J109" i="36" s="1"/>
  <c r="K109" i="36" s="1"/>
  <c r="L109" i="36" s="1"/>
  <c r="M109" i="36" s="1"/>
  <c r="N109" i="36" s="1"/>
  <c r="O109" i="36" s="1"/>
  <c r="P109" i="36" s="1"/>
  <c r="Q109" i="36" s="1"/>
  <c r="R109" i="36" s="1"/>
  <c r="S109" i="36" s="1"/>
  <c r="T109" i="36" s="1"/>
  <c r="U109" i="36" s="1"/>
  <c r="V109" i="36" s="1"/>
  <c r="W109" i="36" s="1"/>
  <c r="X109" i="36" s="1"/>
  <c r="Y109" i="36" s="1"/>
  <c r="Z109" i="36" s="1"/>
  <c r="AA109" i="36" s="1"/>
  <c r="AB109" i="36" s="1"/>
  <c r="AC109" i="36" s="1"/>
  <c r="AD109" i="36" s="1"/>
  <c r="AE109" i="36" s="1"/>
  <c r="AF109" i="36" s="1"/>
  <c r="C109" i="36"/>
  <c r="D109" i="36" s="1"/>
  <c r="C107" i="36"/>
  <c r="D107" i="36" s="1"/>
  <c r="E107" i="36" s="1"/>
  <c r="F107" i="36" s="1"/>
  <c r="G107" i="36" s="1"/>
  <c r="H107" i="36" s="1"/>
  <c r="I107" i="36" s="1"/>
  <c r="J107" i="36" s="1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C106" i="36"/>
  <c r="G104" i="36"/>
  <c r="H104" i="36" s="1"/>
  <c r="I104" i="36" s="1"/>
  <c r="J104" i="36" s="1"/>
  <c r="K104" i="36" s="1"/>
  <c r="L104" i="36" s="1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E104" i="36"/>
  <c r="F104" i="36" s="1"/>
  <c r="D104" i="36"/>
  <c r="C104" i="36"/>
  <c r="C103" i="36"/>
  <c r="D103" i="36" s="1"/>
  <c r="E103" i="36" s="1"/>
  <c r="F103" i="36" s="1"/>
  <c r="G103" i="36" s="1"/>
  <c r="H103" i="36" s="1"/>
  <c r="I103" i="36" s="1"/>
  <c r="J103" i="36" s="1"/>
  <c r="K103" i="36" s="1"/>
  <c r="L103" i="36" s="1"/>
  <c r="M103" i="36" s="1"/>
  <c r="N103" i="36" s="1"/>
  <c r="O103" i="36" s="1"/>
  <c r="P103" i="36" s="1"/>
  <c r="Q103" i="36" s="1"/>
  <c r="R103" i="36" s="1"/>
  <c r="S103" i="36" s="1"/>
  <c r="T103" i="36" s="1"/>
  <c r="U103" i="36" s="1"/>
  <c r="V103" i="36" s="1"/>
  <c r="W103" i="36" s="1"/>
  <c r="X103" i="36" s="1"/>
  <c r="Y103" i="36" s="1"/>
  <c r="Z103" i="36" s="1"/>
  <c r="AA103" i="36" s="1"/>
  <c r="AB103" i="36" s="1"/>
  <c r="AC103" i="36" s="1"/>
  <c r="AD103" i="36" s="1"/>
  <c r="AE103" i="36" s="1"/>
  <c r="AF103" i="36" s="1"/>
  <c r="I102" i="36"/>
  <c r="J102" i="36" s="1"/>
  <c r="K102" i="36" s="1"/>
  <c r="L102" i="36" s="1"/>
  <c r="M102" i="36" s="1"/>
  <c r="N102" i="36" s="1"/>
  <c r="O102" i="36" s="1"/>
  <c r="P102" i="36" s="1"/>
  <c r="Q102" i="36" s="1"/>
  <c r="R102" i="36" s="1"/>
  <c r="S102" i="36" s="1"/>
  <c r="T102" i="36" s="1"/>
  <c r="U102" i="36" s="1"/>
  <c r="V102" i="36" s="1"/>
  <c r="W102" i="36" s="1"/>
  <c r="X102" i="36" s="1"/>
  <c r="Y102" i="36" s="1"/>
  <c r="Z102" i="36" s="1"/>
  <c r="AA102" i="36" s="1"/>
  <c r="AB102" i="36" s="1"/>
  <c r="AC102" i="36" s="1"/>
  <c r="AD102" i="36" s="1"/>
  <c r="AE102" i="36" s="1"/>
  <c r="AF102" i="36" s="1"/>
  <c r="E102" i="36"/>
  <c r="F102" i="36" s="1"/>
  <c r="G102" i="36" s="1"/>
  <c r="H102" i="36" s="1"/>
  <c r="C102" i="36"/>
  <c r="D102" i="36" s="1"/>
  <c r="C101" i="36"/>
  <c r="D101" i="36" s="1"/>
  <c r="E101" i="36" s="1"/>
  <c r="F101" i="36" s="1"/>
  <c r="G101" i="36" s="1"/>
  <c r="H101" i="36" s="1"/>
  <c r="I101" i="36" s="1"/>
  <c r="J101" i="36" s="1"/>
  <c r="K101" i="36" s="1"/>
  <c r="L101" i="36" s="1"/>
  <c r="M101" i="36" s="1"/>
  <c r="N101" i="36" s="1"/>
  <c r="O101" i="36" s="1"/>
  <c r="P101" i="36" s="1"/>
  <c r="Q101" i="36" s="1"/>
  <c r="R101" i="36" s="1"/>
  <c r="S101" i="36" s="1"/>
  <c r="T101" i="36" s="1"/>
  <c r="U101" i="36" s="1"/>
  <c r="V101" i="36" s="1"/>
  <c r="W101" i="36" s="1"/>
  <c r="X101" i="36" s="1"/>
  <c r="Y101" i="36" s="1"/>
  <c r="Z101" i="36" s="1"/>
  <c r="AA101" i="36" s="1"/>
  <c r="AB101" i="36" s="1"/>
  <c r="AC101" i="36" s="1"/>
  <c r="AD101" i="36" s="1"/>
  <c r="AE101" i="36" s="1"/>
  <c r="AF101" i="36" s="1"/>
  <c r="E100" i="36"/>
  <c r="F100" i="36" s="1"/>
  <c r="D100" i="36"/>
  <c r="C100" i="36"/>
  <c r="C99" i="36"/>
  <c r="AH96" i="36"/>
  <c r="AI96" i="36" s="1"/>
  <c r="AH95" i="36"/>
  <c r="AI95" i="36" s="1"/>
  <c r="AH94" i="36"/>
  <c r="AI94" i="36" s="1"/>
  <c r="AH93" i="36"/>
  <c r="AI93" i="36" s="1"/>
  <c r="AH92" i="36"/>
  <c r="AI92" i="36" s="1"/>
  <c r="B91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I82" i="36"/>
  <c r="AH82" i="36"/>
  <c r="AG80" i="36"/>
  <c r="AI79" i="36"/>
  <c r="AH79" i="36"/>
  <c r="AF78" i="36"/>
  <c r="AE78" i="36"/>
  <c r="AD78" i="36"/>
  <c r="AC78" i="36"/>
  <c r="AB78" i="36"/>
  <c r="AA78" i="36"/>
  <c r="Z78" i="36"/>
  <c r="Y78" i="36"/>
  <c r="X78" i="36"/>
  <c r="W78" i="36"/>
  <c r="V78" i="36"/>
  <c r="U78" i="36"/>
  <c r="T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B78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B77" i="36"/>
  <c r="AF76" i="36"/>
  <c r="AE76" i="36"/>
  <c r="AD76" i="36"/>
  <c r="AC76" i="36"/>
  <c r="AB76" i="36"/>
  <c r="AA76" i="36"/>
  <c r="Z76" i="36"/>
  <c r="Y76" i="36"/>
  <c r="X76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B76" i="36"/>
  <c r="AF75" i="36"/>
  <c r="AE75" i="36"/>
  <c r="AD75" i="36"/>
  <c r="AC75" i="36"/>
  <c r="AB75" i="36"/>
  <c r="AA75" i="36"/>
  <c r="Z75" i="36"/>
  <c r="Y75" i="36"/>
  <c r="X75" i="36"/>
  <c r="W75" i="36"/>
  <c r="V75" i="36"/>
  <c r="U75" i="36"/>
  <c r="T75" i="36"/>
  <c r="S75" i="36"/>
  <c r="S80" i="36" s="1"/>
  <c r="R75" i="36"/>
  <c r="Q75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B75" i="36"/>
  <c r="AF74" i="36"/>
  <c r="AE74" i="36"/>
  <c r="AD74" i="36"/>
  <c r="AD80" i="36" s="1"/>
  <c r="AC74" i="36"/>
  <c r="AB74" i="36"/>
  <c r="AA74" i="36"/>
  <c r="Z74" i="36"/>
  <c r="Y74" i="36"/>
  <c r="Y80" i="36" s="1"/>
  <c r="X74" i="36"/>
  <c r="X80" i="36" s="1"/>
  <c r="W74" i="36"/>
  <c r="V74" i="36"/>
  <c r="U74" i="36"/>
  <c r="T74" i="36"/>
  <c r="S74" i="36"/>
  <c r="R74" i="36"/>
  <c r="R80" i="36" s="1"/>
  <c r="Q74" i="36"/>
  <c r="P74" i="36"/>
  <c r="O74" i="36"/>
  <c r="N74" i="36"/>
  <c r="M74" i="36"/>
  <c r="L74" i="36"/>
  <c r="K74" i="36"/>
  <c r="J74" i="36"/>
  <c r="I74" i="36"/>
  <c r="H74" i="36"/>
  <c r="H80" i="36" s="1"/>
  <c r="G74" i="36"/>
  <c r="G80" i="36" s="1"/>
  <c r="F74" i="36"/>
  <c r="E74" i="36"/>
  <c r="D74" i="36"/>
  <c r="C74" i="36"/>
  <c r="B74" i="36"/>
  <c r="AI72" i="36"/>
  <c r="AH72" i="36"/>
  <c r="AG70" i="36"/>
  <c r="AF70" i="36"/>
  <c r="AE70" i="36"/>
  <c r="AD70" i="36"/>
  <c r="AC70" i="36"/>
  <c r="AB70" i="36"/>
  <c r="AA70" i="36"/>
  <c r="Z70" i="36"/>
  <c r="Y70" i="36"/>
  <c r="X70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B70" i="36"/>
  <c r="AI69" i="36"/>
  <c r="AH69" i="36"/>
  <c r="AI68" i="36"/>
  <c r="AH68" i="36"/>
  <c r="AI67" i="36"/>
  <c r="AH67" i="36"/>
  <c r="AG66" i="36"/>
  <c r="AF66" i="36"/>
  <c r="AE66" i="36"/>
  <c r="AE5" i="36" s="1"/>
  <c r="AD66" i="36"/>
  <c r="AD5" i="36" s="1"/>
  <c r="AC66" i="36"/>
  <c r="AB66" i="36"/>
  <c r="AA66" i="36"/>
  <c r="Z66" i="36"/>
  <c r="Z5" i="36" s="1"/>
  <c r="Y66" i="36"/>
  <c r="X66" i="36"/>
  <c r="W66" i="36"/>
  <c r="V66" i="36"/>
  <c r="V5" i="36" s="1"/>
  <c r="U66" i="36"/>
  <c r="T66" i="36"/>
  <c r="S66" i="36"/>
  <c r="S5" i="36" s="1"/>
  <c r="R66" i="36"/>
  <c r="R5" i="36" s="1"/>
  <c r="Q66" i="36"/>
  <c r="P66" i="36"/>
  <c r="P5" i="36" s="1"/>
  <c r="O66" i="36"/>
  <c r="N66" i="36"/>
  <c r="N5" i="36" s="1"/>
  <c r="M66" i="36"/>
  <c r="M5" i="36" s="1"/>
  <c r="L66" i="36"/>
  <c r="L5" i="36" s="1"/>
  <c r="K66" i="36"/>
  <c r="K5" i="36" s="1"/>
  <c r="J66" i="36"/>
  <c r="J5" i="36" s="1"/>
  <c r="I66" i="36"/>
  <c r="H66" i="36"/>
  <c r="H71" i="36" s="1"/>
  <c r="G66" i="36"/>
  <c r="F66" i="36"/>
  <c r="F5" i="36" s="1"/>
  <c r="E66" i="36"/>
  <c r="E5" i="36" s="1"/>
  <c r="D66" i="36"/>
  <c r="C66" i="36"/>
  <c r="C5" i="36" s="1"/>
  <c r="B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AI53" i="36"/>
  <c r="AH53" i="36"/>
  <c r="AI52" i="36"/>
  <c r="AH52" i="36"/>
  <c r="AI51" i="36"/>
  <c r="AH51" i="36"/>
  <c r="Y50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B50" i="36"/>
  <c r="AG49" i="36"/>
  <c r="AG50" i="36" s="1"/>
  <c r="AG3" i="36" s="1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G36" i="36"/>
  <c r="AG2" i="36" s="1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F36" i="36"/>
  <c r="E36" i="36"/>
  <c r="D36" i="36"/>
  <c r="C36" i="36"/>
  <c r="B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C5" i="36"/>
  <c r="AB5" i="36"/>
  <c r="AA5" i="36"/>
  <c r="Y5" i="36"/>
  <c r="W5" i="36"/>
  <c r="U5" i="36"/>
  <c r="T5" i="36"/>
  <c r="Q5" i="36"/>
  <c r="O5" i="36"/>
  <c r="I5" i="36"/>
  <c r="G5" i="36"/>
  <c r="AG4" i="36"/>
  <c r="K4" i="36"/>
  <c r="B4" i="36"/>
  <c r="Z35" i="35"/>
  <c r="Y35" i="35"/>
  <c r="W35" i="35"/>
  <c r="V35" i="35"/>
  <c r="U35" i="35"/>
  <c r="AJ44" i="35"/>
  <c r="AJ43" i="35"/>
  <c r="AJ42" i="35"/>
  <c r="T35" i="35"/>
  <c r="AM50" i="35"/>
  <c r="AJ41" i="35"/>
  <c r="AJ40" i="35"/>
  <c r="E4" i="36"/>
  <c r="AF80" i="36" l="1"/>
  <c r="AE80" i="36"/>
  <c r="AC80" i="36"/>
  <c r="AB80" i="36"/>
  <c r="AA80" i="36"/>
  <c r="Z80" i="36"/>
  <c r="W80" i="36"/>
  <c r="V80" i="36"/>
  <c r="U80" i="36"/>
  <c r="T80" i="36"/>
  <c r="S73" i="36"/>
  <c r="S7" i="36" s="1"/>
  <c r="R71" i="36"/>
  <c r="R73" i="36"/>
  <c r="R7" i="36" s="1"/>
  <c r="Q80" i="36"/>
  <c r="P80" i="36"/>
  <c r="P71" i="36"/>
  <c r="O80" i="36"/>
  <c r="O71" i="36"/>
  <c r="O73" i="36"/>
  <c r="N80" i="36"/>
  <c r="N73" i="36"/>
  <c r="AF211" i="36" s="1"/>
  <c r="N71" i="36"/>
  <c r="M80" i="36"/>
  <c r="L80" i="36"/>
  <c r="K80" i="36"/>
  <c r="K73" i="36"/>
  <c r="AC211" i="36" s="1"/>
  <c r="J80" i="36"/>
  <c r="AH75" i="36"/>
  <c r="I80" i="36"/>
  <c r="G71" i="36"/>
  <c r="G73" i="36"/>
  <c r="G7" i="36" s="1"/>
  <c r="G81" i="36"/>
  <c r="F73" i="36"/>
  <c r="F7" i="36" s="1"/>
  <c r="F71" i="36"/>
  <c r="AI75" i="36"/>
  <c r="E80" i="36"/>
  <c r="D80" i="36"/>
  <c r="AH54" i="36"/>
  <c r="D73" i="36"/>
  <c r="V211" i="36" s="1"/>
  <c r="AI77" i="36"/>
  <c r="AH77" i="36"/>
  <c r="C73" i="36"/>
  <c r="U211" i="36" s="1"/>
  <c r="AI36" i="36"/>
  <c r="H4" i="36"/>
  <c r="AF5" i="36"/>
  <c r="Y211" i="36"/>
  <c r="AG211" i="36"/>
  <c r="O7" i="36"/>
  <c r="B80" i="36"/>
  <c r="AH74" i="36"/>
  <c r="AH76" i="36"/>
  <c r="AI78" i="36"/>
  <c r="X5" i="36"/>
  <c r="H73" i="36"/>
  <c r="H81" i="36" s="1"/>
  <c r="P73" i="36"/>
  <c r="P81" i="36" s="1"/>
  <c r="C80" i="36"/>
  <c r="E71" i="36"/>
  <c r="E73" i="36"/>
  <c r="M71" i="36"/>
  <c r="M73" i="36"/>
  <c r="H5" i="36"/>
  <c r="AI70" i="36"/>
  <c r="AH70" i="36"/>
  <c r="B5" i="36"/>
  <c r="AI66" i="36"/>
  <c r="F80" i="36"/>
  <c r="K71" i="36"/>
  <c r="K81" i="36" s="1"/>
  <c r="AG73" i="36"/>
  <c r="AG71" i="36"/>
  <c r="AG81" i="36" s="1"/>
  <c r="AH66" i="36"/>
  <c r="B71" i="36"/>
  <c r="AI54" i="36"/>
  <c r="C71" i="36"/>
  <c r="S71" i="36"/>
  <c r="N7" i="36"/>
  <c r="I73" i="36"/>
  <c r="I71" i="36"/>
  <c r="Q73" i="36"/>
  <c r="Q71" i="36"/>
  <c r="Y73" i="36"/>
  <c r="Y71" i="36"/>
  <c r="AG6" i="36"/>
  <c r="D71" i="36"/>
  <c r="L71" i="36"/>
  <c r="J73" i="36"/>
  <c r="G100" i="36"/>
  <c r="D5" i="36"/>
  <c r="AH36" i="36"/>
  <c r="N81" i="36"/>
  <c r="J71" i="36"/>
  <c r="L73" i="36"/>
  <c r="AI74" i="36"/>
  <c r="AI76" i="36"/>
  <c r="C189" i="36"/>
  <c r="D99" i="36"/>
  <c r="C91" i="36"/>
  <c r="D106" i="36"/>
  <c r="S208" i="36"/>
  <c r="D208" i="36"/>
  <c r="AH78" i="36"/>
  <c r="D232" i="36"/>
  <c r="E196" i="36"/>
  <c r="E191" i="36"/>
  <c r="D197" i="36"/>
  <c r="C197" i="36"/>
  <c r="R35" i="35"/>
  <c r="AJ64" i="35"/>
  <c r="AJ63" i="35"/>
  <c r="AJ62" i="35"/>
  <c r="AJ61" i="35"/>
  <c r="Q35" i="35"/>
  <c r="P93" i="35"/>
  <c r="O93" i="35"/>
  <c r="N93" i="35"/>
  <c r="M35" i="35"/>
  <c r="AK36" i="35"/>
  <c r="AJ60" i="35"/>
  <c r="AJ59" i="35"/>
  <c r="AJ58" i="35"/>
  <c r="AJ57" i="35"/>
  <c r="AJ56" i="35"/>
  <c r="AJ39" i="35"/>
  <c r="AJ38" i="35"/>
  <c r="AJ37" i="35"/>
  <c r="AJ11" i="35"/>
  <c r="AL4" i="35" s="1"/>
  <c r="L35" i="35"/>
  <c r="K35" i="35"/>
  <c r="J35" i="35"/>
  <c r="I35" i="35"/>
  <c r="H35" i="35"/>
  <c r="G35" i="35"/>
  <c r="D35" i="35"/>
  <c r="AH97" i="35"/>
  <c r="AI97" i="35" s="1"/>
  <c r="C93" i="35"/>
  <c r="B93" i="35"/>
  <c r="B35" i="35"/>
  <c r="B91" i="35"/>
  <c r="B78" i="35"/>
  <c r="B77" i="35"/>
  <c r="B76" i="35"/>
  <c r="B75" i="35"/>
  <c r="B74" i="35"/>
  <c r="B70" i="35"/>
  <c r="B66" i="35"/>
  <c r="B54" i="35"/>
  <c r="B50" i="35"/>
  <c r="B49" i="35"/>
  <c r="B36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P235" i="35"/>
  <c r="O235" i="35"/>
  <c r="N235" i="35"/>
  <c r="M235" i="35"/>
  <c r="L235" i="35"/>
  <c r="K235" i="35"/>
  <c r="J235" i="35"/>
  <c r="I235" i="35"/>
  <c r="H235" i="35"/>
  <c r="G235" i="35"/>
  <c r="F235" i="35"/>
  <c r="E235" i="35"/>
  <c r="D235" i="35"/>
  <c r="C235" i="35"/>
  <c r="B235" i="35"/>
  <c r="A235" i="35"/>
  <c r="AF234" i="35"/>
  <c r="AE234" i="35"/>
  <c r="AD234" i="35"/>
  <c r="AC234" i="35"/>
  <c r="AB234" i="35"/>
  <c r="AA234" i="35"/>
  <c r="Z234" i="35"/>
  <c r="Y234" i="35"/>
  <c r="X234" i="35"/>
  <c r="W234" i="35"/>
  <c r="V234" i="35"/>
  <c r="U234" i="35"/>
  <c r="T234" i="35"/>
  <c r="S234" i="35"/>
  <c r="R234" i="35"/>
  <c r="Q234" i="35"/>
  <c r="P234" i="35"/>
  <c r="O234" i="35"/>
  <c r="N234" i="35"/>
  <c r="M234" i="35"/>
  <c r="L234" i="35"/>
  <c r="K234" i="35"/>
  <c r="J234" i="35"/>
  <c r="I234" i="35"/>
  <c r="H234" i="35"/>
  <c r="G234" i="35"/>
  <c r="F234" i="35"/>
  <c r="E234" i="35"/>
  <c r="D234" i="35"/>
  <c r="C234" i="35"/>
  <c r="B234" i="35"/>
  <c r="A234" i="35"/>
  <c r="AF233" i="35"/>
  <c r="AE233" i="35"/>
  <c r="AD233" i="35"/>
  <c r="AC233" i="35"/>
  <c r="AB233" i="35"/>
  <c r="AA233" i="35"/>
  <c r="Z233" i="35"/>
  <c r="Y233" i="35"/>
  <c r="X233" i="35"/>
  <c r="W233" i="35"/>
  <c r="V233" i="35"/>
  <c r="U233" i="35"/>
  <c r="T233" i="35"/>
  <c r="S233" i="35"/>
  <c r="R233" i="35"/>
  <c r="Q233" i="35"/>
  <c r="P233" i="35"/>
  <c r="O233" i="35"/>
  <c r="N233" i="35"/>
  <c r="M233" i="35"/>
  <c r="L233" i="35"/>
  <c r="K233" i="35"/>
  <c r="J233" i="35"/>
  <c r="I233" i="35"/>
  <c r="H233" i="35"/>
  <c r="G233" i="35"/>
  <c r="F233" i="35"/>
  <c r="E233" i="35"/>
  <c r="D233" i="35"/>
  <c r="C233" i="35"/>
  <c r="B233" i="35"/>
  <c r="A233" i="35"/>
  <c r="C232" i="35"/>
  <c r="B232" i="35"/>
  <c r="S207" i="35"/>
  <c r="AG197" i="35"/>
  <c r="B197" i="35"/>
  <c r="E196" i="35"/>
  <c r="D196" i="35"/>
  <c r="D232" i="35" s="1"/>
  <c r="C196" i="35"/>
  <c r="D195" i="35"/>
  <c r="E195" i="35" s="1"/>
  <c r="F195" i="35" s="1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C195" i="35"/>
  <c r="G194" i="35"/>
  <c r="H194" i="35" s="1"/>
  <c r="I194" i="35" s="1"/>
  <c r="J194" i="35" s="1"/>
  <c r="K194" i="35" s="1"/>
  <c r="L194" i="35" s="1"/>
  <c r="M194" i="35" s="1"/>
  <c r="N194" i="35" s="1"/>
  <c r="O194" i="35" s="1"/>
  <c r="P194" i="35" s="1"/>
  <c r="Q194" i="35" s="1"/>
  <c r="R194" i="35" s="1"/>
  <c r="S194" i="35" s="1"/>
  <c r="T194" i="35" s="1"/>
  <c r="U194" i="35" s="1"/>
  <c r="V194" i="35" s="1"/>
  <c r="W194" i="35" s="1"/>
  <c r="X194" i="35" s="1"/>
  <c r="Y194" i="35" s="1"/>
  <c r="Z194" i="35" s="1"/>
  <c r="AA194" i="35" s="1"/>
  <c r="AB194" i="35" s="1"/>
  <c r="AC194" i="35" s="1"/>
  <c r="AD194" i="35" s="1"/>
  <c r="AE194" i="35" s="1"/>
  <c r="AF194" i="35" s="1"/>
  <c r="C194" i="35"/>
  <c r="D194" i="35" s="1"/>
  <c r="E194" i="35" s="1"/>
  <c r="F194" i="35" s="1"/>
  <c r="U193" i="35"/>
  <c r="V193" i="35" s="1"/>
  <c r="W193" i="35" s="1"/>
  <c r="X193" i="35" s="1"/>
  <c r="Y193" i="35" s="1"/>
  <c r="Z193" i="35" s="1"/>
  <c r="AA193" i="35" s="1"/>
  <c r="AB193" i="35" s="1"/>
  <c r="AC193" i="35" s="1"/>
  <c r="AD193" i="35" s="1"/>
  <c r="AE193" i="35" s="1"/>
  <c r="AF193" i="35" s="1"/>
  <c r="E193" i="35"/>
  <c r="F193" i="35" s="1"/>
  <c r="G193" i="35" s="1"/>
  <c r="H193" i="35" s="1"/>
  <c r="I193" i="35" s="1"/>
  <c r="J193" i="35" s="1"/>
  <c r="K193" i="35" s="1"/>
  <c r="L193" i="35" s="1"/>
  <c r="M193" i="35" s="1"/>
  <c r="N193" i="35" s="1"/>
  <c r="O193" i="35" s="1"/>
  <c r="P193" i="35" s="1"/>
  <c r="Q193" i="35" s="1"/>
  <c r="R193" i="35" s="1"/>
  <c r="S193" i="35" s="1"/>
  <c r="T193" i="35" s="1"/>
  <c r="C193" i="35"/>
  <c r="D193" i="35" s="1"/>
  <c r="C192" i="35"/>
  <c r="D192" i="35" s="1"/>
  <c r="E192" i="35" s="1"/>
  <c r="F192" i="35" s="1"/>
  <c r="G192" i="35" s="1"/>
  <c r="H192" i="35" s="1"/>
  <c r="I192" i="35" s="1"/>
  <c r="J192" i="35" s="1"/>
  <c r="K192" i="35" s="1"/>
  <c r="L192" i="35" s="1"/>
  <c r="M192" i="35" s="1"/>
  <c r="N192" i="35" s="1"/>
  <c r="O192" i="35" s="1"/>
  <c r="P192" i="35" s="1"/>
  <c r="Q192" i="35" s="1"/>
  <c r="R192" i="35" s="1"/>
  <c r="S192" i="35" s="1"/>
  <c r="T192" i="35" s="1"/>
  <c r="U192" i="35" s="1"/>
  <c r="V192" i="35" s="1"/>
  <c r="W192" i="35" s="1"/>
  <c r="X192" i="35" s="1"/>
  <c r="Y192" i="35" s="1"/>
  <c r="Z192" i="35" s="1"/>
  <c r="AA192" i="35" s="1"/>
  <c r="AB192" i="35" s="1"/>
  <c r="AC192" i="35" s="1"/>
  <c r="AD192" i="35" s="1"/>
  <c r="AE192" i="35" s="1"/>
  <c r="AF192" i="35" s="1"/>
  <c r="C191" i="35"/>
  <c r="AG189" i="35"/>
  <c r="B189" i="35"/>
  <c r="C188" i="35"/>
  <c r="D188" i="35" s="1"/>
  <c r="E188" i="35" s="1"/>
  <c r="F188" i="35" s="1"/>
  <c r="G188" i="35" s="1"/>
  <c r="H188" i="35" s="1"/>
  <c r="I188" i="35" s="1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C187" i="35"/>
  <c r="D187" i="35" s="1"/>
  <c r="E187" i="35" s="1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D186" i="35"/>
  <c r="E186" i="35" s="1"/>
  <c r="F186" i="35" s="1"/>
  <c r="G186" i="35" s="1"/>
  <c r="H186" i="35" s="1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C186" i="35"/>
  <c r="O185" i="35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E185" i="35"/>
  <c r="F185" i="35" s="1"/>
  <c r="G185" i="35" s="1"/>
  <c r="H185" i="35" s="1"/>
  <c r="I185" i="35" s="1"/>
  <c r="J185" i="35" s="1"/>
  <c r="K185" i="35" s="1"/>
  <c r="L185" i="35" s="1"/>
  <c r="M185" i="35" s="1"/>
  <c r="N185" i="35" s="1"/>
  <c r="D185" i="35"/>
  <c r="C185" i="35"/>
  <c r="R184" i="35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D184" i="35"/>
  <c r="E184" i="35" s="1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C184" i="35"/>
  <c r="G183" i="35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C183" i="35"/>
  <c r="D183" i="35" s="1"/>
  <c r="E183" i="35" s="1"/>
  <c r="F183" i="35" s="1"/>
  <c r="D182" i="35"/>
  <c r="E182" i="35" s="1"/>
  <c r="F182" i="35" s="1"/>
  <c r="G182" i="35" s="1"/>
  <c r="H182" i="35" s="1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C182" i="35"/>
  <c r="E181" i="35"/>
  <c r="F181" i="35" s="1"/>
  <c r="G181" i="35" s="1"/>
  <c r="H181" i="35" s="1"/>
  <c r="I181" i="35" s="1"/>
  <c r="J181" i="35" s="1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C181" i="35"/>
  <c r="D181" i="35" s="1"/>
  <c r="E180" i="35"/>
  <c r="F180" i="35" s="1"/>
  <c r="G180" i="35" s="1"/>
  <c r="H180" i="35" s="1"/>
  <c r="I180" i="35" s="1"/>
  <c r="J180" i="35" s="1"/>
  <c r="K180" i="35" s="1"/>
  <c r="L180" i="35" s="1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C180" i="35"/>
  <c r="D180" i="35" s="1"/>
  <c r="K179" i="35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C179" i="35"/>
  <c r="D179" i="35" s="1"/>
  <c r="E179" i="35" s="1"/>
  <c r="F179" i="35" s="1"/>
  <c r="G179" i="35" s="1"/>
  <c r="H179" i="35" s="1"/>
  <c r="I179" i="35" s="1"/>
  <c r="J179" i="35" s="1"/>
  <c r="T178" i="35"/>
  <c r="U178" i="35" s="1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E178" i="35"/>
  <c r="F178" i="35" s="1"/>
  <c r="G178" i="35" s="1"/>
  <c r="H178" i="35" s="1"/>
  <c r="I178" i="35" s="1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D178" i="35"/>
  <c r="C178" i="35"/>
  <c r="AB177" i="35"/>
  <c r="AC177" i="35" s="1"/>
  <c r="AD177" i="35" s="1"/>
  <c r="AE177" i="35" s="1"/>
  <c r="AF177" i="35" s="1"/>
  <c r="D177" i="35"/>
  <c r="E177" i="35" s="1"/>
  <c r="F177" i="35" s="1"/>
  <c r="G177" i="35" s="1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C177" i="35"/>
  <c r="S176" i="35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C176" i="35"/>
  <c r="D176" i="35" s="1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C174" i="35"/>
  <c r="D174" i="35" s="1"/>
  <c r="E174" i="35" s="1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X173" i="35"/>
  <c r="Y173" i="35" s="1"/>
  <c r="Z173" i="35" s="1"/>
  <c r="AA173" i="35" s="1"/>
  <c r="AB173" i="35" s="1"/>
  <c r="AC173" i="35" s="1"/>
  <c r="AD173" i="35" s="1"/>
  <c r="AE173" i="35" s="1"/>
  <c r="AF173" i="35" s="1"/>
  <c r="M173" i="35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C173" i="35"/>
  <c r="D173" i="35" s="1"/>
  <c r="E173" i="35" s="1"/>
  <c r="F173" i="35" s="1"/>
  <c r="G173" i="35" s="1"/>
  <c r="H173" i="35" s="1"/>
  <c r="I173" i="35" s="1"/>
  <c r="J173" i="35" s="1"/>
  <c r="K173" i="35" s="1"/>
  <c r="L173" i="35" s="1"/>
  <c r="C172" i="35"/>
  <c r="D172" i="35" s="1"/>
  <c r="E172" i="35" s="1"/>
  <c r="F172" i="35" s="1"/>
  <c r="G172" i="35" s="1"/>
  <c r="H172" i="35" s="1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N171" i="35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D171" i="35"/>
  <c r="E171" i="35" s="1"/>
  <c r="F171" i="35" s="1"/>
  <c r="G171" i="35" s="1"/>
  <c r="H171" i="35" s="1"/>
  <c r="I171" i="35" s="1"/>
  <c r="J171" i="35" s="1"/>
  <c r="K171" i="35" s="1"/>
  <c r="L171" i="35" s="1"/>
  <c r="M171" i="35" s="1"/>
  <c r="C171" i="35"/>
  <c r="H170" i="35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C170" i="35"/>
  <c r="D170" i="35" s="1"/>
  <c r="E170" i="35" s="1"/>
  <c r="F170" i="35" s="1"/>
  <c r="G170" i="35" s="1"/>
  <c r="Q169" i="35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AE169" i="35" s="1"/>
  <c r="AF169" i="35" s="1"/>
  <c r="K169" i="35"/>
  <c r="L169" i="35" s="1"/>
  <c r="M169" i="35" s="1"/>
  <c r="N169" i="35" s="1"/>
  <c r="O169" i="35" s="1"/>
  <c r="P169" i="35" s="1"/>
  <c r="G169" i="35"/>
  <c r="H169" i="35" s="1"/>
  <c r="I169" i="35" s="1"/>
  <c r="J169" i="35" s="1"/>
  <c r="F169" i="35"/>
  <c r="C169" i="35"/>
  <c r="D169" i="35" s="1"/>
  <c r="E169" i="35" s="1"/>
  <c r="E168" i="35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D168" i="35"/>
  <c r="C168" i="35"/>
  <c r="D167" i="35"/>
  <c r="E167" i="35" s="1"/>
  <c r="F167" i="35" s="1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C167" i="35"/>
  <c r="D165" i="35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C165" i="35"/>
  <c r="F164" i="35"/>
  <c r="G164" i="35" s="1"/>
  <c r="H164" i="35" s="1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E164" i="35"/>
  <c r="D164" i="35"/>
  <c r="C164" i="35"/>
  <c r="H163" i="35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C163" i="35"/>
  <c r="D163" i="35" s="1"/>
  <c r="E163" i="35" s="1"/>
  <c r="F163" i="35" s="1"/>
  <c r="G163" i="35" s="1"/>
  <c r="C162" i="35"/>
  <c r="D162" i="35" s="1"/>
  <c r="E162" i="35" s="1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H161" i="35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E161" i="35"/>
  <c r="F161" i="35" s="1"/>
  <c r="G161" i="35" s="1"/>
  <c r="D161" i="35"/>
  <c r="C161" i="35"/>
  <c r="F160" i="35"/>
  <c r="G160" i="35" s="1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E160" i="35"/>
  <c r="D160" i="35"/>
  <c r="C160" i="35"/>
  <c r="S159" i="35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C159" i="35"/>
  <c r="D159" i="35" s="1"/>
  <c r="E159" i="35" s="1"/>
  <c r="F159" i="35" s="1"/>
  <c r="G159" i="35" s="1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H158" i="35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G158" i="35"/>
  <c r="D158" i="35"/>
  <c r="E158" i="35" s="1"/>
  <c r="F158" i="35" s="1"/>
  <c r="C158" i="35"/>
  <c r="G157" i="35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F157" i="35"/>
  <c r="E157" i="35"/>
  <c r="D157" i="35"/>
  <c r="C157" i="35"/>
  <c r="C156" i="35"/>
  <c r="D156" i="35" s="1"/>
  <c r="E156" i="35" s="1"/>
  <c r="F156" i="35" s="1"/>
  <c r="G156" i="35" s="1"/>
  <c r="H156" i="35" s="1"/>
  <c r="I156" i="35" s="1"/>
  <c r="J156" i="35" s="1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K155" i="35"/>
  <c r="L155" i="35" s="1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J155" i="35"/>
  <c r="D155" i="35"/>
  <c r="E155" i="35" s="1"/>
  <c r="F155" i="35" s="1"/>
  <c r="G155" i="35" s="1"/>
  <c r="H155" i="35" s="1"/>
  <c r="I155" i="35" s="1"/>
  <c r="C155" i="35"/>
  <c r="D154" i="35"/>
  <c r="E154" i="35" s="1"/>
  <c r="F154" i="35" s="1"/>
  <c r="G154" i="35" s="1"/>
  <c r="H154" i="35" s="1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C154" i="35"/>
  <c r="F153" i="35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E153" i="35"/>
  <c r="D153" i="35"/>
  <c r="C153" i="35"/>
  <c r="J151" i="35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E151" i="35"/>
  <c r="F151" i="35" s="1"/>
  <c r="G151" i="35" s="1"/>
  <c r="H151" i="35" s="1"/>
  <c r="I151" i="35" s="1"/>
  <c r="C151" i="35"/>
  <c r="D151" i="35" s="1"/>
  <c r="U150" i="35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H150" i="35"/>
  <c r="I150" i="35" s="1"/>
  <c r="J150" i="35" s="1"/>
  <c r="K150" i="35" s="1"/>
  <c r="L150" i="35" s="1"/>
  <c r="M150" i="35" s="1"/>
  <c r="N150" i="35" s="1"/>
  <c r="O150" i="35" s="1"/>
  <c r="P150" i="35" s="1"/>
  <c r="Q150" i="35" s="1"/>
  <c r="R150" i="35" s="1"/>
  <c r="S150" i="35" s="1"/>
  <c r="T150" i="35" s="1"/>
  <c r="C150" i="35"/>
  <c r="D150" i="35" s="1"/>
  <c r="E150" i="35" s="1"/>
  <c r="F150" i="35" s="1"/>
  <c r="G150" i="35" s="1"/>
  <c r="S149" i="35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D149" i="35"/>
  <c r="E149" i="35" s="1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C149" i="35"/>
  <c r="D148" i="35"/>
  <c r="E148" i="35" s="1"/>
  <c r="F148" i="35" s="1"/>
  <c r="G148" i="35" s="1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C148" i="35"/>
  <c r="H146" i="35"/>
  <c r="I146" i="35" s="1"/>
  <c r="J146" i="35" s="1"/>
  <c r="K146" i="35" s="1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C146" i="35"/>
  <c r="D146" i="35" s="1"/>
  <c r="E146" i="35" s="1"/>
  <c r="F146" i="35" s="1"/>
  <c r="G146" i="35" s="1"/>
  <c r="T145" i="35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F145" i="35"/>
  <c r="G145" i="35" s="1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D145" i="35"/>
  <c r="E145" i="35" s="1"/>
  <c r="C145" i="35"/>
  <c r="F143" i="35"/>
  <c r="G143" i="35" s="1"/>
  <c r="H143" i="35" s="1"/>
  <c r="I143" i="35" s="1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C143" i="35"/>
  <c r="D143" i="35" s="1"/>
  <c r="E143" i="35" s="1"/>
  <c r="Y142" i="35"/>
  <c r="Z142" i="35" s="1"/>
  <c r="AA142" i="35" s="1"/>
  <c r="AB142" i="35" s="1"/>
  <c r="AC142" i="35" s="1"/>
  <c r="AD142" i="35" s="1"/>
  <c r="AE142" i="35" s="1"/>
  <c r="AF142" i="35" s="1"/>
  <c r="F142" i="35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D142" i="35"/>
  <c r="E142" i="35" s="1"/>
  <c r="C142" i="35"/>
  <c r="O141" i="35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D141" i="35"/>
  <c r="E141" i="35" s="1"/>
  <c r="F141" i="35" s="1"/>
  <c r="G141" i="35" s="1"/>
  <c r="H141" i="35" s="1"/>
  <c r="I141" i="35" s="1"/>
  <c r="J141" i="35" s="1"/>
  <c r="K141" i="35" s="1"/>
  <c r="L141" i="35" s="1"/>
  <c r="M141" i="35" s="1"/>
  <c r="N141" i="35" s="1"/>
  <c r="C141" i="35"/>
  <c r="M140" i="35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D140" i="35"/>
  <c r="E140" i="35" s="1"/>
  <c r="F140" i="35" s="1"/>
  <c r="G140" i="35" s="1"/>
  <c r="H140" i="35" s="1"/>
  <c r="I140" i="35" s="1"/>
  <c r="J140" i="35" s="1"/>
  <c r="K140" i="35" s="1"/>
  <c r="L140" i="35" s="1"/>
  <c r="C140" i="35"/>
  <c r="X139" i="35"/>
  <c r="Y139" i="35" s="1"/>
  <c r="Z139" i="35" s="1"/>
  <c r="AA139" i="35" s="1"/>
  <c r="AB139" i="35" s="1"/>
  <c r="AC139" i="35" s="1"/>
  <c r="AD139" i="35" s="1"/>
  <c r="AE139" i="35" s="1"/>
  <c r="AF139" i="35" s="1"/>
  <c r="C139" i="35"/>
  <c r="D139" i="35" s="1"/>
  <c r="E139" i="35" s="1"/>
  <c r="F139" i="35" s="1"/>
  <c r="G139" i="35" s="1"/>
  <c r="H139" i="35" s="1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J138" i="35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D138" i="35"/>
  <c r="E138" i="35" s="1"/>
  <c r="F138" i="35" s="1"/>
  <c r="G138" i="35" s="1"/>
  <c r="H138" i="35" s="1"/>
  <c r="I138" i="35" s="1"/>
  <c r="C138" i="35"/>
  <c r="U137" i="35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J137" i="35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C137" i="35"/>
  <c r="D137" i="35" s="1"/>
  <c r="E137" i="35" s="1"/>
  <c r="F137" i="35" s="1"/>
  <c r="G137" i="35" s="1"/>
  <c r="H137" i="35" s="1"/>
  <c r="I137" i="35" s="1"/>
  <c r="J135" i="35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C135" i="35"/>
  <c r="D135" i="35" s="1"/>
  <c r="E135" i="35" s="1"/>
  <c r="F135" i="35" s="1"/>
  <c r="G135" i="35" s="1"/>
  <c r="H135" i="35" s="1"/>
  <c r="I135" i="35" s="1"/>
  <c r="S134" i="35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H134" i="35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D134" i="35"/>
  <c r="E134" i="35" s="1"/>
  <c r="F134" i="35" s="1"/>
  <c r="G134" i="35" s="1"/>
  <c r="C134" i="35"/>
  <c r="D133" i="35"/>
  <c r="E133" i="35" s="1"/>
  <c r="F133" i="35" s="1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C133" i="35"/>
  <c r="F132" i="35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C132" i="35"/>
  <c r="D132" i="35" s="1"/>
  <c r="E132" i="35" s="1"/>
  <c r="H131" i="35"/>
  <c r="I131" i="35" s="1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E131" i="35"/>
  <c r="F131" i="35" s="1"/>
  <c r="G131" i="35" s="1"/>
  <c r="D131" i="35"/>
  <c r="C131" i="35"/>
  <c r="F130" i="35"/>
  <c r="G130" i="35" s="1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D130" i="35"/>
  <c r="E130" i="35" s="1"/>
  <c r="C130" i="35"/>
  <c r="D129" i="35"/>
  <c r="E129" i="35" s="1"/>
  <c r="F129" i="35" s="1"/>
  <c r="G129" i="35" s="1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C129" i="35"/>
  <c r="M128" i="35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C128" i="35"/>
  <c r="D128" i="35" s="1"/>
  <c r="E128" i="35" s="1"/>
  <c r="F128" i="35" s="1"/>
  <c r="G128" i="35" s="1"/>
  <c r="H128" i="35" s="1"/>
  <c r="I128" i="35" s="1"/>
  <c r="J128" i="35" s="1"/>
  <c r="K128" i="35" s="1"/>
  <c r="L128" i="35" s="1"/>
  <c r="J126" i="35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D126" i="35"/>
  <c r="E126" i="35" s="1"/>
  <c r="F126" i="35" s="1"/>
  <c r="G126" i="35" s="1"/>
  <c r="H126" i="35" s="1"/>
  <c r="I126" i="35" s="1"/>
  <c r="C126" i="35"/>
  <c r="D125" i="35"/>
  <c r="E125" i="35" s="1"/>
  <c r="F125" i="35" s="1"/>
  <c r="G125" i="35" s="1"/>
  <c r="H125" i="35" s="1"/>
  <c r="I125" i="35" s="1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C125" i="35"/>
  <c r="I124" i="35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G124" i="35"/>
  <c r="H124" i="35" s="1"/>
  <c r="D124" i="35"/>
  <c r="E124" i="35" s="1"/>
  <c r="F124" i="35" s="1"/>
  <c r="C124" i="35"/>
  <c r="J123" i="35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F123" i="35"/>
  <c r="G123" i="35" s="1"/>
  <c r="H123" i="35" s="1"/>
  <c r="I123" i="35" s="1"/>
  <c r="C123" i="35"/>
  <c r="D123" i="35" s="1"/>
  <c r="E123" i="35" s="1"/>
  <c r="E122" i="35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C122" i="35"/>
  <c r="D122" i="35" s="1"/>
  <c r="O121" i="35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C121" i="35"/>
  <c r="D121" i="35" s="1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K120" i="35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C120" i="35"/>
  <c r="D120" i="35" s="1"/>
  <c r="E120" i="35" s="1"/>
  <c r="F120" i="35" s="1"/>
  <c r="G120" i="35" s="1"/>
  <c r="H120" i="35" s="1"/>
  <c r="I120" i="35" s="1"/>
  <c r="J120" i="35" s="1"/>
  <c r="M119" i="35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D119" i="35"/>
  <c r="E119" i="35" s="1"/>
  <c r="F119" i="35" s="1"/>
  <c r="G119" i="35" s="1"/>
  <c r="H119" i="35" s="1"/>
  <c r="I119" i="35" s="1"/>
  <c r="J119" i="35" s="1"/>
  <c r="K119" i="35" s="1"/>
  <c r="L119" i="35" s="1"/>
  <c r="C119" i="35"/>
  <c r="F118" i="35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D118" i="35"/>
  <c r="E118" i="35" s="1"/>
  <c r="C118" i="35"/>
  <c r="D117" i="35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C117" i="35"/>
  <c r="G116" i="35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C116" i="35"/>
  <c r="D116" i="35" s="1"/>
  <c r="E116" i="35" s="1"/>
  <c r="F116" i="35" s="1"/>
  <c r="M115" i="35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H115" i="35"/>
  <c r="I115" i="35" s="1"/>
  <c r="J115" i="35" s="1"/>
  <c r="K115" i="35" s="1"/>
  <c r="L115" i="35" s="1"/>
  <c r="C115" i="35"/>
  <c r="D115" i="35" s="1"/>
  <c r="E115" i="35" s="1"/>
  <c r="F115" i="35" s="1"/>
  <c r="G115" i="35" s="1"/>
  <c r="O114" i="35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G114" i="35"/>
  <c r="H114" i="35" s="1"/>
  <c r="I114" i="35" s="1"/>
  <c r="J114" i="35" s="1"/>
  <c r="K114" i="35" s="1"/>
  <c r="L114" i="35" s="1"/>
  <c r="M114" i="35" s="1"/>
  <c r="N114" i="35" s="1"/>
  <c r="F114" i="35"/>
  <c r="C114" i="35"/>
  <c r="D114" i="35" s="1"/>
  <c r="E114" i="35" s="1"/>
  <c r="J113" i="35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D113" i="35"/>
  <c r="E113" i="35" s="1"/>
  <c r="F113" i="35" s="1"/>
  <c r="G113" i="35" s="1"/>
  <c r="H113" i="35" s="1"/>
  <c r="I113" i="35" s="1"/>
  <c r="C113" i="35"/>
  <c r="D112" i="35"/>
  <c r="E112" i="35" s="1"/>
  <c r="F112" i="35" s="1"/>
  <c r="G112" i="35" s="1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C112" i="35"/>
  <c r="AC111" i="35"/>
  <c r="AD111" i="35" s="1"/>
  <c r="AE111" i="35" s="1"/>
  <c r="AF111" i="35" s="1"/>
  <c r="X111" i="35"/>
  <c r="Y111" i="35" s="1"/>
  <c r="Z111" i="35" s="1"/>
  <c r="AA111" i="35" s="1"/>
  <c r="AB111" i="35" s="1"/>
  <c r="S111" i="35"/>
  <c r="T111" i="35" s="1"/>
  <c r="U111" i="35" s="1"/>
  <c r="V111" i="35" s="1"/>
  <c r="W111" i="35" s="1"/>
  <c r="L111" i="35"/>
  <c r="M111" i="35" s="1"/>
  <c r="N111" i="35" s="1"/>
  <c r="O111" i="35" s="1"/>
  <c r="P111" i="35" s="1"/>
  <c r="Q111" i="35" s="1"/>
  <c r="R111" i="35" s="1"/>
  <c r="K111" i="35"/>
  <c r="J111" i="35"/>
  <c r="H111" i="35"/>
  <c r="E111" i="35"/>
  <c r="F111" i="35" s="1"/>
  <c r="G111" i="35" s="1"/>
  <c r="D111" i="35"/>
  <c r="C111" i="35"/>
  <c r="E110" i="35"/>
  <c r="F110" i="35" s="1"/>
  <c r="G110" i="35" s="1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C110" i="35"/>
  <c r="D110" i="35" s="1"/>
  <c r="D109" i="35"/>
  <c r="E109" i="35" s="1"/>
  <c r="F109" i="35" s="1"/>
  <c r="G109" i="35" s="1"/>
  <c r="H109" i="35" s="1"/>
  <c r="I109" i="35" s="1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C109" i="35"/>
  <c r="C107" i="35"/>
  <c r="D107" i="35" s="1"/>
  <c r="E107" i="35" s="1"/>
  <c r="F107" i="35" s="1"/>
  <c r="G107" i="35" s="1"/>
  <c r="H107" i="35" s="1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C106" i="35"/>
  <c r="D106" i="35" s="1"/>
  <c r="E106" i="35" s="1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E104" i="35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C104" i="35"/>
  <c r="D104" i="35" s="1"/>
  <c r="F103" i="35"/>
  <c r="G103" i="35" s="1"/>
  <c r="H103" i="35" s="1"/>
  <c r="I103" i="35" s="1"/>
  <c r="J103" i="35" s="1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D103" i="35"/>
  <c r="E103" i="35" s="1"/>
  <c r="C103" i="35"/>
  <c r="J102" i="35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U102" i="35" s="1"/>
  <c r="V102" i="35" s="1"/>
  <c r="W102" i="35" s="1"/>
  <c r="X102" i="35" s="1"/>
  <c r="Y102" i="35" s="1"/>
  <c r="Z102" i="35" s="1"/>
  <c r="AA102" i="35" s="1"/>
  <c r="AB102" i="35" s="1"/>
  <c r="AC102" i="35" s="1"/>
  <c r="AD102" i="35" s="1"/>
  <c r="AE102" i="35" s="1"/>
  <c r="AF102" i="35" s="1"/>
  <c r="G102" i="35"/>
  <c r="H102" i="35" s="1"/>
  <c r="I102" i="35" s="1"/>
  <c r="C102" i="35"/>
  <c r="D102" i="35" s="1"/>
  <c r="E102" i="35" s="1"/>
  <c r="F102" i="35" s="1"/>
  <c r="D101" i="35"/>
  <c r="E101" i="35" s="1"/>
  <c r="F101" i="35" s="1"/>
  <c r="G101" i="35" s="1"/>
  <c r="H101" i="35" s="1"/>
  <c r="I101" i="35" s="1"/>
  <c r="J101" i="35" s="1"/>
  <c r="K101" i="35" s="1"/>
  <c r="L101" i="35" s="1"/>
  <c r="M101" i="35" s="1"/>
  <c r="N101" i="35" s="1"/>
  <c r="O101" i="35" s="1"/>
  <c r="P101" i="35" s="1"/>
  <c r="Q101" i="35" s="1"/>
  <c r="R101" i="35" s="1"/>
  <c r="S101" i="35" s="1"/>
  <c r="T101" i="35" s="1"/>
  <c r="U101" i="35" s="1"/>
  <c r="V101" i="35" s="1"/>
  <c r="W101" i="35" s="1"/>
  <c r="X101" i="35" s="1"/>
  <c r="Y101" i="35" s="1"/>
  <c r="Z101" i="35" s="1"/>
  <c r="AA101" i="35" s="1"/>
  <c r="AB101" i="35" s="1"/>
  <c r="AC101" i="35" s="1"/>
  <c r="AD101" i="35" s="1"/>
  <c r="AE101" i="35" s="1"/>
  <c r="AF101" i="35" s="1"/>
  <c r="C101" i="35"/>
  <c r="F100" i="35"/>
  <c r="C100" i="35"/>
  <c r="D100" i="35" s="1"/>
  <c r="E100" i="35" s="1"/>
  <c r="D99" i="35"/>
  <c r="C99" i="35"/>
  <c r="AH96" i="35"/>
  <c r="AI96" i="35" s="1"/>
  <c r="AH95" i="35"/>
  <c r="AI95" i="35" s="1"/>
  <c r="AH94" i="35"/>
  <c r="AI94" i="35" s="1"/>
  <c r="AH93" i="35"/>
  <c r="AI93" i="35" s="1"/>
  <c r="AH92" i="35"/>
  <c r="AI92" i="35" s="1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G80" i="35"/>
  <c r="AI79" i="35"/>
  <c r="AH79" i="35"/>
  <c r="AF78" i="35"/>
  <c r="AE78" i="35"/>
  <c r="AD78" i="35"/>
  <c r="AC78" i="35"/>
  <c r="AB78" i="35"/>
  <c r="AA78" i="35"/>
  <c r="Z78" i="35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8" i="35"/>
  <c r="C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AF76" i="35"/>
  <c r="AE76" i="35"/>
  <c r="AD76" i="35"/>
  <c r="AC76" i="35"/>
  <c r="AB76" i="35"/>
  <c r="AA76" i="35"/>
  <c r="Z76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AF75" i="35"/>
  <c r="AE75" i="35"/>
  <c r="AD75" i="35"/>
  <c r="AC75" i="35"/>
  <c r="AB75" i="35"/>
  <c r="AA75" i="35"/>
  <c r="Z75" i="35"/>
  <c r="Z80" i="35" s="1"/>
  <c r="Y75" i="35"/>
  <c r="X75" i="35"/>
  <c r="W75" i="35"/>
  <c r="V75" i="35"/>
  <c r="V80" i="35" s="1"/>
  <c r="U75" i="35"/>
  <c r="T75" i="35"/>
  <c r="S75" i="35"/>
  <c r="R75" i="35"/>
  <c r="Q75" i="35"/>
  <c r="P75" i="35"/>
  <c r="O75" i="35"/>
  <c r="N75" i="35"/>
  <c r="M75" i="35"/>
  <c r="L75" i="35"/>
  <c r="L80" i="35" s="1"/>
  <c r="K75" i="35"/>
  <c r="J75" i="35"/>
  <c r="J80" i="35" s="1"/>
  <c r="I75" i="35"/>
  <c r="H75" i="35"/>
  <c r="G75" i="35"/>
  <c r="F75" i="35"/>
  <c r="E75" i="35"/>
  <c r="D75" i="35"/>
  <c r="C75" i="35"/>
  <c r="AF74" i="35"/>
  <c r="AE74" i="35"/>
  <c r="AE80" i="35" s="1"/>
  <c r="AD74" i="35"/>
  <c r="AC74" i="35"/>
  <c r="AB74" i="35"/>
  <c r="AA74" i="35"/>
  <c r="AA80" i="35" s="1"/>
  <c r="Z74" i="35"/>
  <c r="Y74" i="35"/>
  <c r="Y80" i="35" s="1"/>
  <c r="X74" i="35"/>
  <c r="X80" i="35" s="1"/>
  <c r="W74" i="35"/>
  <c r="W80" i="35" s="1"/>
  <c r="V74" i="35"/>
  <c r="U74" i="35"/>
  <c r="T74" i="35"/>
  <c r="S74" i="35"/>
  <c r="R74" i="35"/>
  <c r="Q74" i="35"/>
  <c r="P74" i="35"/>
  <c r="O74" i="35"/>
  <c r="N74" i="35"/>
  <c r="N80" i="35" s="1"/>
  <c r="M74" i="35"/>
  <c r="M80" i="35" s="1"/>
  <c r="L74" i="35"/>
  <c r="K74" i="35"/>
  <c r="J74" i="35"/>
  <c r="I74" i="35"/>
  <c r="I80" i="35" s="1"/>
  <c r="H74" i="35"/>
  <c r="G74" i="35"/>
  <c r="F74" i="35"/>
  <c r="F80" i="35" s="1"/>
  <c r="E74" i="35"/>
  <c r="D74" i="35"/>
  <c r="C74" i="35"/>
  <c r="AI72" i="35"/>
  <c r="AH72" i="35"/>
  <c r="AG71" i="35"/>
  <c r="AG70" i="35"/>
  <c r="AG73" i="35" s="1"/>
  <c r="AF70" i="35"/>
  <c r="AE70" i="35"/>
  <c r="AD70" i="35"/>
  <c r="AC70" i="35"/>
  <c r="AB70" i="35"/>
  <c r="AA70" i="35"/>
  <c r="Z70" i="35"/>
  <c r="Y70" i="35"/>
  <c r="X70" i="35"/>
  <c r="W70" i="35"/>
  <c r="V70" i="35"/>
  <c r="U70" i="35"/>
  <c r="T70" i="35"/>
  <c r="S70" i="35"/>
  <c r="R70" i="35"/>
  <c r="Q70" i="35"/>
  <c r="P70" i="35"/>
  <c r="O70" i="35"/>
  <c r="N70" i="35"/>
  <c r="M70" i="35"/>
  <c r="L70" i="35"/>
  <c r="K70" i="35"/>
  <c r="J70" i="35"/>
  <c r="I70" i="35"/>
  <c r="H70" i="35"/>
  <c r="H73" i="35" s="1"/>
  <c r="G70" i="35"/>
  <c r="F70" i="35"/>
  <c r="E70" i="35"/>
  <c r="D70" i="35"/>
  <c r="C70" i="35"/>
  <c r="AH70" i="35"/>
  <c r="AI69" i="35"/>
  <c r="AH69" i="35"/>
  <c r="AI68" i="35"/>
  <c r="AH68" i="35"/>
  <c r="AI67" i="35"/>
  <c r="AH67" i="35"/>
  <c r="AG66" i="35"/>
  <c r="AF66" i="35"/>
  <c r="AF5" i="35" s="1"/>
  <c r="AE66" i="35"/>
  <c r="AE5" i="35" s="1"/>
  <c r="AD66" i="35"/>
  <c r="AD5" i="35" s="1"/>
  <c r="AC66" i="35"/>
  <c r="AC5" i="35" s="1"/>
  <c r="AB66" i="35"/>
  <c r="AA66" i="35"/>
  <c r="AA5" i="35" s="1"/>
  <c r="Z66" i="35"/>
  <c r="Z5" i="35" s="1"/>
  <c r="Y66" i="35"/>
  <c r="Y5" i="35" s="1"/>
  <c r="X66" i="35"/>
  <c r="X5" i="35" s="1"/>
  <c r="W66" i="35"/>
  <c r="W5" i="35" s="1"/>
  <c r="V66" i="35"/>
  <c r="V5" i="35" s="1"/>
  <c r="U66" i="35"/>
  <c r="U5" i="35" s="1"/>
  <c r="T66" i="35"/>
  <c r="T5" i="35" s="1"/>
  <c r="S66" i="35"/>
  <c r="S5" i="35" s="1"/>
  <c r="R66" i="35"/>
  <c r="R5" i="35" s="1"/>
  <c r="Q66" i="35"/>
  <c r="P66" i="35"/>
  <c r="O66" i="35"/>
  <c r="N66" i="35"/>
  <c r="N5" i="35" s="1"/>
  <c r="M66" i="35"/>
  <c r="M5" i="35" s="1"/>
  <c r="L66" i="35"/>
  <c r="L5" i="35" s="1"/>
  <c r="K66" i="35"/>
  <c r="J66" i="35"/>
  <c r="I66" i="35"/>
  <c r="I5" i="35" s="1"/>
  <c r="H66" i="35"/>
  <c r="G66" i="35"/>
  <c r="G5" i="35" s="1"/>
  <c r="F66" i="35"/>
  <c r="E66" i="35"/>
  <c r="E5" i="35" s="1"/>
  <c r="D66" i="35"/>
  <c r="D5" i="35" s="1"/>
  <c r="C66" i="35"/>
  <c r="C5" i="35" s="1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G54" i="35"/>
  <c r="AF54" i="35"/>
  <c r="AE54" i="35"/>
  <c r="AD54" i="35"/>
  <c r="AC54" i="35"/>
  <c r="AB54" i="35"/>
  <c r="AA54" i="35"/>
  <c r="Z54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AI53" i="35"/>
  <c r="AH53" i="35"/>
  <c r="AI52" i="35"/>
  <c r="AH52" i="35"/>
  <c r="AI51" i="35"/>
  <c r="AH51" i="35"/>
  <c r="AG50" i="35"/>
  <c r="AG3" i="35" s="1"/>
  <c r="Y50" i="35"/>
  <c r="S50" i="35"/>
  <c r="R50" i="35"/>
  <c r="Q50" i="35"/>
  <c r="P50" i="35"/>
  <c r="O50" i="35"/>
  <c r="N50" i="35"/>
  <c r="M50" i="35"/>
  <c r="L50" i="35"/>
  <c r="AK50" i="35" s="1"/>
  <c r="K50" i="35"/>
  <c r="J50" i="35"/>
  <c r="I50" i="35"/>
  <c r="H50" i="35"/>
  <c r="G50" i="35"/>
  <c r="F50" i="35"/>
  <c r="E50" i="35"/>
  <c r="D50" i="35"/>
  <c r="C50" i="35"/>
  <c r="AG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G36" i="35"/>
  <c r="AG2" i="35" s="1"/>
  <c r="AG6" i="35" s="1"/>
  <c r="AF36" i="35"/>
  <c r="AE36" i="35"/>
  <c r="AD36" i="35"/>
  <c r="AC36" i="35"/>
  <c r="AB36" i="35"/>
  <c r="AA36" i="35"/>
  <c r="Z36" i="35"/>
  <c r="Y36" i="35"/>
  <c r="X36" i="35"/>
  <c r="W36" i="35"/>
  <c r="V36" i="35"/>
  <c r="U36" i="35"/>
  <c r="T36" i="35"/>
  <c r="S36" i="35"/>
  <c r="AM35" i="35" s="1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B5" i="35"/>
  <c r="Q5" i="35"/>
  <c r="P5" i="35"/>
  <c r="O5" i="35"/>
  <c r="J5" i="35"/>
  <c r="H5" i="35"/>
  <c r="F5" i="35"/>
  <c r="B5" i="35"/>
  <c r="AG4" i="35"/>
  <c r="K4" i="35"/>
  <c r="B4" i="35"/>
  <c r="AF93" i="34"/>
  <c r="AF35" i="34"/>
  <c r="AE93" i="34"/>
  <c r="AE35" i="34"/>
  <c r="AD93" i="34"/>
  <c r="AD35" i="34"/>
  <c r="E4" i="35"/>
  <c r="Y81" i="36" l="1"/>
  <c r="AK211" i="36"/>
  <c r="S81" i="36"/>
  <c r="R81" i="36"/>
  <c r="AJ211" i="36"/>
  <c r="Q81" i="36"/>
  <c r="O81" i="36"/>
  <c r="M81" i="36"/>
  <c r="L81" i="36"/>
  <c r="K7" i="36"/>
  <c r="J81" i="36"/>
  <c r="C206" i="36"/>
  <c r="X211" i="36"/>
  <c r="F81" i="36"/>
  <c r="E81" i="36"/>
  <c r="D81" i="36"/>
  <c r="D7" i="36"/>
  <c r="C7" i="36"/>
  <c r="C81" i="36"/>
  <c r="D91" i="36"/>
  <c r="E106" i="36"/>
  <c r="AE211" i="36"/>
  <c r="M7" i="36"/>
  <c r="E232" i="36"/>
  <c r="F196" i="36"/>
  <c r="AQ211" i="36"/>
  <c r="Y7" i="36"/>
  <c r="B206" i="36"/>
  <c r="K6" i="36" s="1"/>
  <c r="AH80" i="36"/>
  <c r="AI80" i="36"/>
  <c r="Z211" i="36"/>
  <c r="H7" i="36"/>
  <c r="F191" i="36"/>
  <c r="E197" i="36"/>
  <c r="AH211" i="36"/>
  <c r="P7" i="36"/>
  <c r="AI211" i="36"/>
  <c r="Q7" i="36"/>
  <c r="B73" i="36"/>
  <c r="B81" i="36" s="1"/>
  <c r="W211" i="36"/>
  <c r="E7" i="36"/>
  <c r="AD211" i="36"/>
  <c r="L7" i="36"/>
  <c r="H100" i="36"/>
  <c r="I81" i="36"/>
  <c r="D189" i="36"/>
  <c r="E99" i="36"/>
  <c r="AB211" i="36"/>
  <c r="J7" i="36"/>
  <c r="AA211" i="36"/>
  <c r="I7" i="36"/>
  <c r="AF80" i="35"/>
  <c r="AD80" i="35"/>
  <c r="AC80" i="35"/>
  <c r="AB80" i="35"/>
  <c r="Y71" i="35"/>
  <c r="U80" i="35"/>
  <c r="Y73" i="35"/>
  <c r="P73" i="35"/>
  <c r="T80" i="35"/>
  <c r="S80" i="35"/>
  <c r="R80" i="35"/>
  <c r="R73" i="35"/>
  <c r="Q80" i="35"/>
  <c r="Q71" i="35"/>
  <c r="Q73" i="35"/>
  <c r="Q81" i="35" s="1"/>
  <c r="P80" i="35"/>
  <c r="P71" i="35"/>
  <c r="P81" i="35" s="1"/>
  <c r="O80" i="35"/>
  <c r="O73" i="35"/>
  <c r="AG211" i="35" s="1"/>
  <c r="O71" i="35"/>
  <c r="N71" i="35"/>
  <c r="AJ36" i="35"/>
  <c r="AL3" i="35" s="1"/>
  <c r="M71" i="35"/>
  <c r="L73" i="35"/>
  <c r="L7" i="35" s="1"/>
  <c r="L71" i="35"/>
  <c r="K80" i="35"/>
  <c r="K71" i="35"/>
  <c r="J73" i="35"/>
  <c r="J7" i="35" s="1"/>
  <c r="I71" i="35"/>
  <c r="I73" i="35"/>
  <c r="AA211" i="35" s="1"/>
  <c r="H80" i="35"/>
  <c r="H71" i="35"/>
  <c r="H81" i="35" s="1"/>
  <c r="G80" i="35"/>
  <c r="AI54" i="35"/>
  <c r="G73" i="35"/>
  <c r="Y211" i="35" s="1"/>
  <c r="G71" i="35"/>
  <c r="AI78" i="35"/>
  <c r="F71" i="35"/>
  <c r="E80" i="35"/>
  <c r="AI77" i="35"/>
  <c r="AH78" i="35"/>
  <c r="AI75" i="35"/>
  <c r="AI74" i="35"/>
  <c r="E71" i="35"/>
  <c r="AI76" i="35"/>
  <c r="D80" i="35"/>
  <c r="D73" i="35"/>
  <c r="V211" i="35" s="1"/>
  <c r="D71" i="35"/>
  <c r="AH76" i="35"/>
  <c r="AH66" i="35"/>
  <c r="C80" i="35"/>
  <c r="AH54" i="35"/>
  <c r="B80" i="35"/>
  <c r="B73" i="35"/>
  <c r="B71" i="35"/>
  <c r="H4" i="35"/>
  <c r="AJ211" i="35"/>
  <c r="R7" i="35"/>
  <c r="Z211" i="35"/>
  <c r="H7" i="35"/>
  <c r="AH211" i="35"/>
  <c r="P7" i="35"/>
  <c r="AI211" i="35"/>
  <c r="Q7" i="35"/>
  <c r="AQ211" i="35"/>
  <c r="Y7" i="35"/>
  <c r="AH36" i="35"/>
  <c r="S208" i="35"/>
  <c r="D208" i="35"/>
  <c r="C73" i="35"/>
  <c r="K73" i="35"/>
  <c r="S73" i="35"/>
  <c r="AH74" i="35"/>
  <c r="AG81" i="35"/>
  <c r="AI36" i="35"/>
  <c r="AH75" i="35"/>
  <c r="Y81" i="35"/>
  <c r="G100" i="35"/>
  <c r="AI66" i="35"/>
  <c r="AI70" i="35"/>
  <c r="M73" i="35"/>
  <c r="D189" i="35"/>
  <c r="E99" i="35"/>
  <c r="E73" i="35"/>
  <c r="J71" i="35"/>
  <c r="R71" i="35"/>
  <c r="R81" i="35" s="1"/>
  <c r="F73" i="35"/>
  <c r="F81" i="35" s="1"/>
  <c r="N73" i="35"/>
  <c r="AH77" i="35"/>
  <c r="C91" i="35"/>
  <c r="S71" i="35"/>
  <c r="C71" i="35"/>
  <c r="K5" i="35"/>
  <c r="C189" i="35"/>
  <c r="E232" i="35"/>
  <c r="F196" i="35"/>
  <c r="C197" i="35"/>
  <c r="D191" i="35"/>
  <c r="G191" i="36" l="1"/>
  <c r="F197" i="36"/>
  <c r="G196" i="36"/>
  <c r="F232" i="36"/>
  <c r="T211" i="36"/>
  <c r="B7" i="36"/>
  <c r="I100" i="36"/>
  <c r="F106" i="36"/>
  <c r="E91" i="36"/>
  <c r="E189" i="36"/>
  <c r="F99" i="36"/>
  <c r="N81" i="35"/>
  <c r="AD211" i="35"/>
  <c r="L81" i="35"/>
  <c r="O81" i="35"/>
  <c r="S81" i="35"/>
  <c r="O7" i="35"/>
  <c r="K81" i="35"/>
  <c r="J81" i="35"/>
  <c r="AB211" i="35"/>
  <c r="I7" i="35"/>
  <c r="I81" i="35"/>
  <c r="G81" i="35"/>
  <c r="G7" i="35"/>
  <c r="E81" i="35"/>
  <c r="D81" i="35"/>
  <c r="D7" i="35"/>
  <c r="B81" i="35"/>
  <c r="W211" i="35"/>
  <c r="E7" i="35"/>
  <c r="C81" i="35"/>
  <c r="F232" i="35"/>
  <c r="G196" i="35"/>
  <c r="AE211" i="35"/>
  <c r="M7" i="35"/>
  <c r="E189" i="35"/>
  <c r="F99" i="35"/>
  <c r="AF211" i="35"/>
  <c r="N7" i="35"/>
  <c r="AK211" i="35"/>
  <c r="S7" i="35"/>
  <c r="D197" i="35"/>
  <c r="E191" i="35"/>
  <c r="D91" i="35"/>
  <c r="H100" i="35"/>
  <c r="AI80" i="35"/>
  <c r="AH80" i="35"/>
  <c r="X211" i="35"/>
  <c r="C206" i="35"/>
  <c r="B206" i="35"/>
  <c r="F7" i="35"/>
  <c r="AC211" i="35"/>
  <c r="K7" i="35"/>
  <c r="T211" i="35"/>
  <c r="B7" i="35"/>
  <c r="U211" i="35"/>
  <c r="C7" i="35"/>
  <c r="M81" i="35"/>
  <c r="G106" i="36" l="1"/>
  <c r="F91" i="36"/>
  <c r="G232" i="36"/>
  <c r="H196" i="36"/>
  <c r="J100" i="36"/>
  <c r="H191" i="36"/>
  <c r="G197" i="36"/>
  <c r="F189" i="36"/>
  <c r="G99" i="36"/>
  <c r="K6" i="35"/>
  <c r="F189" i="35"/>
  <c r="G99" i="35"/>
  <c r="I100" i="35"/>
  <c r="E197" i="35"/>
  <c r="F191" i="35"/>
  <c r="E91" i="35"/>
  <c r="G232" i="35"/>
  <c r="H196" i="35"/>
  <c r="K100" i="36" l="1"/>
  <c r="G189" i="36"/>
  <c r="H99" i="36"/>
  <c r="I196" i="36"/>
  <c r="H232" i="36"/>
  <c r="H106" i="36"/>
  <c r="G91" i="36"/>
  <c r="H197" i="36"/>
  <c r="I191" i="36"/>
  <c r="J100" i="35"/>
  <c r="G189" i="35"/>
  <c r="H99" i="35"/>
  <c r="I196" i="35"/>
  <c r="H232" i="35"/>
  <c r="F197" i="35"/>
  <c r="G191" i="35"/>
  <c r="F91" i="35"/>
  <c r="I106" i="36" l="1"/>
  <c r="H91" i="36"/>
  <c r="H189" i="36"/>
  <c r="I99" i="36"/>
  <c r="J196" i="36"/>
  <c r="I232" i="36"/>
  <c r="I197" i="36"/>
  <c r="J191" i="36"/>
  <c r="L100" i="36"/>
  <c r="H189" i="35"/>
  <c r="I99" i="35"/>
  <c r="J196" i="35"/>
  <c r="I232" i="35"/>
  <c r="K100" i="35"/>
  <c r="H191" i="35"/>
  <c r="G197" i="35"/>
  <c r="G91" i="35"/>
  <c r="J197" i="36" l="1"/>
  <c r="K191" i="36"/>
  <c r="K196" i="36"/>
  <c r="J232" i="36"/>
  <c r="I189" i="36"/>
  <c r="J99" i="36"/>
  <c r="M100" i="36"/>
  <c r="J106" i="36"/>
  <c r="I91" i="36"/>
  <c r="H197" i="35"/>
  <c r="I191" i="35"/>
  <c r="H91" i="35"/>
  <c r="J232" i="35"/>
  <c r="K196" i="35"/>
  <c r="L100" i="35"/>
  <c r="I189" i="35"/>
  <c r="J99" i="35"/>
  <c r="J189" i="36" l="1"/>
  <c r="K99" i="36"/>
  <c r="L196" i="36"/>
  <c r="K232" i="36"/>
  <c r="K197" i="36"/>
  <c r="L191" i="36"/>
  <c r="N100" i="36"/>
  <c r="K106" i="36"/>
  <c r="J91" i="36"/>
  <c r="M100" i="35"/>
  <c r="K232" i="35"/>
  <c r="L196" i="35"/>
  <c r="I197" i="35"/>
  <c r="J191" i="35"/>
  <c r="I91" i="35"/>
  <c r="J189" i="35"/>
  <c r="K99" i="35"/>
  <c r="O100" i="36" l="1"/>
  <c r="M191" i="36"/>
  <c r="L197" i="36"/>
  <c r="L232" i="36"/>
  <c r="M196" i="36"/>
  <c r="K189" i="36"/>
  <c r="L99" i="36"/>
  <c r="L106" i="36"/>
  <c r="K91" i="36"/>
  <c r="K191" i="35"/>
  <c r="J197" i="35"/>
  <c r="J91" i="35"/>
  <c r="L232" i="35"/>
  <c r="M196" i="35"/>
  <c r="K189" i="35"/>
  <c r="L99" i="35"/>
  <c r="N100" i="35"/>
  <c r="M232" i="36" l="1"/>
  <c r="N196" i="36"/>
  <c r="N191" i="36"/>
  <c r="M197" i="36"/>
  <c r="L189" i="36"/>
  <c r="M99" i="36"/>
  <c r="P100" i="36"/>
  <c r="M106" i="36"/>
  <c r="L91" i="36"/>
  <c r="O100" i="35"/>
  <c r="L189" i="35"/>
  <c r="M99" i="35"/>
  <c r="M232" i="35"/>
  <c r="N196" i="35"/>
  <c r="K197" i="35"/>
  <c r="L191" i="35"/>
  <c r="K91" i="35"/>
  <c r="Q100" i="36" l="1"/>
  <c r="M189" i="36"/>
  <c r="N99" i="36"/>
  <c r="O191" i="36"/>
  <c r="N197" i="36"/>
  <c r="O196" i="36"/>
  <c r="N232" i="36"/>
  <c r="N106" i="36"/>
  <c r="M91" i="36"/>
  <c r="M189" i="35"/>
  <c r="N99" i="35"/>
  <c r="M191" i="35"/>
  <c r="L197" i="35"/>
  <c r="L91" i="35"/>
  <c r="N232" i="35"/>
  <c r="O196" i="35"/>
  <c r="P100" i="35"/>
  <c r="P196" i="36" l="1"/>
  <c r="O232" i="36"/>
  <c r="N189" i="36"/>
  <c r="O99" i="36"/>
  <c r="P191" i="36"/>
  <c r="O197" i="36"/>
  <c r="R100" i="36"/>
  <c r="O106" i="36"/>
  <c r="N91" i="36"/>
  <c r="O232" i="35"/>
  <c r="P196" i="35"/>
  <c r="N189" i="35"/>
  <c r="O99" i="35"/>
  <c r="M197" i="35"/>
  <c r="N191" i="35"/>
  <c r="M91" i="35"/>
  <c r="Q100" i="35"/>
  <c r="S100" i="36" l="1"/>
  <c r="O189" i="36"/>
  <c r="P99" i="36"/>
  <c r="P197" i="36"/>
  <c r="Q191" i="36"/>
  <c r="P106" i="36"/>
  <c r="O91" i="36"/>
  <c r="Q196" i="36"/>
  <c r="P232" i="36"/>
  <c r="O189" i="35"/>
  <c r="P99" i="35"/>
  <c r="Q196" i="35"/>
  <c r="P232" i="35"/>
  <c r="R100" i="35"/>
  <c r="N197" i="35"/>
  <c r="O191" i="35"/>
  <c r="N91" i="35"/>
  <c r="Q197" i="36" l="1"/>
  <c r="R191" i="36"/>
  <c r="Q106" i="36"/>
  <c r="P91" i="36"/>
  <c r="P189" i="36"/>
  <c r="Q99" i="36"/>
  <c r="R196" i="36"/>
  <c r="Q232" i="36"/>
  <c r="T100" i="36"/>
  <c r="P191" i="35"/>
  <c r="O197" i="35"/>
  <c r="O91" i="35"/>
  <c r="S100" i="35"/>
  <c r="R196" i="35"/>
  <c r="Q232" i="35"/>
  <c r="P189" i="35"/>
  <c r="Q99" i="35"/>
  <c r="Q189" i="36" l="1"/>
  <c r="R99" i="36"/>
  <c r="S196" i="36"/>
  <c r="R232" i="36"/>
  <c r="R106" i="36"/>
  <c r="Q91" i="36"/>
  <c r="R197" i="36"/>
  <c r="S191" i="36"/>
  <c r="U100" i="36"/>
  <c r="S196" i="35"/>
  <c r="R232" i="35"/>
  <c r="T100" i="35"/>
  <c r="Q189" i="35"/>
  <c r="R99" i="35"/>
  <c r="Q191" i="35"/>
  <c r="P197" i="35"/>
  <c r="P91" i="35"/>
  <c r="S106" i="36" l="1"/>
  <c r="R91" i="36"/>
  <c r="T196" i="36"/>
  <c r="S232" i="36"/>
  <c r="V100" i="36"/>
  <c r="R189" i="36"/>
  <c r="S99" i="36"/>
  <c r="T191" i="36"/>
  <c r="S197" i="36"/>
  <c r="Q197" i="35"/>
  <c r="R191" i="35"/>
  <c r="Q91" i="35"/>
  <c r="U100" i="35"/>
  <c r="R189" i="35"/>
  <c r="S99" i="35"/>
  <c r="S232" i="35"/>
  <c r="T196" i="35"/>
  <c r="S189" i="36" l="1"/>
  <c r="T99" i="36"/>
  <c r="W100" i="36"/>
  <c r="T232" i="36"/>
  <c r="U196" i="36"/>
  <c r="U191" i="36"/>
  <c r="T197" i="36"/>
  <c r="T49" i="36" s="1"/>
  <c r="T106" i="36"/>
  <c r="S91" i="36"/>
  <c r="S189" i="35"/>
  <c r="T99" i="35"/>
  <c r="V100" i="35"/>
  <c r="R197" i="35"/>
  <c r="S191" i="35"/>
  <c r="R91" i="35"/>
  <c r="T232" i="35"/>
  <c r="U196" i="35"/>
  <c r="T50" i="36" l="1"/>
  <c r="X100" i="36"/>
  <c r="U232" i="36"/>
  <c r="V196" i="36"/>
  <c r="U197" i="36"/>
  <c r="U49" i="36" s="1"/>
  <c r="U50" i="36" s="1"/>
  <c r="V191" i="36"/>
  <c r="T189" i="36"/>
  <c r="U99" i="36"/>
  <c r="U106" i="36"/>
  <c r="T91" i="36"/>
  <c r="T189" i="35"/>
  <c r="U99" i="35"/>
  <c r="S197" i="35"/>
  <c r="T191" i="35"/>
  <c r="S91" i="35"/>
  <c r="W100" i="35"/>
  <c r="V196" i="35"/>
  <c r="U232" i="35"/>
  <c r="W196" i="36" l="1"/>
  <c r="V232" i="36"/>
  <c r="T73" i="36"/>
  <c r="T71" i="36"/>
  <c r="V106" i="36"/>
  <c r="U91" i="36"/>
  <c r="Y100" i="36"/>
  <c r="U189" i="36"/>
  <c r="V99" i="36"/>
  <c r="U71" i="36"/>
  <c r="U73" i="36"/>
  <c r="W191" i="36"/>
  <c r="V197" i="36"/>
  <c r="V49" i="36" s="1"/>
  <c r="V50" i="36" s="1"/>
  <c r="V232" i="35"/>
  <c r="W196" i="35"/>
  <c r="X100" i="35"/>
  <c r="U189" i="35"/>
  <c r="V99" i="35"/>
  <c r="U191" i="35"/>
  <c r="T197" i="35"/>
  <c r="T49" i="35" s="1"/>
  <c r="T91" i="35"/>
  <c r="AM211" i="36" l="1"/>
  <c r="U7" i="36"/>
  <c r="U81" i="36"/>
  <c r="T81" i="36"/>
  <c r="V189" i="36"/>
  <c r="W99" i="36"/>
  <c r="AL211" i="36"/>
  <c r="T7" i="36"/>
  <c r="W106" i="36"/>
  <c r="V91" i="36"/>
  <c r="Z100" i="36"/>
  <c r="X191" i="36"/>
  <c r="W197" i="36"/>
  <c r="W49" i="36" s="1"/>
  <c r="V73" i="36"/>
  <c r="V71" i="36"/>
  <c r="V81" i="36" s="1"/>
  <c r="W232" i="36"/>
  <c r="X196" i="36"/>
  <c r="T50" i="35"/>
  <c r="V191" i="35"/>
  <c r="U197" i="35"/>
  <c r="U49" i="35" s="1"/>
  <c r="U50" i="35" s="1"/>
  <c r="U91" i="35"/>
  <c r="V189" i="35"/>
  <c r="W99" i="35"/>
  <c r="Y100" i="35"/>
  <c r="W232" i="35"/>
  <c r="X196" i="35"/>
  <c r="W189" i="36" l="1"/>
  <c r="X99" i="36"/>
  <c r="AA100" i="36"/>
  <c r="X106" i="36"/>
  <c r="W91" i="36"/>
  <c r="AN211" i="36"/>
  <c r="V7" i="36"/>
  <c r="X232" i="36"/>
  <c r="Y196" i="36"/>
  <c r="W50" i="36"/>
  <c r="X197" i="36"/>
  <c r="X49" i="36" s="1"/>
  <c r="X50" i="36" s="1"/>
  <c r="Y191" i="36"/>
  <c r="W189" i="35"/>
  <c r="X99" i="35"/>
  <c r="U73" i="35"/>
  <c r="U71" i="35"/>
  <c r="X232" i="35"/>
  <c r="Y196" i="35"/>
  <c r="V197" i="35"/>
  <c r="V49" i="35" s="1"/>
  <c r="V50" i="35" s="1"/>
  <c r="W191" i="35"/>
  <c r="V91" i="35"/>
  <c r="Z100" i="35"/>
  <c r="T71" i="35"/>
  <c r="T73" i="35"/>
  <c r="W73" i="36" l="1"/>
  <c r="W71" i="36"/>
  <c r="Y106" i="36"/>
  <c r="X91" i="36"/>
  <c r="Z191" i="36"/>
  <c r="Y197" i="36"/>
  <c r="Y232" i="36"/>
  <c r="Z196" i="36"/>
  <c r="AB100" i="36"/>
  <c r="X71" i="36"/>
  <c r="X73" i="36"/>
  <c r="X189" i="36"/>
  <c r="Y99" i="36"/>
  <c r="U81" i="35"/>
  <c r="AL211" i="35"/>
  <c r="T7" i="35"/>
  <c r="T81" i="35"/>
  <c r="AA100" i="35"/>
  <c r="V71" i="35"/>
  <c r="V73" i="35"/>
  <c r="Z196" i="35"/>
  <c r="Y232" i="35"/>
  <c r="AM211" i="35"/>
  <c r="U7" i="35"/>
  <c r="X189" i="35"/>
  <c r="Y99" i="35"/>
  <c r="X191" i="35"/>
  <c r="W197" i="35"/>
  <c r="W49" i="35" s="1"/>
  <c r="W50" i="35" s="1"/>
  <c r="W91" i="35"/>
  <c r="Z197" i="36" l="1"/>
  <c r="Z49" i="36" s="1"/>
  <c r="AA191" i="36"/>
  <c r="AP211" i="36"/>
  <c r="X7" i="36"/>
  <c r="Z106" i="36"/>
  <c r="Y91" i="36"/>
  <c r="W81" i="36"/>
  <c r="AA196" i="36"/>
  <c r="Z232" i="36"/>
  <c r="AO211" i="36"/>
  <c r="W7" i="36"/>
  <c r="X81" i="36"/>
  <c r="AC100" i="36"/>
  <c r="Y189" i="36"/>
  <c r="Z99" i="36"/>
  <c r="AN211" i="35"/>
  <c r="V7" i="35"/>
  <c r="W73" i="35"/>
  <c r="W71" i="35"/>
  <c r="AA196" i="35"/>
  <c r="Z232" i="35"/>
  <c r="X197" i="35"/>
  <c r="X50" i="35" s="1"/>
  <c r="Y191" i="35"/>
  <c r="X91" i="35"/>
  <c r="Y189" i="35"/>
  <c r="Z99" i="35"/>
  <c r="V81" i="35"/>
  <c r="AB100" i="35"/>
  <c r="Z189" i="36" l="1"/>
  <c r="AA99" i="36"/>
  <c r="AA106" i="36"/>
  <c r="Z91" i="36"/>
  <c r="AD100" i="36"/>
  <c r="AB196" i="36"/>
  <c r="AA232" i="36"/>
  <c r="AA197" i="36"/>
  <c r="AA49" i="36" s="1"/>
  <c r="AA50" i="36" s="1"/>
  <c r="AB191" i="36"/>
  <c r="Z50" i="36"/>
  <c r="AB196" i="35"/>
  <c r="AA232" i="35"/>
  <c r="AC100" i="35"/>
  <c r="Y197" i="35"/>
  <c r="Z191" i="35"/>
  <c r="Y91" i="35"/>
  <c r="W81" i="35"/>
  <c r="X71" i="35"/>
  <c r="X73" i="35"/>
  <c r="Z189" i="35"/>
  <c r="AA99" i="35"/>
  <c r="AO211" i="35"/>
  <c r="W7" i="35"/>
  <c r="AE100" i="36" l="1"/>
  <c r="AA71" i="36"/>
  <c r="AA73" i="36"/>
  <c r="Z71" i="36"/>
  <c r="Z73" i="36"/>
  <c r="AB106" i="36"/>
  <c r="AA91" i="36"/>
  <c r="AC191" i="36"/>
  <c r="AB197" i="36"/>
  <c r="AB49" i="36" s="1"/>
  <c r="AA189" i="36"/>
  <c r="AB99" i="36"/>
  <c r="AB232" i="36"/>
  <c r="AC196" i="36"/>
  <c r="Z197" i="35"/>
  <c r="Z49" i="35" s="1"/>
  <c r="Z50" i="35" s="1"/>
  <c r="AA191" i="35"/>
  <c r="Z91" i="35"/>
  <c r="AP211" i="35"/>
  <c r="X7" i="35"/>
  <c r="X81" i="35"/>
  <c r="AD100" i="35"/>
  <c r="AA189" i="35"/>
  <c r="AB99" i="35"/>
  <c r="AB232" i="35"/>
  <c r="AC196" i="35"/>
  <c r="AD196" i="36" l="1"/>
  <c r="AC232" i="36"/>
  <c r="AB189" i="36"/>
  <c r="AC99" i="36"/>
  <c r="AS211" i="36"/>
  <c r="AA7" i="36"/>
  <c r="AR211" i="36"/>
  <c r="Z7" i="36"/>
  <c r="Z81" i="36"/>
  <c r="AB50" i="36"/>
  <c r="AA81" i="36"/>
  <c r="AF100" i="36"/>
  <c r="AC197" i="36"/>
  <c r="AC49" i="36" s="1"/>
  <c r="AC50" i="36" s="1"/>
  <c r="AD191" i="36"/>
  <c r="AC106" i="36"/>
  <c r="AB91" i="36"/>
  <c r="AE100" i="35"/>
  <c r="AA197" i="35"/>
  <c r="AA49" i="35" s="1"/>
  <c r="AA50" i="35" s="1"/>
  <c r="AB191" i="35"/>
  <c r="AA91" i="35"/>
  <c r="AB189" i="35"/>
  <c r="AC99" i="35"/>
  <c r="AC232" i="35"/>
  <c r="AD196" i="35"/>
  <c r="Z73" i="35"/>
  <c r="Z71" i="35"/>
  <c r="Z81" i="35" s="1"/>
  <c r="AC189" i="36" l="1"/>
  <c r="AD99" i="36"/>
  <c r="AD106" i="36"/>
  <c r="AC91" i="36"/>
  <c r="AC71" i="36"/>
  <c r="AC73" i="36"/>
  <c r="AB73" i="36"/>
  <c r="AB71" i="36"/>
  <c r="AE191" i="36"/>
  <c r="AD197" i="36"/>
  <c r="AD49" i="36" s="1"/>
  <c r="AD50" i="36" s="1"/>
  <c r="AE196" i="36"/>
  <c r="AD232" i="36"/>
  <c r="AB197" i="35"/>
  <c r="AB49" i="35" s="1"/>
  <c r="AB50" i="35" s="1"/>
  <c r="AC191" i="35"/>
  <c r="AB91" i="35"/>
  <c r="AR211" i="35"/>
  <c r="Z7" i="35"/>
  <c r="AF100" i="35"/>
  <c r="AC189" i="35"/>
  <c r="AD99" i="35"/>
  <c r="AA71" i="35"/>
  <c r="AA73" i="35"/>
  <c r="AD232" i="35"/>
  <c r="AE196" i="35"/>
  <c r="AC81" i="36" l="1"/>
  <c r="AB81" i="36"/>
  <c r="AE232" i="36"/>
  <c r="AF196" i="36"/>
  <c r="AF232" i="36" s="1"/>
  <c r="AU211" i="36"/>
  <c r="AC7" i="36"/>
  <c r="AD73" i="36"/>
  <c r="AD71" i="36"/>
  <c r="AE106" i="36"/>
  <c r="AD91" i="36"/>
  <c r="AF191" i="36"/>
  <c r="AE197" i="36"/>
  <c r="AE49" i="36" s="1"/>
  <c r="AE50" i="36" s="1"/>
  <c r="AD189" i="36"/>
  <c r="AE99" i="36"/>
  <c r="AT211" i="36"/>
  <c r="AB7" i="36"/>
  <c r="AL36" i="35"/>
  <c r="AL37" i="35" s="1"/>
  <c r="AS211" i="35"/>
  <c r="AA7" i="35"/>
  <c r="AA81" i="35"/>
  <c r="AD189" i="35"/>
  <c r="AE99" i="35"/>
  <c r="AE232" i="35"/>
  <c r="AF196" i="35"/>
  <c r="AF232" i="35" s="1"/>
  <c r="AD191" i="35"/>
  <c r="AC197" i="35"/>
  <c r="AC49" i="35" s="1"/>
  <c r="AC50" i="35" s="1"/>
  <c r="AC91" i="35"/>
  <c r="AB71" i="35"/>
  <c r="AB73" i="35"/>
  <c r="AD81" i="36" l="1"/>
  <c r="AE189" i="36"/>
  <c r="AF99" i="36"/>
  <c r="AF197" i="36"/>
  <c r="AF49" i="36" s="1"/>
  <c r="AE71" i="36"/>
  <c r="AE73" i="36"/>
  <c r="AF106" i="36"/>
  <c r="AF91" i="36" s="1"/>
  <c r="AE91" i="36"/>
  <c r="AV211" i="36"/>
  <c r="AD7" i="36"/>
  <c r="AE191" i="35"/>
  <c r="AD197" i="35"/>
  <c r="AD49" i="35" s="1"/>
  <c r="AD50" i="35" s="1"/>
  <c r="AD91" i="35"/>
  <c r="AT211" i="35"/>
  <c r="AB7" i="35"/>
  <c r="AE189" i="35"/>
  <c r="AF99" i="35"/>
  <c r="AF189" i="35" s="1"/>
  <c r="AB81" i="35"/>
  <c r="AC71" i="35"/>
  <c r="AC73" i="35"/>
  <c r="AW211" i="36" l="1"/>
  <c r="AE7" i="36"/>
  <c r="AI91" i="36"/>
  <c r="AH91" i="36"/>
  <c r="AF50" i="36"/>
  <c r="AH49" i="36"/>
  <c r="AI49" i="36"/>
  <c r="AE81" i="36"/>
  <c r="AF189" i="36"/>
  <c r="AU211" i="35"/>
  <c r="AC7" i="35"/>
  <c r="AD71" i="35"/>
  <c r="AD73" i="35"/>
  <c r="AC81" i="35"/>
  <c r="AF191" i="35"/>
  <c r="AE197" i="35"/>
  <c r="AE49" i="35" s="1"/>
  <c r="AE50" i="35" s="1"/>
  <c r="AE91" i="35"/>
  <c r="AF73" i="36" l="1"/>
  <c r="AF71" i="36"/>
  <c r="AI50" i="36"/>
  <c r="AH50" i="36"/>
  <c r="AE73" i="35"/>
  <c r="AE71" i="35"/>
  <c r="AE81" i="35" s="1"/>
  <c r="AF197" i="35"/>
  <c r="AF49" i="35" s="1"/>
  <c r="AF91" i="35"/>
  <c r="AV211" i="35"/>
  <c r="AD7" i="35"/>
  <c r="AD81" i="35"/>
  <c r="AF81" i="36" l="1"/>
  <c r="AI71" i="36"/>
  <c r="AH71" i="36"/>
  <c r="AX211" i="36"/>
  <c r="AF7" i="36"/>
  <c r="A7" i="36" s="1"/>
  <c r="AI73" i="36"/>
  <c r="AH73" i="36"/>
  <c r="AF50" i="35"/>
  <c r="AJ50" i="35" s="1"/>
  <c r="AL2" i="35" s="1"/>
  <c r="AI49" i="35"/>
  <c r="AH49" i="35"/>
  <c r="AH91" i="35"/>
  <c r="AI91" i="35"/>
  <c r="AW211" i="35"/>
  <c r="AE7" i="35"/>
  <c r="AI81" i="36" l="1"/>
  <c r="AH81" i="36"/>
  <c r="AF71" i="35"/>
  <c r="AF73" i="35"/>
  <c r="AI50" i="35"/>
  <c r="AH50" i="35"/>
  <c r="AX211" i="35" l="1"/>
  <c r="AF7" i="35"/>
  <c r="A7" i="35" s="1"/>
  <c r="AI73" i="35"/>
  <c r="AH73" i="35"/>
  <c r="AF81" i="35"/>
  <c r="AI71" i="35"/>
  <c r="AH71" i="35"/>
  <c r="AI81" i="35" l="1"/>
  <c r="AH81" i="35"/>
  <c r="V93" i="34" l="1"/>
  <c r="U93" i="34"/>
  <c r="T93" i="34"/>
  <c r="O99" i="34"/>
  <c r="Q35" i="34"/>
  <c r="O35" i="34" l="1"/>
  <c r="N35" i="34"/>
  <c r="K93" i="34"/>
  <c r="J93" i="34"/>
  <c r="I93" i="34"/>
  <c r="H93" i="34"/>
  <c r="G93" i="34"/>
  <c r="F93" i="34"/>
  <c r="E93" i="34"/>
  <c r="D93" i="34"/>
  <c r="AH97" i="34"/>
  <c r="AI97" i="34" s="1"/>
  <c r="B91" i="34"/>
  <c r="B78" i="34"/>
  <c r="B77" i="34"/>
  <c r="B76" i="34"/>
  <c r="B75" i="34"/>
  <c r="B74" i="34"/>
  <c r="B70" i="34"/>
  <c r="B66" i="34"/>
  <c r="B54" i="34"/>
  <c r="B49" i="34"/>
  <c r="B50" i="34" s="1"/>
  <c r="B36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B235" i="34"/>
  <c r="A235" i="34"/>
  <c r="AF234" i="34"/>
  <c r="AE234" i="34"/>
  <c r="AD234" i="34"/>
  <c r="AC234" i="34"/>
  <c r="AB234" i="34"/>
  <c r="AA234" i="34"/>
  <c r="Z234" i="34"/>
  <c r="Y234" i="34"/>
  <c r="X234" i="34"/>
  <c r="W234" i="34"/>
  <c r="V234" i="34"/>
  <c r="U234" i="34"/>
  <c r="T234" i="34"/>
  <c r="S234" i="34"/>
  <c r="R234" i="34"/>
  <c r="Q234" i="34"/>
  <c r="P234" i="34"/>
  <c r="O234" i="34"/>
  <c r="N234" i="34"/>
  <c r="M234" i="34"/>
  <c r="L234" i="34"/>
  <c r="K234" i="34"/>
  <c r="J234" i="34"/>
  <c r="I234" i="34"/>
  <c r="H234" i="34"/>
  <c r="G234" i="34"/>
  <c r="F234" i="34"/>
  <c r="E234" i="34"/>
  <c r="D234" i="34"/>
  <c r="C234" i="34"/>
  <c r="B234" i="34"/>
  <c r="A234" i="34"/>
  <c r="AF233" i="34"/>
  <c r="AE233" i="34"/>
  <c r="AD233" i="34"/>
  <c r="AC233" i="34"/>
  <c r="AB233" i="34"/>
  <c r="AA233" i="34"/>
  <c r="Z233" i="34"/>
  <c r="Y233" i="34"/>
  <c r="X233" i="34"/>
  <c r="W233" i="34"/>
  <c r="V233" i="34"/>
  <c r="U233" i="34"/>
  <c r="T233" i="34"/>
  <c r="S233" i="34"/>
  <c r="R233" i="34"/>
  <c r="Q233" i="34"/>
  <c r="P233" i="34"/>
  <c r="O233" i="34"/>
  <c r="N233" i="34"/>
  <c r="M233" i="34"/>
  <c r="L233" i="34"/>
  <c r="K233" i="34"/>
  <c r="J233" i="34"/>
  <c r="I233" i="34"/>
  <c r="H233" i="34"/>
  <c r="G233" i="34"/>
  <c r="F233" i="34"/>
  <c r="E233" i="34"/>
  <c r="D233" i="34"/>
  <c r="C233" i="34"/>
  <c r="B233" i="34"/>
  <c r="A233" i="34"/>
  <c r="D232" i="34"/>
  <c r="B232" i="34"/>
  <c r="S207" i="34"/>
  <c r="AG197" i="34"/>
  <c r="B197" i="34"/>
  <c r="E196" i="34"/>
  <c r="C196" i="34"/>
  <c r="D196" i="34" s="1"/>
  <c r="AB195" i="34"/>
  <c r="AC195" i="34" s="1"/>
  <c r="AD195" i="34" s="1"/>
  <c r="AE195" i="34" s="1"/>
  <c r="AF195" i="34" s="1"/>
  <c r="C195" i="34"/>
  <c r="D195" i="34" s="1"/>
  <c r="E195" i="34" s="1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F194" i="34"/>
  <c r="G194" i="34" s="1"/>
  <c r="H194" i="34" s="1"/>
  <c r="I194" i="34" s="1"/>
  <c r="J194" i="34" s="1"/>
  <c r="K194" i="34" s="1"/>
  <c r="L194" i="34" s="1"/>
  <c r="M194" i="34" s="1"/>
  <c r="N194" i="34" s="1"/>
  <c r="O194" i="34" s="1"/>
  <c r="P194" i="34" s="1"/>
  <c r="Q194" i="34" s="1"/>
  <c r="R194" i="34" s="1"/>
  <c r="S194" i="34" s="1"/>
  <c r="T194" i="34" s="1"/>
  <c r="U194" i="34" s="1"/>
  <c r="V194" i="34" s="1"/>
  <c r="W194" i="34" s="1"/>
  <c r="X194" i="34" s="1"/>
  <c r="Y194" i="34" s="1"/>
  <c r="Z194" i="34" s="1"/>
  <c r="AA194" i="34" s="1"/>
  <c r="AB194" i="34" s="1"/>
  <c r="AC194" i="34" s="1"/>
  <c r="AD194" i="34" s="1"/>
  <c r="AE194" i="34" s="1"/>
  <c r="AF194" i="34" s="1"/>
  <c r="C194" i="34"/>
  <c r="D194" i="34" s="1"/>
  <c r="E194" i="34" s="1"/>
  <c r="E193" i="34"/>
  <c r="F193" i="34" s="1"/>
  <c r="G193" i="34" s="1"/>
  <c r="H193" i="34" s="1"/>
  <c r="I193" i="34" s="1"/>
  <c r="J193" i="34" s="1"/>
  <c r="K193" i="34" s="1"/>
  <c r="L193" i="34" s="1"/>
  <c r="M193" i="34" s="1"/>
  <c r="N193" i="34" s="1"/>
  <c r="O193" i="34" s="1"/>
  <c r="P193" i="34" s="1"/>
  <c r="Q193" i="34" s="1"/>
  <c r="R193" i="34" s="1"/>
  <c r="S193" i="34" s="1"/>
  <c r="T193" i="34" s="1"/>
  <c r="U193" i="34" s="1"/>
  <c r="V193" i="34" s="1"/>
  <c r="W193" i="34" s="1"/>
  <c r="X193" i="34" s="1"/>
  <c r="Y193" i="34" s="1"/>
  <c r="Z193" i="34" s="1"/>
  <c r="AA193" i="34" s="1"/>
  <c r="AB193" i="34" s="1"/>
  <c r="AC193" i="34" s="1"/>
  <c r="AD193" i="34" s="1"/>
  <c r="AE193" i="34" s="1"/>
  <c r="AF193" i="34" s="1"/>
  <c r="C193" i="34"/>
  <c r="D193" i="34" s="1"/>
  <c r="K192" i="34"/>
  <c r="L192" i="34" s="1"/>
  <c r="M192" i="34" s="1"/>
  <c r="N192" i="34" s="1"/>
  <c r="O192" i="34" s="1"/>
  <c r="P192" i="34" s="1"/>
  <c r="Q192" i="34" s="1"/>
  <c r="R192" i="34" s="1"/>
  <c r="S192" i="34" s="1"/>
  <c r="T192" i="34" s="1"/>
  <c r="U192" i="34" s="1"/>
  <c r="V192" i="34" s="1"/>
  <c r="W192" i="34" s="1"/>
  <c r="X192" i="34" s="1"/>
  <c r="Y192" i="34" s="1"/>
  <c r="Z192" i="34" s="1"/>
  <c r="AA192" i="34" s="1"/>
  <c r="AB192" i="34" s="1"/>
  <c r="AC192" i="34" s="1"/>
  <c r="AD192" i="34" s="1"/>
  <c r="AE192" i="34" s="1"/>
  <c r="AF192" i="34" s="1"/>
  <c r="C192" i="34"/>
  <c r="D192" i="34" s="1"/>
  <c r="E192" i="34" s="1"/>
  <c r="F192" i="34" s="1"/>
  <c r="G192" i="34" s="1"/>
  <c r="H192" i="34" s="1"/>
  <c r="I192" i="34" s="1"/>
  <c r="J192" i="34" s="1"/>
  <c r="D191" i="34"/>
  <c r="C191" i="34"/>
  <c r="C197" i="34" s="1"/>
  <c r="AG189" i="34"/>
  <c r="B189" i="34"/>
  <c r="AA188" i="34"/>
  <c r="AB188" i="34" s="1"/>
  <c r="AC188" i="34" s="1"/>
  <c r="AD188" i="34" s="1"/>
  <c r="AE188" i="34" s="1"/>
  <c r="AF188" i="34" s="1"/>
  <c r="I188" i="34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F188" i="34"/>
  <c r="G188" i="34" s="1"/>
  <c r="H188" i="34" s="1"/>
  <c r="C188" i="34"/>
  <c r="D188" i="34" s="1"/>
  <c r="E188" i="34" s="1"/>
  <c r="E187" i="34"/>
  <c r="F187" i="34" s="1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C187" i="34"/>
  <c r="D187" i="34" s="1"/>
  <c r="D186" i="34"/>
  <c r="E186" i="34" s="1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C186" i="34"/>
  <c r="D185" i="34"/>
  <c r="E185" i="34" s="1"/>
  <c r="F185" i="34" s="1"/>
  <c r="G185" i="34" s="1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C185" i="34"/>
  <c r="C184" i="34"/>
  <c r="D184" i="34" s="1"/>
  <c r="E184" i="34" s="1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U183" i="34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C183" i="34"/>
  <c r="D183" i="34" s="1"/>
  <c r="E183" i="34" s="1"/>
  <c r="F183" i="34" s="1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C182" i="34"/>
  <c r="D182" i="34" s="1"/>
  <c r="E182" i="34" s="1"/>
  <c r="F182" i="34" s="1"/>
  <c r="G182" i="34" s="1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H181" i="34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C181" i="34"/>
  <c r="D181" i="34" s="1"/>
  <c r="E181" i="34" s="1"/>
  <c r="F181" i="34" s="1"/>
  <c r="G181" i="34" s="1"/>
  <c r="U180" i="34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J180" i="34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H180" i="34"/>
  <c r="I180" i="34" s="1"/>
  <c r="E180" i="34"/>
  <c r="F180" i="34" s="1"/>
  <c r="G180" i="34" s="1"/>
  <c r="C180" i="34"/>
  <c r="D180" i="34" s="1"/>
  <c r="E179" i="34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D179" i="34"/>
  <c r="C179" i="34"/>
  <c r="D178" i="34"/>
  <c r="E178" i="34" s="1"/>
  <c r="F178" i="34" s="1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C178" i="34"/>
  <c r="X177" i="34"/>
  <c r="Y177" i="34" s="1"/>
  <c r="Z177" i="34" s="1"/>
  <c r="AA177" i="34" s="1"/>
  <c r="AB177" i="34" s="1"/>
  <c r="AC177" i="34" s="1"/>
  <c r="AD177" i="34" s="1"/>
  <c r="AE177" i="34" s="1"/>
  <c r="AF177" i="34" s="1"/>
  <c r="M177" i="34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G177" i="34"/>
  <c r="H177" i="34" s="1"/>
  <c r="I177" i="34" s="1"/>
  <c r="J177" i="34" s="1"/>
  <c r="K177" i="34" s="1"/>
  <c r="L177" i="34" s="1"/>
  <c r="C177" i="34"/>
  <c r="D177" i="34" s="1"/>
  <c r="E177" i="34" s="1"/>
  <c r="F177" i="34" s="1"/>
  <c r="M176" i="34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D176" i="34"/>
  <c r="E176" i="34" s="1"/>
  <c r="F176" i="34" s="1"/>
  <c r="G176" i="34" s="1"/>
  <c r="H176" i="34" s="1"/>
  <c r="I176" i="34" s="1"/>
  <c r="J176" i="34" s="1"/>
  <c r="K176" i="34" s="1"/>
  <c r="L176" i="34" s="1"/>
  <c r="C176" i="34"/>
  <c r="C174" i="34"/>
  <c r="D174" i="34" s="1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J173" i="34"/>
  <c r="K173" i="34" s="1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D173" i="34"/>
  <c r="E173" i="34" s="1"/>
  <c r="F173" i="34" s="1"/>
  <c r="G173" i="34" s="1"/>
  <c r="H173" i="34" s="1"/>
  <c r="I173" i="34" s="1"/>
  <c r="C173" i="34"/>
  <c r="L172" i="34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G172" i="34"/>
  <c r="H172" i="34" s="1"/>
  <c r="I172" i="34" s="1"/>
  <c r="J172" i="34" s="1"/>
  <c r="K172" i="34" s="1"/>
  <c r="C172" i="34"/>
  <c r="D172" i="34" s="1"/>
  <c r="E172" i="34" s="1"/>
  <c r="F172" i="34" s="1"/>
  <c r="D171" i="34"/>
  <c r="E171" i="34" s="1"/>
  <c r="F171" i="34" s="1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C171" i="34"/>
  <c r="O170" i="34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D170" i="34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C170" i="34"/>
  <c r="F169" i="34"/>
  <c r="G169" i="34" s="1"/>
  <c r="H169" i="34" s="1"/>
  <c r="I169" i="34" s="1"/>
  <c r="J169" i="34" s="1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D169" i="34"/>
  <c r="E169" i="34" s="1"/>
  <c r="C169" i="34"/>
  <c r="L168" i="34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C168" i="34"/>
  <c r="D168" i="34" s="1"/>
  <c r="E168" i="34" s="1"/>
  <c r="F168" i="34" s="1"/>
  <c r="G168" i="34" s="1"/>
  <c r="H168" i="34" s="1"/>
  <c r="I168" i="34" s="1"/>
  <c r="J168" i="34" s="1"/>
  <c r="K168" i="34" s="1"/>
  <c r="D167" i="34"/>
  <c r="E167" i="34" s="1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C167" i="34"/>
  <c r="J165" i="34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G165" i="34"/>
  <c r="H165" i="34" s="1"/>
  <c r="I165" i="34" s="1"/>
  <c r="F165" i="34"/>
  <c r="D165" i="34"/>
  <c r="E165" i="34" s="1"/>
  <c r="C165" i="34"/>
  <c r="AC164" i="34"/>
  <c r="AD164" i="34" s="1"/>
  <c r="AE164" i="34" s="1"/>
  <c r="AF164" i="34" s="1"/>
  <c r="P164" i="34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C164" i="34"/>
  <c r="J163" i="34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F163" i="34"/>
  <c r="G163" i="34" s="1"/>
  <c r="H163" i="34" s="1"/>
  <c r="I163" i="34" s="1"/>
  <c r="D163" i="34"/>
  <c r="E163" i="34" s="1"/>
  <c r="C163" i="34"/>
  <c r="R162" i="34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F162" i="34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D162" i="34"/>
  <c r="E162" i="34" s="1"/>
  <c r="C162" i="34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C161" i="34"/>
  <c r="AD160" i="34"/>
  <c r="AE160" i="34" s="1"/>
  <c r="AF160" i="34" s="1"/>
  <c r="N160" i="34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H160" i="34"/>
  <c r="I160" i="34" s="1"/>
  <c r="J160" i="34" s="1"/>
  <c r="K160" i="34" s="1"/>
  <c r="L160" i="34" s="1"/>
  <c r="M160" i="34" s="1"/>
  <c r="D160" i="34"/>
  <c r="E160" i="34" s="1"/>
  <c r="F160" i="34" s="1"/>
  <c r="G160" i="34" s="1"/>
  <c r="C160" i="34"/>
  <c r="F159" i="34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C159" i="34"/>
  <c r="D159" i="34" s="1"/>
  <c r="E159" i="34" s="1"/>
  <c r="O158" i="34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C158" i="34"/>
  <c r="D158" i="34" s="1"/>
  <c r="E158" i="34" s="1"/>
  <c r="F158" i="34" s="1"/>
  <c r="G158" i="34" s="1"/>
  <c r="H158" i="34" s="1"/>
  <c r="I158" i="34" s="1"/>
  <c r="J158" i="34" s="1"/>
  <c r="K158" i="34" s="1"/>
  <c r="L158" i="34" s="1"/>
  <c r="M158" i="34" s="1"/>
  <c r="N158" i="34" s="1"/>
  <c r="C157" i="34"/>
  <c r="D157" i="34" s="1"/>
  <c r="E157" i="34" s="1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N156" i="34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I156" i="34"/>
  <c r="J156" i="34" s="1"/>
  <c r="K156" i="34" s="1"/>
  <c r="L156" i="34" s="1"/>
  <c r="M156" i="34" s="1"/>
  <c r="F156" i="34"/>
  <c r="G156" i="34" s="1"/>
  <c r="H156" i="34" s="1"/>
  <c r="E156" i="34"/>
  <c r="D156" i="34"/>
  <c r="C156" i="34"/>
  <c r="L155" i="34"/>
  <c r="M155" i="34" s="1"/>
  <c r="N155" i="34" s="1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G155" i="34"/>
  <c r="H155" i="34" s="1"/>
  <c r="I155" i="34" s="1"/>
  <c r="J155" i="34" s="1"/>
  <c r="K155" i="34" s="1"/>
  <c r="D155" i="34"/>
  <c r="E155" i="34" s="1"/>
  <c r="F155" i="34" s="1"/>
  <c r="C155" i="34"/>
  <c r="M154" i="34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E154" i="34"/>
  <c r="F154" i="34" s="1"/>
  <c r="G154" i="34" s="1"/>
  <c r="H154" i="34" s="1"/>
  <c r="I154" i="34" s="1"/>
  <c r="J154" i="34" s="1"/>
  <c r="K154" i="34" s="1"/>
  <c r="L154" i="34" s="1"/>
  <c r="C154" i="34"/>
  <c r="D154" i="34" s="1"/>
  <c r="H153" i="34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C153" i="34"/>
  <c r="D153" i="34" s="1"/>
  <c r="E153" i="34" s="1"/>
  <c r="F153" i="34" s="1"/>
  <c r="G153" i="34" s="1"/>
  <c r="F151" i="34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E151" i="34"/>
  <c r="D151" i="34"/>
  <c r="C151" i="34"/>
  <c r="D150" i="34"/>
  <c r="E150" i="34" s="1"/>
  <c r="F150" i="34" s="1"/>
  <c r="G150" i="34" s="1"/>
  <c r="H150" i="34" s="1"/>
  <c r="I150" i="34" s="1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C150" i="34"/>
  <c r="R149" i="34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C149" i="34"/>
  <c r="D149" i="34" s="1"/>
  <c r="E149" i="34" s="1"/>
  <c r="F149" i="34" s="1"/>
  <c r="G149" i="34" s="1"/>
  <c r="H149" i="34" s="1"/>
  <c r="I149" i="34" s="1"/>
  <c r="J149" i="34" s="1"/>
  <c r="K149" i="34" s="1"/>
  <c r="L149" i="34" s="1"/>
  <c r="M149" i="34" s="1"/>
  <c r="N149" i="34" s="1"/>
  <c r="O149" i="34" s="1"/>
  <c r="P149" i="34" s="1"/>
  <c r="Q149" i="34" s="1"/>
  <c r="C148" i="34"/>
  <c r="D148" i="34" s="1"/>
  <c r="E148" i="34" s="1"/>
  <c r="F148" i="34" s="1"/>
  <c r="G148" i="34" s="1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U146" i="34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E146" i="34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C146" i="34"/>
  <c r="D146" i="34" s="1"/>
  <c r="C145" i="34"/>
  <c r="D145" i="34" s="1"/>
  <c r="E145" i="34" s="1"/>
  <c r="F145" i="34" s="1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R143" i="34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E143" i="34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C143" i="34"/>
  <c r="D143" i="34" s="1"/>
  <c r="O142" i="34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I142" i="34"/>
  <c r="J142" i="34" s="1"/>
  <c r="K142" i="34" s="1"/>
  <c r="L142" i="34" s="1"/>
  <c r="M142" i="34" s="1"/>
  <c r="N142" i="34" s="1"/>
  <c r="G142" i="34"/>
  <c r="H142" i="34" s="1"/>
  <c r="C142" i="34"/>
  <c r="D142" i="34" s="1"/>
  <c r="E142" i="34" s="1"/>
  <c r="F142" i="34" s="1"/>
  <c r="G141" i="34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C141" i="34"/>
  <c r="D141" i="34" s="1"/>
  <c r="E141" i="34" s="1"/>
  <c r="F141" i="34" s="1"/>
  <c r="E140" i="34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C140" i="34"/>
  <c r="D140" i="34" s="1"/>
  <c r="G139" i="34"/>
  <c r="H139" i="34" s="1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D139" i="34"/>
  <c r="E139" i="34" s="1"/>
  <c r="F139" i="34" s="1"/>
  <c r="C139" i="34"/>
  <c r="K138" i="34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C138" i="34"/>
  <c r="D138" i="34" s="1"/>
  <c r="E138" i="34" s="1"/>
  <c r="F138" i="34" s="1"/>
  <c r="G138" i="34" s="1"/>
  <c r="H138" i="34" s="1"/>
  <c r="I138" i="34" s="1"/>
  <c r="J138" i="34" s="1"/>
  <c r="H137" i="34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E137" i="34"/>
  <c r="F137" i="34" s="1"/>
  <c r="G137" i="34" s="1"/>
  <c r="D137" i="34"/>
  <c r="C137" i="34"/>
  <c r="C135" i="34"/>
  <c r="D135" i="34" s="1"/>
  <c r="E135" i="34" s="1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D134" i="34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C134" i="34"/>
  <c r="E133" i="34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C133" i="34"/>
  <c r="D133" i="34" s="1"/>
  <c r="G132" i="34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E132" i="34"/>
  <c r="F132" i="34" s="1"/>
  <c r="D132" i="34"/>
  <c r="C132" i="34"/>
  <c r="C131" i="34"/>
  <c r="D131" i="34" s="1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E130" i="34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C130" i="34"/>
  <c r="D130" i="34" s="1"/>
  <c r="E129" i="34"/>
  <c r="F129" i="34" s="1"/>
  <c r="G129" i="34" s="1"/>
  <c r="H129" i="34" s="1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C129" i="34"/>
  <c r="D129" i="34" s="1"/>
  <c r="E128" i="34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C128" i="34"/>
  <c r="D128" i="34" s="1"/>
  <c r="E126" i="34"/>
  <c r="F126" i="34" s="1"/>
  <c r="G126" i="34" s="1"/>
  <c r="H126" i="34" s="1"/>
  <c r="I126" i="34" s="1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C126" i="34"/>
  <c r="D126" i="34" s="1"/>
  <c r="H125" i="34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C125" i="34"/>
  <c r="D125" i="34" s="1"/>
  <c r="E125" i="34" s="1"/>
  <c r="F125" i="34" s="1"/>
  <c r="G125" i="34" s="1"/>
  <c r="F124" i="34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E124" i="34"/>
  <c r="D124" i="34"/>
  <c r="C124" i="34"/>
  <c r="H123" i="34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E123" i="34"/>
  <c r="F123" i="34" s="1"/>
  <c r="G123" i="34" s="1"/>
  <c r="D123" i="34"/>
  <c r="C123" i="34"/>
  <c r="F122" i="34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C122" i="34"/>
  <c r="D122" i="34" s="1"/>
  <c r="E122" i="34" s="1"/>
  <c r="D121" i="34"/>
  <c r="E121" i="34" s="1"/>
  <c r="F121" i="34" s="1"/>
  <c r="G121" i="34" s="1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C121" i="34"/>
  <c r="D120" i="34"/>
  <c r="E120" i="34" s="1"/>
  <c r="F120" i="34" s="1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C120" i="34"/>
  <c r="C119" i="34"/>
  <c r="D119" i="34" s="1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C118" i="34"/>
  <c r="D118" i="34" s="1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C117" i="34"/>
  <c r="D117" i="34" s="1"/>
  <c r="E117" i="34" s="1"/>
  <c r="F117" i="34" s="1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E116" i="34"/>
  <c r="F116" i="34" s="1"/>
  <c r="G116" i="34" s="1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D116" i="34"/>
  <c r="C116" i="34"/>
  <c r="H115" i="34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C115" i="34"/>
  <c r="D115" i="34" s="1"/>
  <c r="E115" i="34" s="1"/>
  <c r="F115" i="34" s="1"/>
  <c r="G115" i="34" s="1"/>
  <c r="C114" i="34"/>
  <c r="D114" i="34" s="1"/>
  <c r="E114" i="34" s="1"/>
  <c r="F114" i="34" s="1"/>
  <c r="G114" i="34" s="1"/>
  <c r="H114" i="34" s="1"/>
  <c r="I114" i="34" s="1"/>
  <c r="J114" i="34" s="1"/>
  <c r="K114" i="34" s="1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J113" i="34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I113" i="34"/>
  <c r="G113" i="34"/>
  <c r="H113" i="34" s="1"/>
  <c r="C113" i="34"/>
  <c r="D113" i="34" s="1"/>
  <c r="E113" i="34" s="1"/>
  <c r="F113" i="34" s="1"/>
  <c r="H112" i="34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G112" i="34"/>
  <c r="E112" i="34"/>
  <c r="F112" i="34" s="1"/>
  <c r="D112" i="34"/>
  <c r="C112" i="34"/>
  <c r="K111" i="34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J111" i="34"/>
  <c r="D111" i="34"/>
  <c r="E111" i="34" s="1"/>
  <c r="F111" i="34" s="1"/>
  <c r="G111" i="34" s="1"/>
  <c r="H111" i="34" s="1"/>
  <c r="C111" i="34"/>
  <c r="C110" i="34"/>
  <c r="D110" i="34" s="1"/>
  <c r="E110" i="34" s="1"/>
  <c r="F110" i="34" s="1"/>
  <c r="G110" i="34" s="1"/>
  <c r="H110" i="34" s="1"/>
  <c r="I110" i="34" s="1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I109" i="34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H109" i="34"/>
  <c r="F109" i="34"/>
  <c r="G109" i="34" s="1"/>
  <c r="C109" i="34"/>
  <c r="D109" i="34" s="1"/>
  <c r="E109" i="34" s="1"/>
  <c r="D107" i="34"/>
  <c r="E107" i="34" s="1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C107" i="34"/>
  <c r="E106" i="34"/>
  <c r="F106" i="34" s="1"/>
  <c r="D106" i="34"/>
  <c r="C106" i="34"/>
  <c r="C104" i="34"/>
  <c r="D104" i="34" s="1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F103" i="34"/>
  <c r="G103" i="34" s="1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E103" i="34"/>
  <c r="D103" i="34"/>
  <c r="C103" i="34"/>
  <c r="C102" i="34"/>
  <c r="D102" i="34" s="1"/>
  <c r="E102" i="34" s="1"/>
  <c r="F102" i="34" s="1"/>
  <c r="G102" i="34" s="1"/>
  <c r="H102" i="34" s="1"/>
  <c r="I102" i="34" s="1"/>
  <c r="J102" i="34" s="1"/>
  <c r="K102" i="34" s="1"/>
  <c r="L102" i="34" s="1"/>
  <c r="M102" i="34" s="1"/>
  <c r="N102" i="34" s="1"/>
  <c r="O102" i="34" s="1"/>
  <c r="P102" i="34" s="1"/>
  <c r="Q102" i="34" s="1"/>
  <c r="R102" i="34" s="1"/>
  <c r="S102" i="34" s="1"/>
  <c r="T102" i="34" s="1"/>
  <c r="U102" i="34" s="1"/>
  <c r="V102" i="34" s="1"/>
  <c r="W102" i="34" s="1"/>
  <c r="X102" i="34" s="1"/>
  <c r="Y102" i="34" s="1"/>
  <c r="Z102" i="34" s="1"/>
  <c r="AA102" i="34" s="1"/>
  <c r="AB102" i="34" s="1"/>
  <c r="AC102" i="34" s="1"/>
  <c r="AD102" i="34" s="1"/>
  <c r="AE102" i="34" s="1"/>
  <c r="AF102" i="34" s="1"/>
  <c r="E101" i="34"/>
  <c r="F101" i="34" s="1"/>
  <c r="G101" i="34" s="1"/>
  <c r="H101" i="34" s="1"/>
  <c r="I101" i="34" s="1"/>
  <c r="J101" i="34" s="1"/>
  <c r="K101" i="34" s="1"/>
  <c r="L101" i="34" s="1"/>
  <c r="M101" i="34" s="1"/>
  <c r="N101" i="34" s="1"/>
  <c r="O101" i="34" s="1"/>
  <c r="P101" i="34" s="1"/>
  <c r="Q101" i="34" s="1"/>
  <c r="R101" i="34" s="1"/>
  <c r="S101" i="34" s="1"/>
  <c r="T101" i="34" s="1"/>
  <c r="U101" i="34" s="1"/>
  <c r="V101" i="34" s="1"/>
  <c r="W101" i="34" s="1"/>
  <c r="X101" i="34" s="1"/>
  <c r="Y101" i="34" s="1"/>
  <c r="Z101" i="34" s="1"/>
  <c r="AA101" i="34" s="1"/>
  <c r="AB101" i="34" s="1"/>
  <c r="AC101" i="34" s="1"/>
  <c r="AD101" i="34" s="1"/>
  <c r="AE101" i="34" s="1"/>
  <c r="AF101" i="34" s="1"/>
  <c r="D101" i="34"/>
  <c r="C101" i="34"/>
  <c r="H100" i="34"/>
  <c r="I100" i="34" s="1"/>
  <c r="G100" i="34"/>
  <c r="D100" i="34"/>
  <c r="E100" i="34" s="1"/>
  <c r="F100" i="34" s="1"/>
  <c r="C100" i="34"/>
  <c r="E99" i="34"/>
  <c r="D99" i="34"/>
  <c r="C99" i="34"/>
  <c r="AH96" i="34"/>
  <c r="AI96" i="34" s="1"/>
  <c r="AH95" i="34"/>
  <c r="AI95" i="34" s="1"/>
  <c r="AH94" i="34"/>
  <c r="AI94" i="34" s="1"/>
  <c r="AH93" i="34"/>
  <c r="AI93" i="34" s="1"/>
  <c r="AH92" i="34"/>
  <c r="AI92" i="34" s="1"/>
  <c r="D91" i="34"/>
  <c r="C91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G80" i="34"/>
  <c r="AI79" i="34"/>
  <c r="AH79" i="34"/>
  <c r="AF78" i="34"/>
  <c r="AE78" i="34"/>
  <c r="AD78" i="34"/>
  <c r="AC78" i="34"/>
  <c r="AB78" i="34"/>
  <c r="AA78" i="34"/>
  <c r="Z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AF76" i="34"/>
  <c r="AE76" i="34"/>
  <c r="AD76" i="34"/>
  <c r="AC76" i="34"/>
  <c r="AB76" i="34"/>
  <c r="AA76" i="34"/>
  <c r="Z76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AF75" i="34"/>
  <c r="AE75" i="34"/>
  <c r="AD75" i="34"/>
  <c r="AC75" i="34"/>
  <c r="AB75" i="34"/>
  <c r="AA75" i="34"/>
  <c r="Z75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AF74" i="34"/>
  <c r="AF80" i="34" s="1"/>
  <c r="AE74" i="34"/>
  <c r="AD74" i="34"/>
  <c r="AD80" i="34" s="1"/>
  <c r="AC74" i="34"/>
  <c r="AB74" i="34"/>
  <c r="AA74" i="34"/>
  <c r="Z74" i="34"/>
  <c r="Y74" i="34"/>
  <c r="X74" i="34"/>
  <c r="X80" i="34" s="1"/>
  <c r="W74" i="34"/>
  <c r="V74" i="34"/>
  <c r="U74" i="34"/>
  <c r="T74" i="34"/>
  <c r="S74" i="34"/>
  <c r="R74" i="34"/>
  <c r="R80" i="34" s="1"/>
  <c r="Q74" i="34"/>
  <c r="Q80" i="34" s="1"/>
  <c r="P74" i="34"/>
  <c r="P80" i="34" s="1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AI72" i="34"/>
  <c r="AH72" i="34"/>
  <c r="AG70" i="34"/>
  <c r="AF70" i="34"/>
  <c r="AE70" i="34"/>
  <c r="AD70" i="34"/>
  <c r="AC70" i="34"/>
  <c r="AB70" i="34"/>
  <c r="AA70" i="34"/>
  <c r="Z70" i="34"/>
  <c r="Y70" i="34"/>
  <c r="X70" i="34"/>
  <c r="W70" i="34"/>
  <c r="V70" i="34"/>
  <c r="U70" i="34"/>
  <c r="T70" i="34"/>
  <c r="S70" i="34"/>
  <c r="R70" i="34"/>
  <c r="Q70" i="34"/>
  <c r="P70" i="34"/>
  <c r="O70" i="34"/>
  <c r="N70" i="34"/>
  <c r="M70" i="34"/>
  <c r="L70" i="34"/>
  <c r="K70" i="34"/>
  <c r="J70" i="34"/>
  <c r="I70" i="34"/>
  <c r="H70" i="34"/>
  <c r="G70" i="34"/>
  <c r="F70" i="34"/>
  <c r="E70" i="34"/>
  <c r="D70" i="34"/>
  <c r="C70" i="34"/>
  <c r="AI70" i="34"/>
  <c r="AI69" i="34"/>
  <c r="AH69" i="34"/>
  <c r="AI68" i="34"/>
  <c r="AH68" i="34"/>
  <c r="AI67" i="34"/>
  <c r="AH67" i="34"/>
  <c r="AG66" i="34"/>
  <c r="AG71" i="34" s="1"/>
  <c r="AF66" i="34"/>
  <c r="AF5" i="34" s="1"/>
  <c r="AE66" i="34"/>
  <c r="AE5" i="34" s="1"/>
  <c r="AD66" i="34"/>
  <c r="AD5" i="34" s="1"/>
  <c r="AC66" i="34"/>
  <c r="AB66" i="34"/>
  <c r="AB5" i="34" s="1"/>
  <c r="AA66" i="34"/>
  <c r="AA5" i="34" s="1"/>
  <c r="Z66" i="34"/>
  <c r="Y66" i="34"/>
  <c r="X66" i="34"/>
  <c r="X5" i="34" s="1"/>
  <c r="W66" i="34"/>
  <c r="W5" i="34" s="1"/>
  <c r="V66" i="34"/>
  <c r="V5" i="34" s="1"/>
  <c r="U66" i="34"/>
  <c r="U5" i="34" s="1"/>
  <c r="T66" i="34"/>
  <c r="T5" i="34" s="1"/>
  <c r="S66" i="34"/>
  <c r="R66" i="34"/>
  <c r="Q66" i="34"/>
  <c r="Q5" i="34" s="1"/>
  <c r="P66" i="34"/>
  <c r="P5" i="34" s="1"/>
  <c r="O66" i="34"/>
  <c r="O5" i="34" s="1"/>
  <c r="N66" i="34"/>
  <c r="N5" i="34" s="1"/>
  <c r="M66" i="34"/>
  <c r="M5" i="34" s="1"/>
  <c r="L66" i="34"/>
  <c r="K66" i="34"/>
  <c r="K5" i="34" s="1"/>
  <c r="J66" i="34"/>
  <c r="J5" i="34" s="1"/>
  <c r="I66" i="34"/>
  <c r="I5" i="34" s="1"/>
  <c r="H66" i="34"/>
  <c r="H5" i="34" s="1"/>
  <c r="G66" i="34"/>
  <c r="G5" i="34" s="1"/>
  <c r="F66" i="34"/>
  <c r="F5" i="34" s="1"/>
  <c r="E66" i="34"/>
  <c r="E5" i="34" s="1"/>
  <c r="D66" i="34"/>
  <c r="C66" i="34"/>
  <c r="C5" i="34" s="1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G54" i="34"/>
  <c r="AF54" i="34"/>
  <c r="AE54" i="34"/>
  <c r="AD54" i="34"/>
  <c r="AC54" i="34"/>
  <c r="AB54" i="34"/>
  <c r="AA54" i="34"/>
  <c r="Z54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AI53" i="34"/>
  <c r="AH53" i="34"/>
  <c r="AI52" i="34"/>
  <c r="AH52" i="34"/>
  <c r="AI51" i="34"/>
  <c r="AH51" i="34"/>
  <c r="Y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E50" i="34"/>
  <c r="D50" i="34"/>
  <c r="C50" i="34"/>
  <c r="AG49" i="34"/>
  <c r="AG50" i="34" s="1"/>
  <c r="AG3" i="34" s="1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G36" i="34"/>
  <c r="AG2" i="34" s="1"/>
  <c r="AG6" i="34" s="1"/>
  <c r="AF36" i="34"/>
  <c r="AE36" i="34"/>
  <c r="AD36" i="34"/>
  <c r="AC36" i="34"/>
  <c r="AB36" i="34"/>
  <c r="AA36" i="34"/>
  <c r="Z36" i="34"/>
  <c r="Y36" i="34"/>
  <c r="X36" i="34"/>
  <c r="W36" i="34"/>
  <c r="V36" i="34"/>
  <c r="U36" i="34"/>
  <c r="T36" i="34"/>
  <c r="S36" i="34"/>
  <c r="S73" i="34" s="1"/>
  <c r="R36" i="34"/>
  <c r="R73" i="34" s="1"/>
  <c r="Q36" i="34"/>
  <c r="P36" i="34"/>
  <c r="P73" i="34" s="1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C5" i="34"/>
  <c r="Z5" i="34"/>
  <c r="Y5" i="34"/>
  <c r="S5" i="34"/>
  <c r="R5" i="34"/>
  <c r="L5" i="34"/>
  <c r="D5" i="34"/>
  <c r="AG4" i="34"/>
  <c r="K4" i="34"/>
  <c r="B4" i="34"/>
  <c r="AC93" i="33"/>
  <c r="AB93" i="33"/>
  <c r="Z35" i="33"/>
  <c r="Y35" i="33"/>
  <c r="W35" i="33"/>
  <c r="Q35" i="33"/>
  <c r="P93" i="33"/>
  <c r="P35" i="33"/>
  <c r="E4" i="34"/>
  <c r="AE80" i="34" l="1"/>
  <c r="AB80" i="34"/>
  <c r="AA80" i="34"/>
  <c r="Z80" i="34"/>
  <c r="Y80" i="34"/>
  <c r="Y71" i="34"/>
  <c r="W80" i="34"/>
  <c r="V80" i="34"/>
  <c r="T80" i="34"/>
  <c r="S80" i="34"/>
  <c r="AJ211" i="34"/>
  <c r="R7" i="34"/>
  <c r="R71" i="34"/>
  <c r="Q71" i="34"/>
  <c r="AH211" i="34"/>
  <c r="P7" i="34"/>
  <c r="O80" i="34"/>
  <c r="O73" i="34"/>
  <c r="N80" i="34"/>
  <c r="N73" i="34"/>
  <c r="M71" i="34"/>
  <c r="M73" i="34"/>
  <c r="L80" i="34"/>
  <c r="AI78" i="34"/>
  <c r="L71" i="34"/>
  <c r="L73" i="34"/>
  <c r="AD211" i="34" s="1"/>
  <c r="K80" i="34"/>
  <c r="K73" i="34"/>
  <c r="AC211" i="34" s="1"/>
  <c r="J80" i="34"/>
  <c r="J73" i="34"/>
  <c r="AB211" i="34" s="1"/>
  <c r="J71" i="34"/>
  <c r="I80" i="34"/>
  <c r="I71" i="34"/>
  <c r="H73" i="34"/>
  <c r="Z211" i="34" s="1"/>
  <c r="AI74" i="34"/>
  <c r="H80" i="34"/>
  <c r="G80" i="34"/>
  <c r="F80" i="34"/>
  <c r="F73" i="34"/>
  <c r="F7" i="34" s="1"/>
  <c r="E71" i="34"/>
  <c r="E73" i="34"/>
  <c r="W211" i="34" s="1"/>
  <c r="AI77" i="34"/>
  <c r="AH75" i="34"/>
  <c r="D80" i="34"/>
  <c r="AH76" i="34"/>
  <c r="AI54" i="34"/>
  <c r="D71" i="34"/>
  <c r="AI36" i="34"/>
  <c r="D73" i="34"/>
  <c r="AI75" i="34"/>
  <c r="C80" i="34"/>
  <c r="AH54" i="34"/>
  <c r="C73" i="34"/>
  <c r="U211" i="34" s="1"/>
  <c r="B71" i="34"/>
  <c r="B73" i="34"/>
  <c r="B5" i="34"/>
  <c r="B80" i="34"/>
  <c r="H4" i="34"/>
  <c r="R81" i="34"/>
  <c r="G106" i="34"/>
  <c r="AK211" i="34"/>
  <c r="S7" i="34"/>
  <c r="AE211" i="34"/>
  <c r="M7" i="34"/>
  <c r="AF211" i="34"/>
  <c r="N7" i="34"/>
  <c r="AG211" i="34"/>
  <c r="O7" i="34"/>
  <c r="D208" i="34"/>
  <c r="S208" i="34"/>
  <c r="C71" i="34"/>
  <c r="K71" i="34"/>
  <c r="S71" i="34"/>
  <c r="G73" i="34"/>
  <c r="E80" i="34"/>
  <c r="M80" i="34"/>
  <c r="M81" i="34" s="1"/>
  <c r="U80" i="34"/>
  <c r="AC80" i="34"/>
  <c r="E91" i="34"/>
  <c r="I73" i="34"/>
  <c r="Q73" i="34"/>
  <c r="Y73" i="34"/>
  <c r="Y81" i="34" s="1"/>
  <c r="AG73" i="34"/>
  <c r="AG81" i="34" s="1"/>
  <c r="J100" i="34"/>
  <c r="F71" i="34"/>
  <c r="N71" i="34"/>
  <c r="N81" i="34" s="1"/>
  <c r="G71" i="34"/>
  <c r="O71" i="34"/>
  <c r="O81" i="34" s="1"/>
  <c r="AH74" i="34"/>
  <c r="E189" i="34"/>
  <c r="F99" i="34"/>
  <c r="AH36" i="34"/>
  <c r="AH70" i="34"/>
  <c r="H71" i="34"/>
  <c r="P71" i="34"/>
  <c r="P81" i="34" s="1"/>
  <c r="AI66" i="34"/>
  <c r="S81" i="34"/>
  <c r="AH78" i="34"/>
  <c r="AH66" i="34"/>
  <c r="AI76" i="34"/>
  <c r="AH77" i="34"/>
  <c r="C189" i="34"/>
  <c r="D189" i="34"/>
  <c r="E232" i="34"/>
  <c r="F196" i="34"/>
  <c r="D197" i="34"/>
  <c r="E191" i="34"/>
  <c r="C232" i="34"/>
  <c r="M35" i="33"/>
  <c r="L35" i="33"/>
  <c r="K35" i="33"/>
  <c r="AJ11" i="32"/>
  <c r="J35" i="33"/>
  <c r="I35" i="33"/>
  <c r="AI35" i="33"/>
  <c r="H35" i="33"/>
  <c r="G35" i="33"/>
  <c r="E91" i="33"/>
  <c r="C91" i="33"/>
  <c r="D91" i="33"/>
  <c r="F35" i="33"/>
  <c r="D35" i="33"/>
  <c r="C35" i="33"/>
  <c r="AH97" i="33"/>
  <c r="AI97" i="33" s="1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P235" i="33"/>
  <c r="O235" i="33"/>
  <c r="N235" i="33"/>
  <c r="M235" i="33"/>
  <c r="L235" i="33"/>
  <c r="K235" i="33"/>
  <c r="J235" i="33"/>
  <c r="I235" i="33"/>
  <c r="H235" i="33"/>
  <c r="G235" i="33"/>
  <c r="F235" i="33"/>
  <c r="E235" i="33"/>
  <c r="D235" i="33"/>
  <c r="C235" i="33"/>
  <c r="B235" i="33"/>
  <c r="A235" i="33"/>
  <c r="AF234" i="33"/>
  <c r="AE234" i="33"/>
  <c r="AD234" i="33"/>
  <c r="AC234" i="33"/>
  <c r="AB234" i="33"/>
  <c r="AA234" i="33"/>
  <c r="Z234" i="33"/>
  <c r="Y234" i="33"/>
  <c r="X234" i="33"/>
  <c r="W234" i="33"/>
  <c r="V234" i="33"/>
  <c r="U234" i="33"/>
  <c r="T234" i="33"/>
  <c r="S234" i="33"/>
  <c r="R234" i="33"/>
  <c r="Q234" i="33"/>
  <c r="P234" i="33"/>
  <c r="O234" i="33"/>
  <c r="N234" i="33"/>
  <c r="M234" i="33"/>
  <c r="L234" i="33"/>
  <c r="K234" i="33"/>
  <c r="J234" i="33"/>
  <c r="I234" i="33"/>
  <c r="H234" i="33"/>
  <c r="G234" i="33"/>
  <c r="F234" i="33"/>
  <c r="E234" i="33"/>
  <c r="D234" i="33"/>
  <c r="C234" i="33"/>
  <c r="B234" i="33"/>
  <c r="A234" i="33"/>
  <c r="AF233" i="33"/>
  <c r="AE233" i="33"/>
  <c r="AD233" i="33"/>
  <c r="AC233" i="33"/>
  <c r="AB233" i="33"/>
  <c r="AA233" i="33"/>
  <c r="Z233" i="33"/>
  <c r="Y233" i="33"/>
  <c r="X233" i="33"/>
  <c r="W233" i="33"/>
  <c r="V233" i="33"/>
  <c r="U233" i="33"/>
  <c r="T233" i="33"/>
  <c r="S233" i="33"/>
  <c r="R233" i="33"/>
  <c r="Q233" i="33"/>
  <c r="P233" i="33"/>
  <c r="O233" i="33"/>
  <c r="N233" i="33"/>
  <c r="M233" i="33"/>
  <c r="L233" i="33"/>
  <c r="K233" i="33"/>
  <c r="J233" i="33"/>
  <c r="I233" i="33"/>
  <c r="H233" i="33"/>
  <c r="G233" i="33"/>
  <c r="F233" i="33"/>
  <c r="E233" i="33"/>
  <c r="D233" i="33"/>
  <c r="C233" i="33"/>
  <c r="B233" i="33"/>
  <c r="A233" i="33"/>
  <c r="B232" i="33"/>
  <c r="S207" i="33"/>
  <c r="AG197" i="33"/>
  <c r="B197" i="33"/>
  <c r="C196" i="33"/>
  <c r="D195" i="33"/>
  <c r="E195" i="33" s="1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C195" i="33"/>
  <c r="Q194" i="33"/>
  <c r="R194" i="33" s="1"/>
  <c r="S194" i="33" s="1"/>
  <c r="T194" i="33" s="1"/>
  <c r="U194" i="33" s="1"/>
  <c r="V194" i="33" s="1"/>
  <c r="W194" i="33" s="1"/>
  <c r="X194" i="33" s="1"/>
  <c r="Y194" i="33" s="1"/>
  <c r="Z194" i="33" s="1"/>
  <c r="AA194" i="33" s="1"/>
  <c r="AB194" i="33" s="1"/>
  <c r="AC194" i="33" s="1"/>
  <c r="AD194" i="33" s="1"/>
  <c r="AE194" i="33" s="1"/>
  <c r="AF194" i="33" s="1"/>
  <c r="C194" i="33"/>
  <c r="D194" i="33" s="1"/>
  <c r="E194" i="33" s="1"/>
  <c r="F194" i="33" s="1"/>
  <c r="G194" i="33" s="1"/>
  <c r="H194" i="33" s="1"/>
  <c r="I194" i="33" s="1"/>
  <c r="J194" i="33" s="1"/>
  <c r="K194" i="33" s="1"/>
  <c r="L194" i="33" s="1"/>
  <c r="M194" i="33" s="1"/>
  <c r="N194" i="33" s="1"/>
  <c r="O194" i="33" s="1"/>
  <c r="P194" i="33" s="1"/>
  <c r="D193" i="33"/>
  <c r="E193" i="33" s="1"/>
  <c r="F193" i="33" s="1"/>
  <c r="G193" i="33" s="1"/>
  <c r="H193" i="33" s="1"/>
  <c r="I193" i="33" s="1"/>
  <c r="J193" i="33" s="1"/>
  <c r="K193" i="33" s="1"/>
  <c r="L193" i="33" s="1"/>
  <c r="M193" i="33" s="1"/>
  <c r="N193" i="33" s="1"/>
  <c r="O193" i="33" s="1"/>
  <c r="P193" i="33" s="1"/>
  <c r="Q193" i="33" s="1"/>
  <c r="R193" i="33" s="1"/>
  <c r="S193" i="33" s="1"/>
  <c r="T193" i="33" s="1"/>
  <c r="U193" i="33" s="1"/>
  <c r="V193" i="33" s="1"/>
  <c r="W193" i="33" s="1"/>
  <c r="X193" i="33" s="1"/>
  <c r="Y193" i="33" s="1"/>
  <c r="Z193" i="33" s="1"/>
  <c r="AA193" i="33" s="1"/>
  <c r="AB193" i="33" s="1"/>
  <c r="AC193" i="33" s="1"/>
  <c r="AD193" i="33" s="1"/>
  <c r="AE193" i="33" s="1"/>
  <c r="AF193" i="33" s="1"/>
  <c r="C193" i="33"/>
  <c r="M192" i="33"/>
  <c r="N192" i="33" s="1"/>
  <c r="O192" i="33" s="1"/>
  <c r="P192" i="33" s="1"/>
  <c r="Q192" i="33" s="1"/>
  <c r="R192" i="33" s="1"/>
  <c r="S192" i="33" s="1"/>
  <c r="T192" i="33" s="1"/>
  <c r="U192" i="33" s="1"/>
  <c r="V192" i="33" s="1"/>
  <c r="W192" i="33" s="1"/>
  <c r="X192" i="33" s="1"/>
  <c r="Y192" i="33" s="1"/>
  <c r="Z192" i="33" s="1"/>
  <c r="AA192" i="33" s="1"/>
  <c r="AB192" i="33" s="1"/>
  <c r="AC192" i="33" s="1"/>
  <c r="AD192" i="33" s="1"/>
  <c r="AE192" i="33" s="1"/>
  <c r="AF192" i="33" s="1"/>
  <c r="F192" i="33"/>
  <c r="G192" i="33" s="1"/>
  <c r="H192" i="33" s="1"/>
  <c r="I192" i="33" s="1"/>
  <c r="J192" i="33" s="1"/>
  <c r="K192" i="33" s="1"/>
  <c r="L192" i="33" s="1"/>
  <c r="E192" i="33"/>
  <c r="C192" i="33"/>
  <c r="D192" i="33" s="1"/>
  <c r="C191" i="33"/>
  <c r="C197" i="33" s="1"/>
  <c r="AG189" i="33"/>
  <c r="B189" i="33"/>
  <c r="C188" i="33"/>
  <c r="D188" i="33" s="1"/>
  <c r="E188" i="33" s="1"/>
  <c r="F188" i="33" s="1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D187" i="33"/>
  <c r="E187" i="33" s="1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C187" i="33"/>
  <c r="J186" i="33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E186" i="33"/>
  <c r="F186" i="33" s="1"/>
  <c r="G186" i="33" s="1"/>
  <c r="H186" i="33" s="1"/>
  <c r="I186" i="33" s="1"/>
  <c r="D186" i="33"/>
  <c r="C186" i="33"/>
  <c r="C185" i="33"/>
  <c r="D185" i="33" s="1"/>
  <c r="E185" i="33" s="1"/>
  <c r="F185" i="33" s="1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C184" i="33"/>
  <c r="D184" i="33" s="1"/>
  <c r="E184" i="33" s="1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D183" i="33"/>
  <c r="E183" i="33" s="1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C183" i="33"/>
  <c r="C182" i="33"/>
  <c r="D182" i="33" s="1"/>
  <c r="E182" i="33" s="1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C181" i="33"/>
  <c r="D181" i="33" s="1"/>
  <c r="E181" i="33" s="1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C180" i="33"/>
  <c r="D180" i="33" s="1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E179" i="33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D179" i="33"/>
  <c r="C179" i="33"/>
  <c r="C178" i="33"/>
  <c r="D178" i="33" s="1"/>
  <c r="E178" i="33" s="1"/>
  <c r="F178" i="33" s="1"/>
  <c r="G178" i="33" s="1"/>
  <c r="H178" i="33" s="1"/>
  <c r="I178" i="33" s="1"/>
  <c r="J178" i="33" s="1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AA178" i="33" s="1"/>
  <c r="AB178" i="33" s="1"/>
  <c r="AC178" i="33" s="1"/>
  <c r="AD178" i="33" s="1"/>
  <c r="AE178" i="33" s="1"/>
  <c r="AF178" i="33" s="1"/>
  <c r="C177" i="33"/>
  <c r="D177" i="33" s="1"/>
  <c r="E177" i="33" s="1"/>
  <c r="F177" i="33" s="1"/>
  <c r="G177" i="33" s="1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F176" i="33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D176" i="33"/>
  <c r="E176" i="33" s="1"/>
  <c r="C176" i="33"/>
  <c r="E174" i="33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C174" i="33"/>
  <c r="D174" i="33" s="1"/>
  <c r="E173" i="33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C173" i="33"/>
  <c r="D173" i="33" s="1"/>
  <c r="I172" i="33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G172" i="33"/>
  <c r="H172" i="33" s="1"/>
  <c r="C172" i="33"/>
  <c r="D172" i="33" s="1"/>
  <c r="E172" i="33" s="1"/>
  <c r="F172" i="33" s="1"/>
  <c r="E171" i="33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C171" i="33"/>
  <c r="D171" i="33" s="1"/>
  <c r="O170" i="33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C170" i="33"/>
  <c r="D170" i="33" s="1"/>
  <c r="E170" i="33" s="1"/>
  <c r="F170" i="33" s="1"/>
  <c r="G170" i="33" s="1"/>
  <c r="H170" i="33" s="1"/>
  <c r="I170" i="33" s="1"/>
  <c r="J170" i="33" s="1"/>
  <c r="K170" i="33" s="1"/>
  <c r="L170" i="33" s="1"/>
  <c r="M170" i="33" s="1"/>
  <c r="N170" i="33" s="1"/>
  <c r="C169" i="33"/>
  <c r="D169" i="33" s="1"/>
  <c r="E169" i="33" s="1"/>
  <c r="F169" i="33" s="1"/>
  <c r="G169" i="33" s="1"/>
  <c r="H169" i="33" s="1"/>
  <c r="I169" i="33" s="1"/>
  <c r="J169" i="33" s="1"/>
  <c r="K169" i="33" s="1"/>
  <c r="L169" i="33" s="1"/>
  <c r="M169" i="33" s="1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U168" i="33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I168" i="33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D168" i="33"/>
  <c r="E168" i="33" s="1"/>
  <c r="F168" i="33" s="1"/>
  <c r="G168" i="33" s="1"/>
  <c r="H168" i="33" s="1"/>
  <c r="C168" i="33"/>
  <c r="AC167" i="33"/>
  <c r="AD167" i="33" s="1"/>
  <c r="AE167" i="33" s="1"/>
  <c r="AF167" i="33" s="1"/>
  <c r="M167" i="33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C167" i="33"/>
  <c r="D167" i="33" s="1"/>
  <c r="E167" i="33" s="1"/>
  <c r="F167" i="33" s="1"/>
  <c r="G167" i="33" s="1"/>
  <c r="H167" i="33" s="1"/>
  <c r="I167" i="33" s="1"/>
  <c r="J167" i="33" s="1"/>
  <c r="K167" i="33" s="1"/>
  <c r="L167" i="33" s="1"/>
  <c r="AF165" i="33"/>
  <c r="T165" i="33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I165" i="33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E165" i="33"/>
  <c r="F165" i="33" s="1"/>
  <c r="G165" i="33" s="1"/>
  <c r="H165" i="33" s="1"/>
  <c r="C165" i="33"/>
  <c r="D165" i="33" s="1"/>
  <c r="R164" i="33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G164" i="33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F164" i="33"/>
  <c r="C164" i="33"/>
  <c r="D164" i="33" s="1"/>
  <c r="E164" i="33" s="1"/>
  <c r="T163" i="33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H163" i="33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E163" i="33"/>
  <c r="F163" i="33" s="1"/>
  <c r="G163" i="33" s="1"/>
  <c r="D163" i="33"/>
  <c r="C163" i="33"/>
  <c r="S162" i="33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C162" i="33"/>
  <c r="D162" i="33" s="1"/>
  <c r="E162" i="33" s="1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C161" i="33"/>
  <c r="D161" i="33" s="1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G160" i="33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F160" i="33"/>
  <c r="C160" i="33"/>
  <c r="D160" i="33" s="1"/>
  <c r="E160" i="33" s="1"/>
  <c r="H159" i="33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C159" i="33"/>
  <c r="D159" i="33" s="1"/>
  <c r="E159" i="33" s="1"/>
  <c r="F159" i="33" s="1"/>
  <c r="G159" i="33" s="1"/>
  <c r="K158" i="33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C158" i="33"/>
  <c r="D158" i="33" s="1"/>
  <c r="E158" i="33" s="1"/>
  <c r="F158" i="33" s="1"/>
  <c r="G158" i="33" s="1"/>
  <c r="H158" i="33" s="1"/>
  <c r="I158" i="33" s="1"/>
  <c r="J158" i="33" s="1"/>
  <c r="P157" i="33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C157" i="33"/>
  <c r="C156" i="33"/>
  <c r="D156" i="33" s="1"/>
  <c r="E156" i="33" s="1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M155" i="33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F155" i="33"/>
  <c r="G155" i="33" s="1"/>
  <c r="H155" i="33" s="1"/>
  <c r="I155" i="33" s="1"/>
  <c r="J155" i="33" s="1"/>
  <c r="K155" i="33" s="1"/>
  <c r="L155" i="33" s="1"/>
  <c r="C155" i="33"/>
  <c r="D155" i="33" s="1"/>
  <c r="E155" i="33" s="1"/>
  <c r="E154" i="33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D154" i="33"/>
  <c r="C154" i="33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C153" i="33"/>
  <c r="Q151" i="33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F151" i="33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C151" i="33"/>
  <c r="D151" i="33" s="1"/>
  <c r="E151" i="33" s="1"/>
  <c r="C150" i="33"/>
  <c r="D150" i="33" s="1"/>
  <c r="E150" i="33" s="1"/>
  <c r="F150" i="33" s="1"/>
  <c r="G150" i="33" s="1"/>
  <c r="H150" i="33" s="1"/>
  <c r="I150" i="33" s="1"/>
  <c r="J150" i="33" s="1"/>
  <c r="K150" i="33" s="1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I149" i="33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E149" i="33"/>
  <c r="F149" i="33" s="1"/>
  <c r="G149" i="33" s="1"/>
  <c r="H149" i="33" s="1"/>
  <c r="D149" i="33"/>
  <c r="C149" i="33"/>
  <c r="W148" i="33"/>
  <c r="X148" i="33" s="1"/>
  <c r="Y148" i="33" s="1"/>
  <c r="Z148" i="33" s="1"/>
  <c r="AA148" i="33" s="1"/>
  <c r="AB148" i="33" s="1"/>
  <c r="AC148" i="33" s="1"/>
  <c r="AD148" i="33" s="1"/>
  <c r="AE148" i="33" s="1"/>
  <c r="AF148" i="33" s="1"/>
  <c r="D148" i="33"/>
  <c r="E148" i="33" s="1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C148" i="33"/>
  <c r="F146" i="33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E146" i="33"/>
  <c r="D146" i="33"/>
  <c r="C146" i="33"/>
  <c r="F145" i="33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D145" i="33"/>
  <c r="E145" i="33" s="1"/>
  <c r="C145" i="33"/>
  <c r="D143" i="33"/>
  <c r="E143" i="33" s="1"/>
  <c r="F143" i="33" s="1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C143" i="33"/>
  <c r="L142" i="33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F142" i="33"/>
  <c r="G142" i="33" s="1"/>
  <c r="H142" i="33" s="1"/>
  <c r="I142" i="33" s="1"/>
  <c r="J142" i="33" s="1"/>
  <c r="K142" i="33" s="1"/>
  <c r="C142" i="33"/>
  <c r="D142" i="33" s="1"/>
  <c r="E142" i="33" s="1"/>
  <c r="J141" i="33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E141" i="33"/>
  <c r="F141" i="33" s="1"/>
  <c r="G141" i="33" s="1"/>
  <c r="H141" i="33" s="1"/>
  <c r="I141" i="33" s="1"/>
  <c r="D141" i="33"/>
  <c r="C141" i="33"/>
  <c r="D140" i="33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C140" i="33"/>
  <c r="T139" i="33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I139" i="33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H139" i="33"/>
  <c r="E139" i="33"/>
  <c r="F139" i="33" s="1"/>
  <c r="G139" i="33" s="1"/>
  <c r="D139" i="33"/>
  <c r="C139" i="33"/>
  <c r="O138" i="33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G138" i="33"/>
  <c r="H138" i="33" s="1"/>
  <c r="I138" i="33" s="1"/>
  <c r="J138" i="33" s="1"/>
  <c r="K138" i="33" s="1"/>
  <c r="L138" i="33" s="1"/>
  <c r="M138" i="33" s="1"/>
  <c r="N138" i="33" s="1"/>
  <c r="D138" i="33"/>
  <c r="E138" i="33" s="1"/>
  <c r="F138" i="33" s="1"/>
  <c r="C138" i="33"/>
  <c r="E137" i="33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D137" i="33"/>
  <c r="C137" i="33"/>
  <c r="L135" i="33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D135" i="33"/>
  <c r="E135" i="33" s="1"/>
  <c r="F135" i="33" s="1"/>
  <c r="G135" i="33" s="1"/>
  <c r="H135" i="33" s="1"/>
  <c r="I135" i="33" s="1"/>
  <c r="J135" i="33" s="1"/>
  <c r="K135" i="33" s="1"/>
  <c r="C135" i="33"/>
  <c r="J134" i="33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D134" i="33"/>
  <c r="E134" i="33" s="1"/>
  <c r="F134" i="33" s="1"/>
  <c r="G134" i="33" s="1"/>
  <c r="H134" i="33" s="1"/>
  <c r="I134" i="33" s="1"/>
  <c r="C134" i="33"/>
  <c r="O133" i="33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D133" i="33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C133" i="33"/>
  <c r="M132" i="33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C132" i="33"/>
  <c r="D132" i="33" s="1"/>
  <c r="E132" i="33" s="1"/>
  <c r="F132" i="33" s="1"/>
  <c r="G132" i="33" s="1"/>
  <c r="H132" i="33" s="1"/>
  <c r="I132" i="33" s="1"/>
  <c r="J132" i="33" s="1"/>
  <c r="K132" i="33" s="1"/>
  <c r="L132" i="33" s="1"/>
  <c r="F131" i="33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E131" i="33"/>
  <c r="C131" i="33"/>
  <c r="D131" i="33" s="1"/>
  <c r="D130" i="33"/>
  <c r="E130" i="33" s="1"/>
  <c r="F130" i="33" s="1"/>
  <c r="G130" i="33" s="1"/>
  <c r="H130" i="33" s="1"/>
  <c r="I130" i="33" s="1"/>
  <c r="J130" i="33" s="1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C130" i="33"/>
  <c r="G129" i="33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E129" i="33"/>
  <c r="F129" i="33" s="1"/>
  <c r="D129" i="33"/>
  <c r="C129" i="33"/>
  <c r="G128" i="33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D128" i="33"/>
  <c r="E128" i="33" s="1"/>
  <c r="F128" i="33" s="1"/>
  <c r="C128" i="33"/>
  <c r="E126" i="33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C126" i="33"/>
  <c r="D126" i="33" s="1"/>
  <c r="C125" i="33"/>
  <c r="D125" i="33" s="1"/>
  <c r="E125" i="33" s="1"/>
  <c r="F125" i="33" s="1"/>
  <c r="G125" i="33" s="1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G124" i="33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C124" i="33"/>
  <c r="D124" i="33" s="1"/>
  <c r="E124" i="33" s="1"/>
  <c r="F124" i="33" s="1"/>
  <c r="C123" i="33"/>
  <c r="D123" i="33" s="1"/>
  <c r="E123" i="33" s="1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C122" i="33"/>
  <c r="F121" i="33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D121" i="33"/>
  <c r="E121" i="33" s="1"/>
  <c r="C121" i="33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C120" i="33"/>
  <c r="F119" i="33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C119" i="33"/>
  <c r="D119" i="33" s="1"/>
  <c r="E119" i="33" s="1"/>
  <c r="H118" i="33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D118" i="33"/>
  <c r="E118" i="33" s="1"/>
  <c r="F118" i="33" s="1"/>
  <c r="G118" i="33" s="1"/>
  <c r="C118" i="33"/>
  <c r="D117" i="33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C117" i="33"/>
  <c r="H116" i="33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D116" i="33"/>
  <c r="E116" i="33" s="1"/>
  <c r="F116" i="33" s="1"/>
  <c r="G116" i="33" s="1"/>
  <c r="C116" i="33"/>
  <c r="C115" i="33"/>
  <c r="D115" i="33" s="1"/>
  <c r="E115" i="33" s="1"/>
  <c r="F115" i="33" s="1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D114" i="33"/>
  <c r="E114" i="33" s="1"/>
  <c r="F114" i="33" s="1"/>
  <c r="G114" i="33" s="1"/>
  <c r="H114" i="33" s="1"/>
  <c r="I114" i="33" s="1"/>
  <c r="J114" i="33" s="1"/>
  <c r="K114" i="33" s="1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C114" i="33"/>
  <c r="F113" i="33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D113" i="33"/>
  <c r="E113" i="33" s="1"/>
  <c r="C113" i="33"/>
  <c r="D112" i="33"/>
  <c r="E112" i="33" s="1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C112" i="33"/>
  <c r="J111" i="33"/>
  <c r="K111" i="33" s="1"/>
  <c r="L111" i="33" s="1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D111" i="33"/>
  <c r="E111" i="33" s="1"/>
  <c r="F111" i="33" s="1"/>
  <c r="G111" i="33" s="1"/>
  <c r="H111" i="33" s="1"/>
  <c r="C111" i="33"/>
  <c r="C110" i="33"/>
  <c r="D110" i="33" s="1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C109" i="33"/>
  <c r="D109" i="33" s="1"/>
  <c r="E109" i="33" s="1"/>
  <c r="F109" i="33" s="1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C107" i="33"/>
  <c r="D107" i="33" s="1"/>
  <c r="E107" i="33" s="1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E106" i="33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D106" i="33"/>
  <c r="C106" i="33"/>
  <c r="K104" i="33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J104" i="33"/>
  <c r="G104" i="33"/>
  <c r="H104" i="33" s="1"/>
  <c r="I104" i="33" s="1"/>
  <c r="C104" i="33"/>
  <c r="D104" i="33" s="1"/>
  <c r="E104" i="33" s="1"/>
  <c r="F104" i="33" s="1"/>
  <c r="E103" i="33"/>
  <c r="F103" i="33" s="1"/>
  <c r="G103" i="33" s="1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C103" i="33"/>
  <c r="D103" i="33" s="1"/>
  <c r="K102" i="33"/>
  <c r="L102" i="33" s="1"/>
  <c r="M102" i="33" s="1"/>
  <c r="N102" i="33" s="1"/>
  <c r="O102" i="33" s="1"/>
  <c r="P102" i="33" s="1"/>
  <c r="Q102" i="33" s="1"/>
  <c r="R102" i="33" s="1"/>
  <c r="S102" i="33" s="1"/>
  <c r="T102" i="33" s="1"/>
  <c r="U102" i="33" s="1"/>
  <c r="V102" i="33" s="1"/>
  <c r="W102" i="33" s="1"/>
  <c r="X102" i="33" s="1"/>
  <c r="Y102" i="33" s="1"/>
  <c r="Z102" i="33" s="1"/>
  <c r="AA102" i="33" s="1"/>
  <c r="AB102" i="33" s="1"/>
  <c r="AC102" i="33" s="1"/>
  <c r="AD102" i="33" s="1"/>
  <c r="AE102" i="33" s="1"/>
  <c r="AF102" i="33" s="1"/>
  <c r="G102" i="33"/>
  <c r="H102" i="33" s="1"/>
  <c r="I102" i="33" s="1"/>
  <c r="J102" i="33" s="1"/>
  <c r="F102" i="33"/>
  <c r="C102" i="33"/>
  <c r="D102" i="33" s="1"/>
  <c r="E102" i="33" s="1"/>
  <c r="D101" i="33"/>
  <c r="E101" i="33" s="1"/>
  <c r="F101" i="33" s="1"/>
  <c r="G101" i="33" s="1"/>
  <c r="H101" i="33" s="1"/>
  <c r="I101" i="33" s="1"/>
  <c r="J101" i="33" s="1"/>
  <c r="K101" i="33" s="1"/>
  <c r="L101" i="33" s="1"/>
  <c r="M101" i="33" s="1"/>
  <c r="N101" i="33" s="1"/>
  <c r="O101" i="33" s="1"/>
  <c r="P101" i="33" s="1"/>
  <c r="Q101" i="33" s="1"/>
  <c r="R101" i="33" s="1"/>
  <c r="S101" i="33" s="1"/>
  <c r="T101" i="33" s="1"/>
  <c r="U101" i="33" s="1"/>
  <c r="V101" i="33" s="1"/>
  <c r="W101" i="33" s="1"/>
  <c r="X101" i="33" s="1"/>
  <c r="Y101" i="33" s="1"/>
  <c r="Z101" i="33" s="1"/>
  <c r="AA101" i="33" s="1"/>
  <c r="AB101" i="33" s="1"/>
  <c r="AC101" i="33" s="1"/>
  <c r="AD101" i="33" s="1"/>
  <c r="AE101" i="33" s="1"/>
  <c r="AF101" i="33" s="1"/>
  <c r="C101" i="33"/>
  <c r="C100" i="33"/>
  <c r="D100" i="33" s="1"/>
  <c r="C99" i="33"/>
  <c r="AH96" i="33"/>
  <c r="AI96" i="33" s="1"/>
  <c r="AH95" i="33"/>
  <c r="AI95" i="33" s="1"/>
  <c r="AH94" i="33"/>
  <c r="AI94" i="33" s="1"/>
  <c r="AH93" i="33"/>
  <c r="AI93" i="33" s="1"/>
  <c r="AH92" i="33"/>
  <c r="AI92" i="33" s="1"/>
  <c r="B91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G80" i="33"/>
  <c r="AI79" i="33"/>
  <c r="AH79" i="33"/>
  <c r="AF78" i="33"/>
  <c r="AE78" i="33"/>
  <c r="AD78" i="33"/>
  <c r="AC78" i="33"/>
  <c r="AB78" i="33"/>
  <c r="AA78" i="33"/>
  <c r="AA80" i="33" s="1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B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F76" i="33"/>
  <c r="AE76" i="33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AF75" i="33"/>
  <c r="AE75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AF74" i="33"/>
  <c r="AE74" i="33"/>
  <c r="AD74" i="33"/>
  <c r="AD80" i="33" s="1"/>
  <c r="AC74" i="33"/>
  <c r="AB74" i="33"/>
  <c r="AA74" i="33"/>
  <c r="Z74" i="33"/>
  <c r="Y74" i="33"/>
  <c r="Y80" i="33" s="1"/>
  <c r="X74" i="33"/>
  <c r="W74" i="33"/>
  <c r="V74" i="33"/>
  <c r="U74" i="33"/>
  <c r="T74" i="33"/>
  <c r="S74" i="33"/>
  <c r="R74" i="33"/>
  <c r="R80" i="33" s="1"/>
  <c r="Q74" i="33"/>
  <c r="P74" i="33"/>
  <c r="O74" i="33"/>
  <c r="N74" i="33"/>
  <c r="M74" i="33"/>
  <c r="L74" i="33"/>
  <c r="K74" i="33"/>
  <c r="J74" i="33"/>
  <c r="I74" i="33"/>
  <c r="H74" i="33"/>
  <c r="G74" i="33"/>
  <c r="F74" i="33"/>
  <c r="F80" i="33" s="1"/>
  <c r="E74" i="33"/>
  <c r="D74" i="33"/>
  <c r="C74" i="33"/>
  <c r="B74" i="33"/>
  <c r="AI72" i="33"/>
  <c r="AH72" i="33"/>
  <c r="AG70" i="33"/>
  <c r="AF70" i="33"/>
  <c r="AE70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L70" i="33"/>
  <c r="K70" i="33"/>
  <c r="J70" i="33"/>
  <c r="I70" i="33"/>
  <c r="H70" i="33"/>
  <c r="G70" i="33"/>
  <c r="F70" i="33"/>
  <c r="E70" i="33"/>
  <c r="D70" i="33"/>
  <c r="C70" i="33"/>
  <c r="B70" i="33"/>
  <c r="AI69" i="33"/>
  <c r="AH69" i="33"/>
  <c r="AI68" i="33"/>
  <c r="AH68" i="33"/>
  <c r="AI67" i="33"/>
  <c r="AH67" i="33"/>
  <c r="AG66" i="33"/>
  <c r="AG71" i="33" s="1"/>
  <c r="AF66" i="33"/>
  <c r="AF5" i="33" s="1"/>
  <c r="AE66" i="33"/>
  <c r="AE5" i="33" s="1"/>
  <c r="AD66" i="33"/>
  <c r="AD5" i="33" s="1"/>
  <c r="AC66" i="33"/>
  <c r="AB66" i="33"/>
  <c r="AA66" i="33"/>
  <c r="AA5" i="33" s="1"/>
  <c r="Z66" i="33"/>
  <c r="Z5" i="33" s="1"/>
  <c r="Y66" i="33"/>
  <c r="Y5" i="33" s="1"/>
  <c r="X66" i="33"/>
  <c r="X5" i="33" s="1"/>
  <c r="W66" i="33"/>
  <c r="V66" i="33"/>
  <c r="V5" i="33" s="1"/>
  <c r="U66" i="33"/>
  <c r="U5" i="33" s="1"/>
  <c r="T66" i="33"/>
  <c r="T5" i="33" s="1"/>
  <c r="S66" i="33"/>
  <c r="S5" i="33" s="1"/>
  <c r="R66" i="33"/>
  <c r="R5" i="33" s="1"/>
  <c r="Q66" i="33"/>
  <c r="Q5" i="33" s="1"/>
  <c r="P66" i="33"/>
  <c r="P5" i="33" s="1"/>
  <c r="O66" i="33"/>
  <c r="O5" i="33" s="1"/>
  <c r="N66" i="33"/>
  <c r="N5" i="33" s="1"/>
  <c r="M66" i="33"/>
  <c r="L66" i="33"/>
  <c r="L5" i="33" s="1"/>
  <c r="K66" i="33"/>
  <c r="K5" i="33" s="1"/>
  <c r="J66" i="33"/>
  <c r="J5" i="33" s="1"/>
  <c r="I66" i="33"/>
  <c r="I5" i="33" s="1"/>
  <c r="H66" i="33"/>
  <c r="H5" i="33" s="1"/>
  <c r="G66" i="33"/>
  <c r="G5" i="33" s="1"/>
  <c r="F66" i="33"/>
  <c r="F5" i="33" s="1"/>
  <c r="E66" i="33"/>
  <c r="E5" i="33" s="1"/>
  <c r="D66" i="33"/>
  <c r="D5" i="33" s="1"/>
  <c r="C66" i="33"/>
  <c r="C5" i="33" s="1"/>
  <c r="B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G54" i="33"/>
  <c r="AG4" i="33" s="1"/>
  <c r="AF54" i="33"/>
  <c r="AE54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AI53" i="33"/>
  <c r="AH53" i="33"/>
  <c r="AI52" i="33"/>
  <c r="AH52" i="33"/>
  <c r="AI51" i="33"/>
  <c r="AH51" i="33"/>
  <c r="AG50" i="33"/>
  <c r="Y50" i="33"/>
  <c r="S50" i="33"/>
  <c r="R50" i="33"/>
  <c r="Q50" i="33"/>
  <c r="P50" i="33"/>
  <c r="O50" i="33"/>
  <c r="N50" i="33"/>
  <c r="M50" i="33"/>
  <c r="L50" i="33"/>
  <c r="K50" i="33"/>
  <c r="J50" i="33"/>
  <c r="I50" i="33"/>
  <c r="H50" i="33"/>
  <c r="G50" i="33"/>
  <c r="F50" i="33"/>
  <c r="E50" i="33"/>
  <c r="D50" i="33"/>
  <c r="C50" i="33"/>
  <c r="B50" i="33"/>
  <c r="AG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G36" i="33"/>
  <c r="AG2" i="33" s="1"/>
  <c r="AF36" i="33"/>
  <c r="AE36" i="33"/>
  <c r="AD36" i="33"/>
  <c r="AC36" i="33"/>
  <c r="AB36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C5" i="33"/>
  <c r="AB5" i="33"/>
  <c r="W5" i="33"/>
  <c r="M5" i="33"/>
  <c r="K4" i="33"/>
  <c r="B4" i="33"/>
  <c r="AG3" i="33"/>
  <c r="E4" i="33"/>
  <c r="L81" i="34" l="1"/>
  <c r="L7" i="34"/>
  <c r="K81" i="34"/>
  <c r="K7" i="34"/>
  <c r="J81" i="34"/>
  <c r="J7" i="34"/>
  <c r="I81" i="34"/>
  <c r="H7" i="34"/>
  <c r="H81" i="34"/>
  <c r="G81" i="34"/>
  <c r="X211" i="34"/>
  <c r="F81" i="34"/>
  <c r="E7" i="34"/>
  <c r="E81" i="34"/>
  <c r="V211" i="34"/>
  <c r="D7" i="34"/>
  <c r="D81" i="34"/>
  <c r="C81" i="34"/>
  <c r="C7" i="34"/>
  <c r="B81" i="34"/>
  <c r="K100" i="34"/>
  <c r="Y211" i="34"/>
  <c r="G7" i="34"/>
  <c r="T211" i="34"/>
  <c r="B7" i="34"/>
  <c r="F191" i="34"/>
  <c r="E197" i="34"/>
  <c r="F189" i="34"/>
  <c r="G99" i="34"/>
  <c r="AI80" i="34"/>
  <c r="AH80" i="34"/>
  <c r="B206" i="34"/>
  <c r="C206" i="34"/>
  <c r="F232" i="34"/>
  <c r="G196" i="34"/>
  <c r="AQ211" i="34"/>
  <c r="Y7" i="34"/>
  <c r="AI211" i="34"/>
  <c r="Q7" i="34"/>
  <c r="H106" i="34"/>
  <c r="Q81" i="34"/>
  <c r="AA211" i="34"/>
  <c r="I7" i="34"/>
  <c r="AF80" i="33"/>
  <c r="AE80" i="33"/>
  <c r="Z80" i="33"/>
  <c r="X80" i="33"/>
  <c r="W80" i="33"/>
  <c r="V80" i="33"/>
  <c r="S80" i="33"/>
  <c r="R73" i="33"/>
  <c r="Q80" i="33"/>
  <c r="P80" i="33"/>
  <c r="O80" i="33"/>
  <c r="O71" i="33"/>
  <c r="O73" i="33"/>
  <c r="N80" i="33"/>
  <c r="N71" i="33"/>
  <c r="M73" i="33"/>
  <c r="AE211" i="33" s="1"/>
  <c r="M71" i="33"/>
  <c r="L73" i="33"/>
  <c r="AD211" i="33" s="1"/>
  <c r="L71" i="33"/>
  <c r="K80" i="33"/>
  <c r="J80" i="33"/>
  <c r="J73" i="33"/>
  <c r="AB211" i="33" s="1"/>
  <c r="I80" i="33"/>
  <c r="AH35" i="33"/>
  <c r="I73" i="33"/>
  <c r="AA211" i="33" s="1"/>
  <c r="H80" i="33"/>
  <c r="H73" i="33"/>
  <c r="H7" i="33" s="1"/>
  <c r="G80" i="33"/>
  <c r="AH78" i="33"/>
  <c r="G71" i="33"/>
  <c r="G73" i="33"/>
  <c r="AI75" i="33"/>
  <c r="AH54" i="33"/>
  <c r="F71" i="33"/>
  <c r="E73" i="33"/>
  <c r="W211" i="33" s="1"/>
  <c r="E71" i="33"/>
  <c r="D73" i="33"/>
  <c r="V211" i="33" s="1"/>
  <c r="D71" i="33"/>
  <c r="AI74" i="33"/>
  <c r="AH66" i="33"/>
  <c r="C80" i="33"/>
  <c r="AI78" i="33"/>
  <c r="C73" i="33"/>
  <c r="U211" i="33" s="1"/>
  <c r="AI77" i="33"/>
  <c r="AH75" i="33"/>
  <c r="B5" i="33"/>
  <c r="B80" i="33"/>
  <c r="B71" i="33"/>
  <c r="B73" i="33" s="1"/>
  <c r="B81" i="33" s="1"/>
  <c r="AI54" i="33"/>
  <c r="H4" i="33"/>
  <c r="AG6" i="33"/>
  <c r="AJ211" i="33"/>
  <c r="R7" i="33"/>
  <c r="AG211" i="33"/>
  <c r="O7" i="33"/>
  <c r="AH36" i="33"/>
  <c r="AI36" i="33"/>
  <c r="AH70" i="33"/>
  <c r="H71" i="33"/>
  <c r="P71" i="33"/>
  <c r="AG73" i="33"/>
  <c r="AG81" i="33" s="1"/>
  <c r="AI66" i="33"/>
  <c r="AI70" i="33"/>
  <c r="I71" i="33"/>
  <c r="Q71" i="33"/>
  <c r="Y71" i="33"/>
  <c r="P73" i="33"/>
  <c r="Y73" i="33"/>
  <c r="J71" i="33"/>
  <c r="R71" i="33"/>
  <c r="R81" i="33" s="1"/>
  <c r="Q73" i="33"/>
  <c r="AH74" i="33"/>
  <c r="M7" i="33"/>
  <c r="C71" i="33"/>
  <c r="K71" i="33"/>
  <c r="F73" i="33"/>
  <c r="AH77" i="33"/>
  <c r="S208" i="33"/>
  <c r="D208" i="33"/>
  <c r="S71" i="33"/>
  <c r="N73" i="33"/>
  <c r="N81" i="33" s="1"/>
  <c r="S73" i="33"/>
  <c r="K73" i="33"/>
  <c r="D80" i="33"/>
  <c r="L80" i="33"/>
  <c r="T80" i="33"/>
  <c r="AB80" i="33"/>
  <c r="AI76" i="33"/>
  <c r="E100" i="33"/>
  <c r="E80" i="33"/>
  <c r="M80" i="33"/>
  <c r="U80" i="33"/>
  <c r="AC80" i="33"/>
  <c r="AH76" i="33"/>
  <c r="C189" i="33"/>
  <c r="D99" i="33"/>
  <c r="C232" i="33"/>
  <c r="D196" i="33"/>
  <c r="D191" i="33"/>
  <c r="AL4" i="32"/>
  <c r="AJ60" i="32"/>
  <c r="AJ59" i="32"/>
  <c r="AJ58" i="32"/>
  <c r="AJ57" i="32"/>
  <c r="AJ56" i="32"/>
  <c r="AJ39" i="32"/>
  <c r="AJ38" i="32"/>
  <c r="AJ37" i="32"/>
  <c r="AB35" i="32"/>
  <c r="H196" i="34" l="1"/>
  <c r="G232" i="34"/>
  <c r="G189" i="34"/>
  <c r="H99" i="34"/>
  <c r="I106" i="34"/>
  <c r="G191" i="34"/>
  <c r="F197" i="34"/>
  <c r="F91" i="34"/>
  <c r="L100" i="34"/>
  <c r="K6" i="34"/>
  <c r="Y81" i="33"/>
  <c r="S81" i="33"/>
  <c r="Q81" i="33"/>
  <c r="P81" i="33"/>
  <c r="O81" i="33"/>
  <c r="Z211" i="33"/>
  <c r="L7" i="33"/>
  <c r="M81" i="33"/>
  <c r="L81" i="33"/>
  <c r="K81" i="33"/>
  <c r="J81" i="33"/>
  <c r="J7" i="33"/>
  <c r="I81" i="33"/>
  <c r="I7" i="33"/>
  <c r="Y211" i="33"/>
  <c r="G7" i="33"/>
  <c r="G81" i="33"/>
  <c r="E7" i="33"/>
  <c r="E81" i="33"/>
  <c r="D7" i="33"/>
  <c r="C81" i="33"/>
  <c r="AI80" i="33"/>
  <c r="C7" i="33"/>
  <c r="D232" i="33"/>
  <c r="E196" i="33"/>
  <c r="X211" i="33"/>
  <c r="C206" i="33"/>
  <c r="B206" i="33"/>
  <c r="F7" i="33"/>
  <c r="AC211" i="33"/>
  <c r="K7" i="33"/>
  <c r="F81" i="33"/>
  <c r="AI211" i="33"/>
  <c r="Q7" i="33"/>
  <c r="H81" i="33"/>
  <c r="F100" i="33"/>
  <c r="D189" i="33"/>
  <c r="E99" i="33"/>
  <c r="T211" i="33"/>
  <c r="B7" i="33"/>
  <c r="D197" i="33"/>
  <c r="E191" i="33"/>
  <c r="AK211" i="33"/>
  <c r="S7" i="33"/>
  <c r="AF211" i="33"/>
  <c r="N7" i="33"/>
  <c r="AH80" i="33"/>
  <c r="D81" i="33"/>
  <c r="AH211" i="33"/>
  <c r="P7" i="33"/>
  <c r="AQ211" i="33"/>
  <c r="Y7" i="33"/>
  <c r="AA35" i="32"/>
  <c r="M100" i="34" l="1"/>
  <c r="J106" i="34"/>
  <c r="H189" i="34"/>
  <c r="I99" i="34"/>
  <c r="H191" i="34"/>
  <c r="G197" i="34"/>
  <c r="G91" i="34"/>
  <c r="H232" i="34"/>
  <c r="I196" i="34"/>
  <c r="E232" i="33"/>
  <c r="F196" i="33"/>
  <c r="E189" i="33"/>
  <c r="F99" i="33"/>
  <c r="E197" i="33"/>
  <c r="F191" i="33"/>
  <c r="G100" i="33"/>
  <c r="F91" i="33"/>
  <c r="K6" i="33"/>
  <c r="S93" i="32"/>
  <c r="R93" i="32"/>
  <c r="N93" i="32"/>
  <c r="N35" i="32"/>
  <c r="M93" i="32"/>
  <c r="M35" i="32"/>
  <c r="L93" i="32"/>
  <c r="L35" i="32"/>
  <c r="K35" i="32"/>
  <c r="J35" i="32"/>
  <c r="K106" i="34" l="1"/>
  <c r="I189" i="34"/>
  <c r="J99" i="34"/>
  <c r="I232" i="34"/>
  <c r="J196" i="34"/>
  <c r="I191" i="34"/>
  <c r="H197" i="34"/>
  <c r="H91" i="34"/>
  <c r="N100" i="34"/>
  <c r="F189" i="33"/>
  <c r="G99" i="33"/>
  <c r="H100" i="33"/>
  <c r="F232" i="33"/>
  <c r="G196" i="33"/>
  <c r="G91" i="33" s="1"/>
  <c r="G191" i="33"/>
  <c r="F197" i="33"/>
  <c r="I35" i="32"/>
  <c r="H35" i="32"/>
  <c r="G35" i="32"/>
  <c r="AJ38" i="31"/>
  <c r="AJ39" i="31"/>
  <c r="AJ37" i="31"/>
  <c r="AJ57" i="31"/>
  <c r="AJ58" i="31"/>
  <c r="AJ59" i="31"/>
  <c r="AJ56" i="31"/>
  <c r="AL3" i="31"/>
  <c r="AL4" i="31"/>
  <c r="AL2" i="31"/>
  <c r="AJ50" i="31"/>
  <c r="AJ36" i="31"/>
  <c r="AJ11" i="31"/>
  <c r="F35" i="32"/>
  <c r="D35" i="32"/>
  <c r="AH97" i="32"/>
  <c r="AI97" i="32" s="1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P235" i="32"/>
  <c r="O235" i="32"/>
  <c r="N235" i="32"/>
  <c r="M235" i="32"/>
  <c r="L235" i="32"/>
  <c r="K235" i="32"/>
  <c r="J235" i="32"/>
  <c r="I235" i="32"/>
  <c r="H235" i="32"/>
  <c r="G235" i="32"/>
  <c r="F235" i="32"/>
  <c r="E235" i="32"/>
  <c r="D235" i="32"/>
  <c r="C235" i="32"/>
  <c r="B235" i="32"/>
  <c r="A235" i="32"/>
  <c r="AF234" i="32"/>
  <c r="AE234" i="32"/>
  <c r="AD234" i="32"/>
  <c r="AC234" i="32"/>
  <c r="AB234" i="32"/>
  <c r="AA234" i="32"/>
  <c r="Z234" i="32"/>
  <c r="Y234" i="32"/>
  <c r="X234" i="32"/>
  <c r="W234" i="32"/>
  <c r="V234" i="32"/>
  <c r="U234" i="32"/>
  <c r="T234" i="32"/>
  <c r="S234" i="32"/>
  <c r="R234" i="32"/>
  <c r="Q234" i="32"/>
  <c r="P234" i="32"/>
  <c r="O234" i="32"/>
  <c r="N234" i="32"/>
  <c r="M234" i="32"/>
  <c r="L234" i="32"/>
  <c r="K234" i="32"/>
  <c r="J234" i="32"/>
  <c r="I234" i="32"/>
  <c r="H234" i="32"/>
  <c r="G234" i="32"/>
  <c r="F234" i="32"/>
  <c r="E234" i="32"/>
  <c r="D234" i="32"/>
  <c r="C234" i="32"/>
  <c r="B234" i="32"/>
  <c r="A234" i="32"/>
  <c r="AF233" i="32"/>
  <c r="AE233" i="32"/>
  <c r="AD233" i="32"/>
  <c r="AC233" i="32"/>
  <c r="AB233" i="32"/>
  <c r="AA233" i="32"/>
  <c r="Z233" i="32"/>
  <c r="Y233" i="32"/>
  <c r="X233" i="32"/>
  <c r="W233" i="32"/>
  <c r="V233" i="32"/>
  <c r="U233" i="32"/>
  <c r="T233" i="32"/>
  <c r="S233" i="32"/>
  <c r="R233" i="32"/>
  <c r="Q233" i="32"/>
  <c r="P233" i="32"/>
  <c r="O233" i="32"/>
  <c r="N233" i="32"/>
  <c r="M233" i="32"/>
  <c r="L233" i="32"/>
  <c r="K233" i="32"/>
  <c r="J233" i="32"/>
  <c r="I233" i="32"/>
  <c r="H233" i="32"/>
  <c r="G233" i="32"/>
  <c r="F233" i="32"/>
  <c r="E233" i="32"/>
  <c r="D233" i="32"/>
  <c r="C233" i="32"/>
  <c r="B233" i="32"/>
  <c r="A233" i="32"/>
  <c r="B232" i="32"/>
  <c r="S207" i="32"/>
  <c r="AG197" i="32"/>
  <c r="B197" i="32"/>
  <c r="C196" i="32"/>
  <c r="D195" i="32"/>
  <c r="E195" i="32" s="1"/>
  <c r="F195" i="32" s="1"/>
  <c r="G195" i="32" s="1"/>
  <c r="H195" i="32" s="1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C195" i="32"/>
  <c r="E194" i="32"/>
  <c r="F194" i="32" s="1"/>
  <c r="G194" i="32" s="1"/>
  <c r="H194" i="32" s="1"/>
  <c r="I194" i="32" s="1"/>
  <c r="J194" i="32" s="1"/>
  <c r="K194" i="32" s="1"/>
  <c r="L194" i="32" s="1"/>
  <c r="M194" i="32" s="1"/>
  <c r="N194" i="32" s="1"/>
  <c r="O194" i="32" s="1"/>
  <c r="P194" i="32" s="1"/>
  <c r="Q194" i="32" s="1"/>
  <c r="R194" i="32" s="1"/>
  <c r="S194" i="32" s="1"/>
  <c r="T194" i="32" s="1"/>
  <c r="U194" i="32" s="1"/>
  <c r="V194" i="32" s="1"/>
  <c r="W194" i="32" s="1"/>
  <c r="X194" i="32" s="1"/>
  <c r="Y194" i="32" s="1"/>
  <c r="Z194" i="32" s="1"/>
  <c r="AA194" i="32" s="1"/>
  <c r="AB194" i="32" s="1"/>
  <c r="AC194" i="32" s="1"/>
  <c r="AD194" i="32" s="1"/>
  <c r="AE194" i="32" s="1"/>
  <c r="AF194" i="32" s="1"/>
  <c r="C194" i="32"/>
  <c r="D194" i="32" s="1"/>
  <c r="O193" i="32"/>
  <c r="P193" i="32" s="1"/>
  <c r="Q193" i="32" s="1"/>
  <c r="R193" i="32" s="1"/>
  <c r="S193" i="32" s="1"/>
  <c r="T193" i="32" s="1"/>
  <c r="U193" i="32" s="1"/>
  <c r="V193" i="32" s="1"/>
  <c r="W193" i="32" s="1"/>
  <c r="X193" i="32" s="1"/>
  <c r="Y193" i="32" s="1"/>
  <c r="Z193" i="32" s="1"/>
  <c r="AA193" i="32" s="1"/>
  <c r="AB193" i="32" s="1"/>
  <c r="AC193" i="32" s="1"/>
  <c r="AD193" i="32" s="1"/>
  <c r="AE193" i="32" s="1"/>
  <c r="AF193" i="32" s="1"/>
  <c r="C193" i="32"/>
  <c r="D193" i="32" s="1"/>
  <c r="E193" i="32" s="1"/>
  <c r="F193" i="32" s="1"/>
  <c r="G193" i="32" s="1"/>
  <c r="H193" i="32" s="1"/>
  <c r="I193" i="32" s="1"/>
  <c r="J193" i="32" s="1"/>
  <c r="K193" i="32" s="1"/>
  <c r="L193" i="32" s="1"/>
  <c r="M193" i="32" s="1"/>
  <c r="N193" i="32" s="1"/>
  <c r="F192" i="32"/>
  <c r="G192" i="32" s="1"/>
  <c r="H192" i="32" s="1"/>
  <c r="I192" i="32" s="1"/>
  <c r="J192" i="32" s="1"/>
  <c r="K192" i="32" s="1"/>
  <c r="L192" i="32" s="1"/>
  <c r="M192" i="32" s="1"/>
  <c r="N192" i="32" s="1"/>
  <c r="O192" i="32" s="1"/>
  <c r="P192" i="32" s="1"/>
  <c r="Q192" i="32" s="1"/>
  <c r="R192" i="32" s="1"/>
  <c r="S192" i="32" s="1"/>
  <c r="T192" i="32" s="1"/>
  <c r="U192" i="32" s="1"/>
  <c r="V192" i="32" s="1"/>
  <c r="W192" i="32" s="1"/>
  <c r="X192" i="32" s="1"/>
  <c r="Y192" i="32" s="1"/>
  <c r="Z192" i="32" s="1"/>
  <c r="AA192" i="32" s="1"/>
  <c r="AB192" i="32" s="1"/>
  <c r="AC192" i="32" s="1"/>
  <c r="AD192" i="32" s="1"/>
  <c r="AE192" i="32" s="1"/>
  <c r="AF192" i="32" s="1"/>
  <c r="E192" i="32"/>
  <c r="C192" i="32"/>
  <c r="D192" i="32" s="1"/>
  <c r="D191" i="32"/>
  <c r="C191" i="32"/>
  <c r="AG189" i="32"/>
  <c r="B189" i="32"/>
  <c r="N188" i="32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I188" i="32"/>
  <c r="J188" i="32" s="1"/>
  <c r="K188" i="32" s="1"/>
  <c r="L188" i="32" s="1"/>
  <c r="M188" i="32" s="1"/>
  <c r="C188" i="32"/>
  <c r="D188" i="32" s="1"/>
  <c r="E188" i="32" s="1"/>
  <c r="F188" i="32" s="1"/>
  <c r="G188" i="32" s="1"/>
  <c r="H188" i="32" s="1"/>
  <c r="C187" i="32"/>
  <c r="D187" i="32" s="1"/>
  <c r="E187" i="32" s="1"/>
  <c r="F187" i="32" s="1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C186" i="32"/>
  <c r="D186" i="32" s="1"/>
  <c r="E186" i="32" s="1"/>
  <c r="F186" i="32" s="1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G185" i="32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C185" i="32"/>
  <c r="D185" i="32" s="1"/>
  <c r="E185" i="32" s="1"/>
  <c r="F185" i="32" s="1"/>
  <c r="G184" i="32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E184" i="32"/>
  <c r="F184" i="32" s="1"/>
  <c r="C184" i="32"/>
  <c r="D184" i="32" s="1"/>
  <c r="C183" i="32"/>
  <c r="D183" i="32" s="1"/>
  <c r="E183" i="32" s="1"/>
  <c r="F183" i="32" s="1"/>
  <c r="G183" i="32" s="1"/>
  <c r="H183" i="32" s="1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C182" i="32"/>
  <c r="D182" i="32" s="1"/>
  <c r="E182" i="32" s="1"/>
  <c r="F182" i="32" s="1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E181" i="32"/>
  <c r="F181" i="32" s="1"/>
  <c r="G181" i="32" s="1"/>
  <c r="H181" i="32" s="1"/>
  <c r="I181" i="32" s="1"/>
  <c r="J181" i="32" s="1"/>
  <c r="K181" i="32" s="1"/>
  <c r="L181" i="32" s="1"/>
  <c r="M181" i="32" s="1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C181" i="32"/>
  <c r="D181" i="32" s="1"/>
  <c r="G180" i="32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C180" i="32"/>
  <c r="D180" i="32" s="1"/>
  <c r="E180" i="32" s="1"/>
  <c r="F180" i="32" s="1"/>
  <c r="H179" i="32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G179" i="32"/>
  <c r="E179" i="32"/>
  <c r="F179" i="32" s="1"/>
  <c r="C179" i="32"/>
  <c r="D179" i="32" s="1"/>
  <c r="K178" i="32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AA178" i="32" s="1"/>
  <c r="AB178" i="32" s="1"/>
  <c r="AC178" i="32" s="1"/>
  <c r="AD178" i="32" s="1"/>
  <c r="AE178" i="32" s="1"/>
  <c r="AF178" i="32" s="1"/>
  <c r="J178" i="32"/>
  <c r="F178" i="32"/>
  <c r="G178" i="32" s="1"/>
  <c r="H178" i="32" s="1"/>
  <c r="I178" i="32" s="1"/>
  <c r="C178" i="32"/>
  <c r="D178" i="32" s="1"/>
  <c r="E178" i="32" s="1"/>
  <c r="E177" i="32"/>
  <c r="F177" i="32" s="1"/>
  <c r="G177" i="32" s="1"/>
  <c r="H177" i="32" s="1"/>
  <c r="I177" i="32" s="1"/>
  <c r="J177" i="32" s="1"/>
  <c r="K177" i="32" s="1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D177" i="32"/>
  <c r="C177" i="32"/>
  <c r="D176" i="32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C176" i="32"/>
  <c r="D174" i="32"/>
  <c r="E174" i="32" s="1"/>
  <c r="F174" i="32" s="1"/>
  <c r="G174" i="32" s="1"/>
  <c r="H174" i="32" s="1"/>
  <c r="I174" i="32" s="1"/>
  <c r="J174" i="32" s="1"/>
  <c r="K174" i="32" s="1"/>
  <c r="L174" i="32" s="1"/>
  <c r="M174" i="32" s="1"/>
  <c r="N174" i="32" s="1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C174" i="32"/>
  <c r="G173" i="32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C173" i="32"/>
  <c r="D173" i="32" s="1"/>
  <c r="E173" i="32" s="1"/>
  <c r="F173" i="32" s="1"/>
  <c r="C172" i="32"/>
  <c r="D172" i="32" s="1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M171" i="32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C171" i="32"/>
  <c r="D171" i="32" s="1"/>
  <c r="E171" i="32" s="1"/>
  <c r="F171" i="32" s="1"/>
  <c r="G171" i="32" s="1"/>
  <c r="H171" i="32" s="1"/>
  <c r="I171" i="32" s="1"/>
  <c r="J171" i="32" s="1"/>
  <c r="K171" i="32" s="1"/>
  <c r="L171" i="32" s="1"/>
  <c r="F170" i="32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C170" i="32"/>
  <c r="D170" i="32" s="1"/>
  <c r="E170" i="32" s="1"/>
  <c r="C169" i="32"/>
  <c r="D169" i="32" s="1"/>
  <c r="E169" i="32" s="1"/>
  <c r="F169" i="32" s="1"/>
  <c r="G169" i="32" s="1"/>
  <c r="H169" i="32" s="1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F168" i="32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C168" i="32"/>
  <c r="D168" i="32" s="1"/>
  <c r="E168" i="32" s="1"/>
  <c r="E167" i="32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D167" i="32"/>
  <c r="C167" i="32"/>
  <c r="C165" i="32"/>
  <c r="D165" i="32" s="1"/>
  <c r="E165" i="32" s="1"/>
  <c r="F165" i="32" s="1"/>
  <c r="G165" i="32" s="1"/>
  <c r="H165" i="32" s="1"/>
  <c r="I165" i="32" s="1"/>
  <c r="J165" i="32" s="1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E164" i="32"/>
  <c r="F164" i="32" s="1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C164" i="32"/>
  <c r="D164" i="32" s="1"/>
  <c r="Z163" i="32"/>
  <c r="AA163" i="32" s="1"/>
  <c r="AB163" i="32" s="1"/>
  <c r="AC163" i="32" s="1"/>
  <c r="AD163" i="32" s="1"/>
  <c r="AE163" i="32" s="1"/>
  <c r="AF163" i="32" s="1"/>
  <c r="N163" i="32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C163" i="32"/>
  <c r="D163" i="32" s="1"/>
  <c r="E163" i="32" s="1"/>
  <c r="F163" i="32" s="1"/>
  <c r="G163" i="32" s="1"/>
  <c r="H163" i="32" s="1"/>
  <c r="I163" i="32" s="1"/>
  <c r="J163" i="32" s="1"/>
  <c r="K163" i="32" s="1"/>
  <c r="L163" i="32" s="1"/>
  <c r="M163" i="32" s="1"/>
  <c r="G162" i="32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E162" i="32"/>
  <c r="F162" i="32" s="1"/>
  <c r="C162" i="32"/>
  <c r="D162" i="32" s="1"/>
  <c r="M161" i="32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E161" i="32"/>
  <c r="F161" i="32" s="1"/>
  <c r="G161" i="32" s="1"/>
  <c r="H161" i="32" s="1"/>
  <c r="I161" i="32" s="1"/>
  <c r="J161" i="32" s="1"/>
  <c r="K161" i="32" s="1"/>
  <c r="L161" i="32" s="1"/>
  <c r="D161" i="32"/>
  <c r="C161" i="32"/>
  <c r="J160" i="32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D160" i="32"/>
  <c r="E160" i="32" s="1"/>
  <c r="F160" i="32" s="1"/>
  <c r="G160" i="32" s="1"/>
  <c r="H160" i="32" s="1"/>
  <c r="I160" i="32" s="1"/>
  <c r="C160" i="32"/>
  <c r="C159" i="32"/>
  <c r="D159" i="32" s="1"/>
  <c r="E159" i="32" s="1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D158" i="32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C158" i="32"/>
  <c r="F157" i="32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C157" i="32"/>
  <c r="D157" i="32" s="1"/>
  <c r="E157" i="32" s="1"/>
  <c r="L156" i="32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D156" i="32"/>
  <c r="E156" i="32" s="1"/>
  <c r="F156" i="32" s="1"/>
  <c r="G156" i="32" s="1"/>
  <c r="H156" i="32" s="1"/>
  <c r="I156" i="32" s="1"/>
  <c r="J156" i="32" s="1"/>
  <c r="K156" i="32" s="1"/>
  <c r="C156" i="32"/>
  <c r="E155" i="32"/>
  <c r="F155" i="32" s="1"/>
  <c r="G155" i="32" s="1"/>
  <c r="H155" i="32" s="1"/>
  <c r="I155" i="32" s="1"/>
  <c r="J155" i="32" s="1"/>
  <c r="K155" i="32" s="1"/>
  <c r="L155" i="32" s="1"/>
  <c r="M155" i="32" s="1"/>
  <c r="N155" i="32" s="1"/>
  <c r="O155" i="32" s="1"/>
  <c r="P155" i="32" s="1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AF155" i="32" s="1"/>
  <c r="C155" i="32"/>
  <c r="D155" i="32" s="1"/>
  <c r="K154" i="32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G154" i="32"/>
  <c r="H154" i="32" s="1"/>
  <c r="I154" i="32" s="1"/>
  <c r="J154" i="32" s="1"/>
  <c r="E154" i="32"/>
  <c r="F154" i="32" s="1"/>
  <c r="D154" i="32"/>
  <c r="C154" i="32"/>
  <c r="J153" i="32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D153" i="32"/>
  <c r="E153" i="32" s="1"/>
  <c r="F153" i="32" s="1"/>
  <c r="G153" i="32" s="1"/>
  <c r="H153" i="32" s="1"/>
  <c r="I153" i="32" s="1"/>
  <c r="C153" i="32"/>
  <c r="L151" i="32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D151" i="32"/>
  <c r="E151" i="32" s="1"/>
  <c r="F151" i="32" s="1"/>
  <c r="G151" i="32" s="1"/>
  <c r="H151" i="32" s="1"/>
  <c r="I151" i="32" s="1"/>
  <c r="J151" i="32" s="1"/>
  <c r="K151" i="32" s="1"/>
  <c r="C151" i="32"/>
  <c r="F150" i="32"/>
  <c r="G150" i="32" s="1"/>
  <c r="H150" i="32" s="1"/>
  <c r="I150" i="32" s="1"/>
  <c r="J150" i="32" s="1"/>
  <c r="K150" i="32" s="1"/>
  <c r="L150" i="32" s="1"/>
  <c r="M150" i="32" s="1"/>
  <c r="N150" i="32" s="1"/>
  <c r="O150" i="32" s="1"/>
  <c r="P150" i="32" s="1"/>
  <c r="Q150" i="32" s="1"/>
  <c r="R150" i="32" s="1"/>
  <c r="S150" i="32" s="1"/>
  <c r="T150" i="32" s="1"/>
  <c r="U150" i="32" s="1"/>
  <c r="V150" i="32" s="1"/>
  <c r="W150" i="32" s="1"/>
  <c r="X150" i="32" s="1"/>
  <c r="Y150" i="32" s="1"/>
  <c r="Z150" i="32" s="1"/>
  <c r="AA150" i="32" s="1"/>
  <c r="AB150" i="32" s="1"/>
  <c r="AC150" i="32" s="1"/>
  <c r="AD150" i="32" s="1"/>
  <c r="AE150" i="32" s="1"/>
  <c r="AF150" i="32" s="1"/>
  <c r="C150" i="32"/>
  <c r="D150" i="32" s="1"/>
  <c r="E150" i="32" s="1"/>
  <c r="U149" i="32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C149" i="32"/>
  <c r="D149" i="32" s="1"/>
  <c r="E149" i="32" s="1"/>
  <c r="F149" i="32" s="1"/>
  <c r="G149" i="32" s="1"/>
  <c r="H149" i="32" s="1"/>
  <c r="I149" i="32" s="1"/>
  <c r="J149" i="32" s="1"/>
  <c r="K149" i="32" s="1"/>
  <c r="L149" i="32" s="1"/>
  <c r="M149" i="32" s="1"/>
  <c r="N149" i="32" s="1"/>
  <c r="O149" i="32" s="1"/>
  <c r="P149" i="32" s="1"/>
  <c r="Q149" i="32" s="1"/>
  <c r="R149" i="32" s="1"/>
  <c r="S149" i="32" s="1"/>
  <c r="T149" i="32" s="1"/>
  <c r="C148" i="32"/>
  <c r="D148" i="32" s="1"/>
  <c r="E148" i="32" s="1"/>
  <c r="F148" i="32" s="1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W146" i="32"/>
  <c r="X146" i="32" s="1"/>
  <c r="Y146" i="32" s="1"/>
  <c r="Z146" i="32" s="1"/>
  <c r="AA146" i="32" s="1"/>
  <c r="AB146" i="32" s="1"/>
  <c r="AC146" i="32" s="1"/>
  <c r="AD146" i="32" s="1"/>
  <c r="AE146" i="32" s="1"/>
  <c r="AF146" i="32" s="1"/>
  <c r="D146" i="32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C146" i="32"/>
  <c r="Z145" i="32"/>
  <c r="AA145" i="32" s="1"/>
  <c r="AB145" i="32" s="1"/>
  <c r="AC145" i="32" s="1"/>
  <c r="AD145" i="32" s="1"/>
  <c r="AE145" i="32" s="1"/>
  <c r="AF145" i="32" s="1"/>
  <c r="C145" i="32"/>
  <c r="D145" i="32" s="1"/>
  <c r="E145" i="32" s="1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G143" i="32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D143" i="32"/>
  <c r="E143" i="32" s="1"/>
  <c r="F143" i="32" s="1"/>
  <c r="C143" i="32"/>
  <c r="O142" i="32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F142" i="32"/>
  <c r="G142" i="32" s="1"/>
  <c r="H142" i="32" s="1"/>
  <c r="I142" i="32" s="1"/>
  <c r="J142" i="32" s="1"/>
  <c r="K142" i="32" s="1"/>
  <c r="L142" i="32" s="1"/>
  <c r="M142" i="32" s="1"/>
  <c r="N142" i="32" s="1"/>
  <c r="D142" i="32"/>
  <c r="E142" i="32" s="1"/>
  <c r="C142" i="32"/>
  <c r="H141" i="32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E141" i="32"/>
  <c r="F141" i="32" s="1"/>
  <c r="G141" i="32" s="1"/>
  <c r="C141" i="32"/>
  <c r="D141" i="32" s="1"/>
  <c r="C140" i="32"/>
  <c r="D140" i="32" s="1"/>
  <c r="E140" i="32" s="1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N139" i="32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D139" i="32"/>
  <c r="E139" i="32" s="1"/>
  <c r="F139" i="32" s="1"/>
  <c r="G139" i="32" s="1"/>
  <c r="H139" i="32" s="1"/>
  <c r="I139" i="32" s="1"/>
  <c r="J139" i="32" s="1"/>
  <c r="K139" i="32" s="1"/>
  <c r="L139" i="32" s="1"/>
  <c r="M139" i="32" s="1"/>
  <c r="C139" i="32"/>
  <c r="M138" i="32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C138" i="32"/>
  <c r="D138" i="32" s="1"/>
  <c r="E138" i="32" s="1"/>
  <c r="F138" i="32" s="1"/>
  <c r="G138" i="32" s="1"/>
  <c r="H138" i="32" s="1"/>
  <c r="I138" i="32" s="1"/>
  <c r="J138" i="32" s="1"/>
  <c r="K138" i="32" s="1"/>
  <c r="L138" i="32" s="1"/>
  <c r="E137" i="32"/>
  <c r="F137" i="32" s="1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C137" i="32"/>
  <c r="D137" i="32" s="1"/>
  <c r="C135" i="32"/>
  <c r="D135" i="32" s="1"/>
  <c r="E135" i="32" s="1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L134" i="32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E134" i="32"/>
  <c r="F134" i="32" s="1"/>
  <c r="G134" i="32" s="1"/>
  <c r="H134" i="32" s="1"/>
  <c r="I134" i="32" s="1"/>
  <c r="J134" i="32" s="1"/>
  <c r="K134" i="32" s="1"/>
  <c r="D134" i="32"/>
  <c r="C134" i="32"/>
  <c r="K133" i="32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D133" i="32"/>
  <c r="E133" i="32" s="1"/>
  <c r="F133" i="32" s="1"/>
  <c r="G133" i="32" s="1"/>
  <c r="H133" i="32" s="1"/>
  <c r="I133" i="32" s="1"/>
  <c r="J133" i="32" s="1"/>
  <c r="C133" i="32"/>
  <c r="D132" i="32"/>
  <c r="E132" i="32" s="1"/>
  <c r="F132" i="32" s="1"/>
  <c r="G132" i="32" s="1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C132" i="32"/>
  <c r="D131" i="32"/>
  <c r="E131" i="32" s="1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C131" i="32"/>
  <c r="D130" i="32"/>
  <c r="E130" i="32" s="1"/>
  <c r="F130" i="32" s="1"/>
  <c r="G130" i="32" s="1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C130" i="32"/>
  <c r="D129" i="32"/>
  <c r="E129" i="32" s="1"/>
  <c r="F129" i="32" s="1"/>
  <c r="G129" i="32" s="1"/>
  <c r="H129" i="32" s="1"/>
  <c r="I129" i="32" s="1"/>
  <c r="J129" i="32" s="1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C129" i="32"/>
  <c r="D128" i="32"/>
  <c r="E128" i="32" s="1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C128" i="32"/>
  <c r="D126" i="32"/>
  <c r="E126" i="32" s="1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C126" i="32"/>
  <c r="D125" i="32"/>
  <c r="E125" i="32" s="1"/>
  <c r="F125" i="32" s="1"/>
  <c r="G125" i="32" s="1"/>
  <c r="H125" i="32" s="1"/>
  <c r="I125" i="32" s="1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C125" i="32"/>
  <c r="D124" i="32"/>
  <c r="E124" i="32" s="1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C124" i="32"/>
  <c r="C123" i="32"/>
  <c r="D123" i="32" s="1"/>
  <c r="E123" i="32" s="1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C122" i="32"/>
  <c r="D122" i="32" s="1"/>
  <c r="E122" i="32" s="1"/>
  <c r="F122" i="32" s="1"/>
  <c r="G122" i="32" s="1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I121" i="32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D121" i="32"/>
  <c r="E121" i="32" s="1"/>
  <c r="F121" i="32" s="1"/>
  <c r="G121" i="32" s="1"/>
  <c r="H121" i="32" s="1"/>
  <c r="C121" i="32"/>
  <c r="G120" i="32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D120" i="32"/>
  <c r="E120" i="32" s="1"/>
  <c r="F120" i="32" s="1"/>
  <c r="C120" i="32"/>
  <c r="C119" i="32"/>
  <c r="D119" i="32" s="1"/>
  <c r="E119" i="32" s="1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C118" i="32"/>
  <c r="D118" i="32" s="1"/>
  <c r="E118" i="32" s="1"/>
  <c r="F118" i="32" s="1"/>
  <c r="G118" i="32" s="1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C117" i="32"/>
  <c r="AF116" i="32"/>
  <c r="D116" i="32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C116" i="32"/>
  <c r="E115" i="32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C115" i="32"/>
  <c r="D115" i="32" s="1"/>
  <c r="C114" i="32"/>
  <c r="D114" i="32" s="1"/>
  <c r="E114" i="32" s="1"/>
  <c r="F114" i="32" s="1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D113" i="32"/>
  <c r="E113" i="32" s="1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C113" i="32"/>
  <c r="D112" i="32"/>
  <c r="E112" i="32" s="1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C112" i="32"/>
  <c r="M111" i="32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J111" i="32"/>
  <c r="K111" i="32" s="1"/>
  <c r="L111" i="32" s="1"/>
  <c r="D111" i="32"/>
  <c r="E111" i="32" s="1"/>
  <c r="F111" i="32" s="1"/>
  <c r="G111" i="32" s="1"/>
  <c r="H111" i="32" s="1"/>
  <c r="C111" i="32"/>
  <c r="C110" i="32"/>
  <c r="D110" i="32" s="1"/>
  <c r="E110" i="32" s="1"/>
  <c r="F110" i="32" s="1"/>
  <c r="G110" i="32" s="1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Q109" i="32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C109" i="32"/>
  <c r="D109" i="32" s="1"/>
  <c r="E109" i="32" s="1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C107" i="32"/>
  <c r="D107" i="32" s="1"/>
  <c r="E107" i="32" s="1"/>
  <c r="F107" i="32" s="1"/>
  <c r="G107" i="32" s="1"/>
  <c r="H107" i="32" s="1"/>
  <c r="I107" i="32" s="1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E106" i="32"/>
  <c r="F106" i="32" s="1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D106" i="32"/>
  <c r="C106" i="32"/>
  <c r="E104" i="32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C104" i="32"/>
  <c r="D104" i="32" s="1"/>
  <c r="C103" i="32"/>
  <c r="D103" i="32" s="1"/>
  <c r="E103" i="32" s="1"/>
  <c r="F103" i="32" s="1"/>
  <c r="G103" i="32" s="1"/>
  <c r="H103" i="32" s="1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F102" i="32"/>
  <c r="G102" i="32" s="1"/>
  <c r="H102" i="32" s="1"/>
  <c r="I102" i="32" s="1"/>
  <c r="J102" i="32" s="1"/>
  <c r="K102" i="32" s="1"/>
  <c r="L102" i="32" s="1"/>
  <c r="M102" i="32" s="1"/>
  <c r="N102" i="32" s="1"/>
  <c r="O102" i="32" s="1"/>
  <c r="P102" i="32" s="1"/>
  <c r="Q102" i="32" s="1"/>
  <c r="R102" i="32" s="1"/>
  <c r="S102" i="32" s="1"/>
  <c r="T102" i="32" s="1"/>
  <c r="U102" i="32" s="1"/>
  <c r="V102" i="32" s="1"/>
  <c r="W102" i="32" s="1"/>
  <c r="X102" i="32" s="1"/>
  <c r="Y102" i="32" s="1"/>
  <c r="Z102" i="32" s="1"/>
  <c r="AA102" i="32" s="1"/>
  <c r="AB102" i="32" s="1"/>
  <c r="AC102" i="32" s="1"/>
  <c r="AD102" i="32" s="1"/>
  <c r="AE102" i="32" s="1"/>
  <c r="AF102" i="32" s="1"/>
  <c r="C102" i="32"/>
  <c r="D102" i="32" s="1"/>
  <c r="E102" i="32" s="1"/>
  <c r="D101" i="32"/>
  <c r="E101" i="32" s="1"/>
  <c r="F101" i="32" s="1"/>
  <c r="G101" i="32" s="1"/>
  <c r="H101" i="32" s="1"/>
  <c r="I101" i="32" s="1"/>
  <c r="J101" i="32" s="1"/>
  <c r="K101" i="32" s="1"/>
  <c r="L101" i="32" s="1"/>
  <c r="M101" i="32" s="1"/>
  <c r="N101" i="32" s="1"/>
  <c r="O101" i="32" s="1"/>
  <c r="P101" i="32" s="1"/>
  <c r="Q101" i="32" s="1"/>
  <c r="R101" i="32" s="1"/>
  <c r="S101" i="32" s="1"/>
  <c r="T101" i="32" s="1"/>
  <c r="U101" i="32" s="1"/>
  <c r="V101" i="32" s="1"/>
  <c r="W101" i="32" s="1"/>
  <c r="X101" i="32" s="1"/>
  <c r="Y101" i="32" s="1"/>
  <c r="Z101" i="32" s="1"/>
  <c r="AA101" i="32" s="1"/>
  <c r="AB101" i="32" s="1"/>
  <c r="AC101" i="32" s="1"/>
  <c r="AD101" i="32" s="1"/>
  <c r="AE101" i="32" s="1"/>
  <c r="AF101" i="32" s="1"/>
  <c r="C101" i="32"/>
  <c r="C100" i="32"/>
  <c r="D100" i="32" s="1"/>
  <c r="C99" i="32"/>
  <c r="AH96" i="32"/>
  <c r="AI96" i="32" s="1"/>
  <c r="AH95" i="32"/>
  <c r="AI95" i="32" s="1"/>
  <c r="AH94" i="32"/>
  <c r="AI94" i="32" s="1"/>
  <c r="AH93" i="32"/>
  <c r="AI93" i="32" s="1"/>
  <c r="AH92" i="32"/>
  <c r="AI92" i="32" s="1"/>
  <c r="B91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G80" i="32"/>
  <c r="AI79" i="32"/>
  <c r="AH79" i="32"/>
  <c r="AF78" i="32"/>
  <c r="AE78" i="32"/>
  <c r="AD78" i="32"/>
  <c r="AC78" i="32"/>
  <c r="AB78" i="32"/>
  <c r="AA78" i="32"/>
  <c r="Z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AF77" i="32"/>
  <c r="AE77" i="32"/>
  <c r="AD77" i="32"/>
  <c r="AC77" i="32"/>
  <c r="AB77" i="32"/>
  <c r="AA77" i="32"/>
  <c r="Z77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E76" i="32"/>
  <c r="AD76" i="32"/>
  <c r="AC76" i="32"/>
  <c r="AB76" i="32"/>
  <c r="AA76" i="32"/>
  <c r="Z76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AF75" i="32"/>
  <c r="AE75" i="32"/>
  <c r="AD75" i="32"/>
  <c r="AC75" i="32"/>
  <c r="AB75" i="32"/>
  <c r="AA75" i="32"/>
  <c r="Z75" i="32"/>
  <c r="Y75" i="32"/>
  <c r="X75" i="32"/>
  <c r="W75" i="32"/>
  <c r="V75" i="32"/>
  <c r="V80" i="32" s="1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AF74" i="32"/>
  <c r="AE74" i="32"/>
  <c r="AD74" i="32"/>
  <c r="AC74" i="32"/>
  <c r="AB74" i="32"/>
  <c r="AA74" i="32"/>
  <c r="Z74" i="32"/>
  <c r="Y74" i="32"/>
  <c r="X74" i="32"/>
  <c r="W74" i="32"/>
  <c r="V74" i="32"/>
  <c r="U74" i="32"/>
  <c r="U80" i="32" s="1"/>
  <c r="T74" i="32"/>
  <c r="S74" i="32"/>
  <c r="R74" i="32"/>
  <c r="Q74" i="32"/>
  <c r="P74" i="32"/>
  <c r="O74" i="32"/>
  <c r="O80" i="32" s="1"/>
  <c r="N74" i="32"/>
  <c r="N80" i="32" s="1"/>
  <c r="M74" i="32"/>
  <c r="L74" i="32"/>
  <c r="K74" i="32"/>
  <c r="K80" i="32" s="1"/>
  <c r="J74" i="32"/>
  <c r="I74" i="32"/>
  <c r="H74" i="32"/>
  <c r="G74" i="32"/>
  <c r="F74" i="32"/>
  <c r="F80" i="32" s="1"/>
  <c r="E74" i="32"/>
  <c r="E80" i="32" s="1"/>
  <c r="D74" i="32"/>
  <c r="C74" i="32"/>
  <c r="B74" i="32"/>
  <c r="AI72" i="32"/>
  <c r="AH72" i="32"/>
  <c r="AG70" i="32"/>
  <c r="AF70" i="32"/>
  <c r="AE70" i="32"/>
  <c r="AD70" i="32"/>
  <c r="AC70" i="32"/>
  <c r="AB70" i="32"/>
  <c r="AA70" i="32"/>
  <c r="Z70" i="32"/>
  <c r="Y70" i="32"/>
  <c r="X70" i="32"/>
  <c r="W70" i="32"/>
  <c r="V70" i="32"/>
  <c r="U70" i="32"/>
  <c r="T70" i="32"/>
  <c r="S70" i="32"/>
  <c r="R70" i="32"/>
  <c r="Q70" i="32"/>
  <c r="P70" i="32"/>
  <c r="O70" i="32"/>
  <c r="N70" i="32"/>
  <c r="M70" i="32"/>
  <c r="L70" i="32"/>
  <c r="K70" i="32"/>
  <c r="J70" i="32"/>
  <c r="I70" i="32"/>
  <c r="H70" i="32"/>
  <c r="G70" i="32"/>
  <c r="F70" i="32"/>
  <c r="E70" i="32"/>
  <c r="D70" i="32"/>
  <c r="C70" i="32"/>
  <c r="B70" i="32"/>
  <c r="AI69" i="32"/>
  <c r="AH69" i="32"/>
  <c r="AI68" i="32"/>
  <c r="AH68" i="32"/>
  <c r="AI67" i="32"/>
  <c r="AH67" i="32"/>
  <c r="AG66" i="32"/>
  <c r="AF66" i="32"/>
  <c r="AF5" i="32" s="1"/>
  <c r="AE66" i="32"/>
  <c r="AE5" i="32" s="1"/>
  <c r="AD66" i="32"/>
  <c r="AC66" i="32"/>
  <c r="AB66" i="32"/>
  <c r="AB5" i="32" s="1"/>
  <c r="AA66" i="32"/>
  <c r="Z66" i="32"/>
  <c r="Y66" i="32"/>
  <c r="X66" i="32"/>
  <c r="W66" i="32"/>
  <c r="W5" i="32" s="1"/>
  <c r="V66" i="32"/>
  <c r="V5" i="32" s="1"/>
  <c r="U66" i="32"/>
  <c r="U5" i="32" s="1"/>
  <c r="T66" i="32"/>
  <c r="S66" i="32"/>
  <c r="R66" i="32"/>
  <c r="Q66" i="32"/>
  <c r="P66" i="32"/>
  <c r="O66" i="32"/>
  <c r="N66" i="32"/>
  <c r="N5" i="32" s="1"/>
  <c r="M66" i="32"/>
  <c r="L66" i="32"/>
  <c r="K66" i="32"/>
  <c r="K5" i="32" s="1"/>
  <c r="J66" i="32"/>
  <c r="I66" i="32"/>
  <c r="I5" i="32" s="1"/>
  <c r="H66" i="32"/>
  <c r="H5" i="32" s="1"/>
  <c r="G66" i="32"/>
  <c r="F66" i="32"/>
  <c r="F5" i="32" s="1"/>
  <c r="E66" i="32"/>
  <c r="D66" i="32"/>
  <c r="D5" i="32" s="1"/>
  <c r="C66" i="32"/>
  <c r="C5" i="32" s="1"/>
  <c r="B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AI53" i="32"/>
  <c r="AH53" i="32"/>
  <c r="AI52" i="32"/>
  <c r="AH52" i="32"/>
  <c r="AI51" i="32"/>
  <c r="AH51" i="32"/>
  <c r="Y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AG49" i="32"/>
  <c r="AG50" i="32" s="1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G36" i="32"/>
  <c r="AG2" i="32" s="1"/>
  <c r="AG6" i="32" s="1"/>
  <c r="AF36" i="32"/>
  <c r="AE36" i="32"/>
  <c r="AD36" i="32"/>
  <c r="AC36" i="32"/>
  <c r="AB36" i="32"/>
  <c r="AL36" i="32" s="1"/>
  <c r="AL37" i="32" s="1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D5" i="32"/>
  <c r="AA5" i="32"/>
  <c r="Y5" i="32"/>
  <c r="T5" i="32"/>
  <c r="S5" i="32"/>
  <c r="Q5" i="32"/>
  <c r="L5" i="32"/>
  <c r="AG4" i="32"/>
  <c r="K4" i="32"/>
  <c r="B4" i="32"/>
  <c r="AG3" i="32"/>
  <c r="E4" i="32"/>
  <c r="I197" i="34" l="1"/>
  <c r="J191" i="34"/>
  <c r="I91" i="34"/>
  <c r="J232" i="34"/>
  <c r="K196" i="34"/>
  <c r="J189" i="34"/>
  <c r="K99" i="34"/>
  <c r="O100" i="34"/>
  <c r="L106" i="34"/>
  <c r="I100" i="33"/>
  <c r="G189" i="33"/>
  <c r="H99" i="33"/>
  <c r="G232" i="33"/>
  <c r="H196" i="33"/>
  <c r="G197" i="33"/>
  <c r="H191" i="33"/>
  <c r="AE80" i="32"/>
  <c r="AD80" i="32"/>
  <c r="AJ36" i="32"/>
  <c r="AL3" i="32" s="1"/>
  <c r="AC80" i="32"/>
  <c r="AB80" i="32"/>
  <c r="AA80" i="32"/>
  <c r="Y80" i="32"/>
  <c r="Y71" i="32"/>
  <c r="W80" i="32"/>
  <c r="T80" i="32"/>
  <c r="S80" i="32"/>
  <c r="S71" i="32"/>
  <c r="Q80" i="32"/>
  <c r="Q71" i="32"/>
  <c r="O73" i="32"/>
  <c r="N71" i="32"/>
  <c r="M80" i="32"/>
  <c r="M73" i="32"/>
  <c r="M7" i="32" s="1"/>
  <c r="L80" i="32"/>
  <c r="L73" i="32"/>
  <c r="K71" i="32"/>
  <c r="I80" i="32"/>
  <c r="G80" i="32"/>
  <c r="G73" i="32"/>
  <c r="Y211" i="32" s="1"/>
  <c r="F71" i="32"/>
  <c r="AI77" i="32"/>
  <c r="AI75" i="32"/>
  <c r="D80" i="32"/>
  <c r="D71" i="32"/>
  <c r="D73" i="32"/>
  <c r="AH78" i="32"/>
  <c r="C80" i="32"/>
  <c r="AI54" i="32"/>
  <c r="C71" i="32"/>
  <c r="H4" i="32"/>
  <c r="AG211" i="32"/>
  <c r="O7" i="32"/>
  <c r="I73" i="32"/>
  <c r="I71" i="32"/>
  <c r="Q73" i="32"/>
  <c r="B71" i="32"/>
  <c r="B5" i="32"/>
  <c r="AI66" i="32"/>
  <c r="R71" i="32"/>
  <c r="R5" i="32"/>
  <c r="AH66" i="32"/>
  <c r="AG73" i="32"/>
  <c r="AH54" i="32"/>
  <c r="E71" i="32"/>
  <c r="M71" i="32"/>
  <c r="M81" i="32" s="1"/>
  <c r="O71" i="32"/>
  <c r="O81" i="32" s="1"/>
  <c r="O5" i="32"/>
  <c r="H73" i="32"/>
  <c r="P73" i="32"/>
  <c r="Y73" i="32"/>
  <c r="AH76" i="32"/>
  <c r="P71" i="32"/>
  <c r="P5" i="32"/>
  <c r="X5" i="32"/>
  <c r="AH75" i="32"/>
  <c r="AI78" i="32"/>
  <c r="AI70" i="32"/>
  <c r="J73" i="32"/>
  <c r="R73" i="32"/>
  <c r="AH70" i="32"/>
  <c r="B80" i="32"/>
  <c r="AH74" i="32"/>
  <c r="AI74" i="32"/>
  <c r="J80" i="32"/>
  <c r="R80" i="32"/>
  <c r="Z80" i="32"/>
  <c r="Z5" i="32"/>
  <c r="G71" i="32"/>
  <c r="G5" i="32"/>
  <c r="J71" i="32"/>
  <c r="J5" i="32"/>
  <c r="H71" i="32"/>
  <c r="D208" i="32"/>
  <c r="S208" i="32"/>
  <c r="E5" i="32"/>
  <c r="M5" i="32"/>
  <c r="AC5" i="32"/>
  <c r="AH36" i="32"/>
  <c r="AI36" i="32"/>
  <c r="E73" i="32"/>
  <c r="AI76" i="32"/>
  <c r="AH77" i="32"/>
  <c r="C189" i="32"/>
  <c r="D99" i="32"/>
  <c r="E100" i="32"/>
  <c r="C73" i="32"/>
  <c r="K73" i="32"/>
  <c r="S73" i="32"/>
  <c r="L71" i="32"/>
  <c r="L81" i="32" s="1"/>
  <c r="AG71" i="32"/>
  <c r="AG81" i="32" s="1"/>
  <c r="C91" i="32"/>
  <c r="F73" i="32"/>
  <c r="N73" i="32"/>
  <c r="N81" i="32" s="1"/>
  <c r="H80" i="32"/>
  <c r="P80" i="32"/>
  <c r="X80" i="32"/>
  <c r="AF80" i="32"/>
  <c r="E191" i="32"/>
  <c r="C197" i="32"/>
  <c r="D196" i="32"/>
  <c r="C232" i="32"/>
  <c r="T93" i="31"/>
  <c r="P100" i="34" l="1"/>
  <c r="L196" i="34"/>
  <c r="K232" i="34"/>
  <c r="M106" i="34"/>
  <c r="K189" i="34"/>
  <c r="L99" i="34"/>
  <c r="K191" i="34"/>
  <c r="J197" i="34"/>
  <c r="J91" i="34"/>
  <c r="H197" i="33"/>
  <c r="I191" i="33"/>
  <c r="H232" i="33"/>
  <c r="I196" i="33"/>
  <c r="H189" i="33"/>
  <c r="I99" i="33"/>
  <c r="H91" i="33"/>
  <c r="I91" i="33"/>
  <c r="J100" i="33"/>
  <c r="Y81" i="32"/>
  <c r="S81" i="32"/>
  <c r="Q81" i="32"/>
  <c r="P81" i="32"/>
  <c r="AE211" i="32"/>
  <c r="AD211" i="32"/>
  <c r="L7" i="32"/>
  <c r="H81" i="32"/>
  <c r="G81" i="32"/>
  <c r="G7" i="32"/>
  <c r="F81" i="32"/>
  <c r="E81" i="32"/>
  <c r="D81" i="32"/>
  <c r="V211" i="32"/>
  <c r="D7" i="32"/>
  <c r="C81" i="32"/>
  <c r="AB211" i="32"/>
  <c r="J7" i="32"/>
  <c r="D232" i="32"/>
  <c r="E196" i="32"/>
  <c r="D189" i="32"/>
  <c r="E99" i="32"/>
  <c r="AJ211" i="32"/>
  <c r="R7" i="32"/>
  <c r="X211" i="32"/>
  <c r="C206" i="32"/>
  <c r="B206" i="32"/>
  <c r="F7" i="32"/>
  <c r="AK211" i="32"/>
  <c r="S7" i="32"/>
  <c r="R81" i="32"/>
  <c r="I81" i="32"/>
  <c r="AC211" i="32"/>
  <c r="K7" i="32"/>
  <c r="AH211" i="32"/>
  <c r="P7" i="32"/>
  <c r="W211" i="32"/>
  <c r="E7" i="32"/>
  <c r="B73" i="32"/>
  <c r="AQ211" i="32"/>
  <c r="Y7" i="32"/>
  <c r="AI211" i="32"/>
  <c r="Q7" i="32"/>
  <c r="F191" i="32"/>
  <c r="AA211" i="32"/>
  <c r="I7" i="32"/>
  <c r="D197" i="32"/>
  <c r="J81" i="32"/>
  <c r="K81" i="32"/>
  <c r="D91" i="32"/>
  <c r="AH80" i="32"/>
  <c r="AI80" i="32"/>
  <c r="U211" i="32"/>
  <c r="C7" i="32"/>
  <c r="Z211" i="32"/>
  <c r="H7" i="32"/>
  <c r="AF211" i="32"/>
  <c r="N7" i="32"/>
  <c r="F100" i="32"/>
  <c r="E91" i="32"/>
  <c r="Q35" i="31"/>
  <c r="L189" i="34" l="1"/>
  <c r="M99" i="34"/>
  <c r="M196" i="34"/>
  <c r="L232" i="34"/>
  <c r="N106" i="34"/>
  <c r="K197" i="34"/>
  <c r="L191" i="34"/>
  <c r="K91" i="34"/>
  <c r="Q100" i="34"/>
  <c r="I189" i="33"/>
  <c r="J99" i="33"/>
  <c r="J196" i="33"/>
  <c r="I232" i="33"/>
  <c r="I197" i="33"/>
  <c r="J191" i="33"/>
  <c r="J91" i="33"/>
  <c r="K100" i="33"/>
  <c r="K6" i="32"/>
  <c r="G191" i="32"/>
  <c r="E232" i="32"/>
  <c r="F196" i="32"/>
  <c r="F91" i="32"/>
  <c r="G100" i="32"/>
  <c r="E189" i="32"/>
  <c r="F99" i="32"/>
  <c r="E197" i="32"/>
  <c r="T211" i="32"/>
  <c r="B7" i="32"/>
  <c r="B81" i="32"/>
  <c r="O106" i="34" l="1"/>
  <c r="L197" i="34"/>
  <c r="M191" i="34"/>
  <c r="L91" i="34"/>
  <c r="M232" i="34"/>
  <c r="N196" i="34"/>
  <c r="R100" i="34"/>
  <c r="M189" i="34"/>
  <c r="N99" i="34"/>
  <c r="J197" i="33"/>
  <c r="K191" i="33"/>
  <c r="J232" i="33"/>
  <c r="K196" i="33"/>
  <c r="J189" i="33"/>
  <c r="K99" i="33"/>
  <c r="L100" i="33"/>
  <c r="K91" i="33"/>
  <c r="G197" i="32"/>
  <c r="H191" i="32"/>
  <c r="H100" i="32"/>
  <c r="G91" i="32"/>
  <c r="F232" i="32"/>
  <c r="G196" i="32"/>
  <c r="F189" i="32"/>
  <c r="G99" i="32"/>
  <c r="F197" i="32"/>
  <c r="N232" i="34" l="1"/>
  <c r="O196" i="34"/>
  <c r="N191" i="34"/>
  <c r="M197" i="34"/>
  <c r="M91" i="34"/>
  <c r="N189" i="34"/>
  <c r="S100" i="34"/>
  <c r="P106" i="34"/>
  <c r="K232" i="33"/>
  <c r="L196" i="33"/>
  <c r="K197" i="33"/>
  <c r="L191" i="33"/>
  <c r="M100" i="33"/>
  <c r="L91" i="33"/>
  <c r="K189" i="33"/>
  <c r="L99" i="33"/>
  <c r="G189" i="32"/>
  <c r="H99" i="32"/>
  <c r="I100" i="32"/>
  <c r="H91" i="32"/>
  <c r="H196" i="32"/>
  <c r="G232" i="32"/>
  <c r="H197" i="32"/>
  <c r="I191" i="32"/>
  <c r="O189" i="34" l="1"/>
  <c r="P99" i="34"/>
  <c r="N197" i="34"/>
  <c r="O191" i="34"/>
  <c r="N91" i="34"/>
  <c r="Q106" i="34"/>
  <c r="P196" i="34"/>
  <c r="O232" i="34"/>
  <c r="T100" i="34"/>
  <c r="N100" i="33"/>
  <c r="M191" i="33"/>
  <c r="M91" i="33" s="1"/>
  <c r="L197" i="33"/>
  <c r="L189" i="33"/>
  <c r="M99" i="33"/>
  <c r="L232" i="33"/>
  <c r="M196" i="33"/>
  <c r="J191" i="32"/>
  <c r="H232" i="32"/>
  <c r="I196" i="32"/>
  <c r="I91" i="32"/>
  <c r="J100" i="32"/>
  <c r="H189" i="32"/>
  <c r="I99" i="32"/>
  <c r="O197" i="34" l="1"/>
  <c r="P191" i="34"/>
  <c r="O91" i="34"/>
  <c r="R106" i="34"/>
  <c r="U100" i="34"/>
  <c r="P232" i="34"/>
  <c r="Q196" i="34"/>
  <c r="P189" i="34"/>
  <c r="Q99" i="34"/>
  <c r="M189" i="33"/>
  <c r="N99" i="33"/>
  <c r="M232" i="33"/>
  <c r="N196" i="33"/>
  <c r="N191" i="33"/>
  <c r="M197" i="33"/>
  <c r="O100" i="33"/>
  <c r="N91" i="33"/>
  <c r="I189" i="32"/>
  <c r="J99" i="32"/>
  <c r="K100" i="32"/>
  <c r="I232" i="32"/>
  <c r="J196" i="32"/>
  <c r="J197" i="32" s="1"/>
  <c r="K191" i="32"/>
  <c r="I197" i="32"/>
  <c r="S106" i="34" l="1"/>
  <c r="Q189" i="34"/>
  <c r="R99" i="34"/>
  <c r="Q191" i="34"/>
  <c r="P197" i="34"/>
  <c r="P91" i="34"/>
  <c r="V100" i="34"/>
  <c r="Q232" i="34"/>
  <c r="R196" i="34"/>
  <c r="P100" i="33"/>
  <c r="O91" i="33"/>
  <c r="O191" i="33"/>
  <c r="N197" i="33"/>
  <c r="N232" i="33"/>
  <c r="O196" i="33"/>
  <c r="N189" i="33"/>
  <c r="O99" i="33"/>
  <c r="L191" i="32"/>
  <c r="K196" i="32"/>
  <c r="J232" i="32"/>
  <c r="L100" i="32"/>
  <c r="K91" i="32"/>
  <c r="J91" i="32"/>
  <c r="J189" i="32"/>
  <c r="K99" i="32"/>
  <c r="N93" i="31"/>
  <c r="N35" i="31"/>
  <c r="Q197" i="34" l="1"/>
  <c r="R191" i="34"/>
  <c r="Q91" i="34"/>
  <c r="R189" i="34"/>
  <c r="S99" i="34"/>
  <c r="R232" i="34"/>
  <c r="S196" i="34"/>
  <c r="W100" i="34"/>
  <c r="T106" i="34"/>
  <c r="O232" i="33"/>
  <c r="P196" i="33"/>
  <c r="O197" i="33"/>
  <c r="P191" i="33"/>
  <c r="O189" i="33"/>
  <c r="P99" i="33"/>
  <c r="Q100" i="33"/>
  <c r="P91" i="33"/>
  <c r="M100" i="32"/>
  <c r="L196" i="32"/>
  <c r="K232" i="32"/>
  <c r="K197" i="32"/>
  <c r="K189" i="32"/>
  <c r="L99" i="32"/>
  <c r="L197" i="32"/>
  <c r="M191" i="32"/>
  <c r="T196" i="34" l="1"/>
  <c r="S232" i="34"/>
  <c r="S189" i="34"/>
  <c r="T99" i="34"/>
  <c r="R197" i="34"/>
  <c r="S191" i="34"/>
  <c r="R91" i="34"/>
  <c r="U106" i="34"/>
  <c r="X100" i="34"/>
  <c r="P197" i="33"/>
  <c r="Q191" i="33"/>
  <c r="P232" i="33"/>
  <c r="Q196" i="33"/>
  <c r="Q91" i="33"/>
  <c r="R100" i="33"/>
  <c r="P189" i="33"/>
  <c r="Q99" i="33"/>
  <c r="L189" i="32"/>
  <c r="M99" i="32"/>
  <c r="M196" i="32"/>
  <c r="L232" i="32"/>
  <c r="N100" i="32"/>
  <c r="M91" i="32"/>
  <c r="N191" i="32"/>
  <c r="M197" i="32"/>
  <c r="L91" i="32"/>
  <c r="T189" i="34" l="1"/>
  <c r="U99" i="34"/>
  <c r="Y100" i="34"/>
  <c r="V106" i="34"/>
  <c r="S197" i="34"/>
  <c r="T191" i="34"/>
  <c r="S91" i="34"/>
  <c r="T232" i="34"/>
  <c r="U196" i="34"/>
  <c r="Q189" i="33"/>
  <c r="R99" i="33"/>
  <c r="R196" i="33"/>
  <c r="Q232" i="33"/>
  <c r="Q197" i="33"/>
  <c r="R191" i="33"/>
  <c r="S100" i="33"/>
  <c r="R91" i="33"/>
  <c r="O191" i="32"/>
  <c r="N91" i="32"/>
  <c r="O100" i="32"/>
  <c r="M232" i="32"/>
  <c r="N196" i="32"/>
  <c r="M189" i="32"/>
  <c r="N99" i="32"/>
  <c r="U191" i="34" l="1"/>
  <c r="T197" i="34"/>
  <c r="T49" i="34" s="1"/>
  <c r="T91" i="34"/>
  <c r="W106" i="34"/>
  <c r="Z100" i="34"/>
  <c r="U232" i="34"/>
  <c r="V196" i="34"/>
  <c r="U189" i="34"/>
  <c r="V99" i="34"/>
  <c r="T100" i="33"/>
  <c r="R197" i="33"/>
  <c r="S191" i="33"/>
  <c r="R232" i="33"/>
  <c r="S196" i="33"/>
  <c r="R189" i="33"/>
  <c r="S99" i="33"/>
  <c r="N189" i="32"/>
  <c r="O99" i="32"/>
  <c r="N232" i="32"/>
  <c r="O196" i="32"/>
  <c r="P100" i="32"/>
  <c r="O91" i="32"/>
  <c r="O197" i="32"/>
  <c r="P191" i="32"/>
  <c r="N197" i="32"/>
  <c r="X106" i="34" l="1"/>
  <c r="V189" i="34"/>
  <c r="W99" i="34"/>
  <c r="AA100" i="34"/>
  <c r="T50" i="34"/>
  <c r="V232" i="34"/>
  <c r="W196" i="34"/>
  <c r="V191" i="34"/>
  <c r="U197" i="34"/>
  <c r="U49" i="34" s="1"/>
  <c r="U50" i="34" s="1"/>
  <c r="U91" i="34"/>
  <c r="S232" i="33"/>
  <c r="T196" i="33"/>
  <c r="S197" i="33"/>
  <c r="T191" i="33"/>
  <c r="S91" i="33"/>
  <c r="S189" i="33"/>
  <c r="T99" i="33"/>
  <c r="U100" i="33"/>
  <c r="T91" i="33"/>
  <c r="Q191" i="32"/>
  <c r="Q100" i="32"/>
  <c r="P91" i="32"/>
  <c r="P196" i="32"/>
  <c r="O232" i="32"/>
  <c r="O189" i="32"/>
  <c r="P99" i="32"/>
  <c r="T73" i="34" l="1"/>
  <c r="T71" i="34"/>
  <c r="U71" i="34"/>
  <c r="U73" i="34"/>
  <c r="AB100" i="34"/>
  <c r="V197" i="34"/>
  <c r="V49" i="34" s="1"/>
  <c r="W191" i="34"/>
  <c r="V91" i="34"/>
  <c r="W189" i="34"/>
  <c r="X99" i="34"/>
  <c r="X196" i="34"/>
  <c r="W232" i="34"/>
  <c r="Y106" i="34"/>
  <c r="T197" i="33"/>
  <c r="T49" i="33" s="1"/>
  <c r="U191" i="33"/>
  <c r="V100" i="33"/>
  <c r="T189" i="33"/>
  <c r="U99" i="33"/>
  <c r="T232" i="33"/>
  <c r="U196" i="33"/>
  <c r="P232" i="32"/>
  <c r="Q196" i="32"/>
  <c r="P189" i="32"/>
  <c r="Q99" i="32"/>
  <c r="Q91" i="32"/>
  <c r="R100" i="32"/>
  <c r="Q197" i="32"/>
  <c r="R191" i="32"/>
  <c r="P197" i="32"/>
  <c r="F36" i="31"/>
  <c r="C36" i="31"/>
  <c r="AH97" i="31"/>
  <c r="AI97" i="31" s="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235" i="31"/>
  <c r="AF234" i="31"/>
  <c r="AE234" i="31"/>
  <c r="AD234" i="31"/>
  <c r="AC234" i="31"/>
  <c r="AB234" i="31"/>
  <c r="AA234" i="31"/>
  <c r="Z234" i="31"/>
  <c r="Y234" i="31"/>
  <c r="X234" i="31"/>
  <c r="W234" i="31"/>
  <c r="V234" i="31"/>
  <c r="U234" i="31"/>
  <c r="T234" i="31"/>
  <c r="S234" i="3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A234" i="31"/>
  <c r="AF233" i="31"/>
  <c r="AE233" i="31"/>
  <c r="AD233" i="31"/>
  <c r="AC233" i="31"/>
  <c r="AB233" i="31"/>
  <c r="AA233" i="31"/>
  <c r="Z233" i="31"/>
  <c r="Y233" i="31"/>
  <c r="X233" i="31"/>
  <c r="W233" i="31"/>
  <c r="V233" i="31"/>
  <c r="U233" i="31"/>
  <c r="T233" i="31"/>
  <c r="S233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D233" i="31"/>
  <c r="C233" i="31"/>
  <c r="B233" i="31"/>
  <c r="A233" i="31"/>
  <c r="B232" i="31"/>
  <c r="S207" i="31"/>
  <c r="AG197" i="31"/>
  <c r="B197" i="31"/>
  <c r="D196" i="31"/>
  <c r="C196" i="31"/>
  <c r="C232" i="31" s="1"/>
  <c r="J195" i="3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C195" i="31"/>
  <c r="D195" i="31" s="1"/>
  <c r="E195" i="31" s="1"/>
  <c r="F195" i="31" s="1"/>
  <c r="G195" i="31" s="1"/>
  <c r="H195" i="31" s="1"/>
  <c r="I195" i="31" s="1"/>
  <c r="D194" i="31"/>
  <c r="E194" i="31" s="1"/>
  <c r="F194" i="31" s="1"/>
  <c r="G194" i="31" s="1"/>
  <c r="H194" i="31" s="1"/>
  <c r="I194" i="31" s="1"/>
  <c r="J194" i="31" s="1"/>
  <c r="K194" i="31" s="1"/>
  <c r="L194" i="31" s="1"/>
  <c r="M194" i="31" s="1"/>
  <c r="N194" i="31" s="1"/>
  <c r="O194" i="31" s="1"/>
  <c r="P194" i="31" s="1"/>
  <c r="Q194" i="31" s="1"/>
  <c r="R194" i="31" s="1"/>
  <c r="S194" i="31" s="1"/>
  <c r="T194" i="31" s="1"/>
  <c r="U194" i="31" s="1"/>
  <c r="V194" i="31" s="1"/>
  <c r="W194" i="31" s="1"/>
  <c r="X194" i="31" s="1"/>
  <c r="Y194" i="31" s="1"/>
  <c r="Z194" i="31" s="1"/>
  <c r="AA194" i="31" s="1"/>
  <c r="AB194" i="31" s="1"/>
  <c r="AC194" i="31" s="1"/>
  <c r="AD194" i="31" s="1"/>
  <c r="AE194" i="31" s="1"/>
  <c r="AF194" i="31" s="1"/>
  <c r="C194" i="31"/>
  <c r="C193" i="31"/>
  <c r="D193" i="31" s="1"/>
  <c r="E193" i="31" s="1"/>
  <c r="F193" i="31" s="1"/>
  <c r="G193" i="31" s="1"/>
  <c r="H193" i="31" s="1"/>
  <c r="I193" i="31" s="1"/>
  <c r="J193" i="31" s="1"/>
  <c r="K193" i="31" s="1"/>
  <c r="L193" i="31" s="1"/>
  <c r="M193" i="31" s="1"/>
  <c r="N193" i="31" s="1"/>
  <c r="O193" i="31" s="1"/>
  <c r="P193" i="31" s="1"/>
  <c r="Q193" i="31" s="1"/>
  <c r="R193" i="31" s="1"/>
  <c r="S193" i="31" s="1"/>
  <c r="T193" i="31" s="1"/>
  <c r="U193" i="31" s="1"/>
  <c r="V193" i="31" s="1"/>
  <c r="W193" i="31" s="1"/>
  <c r="X193" i="31" s="1"/>
  <c r="Y193" i="31" s="1"/>
  <c r="Z193" i="31" s="1"/>
  <c r="AA193" i="31" s="1"/>
  <c r="AB193" i="31" s="1"/>
  <c r="AC193" i="31" s="1"/>
  <c r="AD193" i="31" s="1"/>
  <c r="AE193" i="31" s="1"/>
  <c r="AF193" i="31" s="1"/>
  <c r="D192" i="31"/>
  <c r="E192" i="31" s="1"/>
  <c r="F192" i="31" s="1"/>
  <c r="G192" i="31" s="1"/>
  <c r="H192" i="31" s="1"/>
  <c r="I192" i="31" s="1"/>
  <c r="J192" i="31" s="1"/>
  <c r="K192" i="31" s="1"/>
  <c r="L192" i="31" s="1"/>
  <c r="M192" i="31" s="1"/>
  <c r="N192" i="31" s="1"/>
  <c r="O192" i="31" s="1"/>
  <c r="P192" i="31" s="1"/>
  <c r="Q192" i="31" s="1"/>
  <c r="R192" i="31" s="1"/>
  <c r="S192" i="31" s="1"/>
  <c r="T192" i="31" s="1"/>
  <c r="U192" i="31" s="1"/>
  <c r="V192" i="31" s="1"/>
  <c r="W192" i="31" s="1"/>
  <c r="X192" i="31" s="1"/>
  <c r="Y192" i="31" s="1"/>
  <c r="Z192" i="31" s="1"/>
  <c r="AA192" i="31" s="1"/>
  <c r="AB192" i="31" s="1"/>
  <c r="AC192" i="31" s="1"/>
  <c r="AD192" i="31" s="1"/>
  <c r="AE192" i="31" s="1"/>
  <c r="AF192" i="31" s="1"/>
  <c r="C192" i="31"/>
  <c r="C191" i="31"/>
  <c r="C197" i="31" s="1"/>
  <c r="AG189" i="31"/>
  <c r="B189" i="31"/>
  <c r="H188" i="3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D188" i="31"/>
  <c r="E188" i="31" s="1"/>
  <c r="F188" i="31" s="1"/>
  <c r="G188" i="31" s="1"/>
  <c r="C188" i="31"/>
  <c r="Z187" i="31"/>
  <c r="AA187" i="31" s="1"/>
  <c r="AB187" i="31" s="1"/>
  <c r="AC187" i="31" s="1"/>
  <c r="AD187" i="31" s="1"/>
  <c r="AE187" i="31" s="1"/>
  <c r="AF187" i="31" s="1"/>
  <c r="C187" i="31"/>
  <c r="D187" i="31" s="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AB186" i="31"/>
  <c r="AC186" i="31" s="1"/>
  <c r="AD186" i="31" s="1"/>
  <c r="AE186" i="31" s="1"/>
  <c r="AF186" i="31" s="1"/>
  <c r="D186" i="3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C186" i="31"/>
  <c r="F185" i="3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C185" i="31"/>
  <c r="D185" i="31" s="1"/>
  <c r="E185" i="31" s="1"/>
  <c r="AF184" i="31"/>
  <c r="H184" i="3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D184" i="31"/>
  <c r="E184" i="31" s="1"/>
  <c r="F184" i="31" s="1"/>
  <c r="G184" i="31" s="1"/>
  <c r="C184" i="31"/>
  <c r="C183" i="31"/>
  <c r="D183" i="31" s="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L182" i="3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H182" i="31"/>
  <c r="I182" i="31" s="1"/>
  <c r="J182" i="31" s="1"/>
  <c r="K182" i="31" s="1"/>
  <c r="D182" i="31"/>
  <c r="E182" i="31" s="1"/>
  <c r="F182" i="31" s="1"/>
  <c r="G182" i="31" s="1"/>
  <c r="C182" i="31"/>
  <c r="G181" i="3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C181" i="31"/>
  <c r="D181" i="31" s="1"/>
  <c r="E181" i="31" s="1"/>
  <c r="F181" i="31" s="1"/>
  <c r="C180" i="31"/>
  <c r="D180" i="31" s="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C179" i="31"/>
  <c r="D179" i="31" s="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D178" i="31"/>
  <c r="E178" i="31" s="1"/>
  <c r="F178" i="31" s="1"/>
  <c r="G178" i="31" s="1"/>
  <c r="H178" i="31" s="1"/>
  <c r="I178" i="31" s="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C178" i="31"/>
  <c r="G177" i="3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E177" i="31"/>
  <c r="F177" i="31" s="1"/>
  <c r="D177" i="31"/>
  <c r="C177" i="31"/>
  <c r="N176" i="3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D176" i="31"/>
  <c r="E176" i="31" s="1"/>
  <c r="F176" i="31" s="1"/>
  <c r="G176" i="31" s="1"/>
  <c r="H176" i="31" s="1"/>
  <c r="I176" i="31" s="1"/>
  <c r="J176" i="31" s="1"/>
  <c r="K176" i="31" s="1"/>
  <c r="L176" i="31" s="1"/>
  <c r="M176" i="31" s="1"/>
  <c r="C176" i="31"/>
  <c r="K174" i="3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D174" i="31"/>
  <c r="E174" i="31" s="1"/>
  <c r="F174" i="31" s="1"/>
  <c r="G174" i="31" s="1"/>
  <c r="H174" i="31" s="1"/>
  <c r="I174" i="31" s="1"/>
  <c r="J174" i="31" s="1"/>
  <c r="C174" i="31"/>
  <c r="Q173" i="3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C173" i="31"/>
  <c r="D173" i="31" s="1"/>
  <c r="E173" i="31" s="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G172" i="3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E172" i="31"/>
  <c r="F172" i="31" s="1"/>
  <c r="C172" i="31"/>
  <c r="D172" i="31" s="1"/>
  <c r="C171" i="31"/>
  <c r="D171" i="31" s="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E170" i="3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C170" i="31"/>
  <c r="D170" i="31" s="1"/>
  <c r="C169" i="31"/>
  <c r="D169" i="31" s="1"/>
  <c r="E169" i="31" s="1"/>
  <c r="F169" i="31" s="1"/>
  <c r="G169" i="31" s="1"/>
  <c r="H169" i="31" s="1"/>
  <c r="I169" i="31" s="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M168" i="3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E168" i="31"/>
  <c r="F168" i="31" s="1"/>
  <c r="G168" i="31" s="1"/>
  <c r="H168" i="31" s="1"/>
  <c r="I168" i="31" s="1"/>
  <c r="J168" i="31" s="1"/>
  <c r="K168" i="31" s="1"/>
  <c r="L168" i="31" s="1"/>
  <c r="C168" i="31"/>
  <c r="D168" i="31" s="1"/>
  <c r="E167" i="3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C167" i="31"/>
  <c r="D167" i="31" s="1"/>
  <c r="I165" i="3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C165" i="31"/>
  <c r="D165" i="31" s="1"/>
  <c r="E165" i="31" s="1"/>
  <c r="F165" i="31" s="1"/>
  <c r="G165" i="31" s="1"/>
  <c r="H165" i="31" s="1"/>
  <c r="AA164" i="31"/>
  <c r="AB164" i="31" s="1"/>
  <c r="AC164" i="31" s="1"/>
  <c r="AD164" i="31" s="1"/>
  <c r="AE164" i="31" s="1"/>
  <c r="AF164" i="31" s="1"/>
  <c r="C164" i="31"/>
  <c r="D164" i="31" s="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E163" i="3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C163" i="31"/>
  <c r="D163" i="31" s="1"/>
  <c r="I162" i="3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C162" i="31"/>
  <c r="D162" i="31" s="1"/>
  <c r="E162" i="31" s="1"/>
  <c r="F162" i="31" s="1"/>
  <c r="G162" i="31" s="1"/>
  <c r="H162" i="31" s="1"/>
  <c r="AA161" i="31"/>
  <c r="AB161" i="31" s="1"/>
  <c r="AC161" i="31" s="1"/>
  <c r="AD161" i="31" s="1"/>
  <c r="AE161" i="31" s="1"/>
  <c r="AF161" i="31" s="1"/>
  <c r="D161" i="3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C161" i="31"/>
  <c r="E160" i="3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C160" i="31"/>
  <c r="D160" i="31" s="1"/>
  <c r="Y159" i="31"/>
  <c r="Z159" i="31" s="1"/>
  <c r="AA159" i="31" s="1"/>
  <c r="AB159" i="31" s="1"/>
  <c r="AC159" i="31" s="1"/>
  <c r="AD159" i="31" s="1"/>
  <c r="AE159" i="31" s="1"/>
  <c r="AF159" i="31" s="1"/>
  <c r="J159" i="3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C159" i="31"/>
  <c r="D159" i="31" s="1"/>
  <c r="E159" i="31" s="1"/>
  <c r="F159" i="31" s="1"/>
  <c r="G159" i="31" s="1"/>
  <c r="H159" i="31" s="1"/>
  <c r="I159" i="31" s="1"/>
  <c r="D158" i="31"/>
  <c r="E158" i="31" s="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C158" i="31"/>
  <c r="D157" i="31"/>
  <c r="E157" i="31" s="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C157" i="31"/>
  <c r="E156" i="3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D156" i="31"/>
  <c r="C156" i="31"/>
  <c r="C155" i="31"/>
  <c r="D155" i="31" s="1"/>
  <c r="E155" i="31" s="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K154" i="3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C154" i="31"/>
  <c r="D154" i="31" s="1"/>
  <c r="E154" i="31" s="1"/>
  <c r="F154" i="31" s="1"/>
  <c r="G154" i="31" s="1"/>
  <c r="H154" i="31" s="1"/>
  <c r="I154" i="31" s="1"/>
  <c r="J154" i="31" s="1"/>
  <c r="D153" i="31"/>
  <c r="E153" i="31" s="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C153" i="31"/>
  <c r="E151" i="3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D151" i="31"/>
  <c r="C151" i="31"/>
  <c r="C150" i="31"/>
  <c r="D150" i="31" s="1"/>
  <c r="E150" i="31" s="1"/>
  <c r="F150" i="31" s="1"/>
  <c r="G150" i="31" s="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Z150" i="31" s="1"/>
  <c r="AA150" i="31" s="1"/>
  <c r="AB150" i="31" s="1"/>
  <c r="AC150" i="31" s="1"/>
  <c r="AD150" i="31" s="1"/>
  <c r="AE150" i="31" s="1"/>
  <c r="AF150" i="31" s="1"/>
  <c r="I149" i="3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C149" i="31"/>
  <c r="D149" i="31" s="1"/>
  <c r="E149" i="31" s="1"/>
  <c r="F149" i="31" s="1"/>
  <c r="G149" i="31" s="1"/>
  <c r="H149" i="31" s="1"/>
  <c r="Q148" i="3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L148" i="31"/>
  <c r="M148" i="31" s="1"/>
  <c r="N148" i="31" s="1"/>
  <c r="O148" i="31" s="1"/>
  <c r="P148" i="31" s="1"/>
  <c r="G148" i="31"/>
  <c r="H148" i="31" s="1"/>
  <c r="I148" i="31" s="1"/>
  <c r="J148" i="31" s="1"/>
  <c r="K148" i="31" s="1"/>
  <c r="D148" i="31"/>
  <c r="E148" i="31" s="1"/>
  <c r="F148" i="31" s="1"/>
  <c r="C148" i="31"/>
  <c r="D146" i="3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C146" i="31"/>
  <c r="E145" i="3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C145" i="31"/>
  <c r="D145" i="31" s="1"/>
  <c r="C143" i="31"/>
  <c r="D143" i="31" s="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P142" i="3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L142" i="31"/>
  <c r="M142" i="31" s="1"/>
  <c r="N142" i="31" s="1"/>
  <c r="O142" i="31" s="1"/>
  <c r="F142" i="31"/>
  <c r="G142" i="31" s="1"/>
  <c r="H142" i="31" s="1"/>
  <c r="I142" i="31" s="1"/>
  <c r="J142" i="31" s="1"/>
  <c r="K142" i="31" s="1"/>
  <c r="D142" i="31"/>
  <c r="E142" i="31" s="1"/>
  <c r="C142" i="31"/>
  <c r="E141" i="3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D141" i="31"/>
  <c r="C141" i="31"/>
  <c r="C140" i="31"/>
  <c r="D140" i="31" s="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C139" i="31"/>
  <c r="D139" i="31" s="1"/>
  <c r="E139" i="31" s="1"/>
  <c r="F139" i="31" s="1"/>
  <c r="G139" i="31" s="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C138" i="31"/>
  <c r="D138" i="31" s="1"/>
  <c r="E138" i="31" s="1"/>
  <c r="F138" i="31" s="1"/>
  <c r="G138" i="31" s="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C137" i="31"/>
  <c r="D137" i="31" s="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C135" i="31"/>
  <c r="D135" i="31" s="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H134" i="3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E134" i="31"/>
  <c r="F134" i="31" s="1"/>
  <c r="G134" i="31" s="1"/>
  <c r="C134" i="31"/>
  <c r="D134" i="31" s="1"/>
  <c r="G133" i="3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D133" i="31"/>
  <c r="E133" i="31" s="1"/>
  <c r="F133" i="31" s="1"/>
  <c r="C133" i="31"/>
  <c r="E132" i="3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D132" i="31"/>
  <c r="C132" i="31"/>
  <c r="Y131" i="31"/>
  <c r="Z131" i="31" s="1"/>
  <c r="AA131" i="31" s="1"/>
  <c r="AB131" i="31" s="1"/>
  <c r="AC131" i="31" s="1"/>
  <c r="AD131" i="31" s="1"/>
  <c r="AE131" i="31" s="1"/>
  <c r="AF131" i="31" s="1"/>
  <c r="C131" i="31"/>
  <c r="D131" i="31" s="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AF130" i="31"/>
  <c r="M130" i="3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J130" i="31"/>
  <c r="K130" i="31" s="1"/>
  <c r="L130" i="31" s="1"/>
  <c r="G130" i="31"/>
  <c r="H130" i="31" s="1"/>
  <c r="I130" i="31" s="1"/>
  <c r="F130" i="31"/>
  <c r="E130" i="31"/>
  <c r="C130" i="31"/>
  <c r="D130" i="31" s="1"/>
  <c r="K129" i="3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F129" i="31"/>
  <c r="G129" i="31" s="1"/>
  <c r="H129" i="31" s="1"/>
  <c r="I129" i="31" s="1"/>
  <c r="J129" i="31" s="1"/>
  <c r="E129" i="31"/>
  <c r="D129" i="31"/>
  <c r="C129" i="31"/>
  <c r="T128" i="3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J128" i="31"/>
  <c r="K128" i="31" s="1"/>
  <c r="L128" i="31" s="1"/>
  <c r="M128" i="31" s="1"/>
  <c r="N128" i="31" s="1"/>
  <c r="O128" i="31" s="1"/>
  <c r="P128" i="31" s="1"/>
  <c r="Q128" i="31" s="1"/>
  <c r="R128" i="31" s="1"/>
  <c r="S128" i="31" s="1"/>
  <c r="I128" i="31"/>
  <c r="D128" i="31"/>
  <c r="E128" i="31" s="1"/>
  <c r="F128" i="31" s="1"/>
  <c r="G128" i="31" s="1"/>
  <c r="H128" i="31" s="1"/>
  <c r="C128" i="31"/>
  <c r="C126" i="31"/>
  <c r="D126" i="31" s="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AF125" i="31"/>
  <c r="V125" i="31"/>
  <c r="W125" i="31" s="1"/>
  <c r="X125" i="31" s="1"/>
  <c r="Y125" i="31" s="1"/>
  <c r="Z125" i="31" s="1"/>
  <c r="AA125" i="31" s="1"/>
  <c r="AB125" i="31" s="1"/>
  <c r="AC125" i="31" s="1"/>
  <c r="AD125" i="31" s="1"/>
  <c r="AE125" i="31" s="1"/>
  <c r="E125" i="3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C125" i="31"/>
  <c r="D125" i="31" s="1"/>
  <c r="C124" i="31"/>
  <c r="D124" i="31" s="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I123" i="3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E123" i="31"/>
  <c r="F123" i="31" s="1"/>
  <c r="G123" i="31" s="1"/>
  <c r="H123" i="31" s="1"/>
  <c r="D123" i="31"/>
  <c r="C123" i="31"/>
  <c r="C122" i="31"/>
  <c r="D122" i="31" s="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D121" i="31"/>
  <c r="C121" i="31"/>
  <c r="C120" i="31"/>
  <c r="D120" i="31" s="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S119" i="3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H119" i="3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C119" i="31"/>
  <c r="D119" i="31" s="1"/>
  <c r="E119" i="31" s="1"/>
  <c r="F119" i="31" s="1"/>
  <c r="G119" i="31" s="1"/>
  <c r="F118" i="3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E118" i="31"/>
  <c r="D118" i="31"/>
  <c r="C118" i="31"/>
  <c r="H117" i="3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C117" i="31"/>
  <c r="D117" i="31" s="1"/>
  <c r="E117" i="31" s="1"/>
  <c r="F117" i="31" s="1"/>
  <c r="G117" i="31" s="1"/>
  <c r="C116" i="31"/>
  <c r="D116" i="31" s="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C115" i="31"/>
  <c r="D115" i="31" s="1"/>
  <c r="E115" i="31" s="1"/>
  <c r="F115" i="31" s="1"/>
  <c r="G115" i="31" s="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N114" i="3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E114" i="31"/>
  <c r="F114" i="31" s="1"/>
  <c r="G114" i="31" s="1"/>
  <c r="H114" i="31" s="1"/>
  <c r="I114" i="31" s="1"/>
  <c r="J114" i="31" s="1"/>
  <c r="K114" i="31" s="1"/>
  <c r="L114" i="31" s="1"/>
  <c r="M114" i="31" s="1"/>
  <c r="D114" i="31"/>
  <c r="C114" i="31"/>
  <c r="C113" i="31"/>
  <c r="D113" i="31" s="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C112" i="31"/>
  <c r="D112" i="31" s="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S111" i="3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N111" i="31"/>
  <c r="O111" i="31" s="1"/>
  <c r="P111" i="31" s="1"/>
  <c r="Q111" i="31" s="1"/>
  <c r="R111" i="31" s="1"/>
  <c r="L111" i="31"/>
  <c r="M111" i="31" s="1"/>
  <c r="K111" i="31"/>
  <c r="J111" i="31"/>
  <c r="C111" i="31"/>
  <c r="D111" i="31" s="1"/>
  <c r="E111" i="31" s="1"/>
  <c r="F111" i="31" s="1"/>
  <c r="G111" i="31" s="1"/>
  <c r="H111" i="31" s="1"/>
  <c r="E110" i="3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D110" i="31"/>
  <c r="C110" i="31"/>
  <c r="O109" i="3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J109" i="31"/>
  <c r="K109" i="31" s="1"/>
  <c r="L109" i="31" s="1"/>
  <c r="M109" i="31" s="1"/>
  <c r="N109" i="31" s="1"/>
  <c r="C109" i="31"/>
  <c r="D109" i="31" s="1"/>
  <c r="E109" i="31" s="1"/>
  <c r="F109" i="31" s="1"/>
  <c r="G109" i="31" s="1"/>
  <c r="H109" i="31" s="1"/>
  <c r="I109" i="31" s="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C107" i="31"/>
  <c r="C106" i="31"/>
  <c r="D106" i="31" s="1"/>
  <c r="E106" i="31" s="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D104" i="3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C104" i="31"/>
  <c r="I103" i="31"/>
  <c r="J103" i="31" s="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C103" i="31"/>
  <c r="D103" i="31" s="1"/>
  <c r="E103" i="31" s="1"/>
  <c r="F103" i="31" s="1"/>
  <c r="G103" i="31" s="1"/>
  <c r="H103" i="31" s="1"/>
  <c r="H102" i="31"/>
  <c r="I102" i="31" s="1"/>
  <c r="J102" i="31" s="1"/>
  <c r="K102" i="31" s="1"/>
  <c r="L102" i="31" s="1"/>
  <c r="M102" i="31" s="1"/>
  <c r="N102" i="31" s="1"/>
  <c r="O102" i="31" s="1"/>
  <c r="P102" i="31" s="1"/>
  <c r="Q102" i="31" s="1"/>
  <c r="R102" i="31" s="1"/>
  <c r="S102" i="31" s="1"/>
  <c r="T102" i="31" s="1"/>
  <c r="U102" i="31" s="1"/>
  <c r="V102" i="31" s="1"/>
  <c r="W102" i="31" s="1"/>
  <c r="X102" i="31" s="1"/>
  <c r="Y102" i="31" s="1"/>
  <c r="Z102" i="31" s="1"/>
  <c r="AA102" i="31" s="1"/>
  <c r="AB102" i="31" s="1"/>
  <c r="AC102" i="31" s="1"/>
  <c r="AD102" i="31" s="1"/>
  <c r="AE102" i="31" s="1"/>
  <c r="AF102" i="31" s="1"/>
  <c r="G102" i="31"/>
  <c r="E102" i="31"/>
  <c r="F102" i="31" s="1"/>
  <c r="D102" i="31"/>
  <c r="C102" i="31"/>
  <c r="C101" i="31"/>
  <c r="D101" i="31" s="1"/>
  <c r="E101" i="31" s="1"/>
  <c r="F101" i="31" s="1"/>
  <c r="G101" i="31" s="1"/>
  <c r="H101" i="31" s="1"/>
  <c r="I101" i="31" s="1"/>
  <c r="J101" i="31" s="1"/>
  <c r="K101" i="31" s="1"/>
  <c r="L101" i="31" s="1"/>
  <c r="M101" i="31" s="1"/>
  <c r="N101" i="31" s="1"/>
  <c r="O101" i="31" s="1"/>
  <c r="P101" i="31" s="1"/>
  <c r="Q101" i="31" s="1"/>
  <c r="R101" i="31" s="1"/>
  <c r="S101" i="31" s="1"/>
  <c r="T101" i="31" s="1"/>
  <c r="U101" i="31" s="1"/>
  <c r="V101" i="31" s="1"/>
  <c r="W101" i="31" s="1"/>
  <c r="X101" i="31" s="1"/>
  <c r="Y101" i="31" s="1"/>
  <c r="Z101" i="31" s="1"/>
  <c r="AA101" i="31" s="1"/>
  <c r="AB101" i="31" s="1"/>
  <c r="AC101" i="31" s="1"/>
  <c r="AD101" i="31" s="1"/>
  <c r="AE101" i="31" s="1"/>
  <c r="AF101" i="31" s="1"/>
  <c r="E100" i="31"/>
  <c r="D100" i="31"/>
  <c r="C100" i="31"/>
  <c r="C99" i="31"/>
  <c r="AH96" i="31"/>
  <c r="AI96" i="31" s="1"/>
  <c r="AH95" i="31"/>
  <c r="AI95" i="31" s="1"/>
  <c r="AH94" i="31"/>
  <c r="AI94" i="31" s="1"/>
  <c r="AH93" i="31"/>
  <c r="AI93" i="31" s="1"/>
  <c r="AH92" i="31"/>
  <c r="AI92" i="31" s="1"/>
  <c r="C91" i="31"/>
  <c r="B91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G80" i="31"/>
  <c r="U80" i="31"/>
  <c r="AI79" i="31"/>
  <c r="AH79" i="31"/>
  <c r="AF78" i="31"/>
  <c r="AE78" i="31"/>
  <c r="AD78" i="31"/>
  <c r="AC78" i="31"/>
  <c r="AB78" i="31"/>
  <c r="AA78" i="31"/>
  <c r="Z78" i="31"/>
  <c r="Z80" i="31" s="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M80" i="31" s="1"/>
  <c r="L78" i="31"/>
  <c r="K78" i="31"/>
  <c r="J78" i="31"/>
  <c r="I78" i="31"/>
  <c r="H78" i="31"/>
  <c r="G78" i="31"/>
  <c r="F78" i="31"/>
  <c r="E78" i="31"/>
  <c r="D78" i="31"/>
  <c r="C78" i="31"/>
  <c r="B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80" i="31" s="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AI72" i="31"/>
  <c r="AH72" i="31"/>
  <c r="AG70" i="31"/>
  <c r="AF70" i="31"/>
  <c r="AE70" i="31"/>
  <c r="AD70" i="31"/>
  <c r="AC70" i="31"/>
  <c r="AB70" i="31"/>
  <c r="AA70" i="31"/>
  <c r="Z70" i="31"/>
  <c r="Y70" i="31"/>
  <c r="X70" i="31"/>
  <c r="W70" i="31"/>
  <c r="V70" i="31"/>
  <c r="U70" i="31"/>
  <c r="T70" i="31"/>
  <c r="S70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F70" i="31"/>
  <c r="E70" i="31"/>
  <c r="D70" i="31"/>
  <c r="C70" i="31"/>
  <c r="B70" i="31"/>
  <c r="AI69" i="31"/>
  <c r="AH69" i="31"/>
  <c r="AI68" i="31"/>
  <c r="AH68" i="31"/>
  <c r="AI67" i="31"/>
  <c r="AH67" i="31"/>
  <c r="AG66" i="31"/>
  <c r="AG71" i="31" s="1"/>
  <c r="AF66" i="31"/>
  <c r="AE66" i="31"/>
  <c r="AD66" i="31"/>
  <c r="AD5" i="31" s="1"/>
  <c r="AC66" i="31"/>
  <c r="AB66" i="31"/>
  <c r="AA66" i="31"/>
  <c r="Z66" i="31"/>
  <c r="Z5" i="31" s="1"/>
  <c r="Y66" i="31"/>
  <c r="X66" i="31"/>
  <c r="X5" i="31" s="1"/>
  <c r="W66" i="31"/>
  <c r="W5" i="31" s="1"/>
  <c r="V66" i="31"/>
  <c r="V5" i="31" s="1"/>
  <c r="U66" i="31"/>
  <c r="T66" i="31"/>
  <c r="S66" i="31"/>
  <c r="R66" i="31"/>
  <c r="R5" i="31" s="1"/>
  <c r="Q66" i="31"/>
  <c r="P66" i="31"/>
  <c r="O66" i="31"/>
  <c r="O5" i="31" s="1"/>
  <c r="N66" i="31"/>
  <c r="M66" i="31"/>
  <c r="M5" i="31" s="1"/>
  <c r="L66" i="31"/>
  <c r="L5" i="31" s="1"/>
  <c r="K66" i="31"/>
  <c r="J66" i="31"/>
  <c r="J5" i="31" s="1"/>
  <c r="I66" i="31"/>
  <c r="H66" i="31"/>
  <c r="H5" i="31" s="1"/>
  <c r="G66" i="31"/>
  <c r="G5" i="31" s="1"/>
  <c r="F66" i="31"/>
  <c r="F5" i="31" s="1"/>
  <c r="E66" i="31"/>
  <c r="E5" i="31" s="1"/>
  <c r="D66" i="31"/>
  <c r="D5" i="31" s="1"/>
  <c r="C66" i="31"/>
  <c r="B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G54" i="31"/>
  <c r="AG4" i="31" s="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AI53" i="31"/>
  <c r="AH53" i="31"/>
  <c r="AI52" i="31"/>
  <c r="AH52" i="31"/>
  <c r="AI51" i="31"/>
  <c r="AH51" i="31"/>
  <c r="AG50" i="31"/>
  <c r="AG3" i="31" s="1"/>
  <c r="Y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AG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G36" i="31"/>
  <c r="AG2" i="31" s="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E36" i="31"/>
  <c r="D36" i="31"/>
  <c r="B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AE5" i="31"/>
  <c r="AC5" i="31"/>
  <c r="P5" i="31"/>
  <c r="N5" i="31"/>
  <c r="K4" i="31"/>
  <c r="B4" i="31"/>
  <c r="AF35" i="30"/>
  <c r="AE35" i="30"/>
  <c r="AD35" i="30"/>
  <c r="AC35" i="30"/>
  <c r="E4" i="31"/>
  <c r="AC100" i="34" l="1"/>
  <c r="Y196" i="34"/>
  <c r="X232" i="34"/>
  <c r="AM211" i="34"/>
  <c r="U7" i="34"/>
  <c r="X189" i="34"/>
  <c r="Y99" i="34"/>
  <c r="U81" i="34"/>
  <c r="W197" i="34"/>
  <c r="W49" i="34" s="1"/>
  <c r="X191" i="34"/>
  <c r="W91" i="34"/>
  <c r="T81" i="34"/>
  <c r="Z106" i="34"/>
  <c r="V50" i="34"/>
  <c r="AL211" i="34"/>
  <c r="T7" i="34"/>
  <c r="U232" i="33"/>
  <c r="V196" i="33"/>
  <c r="U189" i="33"/>
  <c r="V99" i="33"/>
  <c r="U91" i="33"/>
  <c r="V91" i="33"/>
  <c r="W100" i="33"/>
  <c r="V191" i="33"/>
  <c r="U197" i="33"/>
  <c r="U49" i="33" s="1"/>
  <c r="U50" i="33" s="1"/>
  <c r="T50" i="33"/>
  <c r="S191" i="32"/>
  <c r="S100" i="32"/>
  <c r="Q189" i="32"/>
  <c r="R99" i="32"/>
  <c r="Q232" i="32"/>
  <c r="R196" i="32"/>
  <c r="AD80" i="31"/>
  <c r="AC80" i="31"/>
  <c r="AB80" i="31"/>
  <c r="AA80" i="31"/>
  <c r="V80" i="31"/>
  <c r="U5" i="31"/>
  <c r="U71" i="31"/>
  <c r="T80" i="31"/>
  <c r="S80" i="31"/>
  <c r="S73" i="31"/>
  <c r="R80" i="31"/>
  <c r="R71" i="31"/>
  <c r="P73" i="31"/>
  <c r="P71" i="31"/>
  <c r="O71" i="31"/>
  <c r="N80" i="31"/>
  <c r="N71" i="31"/>
  <c r="N73" i="31"/>
  <c r="O73" i="31"/>
  <c r="M73" i="31"/>
  <c r="L80" i="31"/>
  <c r="K80" i="31"/>
  <c r="K73" i="31"/>
  <c r="K7" i="31" s="1"/>
  <c r="F80" i="31"/>
  <c r="J80" i="31"/>
  <c r="J71" i="31"/>
  <c r="J73" i="31"/>
  <c r="I71" i="31"/>
  <c r="H73" i="31"/>
  <c r="Z211" i="31" s="1"/>
  <c r="H71" i="31"/>
  <c r="G71" i="31"/>
  <c r="F71" i="31"/>
  <c r="F73" i="31"/>
  <c r="F7" i="31" s="1"/>
  <c r="G73" i="31"/>
  <c r="E80" i="31"/>
  <c r="E73" i="31"/>
  <c r="D80" i="31"/>
  <c r="D73" i="31"/>
  <c r="V211" i="31" s="1"/>
  <c r="AI74" i="31"/>
  <c r="AI75" i="31"/>
  <c r="C80" i="31"/>
  <c r="AI76" i="31"/>
  <c r="AI54" i="31"/>
  <c r="C73" i="31"/>
  <c r="U211" i="31" s="1"/>
  <c r="B71" i="31"/>
  <c r="B73" i="31" s="1"/>
  <c r="H4" i="31"/>
  <c r="AC211" i="31"/>
  <c r="AK211" i="31"/>
  <c r="S7" i="31"/>
  <c r="I5" i="31"/>
  <c r="I73" i="31"/>
  <c r="Q73" i="31"/>
  <c r="Y73" i="31"/>
  <c r="AG73" i="31"/>
  <c r="AG81" i="31" s="1"/>
  <c r="S208" i="31"/>
  <c r="D208" i="31"/>
  <c r="AH211" i="31"/>
  <c r="P7" i="31"/>
  <c r="AH78" i="31"/>
  <c r="E121" i="3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L73" i="31"/>
  <c r="AH66" i="31"/>
  <c r="AA5" i="31"/>
  <c r="G80" i="31"/>
  <c r="O80" i="31"/>
  <c r="O81" i="31" s="1"/>
  <c r="W80" i="31"/>
  <c r="AE80" i="31"/>
  <c r="Q71" i="31"/>
  <c r="Q5" i="31"/>
  <c r="K5" i="31"/>
  <c r="K71" i="31"/>
  <c r="D71" i="31"/>
  <c r="L71" i="31"/>
  <c r="AB5" i="31"/>
  <c r="H80" i="31"/>
  <c r="P80" i="31"/>
  <c r="X80" i="31"/>
  <c r="AF80" i="31"/>
  <c r="AH77" i="31"/>
  <c r="H7" i="31"/>
  <c r="Y71" i="31"/>
  <c r="Y5" i="31"/>
  <c r="AH54" i="31"/>
  <c r="AI66" i="31"/>
  <c r="C5" i="31"/>
  <c r="C71" i="31"/>
  <c r="S5" i="31"/>
  <c r="S71" i="31"/>
  <c r="S81" i="31" s="1"/>
  <c r="AG6" i="31"/>
  <c r="T5" i="31"/>
  <c r="AI36" i="31"/>
  <c r="AH36" i="31"/>
  <c r="E71" i="31"/>
  <c r="M71" i="31"/>
  <c r="M81" i="31" s="1"/>
  <c r="I80" i="31"/>
  <c r="Q80" i="31"/>
  <c r="Y80" i="31"/>
  <c r="AH74" i="31"/>
  <c r="AH76" i="31"/>
  <c r="AI77" i="31"/>
  <c r="AI78" i="31"/>
  <c r="F100" i="31"/>
  <c r="C189" i="31"/>
  <c r="D99" i="31"/>
  <c r="B5" i="31"/>
  <c r="R73" i="31"/>
  <c r="AH70" i="31"/>
  <c r="AH75" i="31"/>
  <c r="AI70" i="31"/>
  <c r="D232" i="31"/>
  <c r="E196" i="31"/>
  <c r="D191" i="31"/>
  <c r="AA106" i="34" l="1"/>
  <c r="Y189" i="34"/>
  <c r="Z99" i="34"/>
  <c r="X197" i="34"/>
  <c r="Y191" i="34"/>
  <c r="X91" i="34"/>
  <c r="Y232" i="34"/>
  <c r="Z196" i="34"/>
  <c r="V73" i="34"/>
  <c r="V71" i="34"/>
  <c r="W50" i="34"/>
  <c r="AD100" i="34"/>
  <c r="T71" i="33"/>
  <c r="T73" i="33"/>
  <c r="W191" i="33"/>
  <c r="V197" i="33"/>
  <c r="V49" i="33" s="1"/>
  <c r="X100" i="33"/>
  <c r="W91" i="33"/>
  <c r="V189" i="33"/>
  <c r="W99" i="33"/>
  <c r="V232" i="33"/>
  <c r="W196" i="33"/>
  <c r="U73" i="33"/>
  <c r="U71" i="33"/>
  <c r="R232" i="32"/>
  <c r="S196" i="32"/>
  <c r="R189" i="32"/>
  <c r="S99" i="32"/>
  <c r="R91" i="32"/>
  <c r="T100" i="32"/>
  <c r="S91" i="32"/>
  <c r="S197" i="32"/>
  <c r="T191" i="32"/>
  <c r="R197" i="32"/>
  <c r="Y81" i="31"/>
  <c r="N81" i="31"/>
  <c r="AG211" i="31"/>
  <c r="O7" i="31"/>
  <c r="AF211" i="31"/>
  <c r="N7" i="31"/>
  <c r="AE211" i="31"/>
  <c r="M7" i="31"/>
  <c r="L81" i="31"/>
  <c r="K81" i="31"/>
  <c r="J81" i="31"/>
  <c r="J7" i="31"/>
  <c r="AB211" i="31"/>
  <c r="I81" i="31"/>
  <c r="F81" i="31"/>
  <c r="B206" i="31"/>
  <c r="H81" i="31"/>
  <c r="C206" i="31"/>
  <c r="X211" i="31"/>
  <c r="G81" i="31"/>
  <c r="Y211" i="31"/>
  <c r="G7" i="31"/>
  <c r="E81" i="31"/>
  <c r="W211" i="31"/>
  <c r="E7" i="31"/>
  <c r="D81" i="31"/>
  <c r="D7" i="31"/>
  <c r="AI80" i="31"/>
  <c r="C7" i="31"/>
  <c r="D197" i="31"/>
  <c r="E191" i="31"/>
  <c r="C81" i="31"/>
  <c r="AQ211" i="31"/>
  <c r="Y7" i="31"/>
  <c r="AJ211" i="31"/>
  <c r="R7" i="31"/>
  <c r="D189" i="31"/>
  <c r="E99" i="31"/>
  <c r="D91" i="31"/>
  <c r="R81" i="31"/>
  <c r="AI211" i="31"/>
  <c r="Q7" i="31"/>
  <c r="Q81" i="31"/>
  <c r="T211" i="31"/>
  <c r="B7" i="31"/>
  <c r="E232" i="31"/>
  <c r="F196" i="31"/>
  <c r="AA211" i="31"/>
  <c r="I7" i="31"/>
  <c r="P81" i="31"/>
  <c r="AD211" i="31"/>
  <c r="L7" i="31"/>
  <c r="B81" i="31"/>
  <c r="G100" i="31"/>
  <c r="AH80" i="31"/>
  <c r="AN211" i="34" l="1"/>
  <c r="V7" i="34"/>
  <c r="V81" i="34"/>
  <c r="AA196" i="34"/>
  <c r="Z232" i="34"/>
  <c r="Z189" i="34"/>
  <c r="AA99" i="34"/>
  <c r="X50" i="34"/>
  <c r="AE100" i="34"/>
  <c r="W71" i="34"/>
  <c r="W73" i="34"/>
  <c r="Y197" i="34"/>
  <c r="Z191" i="34"/>
  <c r="Y91" i="34"/>
  <c r="AB106" i="34"/>
  <c r="U81" i="33"/>
  <c r="Y100" i="33"/>
  <c r="V50" i="33"/>
  <c r="W232" i="33"/>
  <c r="X196" i="33"/>
  <c r="W197" i="33"/>
  <c r="W49" i="33" s="1"/>
  <c r="W50" i="33" s="1"/>
  <c r="X191" i="33"/>
  <c r="X91" i="33" s="1"/>
  <c r="AL211" i="33"/>
  <c r="T7" i="33"/>
  <c r="AM211" i="33"/>
  <c r="U7" i="33"/>
  <c r="W189" i="33"/>
  <c r="X99" i="33"/>
  <c r="T81" i="33"/>
  <c r="U100" i="32"/>
  <c r="S189" i="32"/>
  <c r="T99" i="32"/>
  <c r="T196" i="32"/>
  <c r="S232" i="32"/>
  <c r="T197" i="32"/>
  <c r="T49" i="32" s="1"/>
  <c r="U191" i="32"/>
  <c r="K6" i="31"/>
  <c r="F232" i="31"/>
  <c r="G196" i="31"/>
  <c r="H100" i="31"/>
  <c r="F191" i="31"/>
  <c r="E197" i="31"/>
  <c r="E91" i="31"/>
  <c r="E189" i="31"/>
  <c r="F99" i="31"/>
  <c r="AF100" i="34" l="1"/>
  <c r="AO211" i="34"/>
  <c r="W7" i="34"/>
  <c r="AC106" i="34"/>
  <c r="X73" i="34"/>
  <c r="X71" i="34"/>
  <c r="Z197" i="34"/>
  <c r="Z49" i="34" s="1"/>
  <c r="AA191" i="34"/>
  <c r="Z91" i="34"/>
  <c r="AA189" i="34"/>
  <c r="AB99" i="34"/>
  <c r="W81" i="34"/>
  <c r="AB196" i="34"/>
  <c r="AA232" i="34"/>
  <c r="V71" i="33"/>
  <c r="V73" i="33"/>
  <c r="X232" i="33"/>
  <c r="Y196" i="33"/>
  <c r="X189" i="33"/>
  <c r="Y99" i="33"/>
  <c r="Y91" i="33"/>
  <c r="Z100" i="33"/>
  <c r="W71" i="33"/>
  <c r="W73" i="33"/>
  <c r="X197" i="33"/>
  <c r="X50" i="33" s="1"/>
  <c r="Y191" i="33"/>
  <c r="T50" i="32"/>
  <c r="V191" i="32"/>
  <c r="T232" i="32"/>
  <c r="U196" i="32"/>
  <c r="T189" i="32"/>
  <c r="U99" i="32"/>
  <c r="V100" i="32"/>
  <c r="T91" i="32"/>
  <c r="F189" i="31"/>
  <c r="G99" i="31"/>
  <c r="I100" i="31"/>
  <c r="G191" i="31"/>
  <c r="F197" i="31"/>
  <c r="F91" i="31"/>
  <c r="G232" i="31"/>
  <c r="H196" i="31"/>
  <c r="AA197" i="34" l="1"/>
  <c r="AA49" i="34" s="1"/>
  <c r="AA50" i="34" s="1"/>
  <c r="AB191" i="34"/>
  <c r="AA91" i="34"/>
  <c r="AD106" i="34"/>
  <c r="Z50" i="34"/>
  <c r="X81" i="34"/>
  <c r="AB232" i="34"/>
  <c r="AC196" i="34"/>
  <c r="AB189" i="34"/>
  <c r="AC99" i="34"/>
  <c r="AP211" i="34"/>
  <c r="X7" i="34"/>
  <c r="X71" i="33"/>
  <c r="X73" i="33"/>
  <c r="Z196" i="33"/>
  <c r="Y232" i="33"/>
  <c r="Y189" i="33"/>
  <c r="Z99" i="33"/>
  <c r="W81" i="33"/>
  <c r="AA100" i="33"/>
  <c r="Z91" i="33"/>
  <c r="Y197" i="33"/>
  <c r="Z191" i="33"/>
  <c r="AN211" i="33"/>
  <c r="V7" i="33"/>
  <c r="AO211" i="33"/>
  <c r="W7" i="33"/>
  <c r="V81" i="33"/>
  <c r="U232" i="32"/>
  <c r="V196" i="32"/>
  <c r="U197" i="32"/>
  <c r="U49" i="32" s="1"/>
  <c r="W191" i="32"/>
  <c r="V197" i="32"/>
  <c r="V49" i="32" s="1"/>
  <c r="V50" i="32" s="1"/>
  <c r="V91" i="32"/>
  <c r="W100" i="32"/>
  <c r="U91" i="32"/>
  <c r="U189" i="32"/>
  <c r="V99" i="32"/>
  <c r="T73" i="32"/>
  <c r="T71" i="32"/>
  <c r="J100" i="31"/>
  <c r="H232" i="31"/>
  <c r="I196" i="31"/>
  <c r="H191" i="31"/>
  <c r="G197" i="31"/>
  <c r="G91" i="31"/>
  <c r="G189" i="31"/>
  <c r="H99" i="31"/>
  <c r="Z73" i="34" l="1"/>
  <c r="Z71" i="34"/>
  <c r="AE106" i="34"/>
  <c r="AC232" i="34"/>
  <c r="AD196" i="34"/>
  <c r="AB197" i="34"/>
  <c r="AB49" i="34" s="1"/>
  <c r="AB50" i="34" s="1"/>
  <c r="AC191" i="34"/>
  <c r="AB91" i="34"/>
  <c r="AC189" i="34"/>
  <c r="AD99" i="34"/>
  <c r="AA73" i="34"/>
  <c r="AA71" i="34"/>
  <c r="Z189" i="33"/>
  <c r="AA99" i="33"/>
  <c r="Z197" i="33"/>
  <c r="Z49" i="33" s="1"/>
  <c r="AA191" i="33"/>
  <c r="Z232" i="33"/>
  <c r="AA196" i="33"/>
  <c r="AA91" i="33" s="1"/>
  <c r="AP211" i="33"/>
  <c r="X7" i="33"/>
  <c r="AB100" i="33"/>
  <c r="X81" i="33"/>
  <c r="X100" i="32"/>
  <c r="V71" i="32"/>
  <c r="V73" i="32"/>
  <c r="T81" i="32"/>
  <c r="W197" i="32"/>
  <c r="W49" i="32" s="1"/>
  <c r="W50" i="32" s="1"/>
  <c r="X191" i="32"/>
  <c r="AL211" i="32"/>
  <c r="T7" i="32"/>
  <c r="U50" i="32"/>
  <c r="V189" i="32"/>
  <c r="W99" i="32"/>
  <c r="W196" i="32"/>
  <c r="V232" i="32"/>
  <c r="I191" i="31"/>
  <c r="H197" i="31"/>
  <c r="H91" i="31"/>
  <c r="J196" i="31"/>
  <c r="I232" i="31"/>
  <c r="H189" i="31"/>
  <c r="I99" i="31"/>
  <c r="K100" i="31"/>
  <c r="AA81" i="34" l="1"/>
  <c r="Z81" i="34"/>
  <c r="AB71" i="34"/>
  <c r="AB73" i="34"/>
  <c r="AS211" i="34"/>
  <c r="AA7" i="34"/>
  <c r="AF106" i="34"/>
  <c r="AD232" i="34"/>
  <c r="AE196" i="34"/>
  <c r="AD189" i="34"/>
  <c r="AE99" i="34"/>
  <c r="AD191" i="34"/>
  <c r="AC197" i="34"/>
  <c r="AC49" i="34" s="1"/>
  <c r="AC50" i="34" s="1"/>
  <c r="AC91" i="34"/>
  <c r="AR211" i="34"/>
  <c r="Z7" i="34"/>
  <c r="AA197" i="33"/>
  <c r="AA49" i="33" s="1"/>
  <c r="AA50" i="33" s="1"/>
  <c r="AB191" i="33"/>
  <c r="Z50" i="33"/>
  <c r="AC100" i="33"/>
  <c r="AB91" i="33"/>
  <c r="AA189" i="33"/>
  <c r="AB99" i="33"/>
  <c r="AA232" i="33"/>
  <c r="AB196" i="33"/>
  <c r="W71" i="32"/>
  <c r="W73" i="32"/>
  <c r="U71" i="32"/>
  <c r="U73" i="32"/>
  <c r="AN211" i="32"/>
  <c r="V7" i="32"/>
  <c r="X196" i="32"/>
  <c r="X197" i="32" s="1"/>
  <c r="X49" i="32" s="1"/>
  <c r="W232" i="32"/>
  <c r="V81" i="32"/>
  <c r="W189" i="32"/>
  <c r="X99" i="32"/>
  <c r="W91" i="32"/>
  <c r="Y191" i="32"/>
  <c r="Y100" i="32"/>
  <c r="X91" i="32"/>
  <c r="I189" i="31"/>
  <c r="J99" i="31"/>
  <c r="K196" i="31"/>
  <c r="J232" i="31"/>
  <c r="L100" i="31"/>
  <c r="I197" i="31"/>
  <c r="J191" i="31"/>
  <c r="I91" i="31"/>
  <c r="AD197" i="34" l="1"/>
  <c r="AD49" i="34" s="1"/>
  <c r="AD50" i="34" s="1"/>
  <c r="AE191" i="34"/>
  <c r="AD91" i="34"/>
  <c r="AF196" i="34"/>
  <c r="AF232" i="34" s="1"/>
  <c r="AE232" i="34"/>
  <c r="AC71" i="34"/>
  <c r="AC73" i="34"/>
  <c r="AE189" i="34"/>
  <c r="AF99" i="34"/>
  <c r="AF189" i="34" s="1"/>
  <c r="AT211" i="34"/>
  <c r="AB7" i="34"/>
  <c r="AB81" i="34"/>
  <c r="Z73" i="33"/>
  <c r="Z71" i="33"/>
  <c r="Z81" i="33" s="1"/>
  <c r="AD100" i="33"/>
  <c r="AB232" i="33"/>
  <c r="AC196" i="33"/>
  <c r="AB197" i="33"/>
  <c r="AB49" i="33" s="1"/>
  <c r="AB50" i="33" s="1"/>
  <c r="AC191" i="33"/>
  <c r="AA71" i="33"/>
  <c r="AA73" i="33"/>
  <c r="AB189" i="33"/>
  <c r="AC99" i="33"/>
  <c r="W81" i="32"/>
  <c r="X50" i="32"/>
  <c r="AM211" i="32"/>
  <c r="U7" i="32"/>
  <c r="X189" i="32"/>
  <c r="Y99" i="32"/>
  <c r="U81" i="32"/>
  <c r="Y91" i="32"/>
  <c r="Z100" i="32"/>
  <c r="AO211" i="32"/>
  <c r="W7" i="32"/>
  <c r="Z191" i="32"/>
  <c r="Y196" i="32"/>
  <c r="X232" i="32"/>
  <c r="M100" i="31"/>
  <c r="K232" i="31"/>
  <c r="L196" i="31"/>
  <c r="J189" i="31"/>
  <c r="K99" i="31"/>
  <c r="J197" i="31"/>
  <c r="K191" i="31"/>
  <c r="J91" i="31"/>
  <c r="AU211" i="34" l="1"/>
  <c r="AC7" i="34"/>
  <c r="AC81" i="34"/>
  <c r="AE197" i="34"/>
  <c r="AE49" i="34" s="1"/>
  <c r="AE50" i="34" s="1"/>
  <c r="AF191" i="34"/>
  <c r="AE91" i="34"/>
  <c r="AD73" i="34"/>
  <c r="AD71" i="34"/>
  <c r="AA81" i="33"/>
  <c r="AB73" i="33"/>
  <c r="AB71" i="33"/>
  <c r="AC232" i="33"/>
  <c r="AD196" i="33"/>
  <c r="AC189" i="33"/>
  <c r="AD99" i="33"/>
  <c r="AC91" i="33"/>
  <c r="AS211" i="33"/>
  <c r="AA7" i="33"/>
  <c r="AD91" i="33"/>
  <c r="AE100" i="33"/>
  <c r="AD191" i="33"/>
  <c r="AC197" i="33"/>
  <c r="AC49" i="33" s="1"/>
  <c r="AC50" i="33" s="1"/>
  <c r="AR211" i="33"/>
  <c r="Z7" i="33"/>
  <c r="Y232" i="32"/>
  <c r="Z196" i="32"/>
  <c r="Z197" i="32"/>
  <c r="Z49" i="32" s="1"/>
  <c r="AA191" i="32"/>
  <c r="Z91" i="32"/>
  <c r="AA100" i="32"/>
  <c r="Y197" i="32"/>
  <c r="Y189" i="32"/>
  <c r="Z99" i="32"/>
  <c r="X71" i="32"/>
  <c r="X73" i="32"/>
  <c r="K197" i="31"/>
  <c r="L191" i="31"/>
  <c r="K91" i="31"/>
  <c r="K189" i="31"/>
  <c r="L99" i="31"/>
  <c r="L232" i="31"/>
  <c r="M196" i="31"/>
  <c r="N100" i="31"/>
  <c r="AD81" i="34" l="1"/>
  <c r="AV211" i="34"/>
  <c r="AD7" i="34"/>
  <c r="AF197" i="34"/>
  <c r="AF49" i="34" s="1"/>
  <c r="AF91" i="34"/>
  <c r="AE73" i="34"/>
  <c r="AE71" i="34"/>
  <c r="AB81" i="33"/>
  <c r="AD189" i="33"/>
  <c r="AE99" i="33"/>
  <c r="AC71" i="33"/>
  <c r="AC73" i="33"/>
  <c r="AE191" i="33"/>
  <c r="AD197" i="33"/>
  <c r="AD49" i="33" s="1"/>
  <c r="AD50" i="33" s="1"/>
  <c r="AD232" i="33"/>
  <c r="AE196" i="33"/>
  <c r="AF100" i="33"/>
  <c r="AE91" i="33"/>
  <c r="AT211" i="33"/>
  <c r="AB7" i="33"/>
  <c r="AP211" i="32"/>
  <c r="X7" i="32"/>
  <c r="Z50" i="32"/>
  <c r="Z232" i="32"/>
  <c r="AA196" i="32"/>
  <c r="AB191" i="32"/>
  <c r="AA197" i="32"/>
  <c r="AA49" i="32" s="1"/>
  <c r="AA50" i="32" s="1"/>
  <c r="Z189" i="32"/>
  <c r="AA99" i="32"/>
  <c r="X81" i="32"/>
  <c r="AB100" i="32"/>
  <c r="AA91" i="32"/>
  <c r="O100" i="31"/>
  <c r="M232" i="31"/>
  <c r="N196" i="31"/>
  <c r="L189" i="31"/>
  <c r="M99" i="31"/>
  <c r="L197" i="31"/>
  <c r="M191" i="31"/>
  <c r="L91" i="31"/>
  <c r="AE81" i="34" l="1"/>
  <c r="AW211" i="34"/>
  <c r="AE7" i="34"/>
  <c r="AH91" i="34"/>
  <c r="AI91" i="34"/>
  <c r="AF50" i="34"/>
  <c r="AH49" i="34"/>
  <c r="AI49" i="34"/>
  <c r="AU211" i="33"/>
  <c r="AC7" i="33"/>
  <c r="AE232" i="33"/>
  <c r="AF196" i="33"/>
  <c r="AF232" i="33" s="1"/>
  <c r="AD71" i="33"/>
  <c r="AD73" i="33"/>
  <c r="AE197" i="33"/>
  <c r="AE49" i="33" s="1"/>
  <c r="AE50" i="33" s="1"/>
  <c r="AF191" i="33"/>
  <c r="AC81" i="33"/>
  <c r="AE189" i="33"/>
  <c r="AF99" i="33"/>
  <c r="AF189" i="33" s="1"/>
  <c r="Z71" i="32"/>
  <c r="Z73" i="32"/>
  <c r="AA189" i="32"/>
  <c r="AB99" i="32"/>
  <c r="AB197" i="32"/>
  <c r="AB49" i="32" s="1"/>
  <c r="AC191" i="32"/>
  <c r="AA73" i="32"/>
  <c r="AA71" i="32"/>
  <c r="AB91" i="32"/>
  <c r="AC100" i="32"/>
  <c r="AB196" i="32"/>
  <c r="AA232" i="32"/>
  <c r="N191" i="31"/>
  <c r="M197" i="31"/>
  <c r="M91" i="31"/>
  <c r="M189" i="31"/>
  <c r="N99" i="31"/>
  <c r="N232" i="31"/>
  <c r="O196" i="31"/>
  <c r="P100" i="31"/>
  <c r="AF73" i="34" l="1"/>
  <c r="AF71" i="34"/>
  <c r="AH50" i="34"/>
  <c r="AI50" i="34"/>
  <c r="AD81" i="33"/>
  <c r="AF91" i="33"/>
  <c r="AF197" i="33"/>
  <c r="AF49" i="33" s="1"/>
  <c r="AE73" i="33"/>
  <c r="AE71" i="33"/>
  <c r="AV211" i="33"/>
  <c r="AD7" i="33"/>
  <c r="AA81" i="32"/>
  <c r="AB50" i="32"/>
  <c r="AB189" i="32"/>
  <c r="AC99" i="32"/>
  <c r="AB232" i="32"/>
  <c r="AC196" i="32"/>
  <c r="AD100" i="32"/>
  <c r="AS211" i="32"/>
  <c r="AA7" i="32"/>
  <c r="AR211" i="32"/>
  <c r="Z7" i="32"/>
  <c r="AD191" i="32"/>
  <c r="Z81" i="32"/>
  <c r="O232" i="31"/>
  <c r="P196" i="31"/>
  <c r="N189" i="31"/>
  <c r="O99" i="31"/>
  <c r="Q100" i="31"/>
  <c r="O191" i="31"/>
  <c r="N197" i="31"/>
  <c r="N91" i="31"/>
  <c r="AE81" i="33" l="1"/>
  <c r="AF81" i="34"/>
  <c r="AH71" i="34"/>
  <c r="AI71" i="34"/>
  <c r="AX211" i="34"/>
  <c r="AF7" i="34"/>
  <c r="A7" i="34" s="1"/>
  <c r="AH73" i="34"/>
  <c r="AI73" i="34"/>
  <c r="AF50" i="33"/>
  <c r="AH49" i="33"/>
  <c r="AI49" i="33"/>
  <c r="AW211" i="33"/>
  <c r="AE7" i="33"/>
  <c r="AH91" i="33"/>
  <c r="AI91" i="33"/>
  <c r="AE100" i="32"/>
  <c r="AC232" i="32"/>
  <c r="AD196" i="32"/>
  <c r="AC189" i="32"/>
  <c r="AD99" i="32"/>
  <c r="AE191" i="32"/>
  <c r="AC197" i="32"/>
  <c r="AC49" i="32" s="1"/>
  <c r="AC50" i="32" s="1"/>
  <c r="AC91" i="32"/>
  <c r="AB71" i="32"/>
  <c r="AB73" i="32"/>
  <c r="P191" i="31"/>
  <c r="O197" i="31"/>
  <c r="O91" i="31"/>
  <c r="R100" i="31"/>
  <c r="P232" i="31"/>
  <c r="Q196" i="31"/>
  <c r="O189" i="31"/>
  <c r="P99" i="31"/>
  <c r="AH81" i="34" l="1"/>
  <c r="AI81" i="34"/>
  <c r="AF73" i="33"/>
  <c r="AF71" i="33"/>
  <c r="AH50" i="33"/>
  <c r="AI50" i="33"/>
  <c r="AT211" i="32"/>
  <c r="AB7" i="32"/>
  <c r="AD232" i="32"/>
  <c r="AE196" i="32"/>
  <c r="AB81" i="32"/>
  <c r="AC71" i="32"/>
  <c r="AC73" i="32"/>
  <c r="AF191" i="32"/>
  <c r="AF100" i="32"/>
  <c r="AE91" i="32"/>
  <c r="AD189" i="32"/>
  <c r="AE99" i="32"/>
  <c r="AD197" i="32"/>
  <c r="AD49" i="32" s="1"/>
  <c r="AD50" i="32" s="1"/>
  <c r="AD91" i="32"/>
  <c r="R196" i="31"/>
  <c r="Q232" i="31"/>
  <c r="S100" i="31"/>
  <c r="P189" i="31"/>
  <c r="Q99" i="31"/>
  <c r="Q191" i="31"/>
  <c r="P197" i="31"/>
  <c r="P91" i="31"/>
  <c r="AF81" i="33" l="1"/>
  <c r="AI71" i="33"/>
  <c r="AH71" i="33"/>
  <c r="AX211" i="33"/>
  <c r="AF7" i="33"/>
  <c r="A7" i="33" s="1"/>
  <c r="AI73" i="33"/>
  <c r="AH73" i="33"/>
  <c r="AD73" i="32"/>
  <c r="AD71" i="32"/>
  <c r="AD81" i="32" s="1"/>
  <c r="AE189" i="32"/>
  <c r="AF99" i="32"/>
  <c r="AF189" i="32" s="1"/>
  <c r="AF196" i="32"/>
  <c r="AF232" i="32" s="1"/>
  <c r="AE232" i="32"/>
  <c r="AC81" i="32"/>
  <c r="AU211" i="32"/>
  <c r="AC7" i="32"/>
  <c r="AE197" i="32"/>
  <c r="AE49" i="32" s="1"/>
  <c r="AE50" i="32" s="1"/>
  <c r="Q197" i="31"/>
  <c r="R191" i="31"/>
  <c r="Q91" i="31"/>
  <c r="Q189" i="31"/>
  <c r="R99" i="31"/>
  <c r="T100" i="31"/>
  <c r="S196" i="31"/>
  <c r="R232" i="31"/>
  <c r="AI81" i="33" l="1"/>
  <c r="AH81" i="33"/>
  <c r="AE73" i="32"/>
  <c r="AE71" i="32"/>
  <c r="AE81" i="32" s="1"/>
  <c r="AV211" i="32"/>
  <c r="AD7" i="32"/>
  <c r="AF91" i="32"/>
  <c r="AF197" i="32"/>
  <c r="AF49" i="32" s="1"/>
  <c r="S232" i="31"/>
  <c r="T196" i="31"/>
  <c r="R189" i="31"/>
  <c r="S99" i="31"/>
  <c r="U100" i="31"/>
  <c r="R197" i="31"/>
  <c r="S191" i="31"/>
  <c r="R91" i="31"/>
  <c r="AI91" i="32" l="1"/>
  <c r="AH91" i="32"/>
  <c r="AF50" i="32"/>
  <c r="AJ50" i="32" s="1"/>
  <c r="AL2" i="32" s="1"/>
  <c r="AH49" i="32"/>
  <c r="AI49" i="32"/>
  <c r="AW211" i="32"/>
  <c r="AE7" i="32"/>
  <c r="S189" i="31"/>
  <c r="T99" i="31"/>
  <c r="T232" i="31"/>
  <c r="U196" i="31"/>
  <c r="S197" i="31"/>
  <c r="T191" i="31"/>
  <c r="S91" i="31"/>
  <c r="V100" i="31"/>
  <c r="AF73" i="32" l="1"/>
  <c r="AF71" i="32"/>
  <c r="AI50" i="32"/>
  <c r="AH50" i="32"/>
  <c r="T197" i="31"/>
  <c r="T49" i="31" s="1"/>
  <c r="U191" i="31"/>
  <c r="T91" i="31"/>
  <c r="W100" i="31"/>
  <c r="U232" i="31"/>
  <c r="V196" i="31"/>
  <c r="T189" i="31"/>
  <c r="U99" i="31"/>
  <c r="AF81" i="32" l="1"/>
  <c r="AI71" i="32"/>
  <c r="AH71" i="32"/>
  <c r="AX211" i="32"/>
  <c r="AF7" i="32"/>
  <c r="A7" i="32" s="1"/>
  <c r="AH73" i="32"/>
  <c r="AI73" i="32"/>
  <c r="V232" i="31"/>
  <c r="W196" i="31"/>
  <c r="X100" i="31"/>
  <c r="V191" i="31"/>
  <c r="U197" i="31"/>
  <c r="U49" i="31" s="1"/>
  <c r="U50" i="31" s="1"/>
  <c r="U91" i="31"/>
  <c r="U189" i="31"/>
  <c r="V99" i="31"/>
  <c r="T50" i="31"/>
  <c r="AI81" i="32" l="1"/>
  <c r="AH81" i="32"/>
  <c r="W191" i="31"/>
  <c r="V197" i="31"/>
  <c r="V49" i="31" s="1"/>
  <c r="V50" i="31" s="1"/>
  <c r="V91" i="31"/>
  <c r="Y100" i="31"/>
  <c r="T71" i="31"/>
  <c r="T73" i="31"/>
  <c r="U73" i="31"/>
  <c r="W232" i="31"/>
  <c r="X196" i="31"/>
  <c r="V189" i="31"/>
  <c r="W99" i="31"/>
  <c r="U81" i="31" l="1"/>
  <c r="T81" i="31"/>
  <c r="Z100" i="31"/>
  <c r="X232" i="31"/>
  <c r="Y196" i="31"/>
  <c r="V71" i="31"/>
  <c r="V73" i="31"/>
  <c r="AM211" i="31"/>
  <c r="U7" i="31"/>
  <c r="W189" i="31"/>
  <c r="X99" i="31"/>
  <c r="AL211" i="31"/>
  <c r="T7" i="31"/>
  <c r="X191" i="31"/>
  <c r="W197" i="31"/>
  <c r="W49" i="31" s="1"/>
  <c r="W91" i="31"/>
  <c r="V81" i="31" l="1"/>
  <c r="X189" i="31"/>
  <c r="Y99" i="31"/>
  <c r="Z196" i="31"/>
  <c r="Y232" i="31"/>
  <c r="W50" i="31"/>
  <c r="Y191" i="31"/>
  <c r="X197" i="31"/>
  <c r="X49" i="31" s="1"/>
  <c r="X50" i="31" s="1"/>
  <c r="X91" i="31"/>
  <c r="AA100" i="31"/>
  <c r="AN211" i="31"/>
  <c r="V7" i="31"/>
  <c r="AA196" i="31" l="1"/>
  <c r="Z232" i="31"/>
  <c r="AB100" i="31"/>
  <c r="W73" i="31"/>
  <c r="W71" i="31"/>
  <c r="X71" i="31"/>
  <c r="X73" i="31"/>
  <c r="Y189" i="31"/>
  <c r="Z99" i="31"/>
  <c r="Y197" i="31"/>
  <c r="Z191" i="31"/>
  <c r="Y91" i="31"/>
  <c r="W81" i="31" l="1"/>
  <c r="AC100" i="31"/>
  <c r="AP211" i="31"/>
  <c r="X7" i="31"/>
  <c r="Z197" i="31"/>
  <c r="Z49" i="31" s="1"/>
  <c r="AA191" i="31"/>
  <c r="Z91" i="31"/>
  <c r="AO211" i="31"/>
  <c r="W7" i="31"/>
  <c r="Z189" i="31"/>
  <c r="AA99" i="31"/>
  <c r="X81" i="31"/>
  <c r="AA232" i="31"/>
  <c r="AB196" i="31"/>
  <c r="AD100" i="31" l="1"/>
  <c r="Z50" i="31"/>
  <c r="AB232" i="31"/>
  <c r="AC196" i="31"/>
  <c r="AA197" i="31"/>
  <c r="AA49" i="31" s="1"/>
  <c r="AA50" i="31" s="1"/>
  <c r="AB191" i="31"/>
  <c r="AA91" i="31"/>
  <c r="AA189" i="31"/>
  <c r="AB99" i="31"/>
  <c r="AC232" i="31" l="1"/>
  <c r="AD196" i="31"/>
  <c r="AB197" i="31"/>
  <c r="AB49" i="31" s="1"/>
  <c r="AC191" i="31"/>
  <c r="AB91" i="31"/>
  <c r="AE100" i="31"/>
  <c r="AB189" i="31"/>
  <c r="AC99" i="31"/>
  <c r="Z71" i="31"/>
  <c r="Z73" i="31"/>
  <c r="AA71" i="31"/>
  <c r="AA73" i="31"/>
  <c r="AS211" i="31" l="1"/>
  <c r="AA7" i="31"/>
  <c r="AR211" i="31"/>
  <c r="Z7" i="31"/>
  <c r="AA81" i="31"/>
  <c r="AF100" i="31"/>
  <c r="AD191" i="31"/>
  <c r="AC197" i="31"/>
  <c r="AC49" i="31" s="1"/>
  <c r="AC50" i="31" s="1"/>
  <c r="AC91" i="31"/>
  <c r="AB50" i="31"/>
  <c r="Z81" i="31"/>
  <c r="AD232" i="31"/>
  <c r="AE196" i="31"/>
  <c r="AC189" i="31"/>
  <c r="AD99" i="31"/>
  <c r="AB71" i="31" l="1"/>
  <c r="AB73" i="31"/>
  <c r="AD189" i="31"/>
  <c r="AE99" i="31"/>
  <c r="AC71" i="31"/>
  <c r="AC73" i="31"/>
  <c r="AE232" i="31"/>
  <c r="AF196" i="31"/>
  <c r="AF232" i="31" s="1"/>
  <c r="AE191" i="31"/>
  <c r="AD197" i="31"/>
  <c r="AD49" i="31" s="1"/>
  <c r="AD50" i="31" s="1"/>
  <c r="AD91" i="31"/>
  <c r="AU211" i="31" l="1"/>
  <c r="AC7" i="31"/>
  <c r="AC81" i="31"/>
  <c r="AE189" i="31"/>
  <c r="AF99" i="31"/>
  <c r="AF189" i="31" s="1"/>
  <c r="AD71" i="31"/>
  <c r="AD73" i="31"/>
  <c r="AF191" i="31"/>
  <c r="AE197" i="31"/>
  <c r="AE49" i="31" s="1"/>
  <c r="AE50" i="31" s="1"/>
  <c r="AE91" i="31"/>
  <c r="AT211" i="31"/>
  <c r="AB7" i="31"/>
  <c r="AB81" i="31"/>
  <c r="AV211" i="31" l="1"/>
  <c r="AD7" i="31"/>
  <c r="AF197" i="31"/>
  <c r="AF49" i="31" s="1"/>
  <c r="AF91" i="31"/>
  <c r="AD81" i="31"/>
  <c r="AE73" i="31"/>
  <c r="AE71" i="31"/>
  <c r="AW211" i="31" l="1"/>
  <c r="AE7" i="31"/>
  <c r="AH91" i="31"/>
  <c r="AI91" i="31"/>
  <c r="AF50" i="31"/>
  <c r="AI49" i="31"/>
  <c r="AH49" i="31"/>
  <c r="AE81" i="31"/>
  <c r="AF73" i="31" l="1"/>
  <c r="AF71" i="31"/>
  <c r="AI50" i="31"/>
  <c r="AH50" i="31"/>
  <c r="AF81" i="31" l="1"/>
  <c r="AI71" i="31"/>
  <c r="AH71" i="31"/>
  <c r="AX211" i="31"/>
  <c r="AF7" i="31"/>
  <c r="A7" i="31" s="1"/>
  <c r="AH73" i="31"/>
  <c r="AI73" i="31"/>
  <c r="AI81" i="31" l="1"/>
  <c r="AH81" i="31"/>
  <c r="W36" i="30" l="1"/>
  <c r="V36" i="30"/>
  <c r="B66" i="29" l="1"/>
  <c r="C66" i="29"/>
  <c r="B70" i="29"/>
  <c r="C70" i="29"/>
  <c r="B71" i="29"/>
  <c r="C71" i="29"/>
  <c r="B73" i="29"/>
  <c r="C73" i="29"/>
  <c r="C81" i="29" s="1"/>
  <c r="B74" i="29"/>
  <c r="C74" i="29"/>
  <c r="B75" i="29"/>
  <c r="C75" i="29"/>
  <c r="B76" i="29"/>
  <c r="B80" i="29" s="1"/>
  <c r="C76" i="29"/>
  <c r="C80" i="29" s="1"/>
  <c r="B77" i="29"/>
  <c r="B81" i="29" s="1"/>
  <c r="C77" i="29"/>
  <c r="B78" i="29"/>
  <c r="C78" i="29"/>
  <c r="B91" i="29"/>
  <c r="C99" i="29"/>
  <c r="C100" i="29"/>
  <c r="C101" i="29"/>
  <c r="C102" i="29"/>
  <c r="C103" i="29"/>
  <c r="C104" i="29"/>
  <c r="C106" i="29"/>
  <c r="C91" i="29" s="1"/>
  <c r="C107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8" i="29"/>
  <c r="C129" i="29"/>
  <c r="C130" i="29"/>
  <c r="C131" i="29"/>
  <c r="C132" i="29"/>
  <c r="C133" i="29"/>
  <c r="C134" i="29"/>
  <c r="C135" i="29"/>
  <c r="C137" i="29"/>
  <c r="C138" i="29"/>
  <c r="C139" i="29"/>
  <c r="C140" i="29"/>
  <c r="C141" i="29"/>
  <c r="C142" i="29"/>
  <c r="C143" i="29"/>
  <c r="L35" i="30"/>
  <c r="AJ11" i="29"/>
  <c r="AL3" i="29"/>
  <c r="AL4" i="29"/>
  <c r="AL2" i="29"/>
  <c r="AJ50" i="29"/>
  <c r="AJ36" i="29"/>
  <c r="E35" i="30"/>
  <c r="AH97" i="30"/>
  <c r="AI97" i="30" s="1"/>
  <c r="B78" i="30"/>
  <c r="B77" i="30"/>
  <c r="B76" i="30"/>
  <c r="B75" i="30"/>
  <c r="B74" i="30"/>
  <c r="B80" i="30" s="1"/>
  <c r="B70" i="30"/>
  <c r="B66" i="30"/>
  <c r="B54" i="30"/>
  <c r="B49" i="30"/>
  <c r="B50" i="30" s="1"/>
  <c r="B36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A235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B234" i="30"/>
  <c r="A234" i="30"/>
  <c r="AF233" i="30"/>
  <c r="AE233" i="30"/>
  <c r="AD233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B233" i="30"/>
  <c r="A233" i="30"/>
  <c r="B232" i="30"/>
  <c r="S207" i="30"/>
  <c r="AG197" i="30"/>
  <c r="B197" i="30"/>
  <c r="C196" i="30"/>
  <c r="C195" i="30"/>
  <c r="D195" i="30" s="1"/>
  <c r="E195" i="30" s="1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G194" i="30"/>
  <c r="H194" i="30" s="1"/>
  <c r="I194" i="30" s="1"/>
  <c r="J194" i="30" s="1"/>
  <c r="K194" i="30" s="1"/>
  <c r="L194" i="30" s="1"/>
  <c r="M194" i="30" s="1"/>
  <c r="N194" i="30" s="1"/>
  <c r="O194" i="30" s="1"/>
  <c r="P194" i="30" s="1"/>
  <c r="Q194" i="30" s="1"/>
  <c r="R194" i="30" s="1"/>
  <c r="S194" i="30" s="1"/>
  <c r="T194" i="30" s="1"/>
  <c r="U194" i="30" s="1"/>
  <c r="V194" i="30" s="1"/>
  <c r="W194" i="30" s="1"/>
  <c r="X194" i="30" s="1"/>
  <c r="Y194" i="30" s="1"/>
  <c r="Z194" i="30" s="1"/>
  <c r="AA194" i="30" s="1"/>
  <c r="AB194" i="30" s="1"/>
  <c r="AC194" i="30" s="1"/>
  <c r="AD194" i="30" s="1"/>
  <c r="AE194" i="30" s="1"/>
  <c r="AF194" i="30" s="1"/>
  <c r="D194" i="30"/>
  <c r="E194" i="30" s="1"/>
  <c r="F194" i="30" s="1"/>
  <c r="C194" i="30"/>
  <c r="F193" i="30"/>
  <c r="G193" i="30" s="1"/>
  <c r="H193" i="30" s="1"/>
  <c r="I193" i="30" s="1"/>
  <c r="J193" i="30" s="1"/>
  <c r="K193" i="30" s="1"/>
  <c r="L193" i="30" s="1"/>
  <c r="M193" i="30" s="1"/>
  <c r="N193" i="30" s="1"/>
  <c r="O193" i="30" s="1"/>
  <c r="P193" i="30" s="1"/>
  <c r="Q193" i="30" s="1"/>
  <c r="R193" i="30" s="1"/>
  <c r="S193" i="30" s="1"/>
  <c r="T193" i="30" s="1"/>
  <c r="U193" i="30" s="1"/>
  <c r="V193" i="30" s="1"/>
  <c r="W193" i="30" s="1"/>
  <c r="X193" i="30" s="1"/>
  <c r="Y193" i="30" s="1"/>
  <c r="Z193" i="30" s="1"/>
  <c r="AA193" i="30" s="1"/>
  <c r="AB193" i="30" s="1"/>
  <c r="AC193" i="30" s="1"/>
  <c r="AD193" i="30" s="1"/>
  <c r="AE193" i="30" s="1"/>
  <c r="AF193" i="30" s="1"/>
  <c r="E193" i="30"/>
  <c r="D193" i="30"/>
  <c r="C193" i="30"/>
  <c r="P192" i="30"/>
  <c r="Q192" i="30" s="1"/>
  <c r="R192" i="30" s="1"/>
  <c r="S192" i="30" s="1"/>
  <c r="T192" i="30" s="1"/>
  <c r="U192" i="30" s="1"/>
  <c r="V192" i="30" s="1"/>
  <c r="W192" i="30" s="1"/>
  <c r="X192" i="30" s="1"/>
  <c r="Y192" i="30" s="1"/>
  <c r="Z192" i="30" s="1"/>
  <c r="AA192" i="30" s="1"/>
  <c r="AB192" i="30" s="1"/>
  <c r="AC192" i="30" s="1"/>
  <c r="AD192" i="30" s="1"/>
  <c r="AE192" i="30" s="1"/>
  <c r="AF192" i="30" s="1"/>
  <c r="C192" i="30"/>
  <c r="D192" i="30" s="1"/>
  <c r="E192" i="30" s="1"/>
  <c r="F192" i="30" s="1"/>
  <c r="G192" i="30" s="1"/>
  <c r="H192" i="30" s="1"/>
  <c r="I192" i="30" s="1"/>
  <c r="J192" i="30" s="1"/>
  <c r="K192" i="30" s="1"/>
  <c r="L192" i="30" s="1"/>
  <c r="M192" i="30" s="1"/>
  <c r="N192" i="30" s="1"/>
  <c r="O192" i="30" s="1"/>
  <c r="C191" i="30"/>
  <c r="AG189" i="30"/>
  <c r="B189" i="30"/>
  <c r="P188" i="30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D188" i="30"/>
  <c r="E188" i="30" s="1"/>
  <c r="F188" i="30" s="1"/>
  <c r="G188" i="30" s="1"/>
  <c r="H188" i="30" s="1"/>
  <c r="I188" i="30" s="1"/>
  <c r="J188" i="30" s="1"/>
  <c r="K188" i="30" s="1"/>
  <c r="L188" i="30" s="1"/>
  <c r="M188" i="30" s="1"/>
  <c r="N188" i="30" s="1"/>
  <c r="O188" i="30" s="1"/>
  <c r="C188" i="30"/>
  <c r="X187" i="30"/>
  <c r="Y187" i="30" s="1"/>
  <c r="Z187" i="30" s="1"/>
  <c r="AA187" i="30" s="1"/>
  <c r="AB187" i="30" s="1"/>
  <c r="AC187" i="30" s="1"/>
  <c r="AD187" i="30" s="1"/>
  <c r="AE187" i="30" s="1"/>
  <c r="AF187" i="30" s="1"/>
  <c r="F187" i="30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E187" i="30"/>
  <c r="D187" i="30"/>
  <c r="C187" i="30"/>
  <c r="D186" i="30"/>
  <c r="E186" i="30" s="1"/>
  <c r="F186" i="30" s="1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C186" i="30"/>
  <c r="F185" i="30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D185" i="30"/>
  <c r="E185" i="30" s="1"/>
  <c r="C185" i="30"/>
  <c r="D184" i="30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C184" i="30"/>
  <c r="E183" i="30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D183" i="30"/>
  <c r="C183" i="30"/>
  <c r="D182" i="30"/>
  <c r="E182" i="30" s="1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C182" i="30"/>
  <c r="F181" i="30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C181" i="30"/>
  <c r="D181" i="30" s="1"/>
  <c r="E181" i="30" s="1"/>
  <c r="P180" i="30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J180" i="30"/>
  <c r="K180" i="30" s="1"/>
  <c r="L180" i="30" s="1"/>
  <c r="M180" i="30" s="1"/>
  <c r="N180" i="30" s="1"/>
  <c r="O180" i="30" s="1"/>
  <c r="D180" i="30"/>
  <c r="E180" i="30" s="1"/>
  <c r="F180" i="30" s="1"/>
  <c r="G180" i="30" s="1"/>
  <c r="H180" i="30" s="1"/>
  <c r="I180" i="30" s="1"/>
  <c r="C180" i="30"/>
  <c r="H179" i="30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F179" i="30"/>
  <c r="G179" i="30" s="1"/>
  <c r="E179" i="30"/>
  <c r="D179" i="30"/>
  <c r="C179" i="30"/>
  <c r="N178" i="30"/>
  <c r="O178" i="30" s="1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AF178" i="30" s="1"/>
  <c r="H178" i="30"/>
  <c r="I178" i="30" s="1"/>
  <c r="J178" i="30" s="1"/>
  <c r="K178" i="30" s="1"/>
  <c r="L178" i="30" s="1"/>
  <c r="M178" i="30" s="1"/>
  <c r="D178" i="30"/>
  <c r="E178" i="30" s="1"/>
  <c r="F178" i="30" s="1"/>
  <c r="G178" i="30" s="1"/>
  <c r="C178" i="30"/>
  <c r="F177" i="30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D177" i="30"/>
  <c r="E177" i="30" s="1"/>
  <c r="C177" i="30"/>
  <c r="P176" i="30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D176" i="30"/>
  <c r="E176" i="30" s="1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C176" i="30"/>
  <c r="K174" i="30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C174" i="30"/>
  <c r="D174" i="30" s="1"/>
  <c r="E174" i="30" s="1"/>
  <c r="F174" i="30" s="1"/>
  <c r="G174" i="30" s="1"/>
  <c r="H174" i="30" s="1"/>
  <c r="I174" i="30" s="1"/>
  <c r="J174" i="30" s="1"/>
  <c r="Q173" i="30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E173" i="30"/>
  <c r="F173" i="30" s="1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D173" i="30"/>
  <c r="C173" i="30"/>
  <c r="D172" i="30"/>
  <c r="E172" i="30" s="1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C172" i="30"/>
  <c r="E171" i="30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D171" i="30"/>
  <c r="C171" i="30"/>
  <c r="O170" i="30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C170" i="30"/>
  <c r="D170" i="30" s="1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D169" i="30"/>
  <c r="E169" i="30" s="1"/>
  <c r="F169" i="30" s="1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C169" i="30"/>
  <c r="C168" i="30"/>
  <c r="D168" i="30" s="1"/>
  <c r="E168" i="30" s="1"/>
  <c r="F168" i="30" s="1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M167" i="30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F167" i="30"/>
  <c r="G167" i="30" s="1"/>
  <c r="H167" i="30" s="1"/>
  <c r="I167" i="30" s="1"/>
  <c r="J167" i="30" s="1"/>
  <c r="K167" i="30" s="1"/>
  <c r="L167" i="30" s="1"/>
  <c r="E167" i="30"/>
  <c r="D167" i="30"/>
  <c r="C167" i="30"/>
  <c r="M165" i="30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C165" i="30"/>
  <c r="D165" i="30" s="1"/>
  <c r="E165" i="30" s="1"/>
  <c r="F165" i="30" s="1"/>
  <c r="G165" i="30" s="1"/>
  <c r="H165" i="30" s="1"/>
  <c r="I165" i="30" s="1"/>
  <c r="J165" i="30" s="1"/>
  <c r="K165" i="30" s="1"/>
  <c r="L165" i="30" s="1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C164" i="30"/>
  <c r="L163" i="30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D163" i="30"/>
  <c r="E163" i="30" s="1"/>
  <c r="F163" i="30" s="1"/>
  <c r="G163" i="30" s="1"/>
  <c r="H163" i="30" s="1"/>
  <c r="I163" i="30" s="1"/>
  <c r="J163" i="30" s="1"/>
  <c r="K163" i="30" s="1"/>
  <c r="C163" i="30"/>
  <c r="J162" i="30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C162" i="30"/>
  <c r="D162" i="30" s="1"/>
  <c r="E162" i="30" s="1"/>
  <c r="F162" i="30" s="1"/>
  <c r="G162" i="30" s="1"/>
  <c r="H162" i="30" s="1"/>
  <c r="I162" i="30" s="1"/>
  <c r="H161" i="30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C161" i="30"/>
  <c r="D161" i="30" s="1"/>
  <c r="E161" i="30" s="1"/>
  <c r="F161" i="30" s="1"/>
  <c r="G161" i="30" s="1"/>
  <c r="D160" i="30"/>
  <c r="E160" i="30" s="1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C160" i="30"/>
  <c r="D159" i="30"/>
  <c r="E159" i="30" s="1"/>
  <c r="F159" i="30" s="1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C159" i="30"/>
  <c r="C158" i="30"/>
  <c r="D158" i="30" s="1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C157" i="30"/>
  <c r="D157" i="30" s="1"/>
  <c r="E157" i="30" s="1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D156" i="30"/>
  <c r="E156" i="30" s="1"/>
  <c r="F156" i="30" s="1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C156" i="30"/>
  <c r="G155" i="30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D155" i="30"/>
  <c r="E155" i="30" s="1"/>
  <c r="F155" i="30" s="1"/>
  <c r="C155" i="30"/>
  <c r="R154" i="30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E154" i="30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Q154" i="30" s="1"/>
  <c r="D154" i="30"/>
  <c r="C154" i="30"/>
  <c r="K153" i="30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C153" i="30"/>
  <c r="D153" i="30" s="1"/>
  <c r="E153" i="30" s="1"/>
  <c r="F153" i="30" s="1"/>
  <c r="G153" i="30" s="1"/>
  <c r="H153" i="30" s="1"/>
  <c r="I153" i="30" s="1"/>
  <c r="J153" i="30" s="1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C151" i="30"/>
  <c r="E150" i="30"/>
  <c r="F150" i="30" s="1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D150" i="30"/>
  <c r="C150" i="30"/>
  <c r="C149" i="30"/>
  <c r="D149" i="30" s="1"/>
  <c r="E149" i="30" s="1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K148" i="30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H148" i="30"/>
  <c r="I148" i="30" s="1"/>
  <c r="J148" i="30" s="1"/>
  <c r="F148" i="30"/>
  <c r="G148" i="30" s="1"/>
  <c r="C148" i="30"/>
  <c r="D148" i="30" s="1"/>
  <c r="E148" i="30" s="1"/>
  <c r="AD146" i="30"/>
  <c r="AE146" i="30" s="1"/>
  <c r="AF146" i="30" s="1"/>
  <c r="D146" i="30"/>
  <c r="E146" i="30" s="1"/>
  <c r="F146" i="30" s="1"/>
  <c r="G146" i="30" s="1"/>
  <c r="H146" i="30" s="1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C146" i="30"/>
  <c r="F145" i="30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D145" i="30"/>
  <c r="E145" i="30" s="1"/>
  <c r="C145" i="30"/>
  <c r="H143" i="30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3" i="30"/>
  <c r="E143" i="30" s="1"/>
  <c r="F143" i="30" s="1"/>
  <c r="G143" i="30" s="1"/>
  <c r="C143" i="30"/>
  <c r="F142" i="30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C142" i="30"/>
  <c r="D142" i="30" s="1"/>
  <c r="E142" i="30" s="1"/>
  <c r="Q141" i="30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C141" i="30"/>
  <c r="AC140" i="30"/>
  <c r="AD140" i="30" s="1"/>
  <c r="AE140" i="30" s="1"/>
  <c r="AF140" i="30" s="1"/>
  <c r="G140" i="30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F140" i="30"/>
  <c r="C140" i="30"/>
  <c r="D140" i="30" s="1"/>
  <c r="E140" i="30" s="1"/>
  <c r="D139" i="30"/>
  <c r="E139" i="30" s="1"/>
  <c r="F139" i="30" s="1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C139" i="30"/>
  <c r="I138" i="30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C138" i="30"/>
  <c r="D138" i="30" s="1"/>
  <c r="E138" i="30" s="1"/>
  <c r="F138" i="30" s="1"/>
  <c r="G138" i="30" s="1"/>
  <c r="H138" i="30" s="1"/>
  <c r="G137" i="30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E137" i="30"/>
  <c r="F137" i="30" s="1"/>
  <c r="D137" i="30"/>
  <c r="C137" i="30"/>
  <c r="J135" i="30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E135" i="30"/>
  <c r="F135" i="30" s="1"/>
  <c r="G135" i="30" s="1"/>
  <c r="H135" i="30" s="1"/>
  <c r="I135" i="30" s="1"/>
  <c r="C135" i="30"/>
  <c r="D135" i="30" s="1"/>
  <c r="C134" i="30"/>
  <c r="D134" i="30" s="1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F133" i="30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C133" i="30"/>
  <c r="D133" i="30" s="1"/>
  <c r="E133" i="30" s="1"/>
  <c r="E132" i="30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D132" i="30"/>
  <c r="C132" i="30"/>
  <c r="O131" i="30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C131" i="30"/>
  <c r="D131" i="30" s="1"/>
  <c r="E131" i="30" s="1"/>
  <c r="F131" i="30" s="1"/>
  <c r="G131" i="30" s="1"/>
  <c r="H131" i="30" s="1"/>
  <c r="I131" i="30" s="1"/>
  <c r="J131" i="30" s="1"/>
  <c r="K131" i="30" s="1"/>
  <c r="L131" i="30" s="1"/>
  <c r="M131" i="30" s="1"/>
  <c r="N131" i="30" s="1"/>
  <c r="C130" i="30"/>
  <c r="D130" i="30" s="1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29" i="30"/>
  <c r="D129" i="30" s="1"/>
  <c r="E129" i="30" s="1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AC128" i="30"/>
  <c r="AD128" i="30" s="1"/>
  <c r="AE128" i="30" s="1"/>
  <c r="AF128" i="30" s="1"/>
  <c r="P128" i="30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D128" i="30"/>
  <c r="E128" i="30" s="1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C128" i="30"/>
  <c r="J126" i="30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E126" i="30"/>
  <c r="F126" i="30" s="1"/>
  <c r="G126" i="30" s="1"/>
  <c r="H126" i="30" s="1"/>
  <c r="I126" i="30" s="1"/>
  <c r="C126" i="30"/>
  <c r="D126" i="30" s="1"/>
  <c r="C125" i="30"/>
  <c r="D125" i="30" s="1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D124" i="30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C124" i="30"/>
  <c r="E123" i="30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D123" i="30"/>
  <c r="C123" i="30"/>
  <c r="S122" i="30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K122" i="30"/>
  <c r="L122" i="30" s="1"/>
  <c r="M122" i="30" s="1"/>
  <c r="N122" i="30" s="1"/>
  <c r="O122" i="30" s="1"/>
  <c r="P122" i="30" s="1"/>
  <c r="Q122" i="30" s="1"/>
  <c r="R122" i="30" s="1"/>
  <c r="C122" i="30"/>
  <c r="D122" i="30" s="1"/>
  <c r="E122" i="30" s="1"/>
  <c r="F122" i="30" s="1"/>
  <c r="G122" i="30" s="1"/>
  <c r="H122" i="30" s="1"/>
  <c r="I122" i="30" s="1"/>
  <c r="J122" i="30" s="1"/>
  <c r="I121" i="30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D121" i="30"/>
  <c r="E121" i="30" s="1"/>
  <c r="F121" i="30" s="1"/>
  <c r="G121" i="30" s="1"/>
  <c r="H121" i="30" s="1"/>
  <c r="C121" i="30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C120" i="30"/>
  <c r="M119" i="30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E119" i="30"/>
  <c r="F119" i="30" s="1"/>
  <c r="G119" i="30" s="1"/>
  <c r="H119" i="30" s="1"/>
  <c r="I119" i="30" s="1"/>
  <c r="J119" i="30" s="1"/>
  <c r="K119" i="30" s="1"/>
  <c r="L119" i="30" s="1"/>
  <c r="D119" i="30"/>
  <c r="C119" i="30"/>
  <c r="C118" i="30"/>
  <c r="D118" i="30" s="1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D117" i="30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C117" i="30"/>
  <c r="C116" i="30"/>
  <c r="D116" i="30" s="1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M115" i="30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I115" i="30"/>
  <c r="J115" i="30" s="1"/>
  <c r="K115" i="30" s="1"/>
  <c r="L115" i="30" s="1"/>
  <c r="E115" i="30"/>
  <c r="F115" i="30" s="1"/>
  <c r="G115" i="30" s="1"/>
  <c r="H115" i="30" s="1"/>
  <c r="D115" i="30"/>
  <c r="C115" i="30"/>
  <c r="C114" i="30"/>
  <c r="D114" i="30" s="1"/>
  <c r="E114" i="30" s="1"/>
  <c r="F114" i="30" s="1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E113" i="30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D113" i="30"/>
  <c r="C113" i="30"/>
  <c r="D112" i="30"/>
  <c r="E112" i="30" s="1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C112" i="30"/>
  <c r="M111" i="30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J111" i="30"/>
  <c r="K111" i="30" s="1"/>
  <c r="L111" i="30" s="1"/>
  <c r="D111" i="30"/>
  <c r="E111" i="30" s="1"/>
  <c r="F111" i="30" s="1"/>
  <c r="G111" i="30" s="1"/>
  <c r="H111" i="30" s="1"/>
  <c r="C111" i="30"/>
  <c r="C110" i="30"/>
  <c r="D110" i="30" s="1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C109" i="30"/>
  <c r="D109" i="30" s="1"/>
  <c r="E109" i="30" s="1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C107" i="30"/>
  <c r="D107" i="30" s="1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D106" i="30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C106" i="30"/>
  <c r="C104" i="30"/>
  <c r="D104" i="30" s="1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C103" i="30"/>
  <c r="D103" i="30" s="1"/>
  <c r="E103" i="30" s="1"/>
  <c r="F103" i="30" s="1"/>
  <c r="G103" i="30" s="1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C102" i="30"/>
  <c r="D102" i="30" s="1"/>
  <c r="E102" i="30" s="1"/>
  <c r="F102" i="30" s="1"/>
  <c r="G102" i="30" s="1"/>
  <c r="H102" i="30" s="1"/>
  <c r="I102" i="30" s="1"/>
  <c r="J102" i="30" s="1"/>
  <c r="K102" i="30" s="1"/>
  <c r="L102" i="30" s="1"/>
  <c r="M102" i="30" s="1"/>
  <c r="N102" i="30" s="1"/>
  <c r="O102" i="30" s="1"/>
  <c r="P102" i="30" s="1"/>
  <c r="Q102" i="30" s="1"/>
  <c r="R102" i="30" s="1"/>
  <c r="S102" i="30" s="1"/>
  <c r="T102" i="30" s="1"/>
  <c r="U102" i="30" s="1"/>
  <c r="V102" i="30" s="1"/>
  <c r="W102" i="30" s="1"/>
  <c r="X102" i="30" s="1"/>
  <c r="Y102" i="30" s="1"/>
  <c r="Z102" i="30" s="1"/>
  <c r="AA102" i="30" s="1"/>
  <c r="AB102" i="30" s="1"/>
  <c r="AC102" i="30" s="1"/>
  <c r="AD102" i="30" s="1"/>
  <c r="AE102" i="30" s="1"/>
  <c r="AF102" i="30" s="1"/>
  <c r="H101" i="30"/>
  <c r="I101" i="30" s="1"/>
  <c r="J101" i="30" s="1"/>
  <c r="K101" i="30" s="1"/>
  <c r="L101" i="30" s="1"/>
  <c r="M101" i="30" s="1"/>
  <c r="N101" i="30" s="1"/>
  <c r="O101" i="30" s="1"/>
  <c r="P101" i="30" s="1"/>
  <c r="Q101" i="30" s="1"/>
  <c r="R101" i="30" s="1"/>
  <c r="S101" i="30" s="1"/>
  <c r="T101" i="30" s="1"/>
  <c r="U101" i="30" s="1"/>
  <c r="V101" i="30" s="1"/>
  <c r="W101" i="30" s="1"/>
  <c r="X101" i="30" s="1"/>
  <c r="Y101" i="30" s="1"/>
  <c r="Z101" i="30" s="1"/>
  <c r="AA101" i="30" s="1"/>
  <c r="AB101" i="30" s="1"/>
  <c r="AC101" i="30" s="1"/>
  <c r="AD101" i="30" s="1"/>
  <c r="AE101" i="30" s="1"/>
  <c r="AF101" i="30" s="1"/>
  <c r="G101" i="30"/>
  <c r="D101" i="30"/>
  <c r="E101" i="30" s="1"/>
  <c r="F101" i="30" s="1"/>
  <c r="C101" i="30"/>
  <c r="C100" i="30"/>
  <c r="D100" i="30" s="1"/>
  <c r="E100" i="30" s="1"/>
  <c r="C99" i="30"/>
  <c r="AH96" i="30"/>
  <c r="AI96" i="30" s="1"/>
  <c r="AH95" i="30"/>
  <c r="AI95" i="30" s="1"/>
  <c r="AH94" i="30"/>
  <c r="AI94" i="30" s="1"/>
  <c r="AH93" i="30"/>
  <c r="AI93" i="30" s="1"/>
  <c r="AH92" i="30"/>
  <c r="AI92" i="30" s="1"/>
  <c r="C91" i="30"/>
  <c r="B91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G80" i="30"/>
  <c r="AI79" i="30"/>
  <c r="AH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AF74" i="30"/>
  <c r="AE74" i="30"/>
  <c r="AD74" i="30"/>
  <c r="AC74" i="30"/>
  <c r="AB74" i="30"/>
  <c r="AB80" i="30" s="1"/>
  <c r="AA74" i="30"/>
  <c r="Z74" i="30"/>
  <c r="Y74" i="30"/>
  <c r="X74" i="30"/>
  <c r="W74" i="30"/>
  <c r="V74" i="30"/>
  <c r="U74" i="30"/>
  <c r="T74" i="30"/>
  <c r="T80" i="30" s="1"/>
  <c r="S74" i="30"/>
  <c r="R74" i="30"/>
  <c r="Q74" i="30"/>
  <c r="P74" i="30"/>
  <c r="P80" i="30" s="1"/>
  <c r="O74" i="30"/>
  <c r="N74" i="30"/>
  <c r="M74" i="30"/>
  <c r="L74" i="30"/>
  <c r="K74" i="30"/>
  <c r="J74" i="30"/>
  <c r="I74" i="30"/>
  <c r="H74" i="30"/>
  <c r="G74" i="30"/>
  <c r="F74" i="30"/>
  <c r="F80" i="30" s="1"/>
  <c r="E74" i="30"/>
  <c r="D74" i="30"/>
  <c r="C74" i="30"/>
  <c r="AI72" i="30"/>
  <c r="AH72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AI69" i="30"/>
  <c r="AH69" i="30"/>
  <c r="AI68" i="30"/>
  <c r="AH68" i="30"/>
  <c r="AI67" i="30"/>
  <c r="AH67" i="30"/>
  <c r="AG66" i="30"/>
  <c r="AF66" i="30"/>
  <c r="AE66" i="30"/>
  <c r="AE5" i="30" s="1"/>
  <c r="AD66" i="30"/>
  <c r="AD5" i="30" s="1"/>
  <c r="AC66" i="30"/>
  <c r="AC5" i="30" s="1"/>
  <c r="AB66" i="30"/>
  <c r="AA66" i="30"/>
  <c r="AA5" i="30" s="1"/>
  <c r="Z66" i="30"/>
  <c r="Z5" i="30" s="1"/>
  <c r="Y66" i="30"/>
  <c r="Y5" i="30" s="1"/>
  <c r="X66" i="30"/>
  <c r="W66" i="30"/>
  <c r="W5" i="30" s="1"/>
  <c r="V66" i="30"/>
  <c r="U66" i="30"/>
  <c r="T66" i="30"/>
  <c r="S66" i="30"/>
  <c r="R66" i="30"/>
  <c r="R5" i="30" s="1"/>
  <c r="Q66" i="30"/>
  <c r="P66" i="30"/>
  <c r="P5" i="30" s="1"/>
  <c r="O66" i="30"/>
  <c r="O5" i="30" s="1"/>
  <c r="N66" i="30"/>
  <c r="M66" i="30"/>
  <c r="M5" i="30" s="1"/>
  <c r="L66" i="30"/>
  <c r="L5" i="30" s="1"/>
  <c r="K66" i="30"/>
  <c r="K5" i="30" s="1"/>
  <c r="J66" i="30"/>
  <c r="J5" i="30" s="1"/>
  <c r="I66" i="30"/>
  <c r="H66" i="30"/>
  <c r="H5" i="30" s="1"/>
  <c r="G66" i="30"/>
  <c r="G5" i="30" s="1"/>
  <c r="F66" i="30"/>
  <c r="F5" i="30" s="1"/>
  <c r="E66" i="30"/>
  <c r="E5" i="30" s="1"/>
  <c r="D66" i="30"/>
  <c r="D5" i="30" s="1"/>
  <c r="C66" i="30"/>
  <c r="C5" i="30" s="1"/>
  <c r="B5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I53" i="30"/>
  <c r="AH53" i="30"/>
  <c r="AI52" i="30"/>
  <c r="AH52" i="30"/>
  <c r="AI51" i="30"/>
  <c r="AH51" i="30"/>
  <c r="Y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G50" i="30" s="1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G36" i="30"/>
  <c r="AF36" i="30"/>
  <c r="AE36" i="30"/>
  <c r="AD36" i="30"/>
  <c r="AC36" i="30"/>
  <c r="AB36" i="30"/>
  <c r="AA36" i="30"/>
  <c r="Z36" i="30"/>
  <c r="Y36" i="30"/>
  <c r="X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B5" i="30"/>
  <c r="X5" i="30"/>
  <c r="V5" i="30"/>
  <c r="U5" i="30"/>
  <c r="T5" i="30"/>
  <c r="S5" i="30"/>
  <c r="Q5" i="30"/>
  <c r="N5" i="30"/>
  <c r="I5" i="30"/>
  <c r="AG4" i="30"/>
  <c r="K4" i="30"/>
  <c r="B4" i="30"/>
  <c r="AG2" i="30"/>
  <c r="W35" i="29"/>
  <c r="B197" i="29"/>
  <c r="K93" i="29"/>
  <c r="K56" i="29"/>
  <c r="G93" i="29"/>
  <c r="J93" i="29"/>
  <c r="I93" i="29"/>
  <c r="H93" i="29"/>
  <c r="AH97" i="29"/>
  <c r="AI97" i="29" s="1"/>
  <c r="B54" i="29"/>
  <c r="B50" i="29"/>
  <c r="B49" i="29"/>
  <c r="B36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235" i="29"/>
  <c r="AF234" i="29"/>
  <c r="AE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A234" i="29"/>
  <c r="AF233" i="29"/>
  <c r="AE233" i="29"/>
  <c r="AD233" i="29"/>
  <c r="AC233" i="29"/>
  <c r="AB233" i="29"/>
  <c r="AA233" i="29"/>
  <c r="Z233" i="29"/>
  <c r="Y233" i="29"/>
  <c r="X233" i="29"/>
  <c r="W233" i="29"/>
  <c r="V233" i="29"/>
  <c r="U233" i="29"/>
  <c r="T233" i="29"/>
  <c r="S233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B233" i="29"/>
  <c r="A233" i="29"/>
  <c r="C232" i="29"/>
  <c r="B232" i="29"/>
  <c r="S207" i="29"/>
  <c r="AG197" i="29"/>
  <c r="D196" i="29"/>
  <c r="E196" i="29" s="1"/>
  <c r="E232" i="29" s="1"/>
  <c r="C196" i="29"/>
  <c r="V195" i="29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F195" i="29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D195" i="29"/>
  <c r="E195" i="29" s="1"/>
  <c r="C195" i="29"/>
  <c r="C194" i="29"/>
  <c r="D194" i="29" s="1"/>
  <c r="E194" i="29" s="1"/>
  <c r="F194" i="29" s="1"/>
  <c r="G194" i="29" s="1"/>
  <c r="H194" i="29" s="1"/>
  <c r="I194" i="29" s="1"/>
  <c r="J194" i="29" s="1"/>
  <c r="K194" i="29" s="1"/>
  <c r="L194" i="29" s="1"/>
  <c r="M194" i="29" s="1"/>
  <c r="N194" i="29" s="1"/>
  <c r="O194" i="29" s="1"/>
  <c r="P194" i="29" s="1"/>
  <c r="Q194" i="29" s="1"/>
  <c r="R194" i="29" s="1"/>
  <c r="S194" i="29" s="1"/>
  <c r="T194" i="29" s="1"/>
  <c r="U194" i="29" s="1"/>
  <c r="V194" i="29" s="1"/>
  <c r="W194" i="29" s="1"/>
  <c r="X194" i="29" s="1"/>
  <c r="Y194" i="29" s="1"/>
  <c r="Z194" i="29" s="1"/>
  <c r="AA194" i="29" s="1"/>
  <c r="AB194" i="29" s="1"/>
  <c r="AC194" i="29" s="1"/>
  <c r="AD194" i="29" s="1"/>
  <c r="AE194" i="29" s="1"/>
  <c r="AF194" i="29" s="1"/>
  <c r="J193" i="29"/>
  <c r="K193" i="29" s="1"/>
  <c r="L193" i="29" s="1"/>
  <c r="M193" i="29" s="1"/>
  <c r="N193" i="29" s="1"/>
  <c r="O193" i="29" s="1"/>
  <c r="P193" i="29" s="1"/>
  <c r="Q193" i="29" s="1"/>
  <c r="R193" i="29" s="1"/>
  <c r="S193" i="29" s="1"/>
  <c r="T193" i="29" s="1"/>
  <c r="U193" i="29" s="1"/>
  <c r="V193" i="29" s="1"/>
  <c r="W193" i="29" s="1"/>
  <c r="X193" i="29" s="1"/>
  <c r="Y193" i="29" s="1"/>
  <c r="Z193" i="29" s="1"/>
  <c r="AA193" i="29" s="1"/>
  <c r="AB193" i="29" s="1"/>
  <c r="AC193" i="29" s="1"/>
  <c r="AD193" i="29" s="1"/>
  <c r="AE193" i="29" s="1"/>
  <c r="AF193" i="29" s="1"/>
  <c r="E193" i="29"/>
  <c r="F193" i="29" s="1"/>
  <c r="G193" i="29" s="1"/>
  <c r="H193" i="29" s="1"/>
  <c r="I193" i="29" s="1"/>
  <c r="D193" i="29"/>
  <c r="C193" i="29"/>
  <c r="F192" i="29"/>
  <c r="G192" i="29" s="1"/>
  <c r="H192" i="29" s="1"/>
  <c r="I192" i="29" s="1"/>
  <c r="J192" i="29" s="1"/>
  <c r="K192" i="29" s="1"/>
  <c r="L192" i="29" s="1"/>
  <c r="M192" i="29" s="1"/>
  <c r="N192" i="29" s="1"/>
  <c r="O192" i="29" s="1"/>
  <c r="P192" i="29" s="1"/>
  <c r="Q192" i="29" s="1"/>
  <c r="R192" i="29" s="1"/>
  <c r="S192" i="29" s="1"/>
  <c r="T192" i="29" s="1"/>
  <c r="U192" i="29" s="1"/>
  <c r="V192" i="29" s="1"/>
  <c r="W192" i="29" s="1"/>
  <c r="X192" i="29" s="1"/>
  <c r="Y192" i="29" s="1"/>
  <c r="Z192" i="29" s="1"/>
  <c r="AA192" i="29" s="1"/>
  <c r="AB192" i="29" s="1"/>
  <c r="AC192" i="29" s="1"/>
  <c r="AD192" i="29" s="1"/>
  <c r="AE192" i="29" s="1"/>
  <c r="AF192" i="29" s="1"/>
  <c r="C192" i="29"/>
  <c r="D192" i="29" s="1"/>
  <c r="E192" i="29" s="1"/>
  <c r="D191" i="29"/>
  <c r="C191" i="29"/>
  <c r="AG189" i="29"/>
  <c r="B189" i="29"/>
  <c r="C188" i="29"/>
  <c r="D188" i="29" s="1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Y187" i="29"/>
  <c r="Z187" i="29" s="1"/>
  <c r="AA187" i="29" s="1"/>
  <c r="AB187" i="29" s="1"/>
  <c r="AC187" i="29" s="1"/>
  <c r="AD187" i="29" s="1"/>
  <c r="AE187" i="29" s="1"/>
  <c r="AF187" i="29" s="1"/>
  <c r="O187" i="29"/>
  <c r="P187" i="29" s="1"/>
  <c r="Q187" i="29" s="1"/>
  <c r="R187" i="29" s="1"/>
  <c r="S187" i="29" s="1"/>
  <c r="T187" i="29" s="1"/>
  <c r="U187" i="29" s="1"/>
  <c r="V187" i="29" s="1"/>
  <c r="W187" i="29" s="1"/>
  <c r="X187" i="29" s="1"/>
  <c r="F187" i="29"/>
  <c r="G187" i="29" s="1"/>
  <c r="H187" i="29" s="1"/>
  <c r="I187" i="29" s="1"/>
  <c r="J187" i="29" s="1"/>
  <c r="K187" i="29" s="1"/>
  <c r="L187" i="29" s="1"/>
  <c r="M187" i="29" s="1"/>
  <c r="N187" i="29" s="1"/>
  <c r="E187" i="29"/>
  <c r="D187" i="29"/>
  <c r="C187" i="29"/>
  <c r="C186" i="29"/>
  <c r="D186" i="29" s="1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D185" i="29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C185" i="29"/>
  <c r="C184" i="29"/>
  <c r="D184" i="29" s="1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E183" i="29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D183" i="29"/>
  <c r="C183" i="29"/>
  <c r="C182" i="29"/>
  <c r="D182" i="29" s="1"/>
  <c r="E182" i="29" s="1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C181" i="29"/>
  <c r="D181" i="29" s="1"/>
  <c r="E181" i="29" s="1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I180" i="29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C180" i="29"/>
  <c r="D180" i="29" s="1"/>
  <c r="E180" i="29" s="1"/>
  <c r="F180" i="29" s="1"/>
  <c r="G180" i="29" s="1"/>
  <c r="H180" i="29" s="1"/>
  <c r="M179" i="29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G179" i="29"/>
  <c r="H179" i="29" s="1"/>
  <c r="I179" i="29" s="1"/>
  <c r="J179" i="29" s="1"/>
  <c r="K179" i="29" s="1"/>
  <c r="L179" i="29" s="1"/>
  <c r="F179" i="29"/>
  <c r="E179" i="29"/>
  <c r="D179" i="29"/>
  <c r="C179" i="29"/>
  <c r="G178" i="29"/>
  <c r="H178" i="29" s="1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E178" i="29"/>
  <c r="F178" i="29" s="1"/>
  <c r="C178" i="29"/>
  <c r="D178" i="29" s="1"/>
  <c r="C177" i="29"/>
  <c r="D177" i="29" s="1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F176" i="29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C176" i="29"/>
  <c r="D176" i="29" s="1"/>
  <c r="E176" i="29" s="1"/>
  <c r="E174" i="29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C174" i="29"/>
  <c r="D174" i="29" s="1"/>
  <c r="E173" i="29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C173" i="29"/>
  <c r="D173" i="29" s="1"/>
  <c r="N172" i="29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D172" i="29"/>
  <c r="E172" i="29" s="1"/>
  <c r="F172" i="29" s="1"/>
  <c r="G172" i="29" s="1"/>
  <c r="H172" i="29" s="1"/>
  <c r="I172" i="29" s="1"/>
  <c r="J172" i="29" s="1"/>
  <c r="K172" i="29" s="1"/>
  <c r="L172" i="29" s="1"/>
  <c r="M172" i="29" s="1"/>
  <c r="C172" i="29"/>
  <c r="C171" i="29"/>
  <c r="D171" i="29" s="1"/>
  <c r="E171" i="29" s="1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G170" i="29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E170" i="29"/>
  <c r="F170" i="29" s="1"/>
  <c r="C170" i="29"/>
  <c r="D170" i="29" s="1"/>
  <c r="F169" i="29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E169" i="29"/>
  <c r="C169" i="29"/>
  <c r="D169" i="29" s="1"/>
  <c r="K168" i="29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C168" i="29"/>
  <c r="D168" i="29" s="1"/>
  <c r="E168" i="29" s="1"/>
  <c r="F168" i="29" s="1"/>
  <c r="G168" i="29" s="1"/>
  <c r="H168" i="29" s="1"/>
  <c r="I168" i="29" s="1"/>
  <c r="J168" i="29" s="1"/>
  <c r="G167" i="29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E167" i="29"/>
  <c r="F167" i="29" s="1"/>
  <c r="D167" i="29"/>
  <c r="C167" i="29"/>
  <c r="N165" i="29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C165" i="29"/>
  <c r="D165" i="29" s="1"/>
  <c r="E165" i="29" s="1"/>
  <c r="F165" i="29" s="1"/>
  <c r="G165" i="29" s="1"/>
  <c r="H165" i="29" s="1"/>
  <c r="I165" i="29" s="1"/>
  <c r="J165" i="29" s="1"/>
  <c r="K165" i="29" s="1"/>
  <c r="L165" i="29" s="1"/>
  <c r="M165" i="29" s="1"/>
  <c r="C164" i="29"/>
  <c r="D164" i="29" s="1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Q163" i="29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I163" i="29"/>
  <c r="J163" i="29" s="1"/>
  <c r="K163" i="29" s="1"/>
  <c r="L163" i="29" s="1"/>
  <c r="M163" i="29" s="1"/>
  <c r="N163" i="29" s="1"/>
  <c r="O163" i="29" s="1"/>
  <c r="P163" i="29" s="1"/>
  <c r="C163" i="29"/>
  <c r="D163" i="29" s="1"/>
  <c r="E163" i="29" s="1"/>
  <c r="F163" i="29" s="1"/>
  <c r="G163" i="29" s="1"/>
  <c r="H163" i="29" s="1"/>
  <c r="E162" i="29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D162" i="29"/>
  <c r="C162" i="29"/>
  <c r="C161" i="29"/>
  <c r="D161" i="29" s="1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C160" i="29"/>
  <c r="D160" i="29" s="1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C159" i="29"/>
  <c r="D159" i="29" s="1"/>
  <c r="E159" i="29" s="1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E158" i="29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D158" i="29"/>
  <c r="C158" i="29"/>
  <c r="C157" i="29"/>
  <c r="D157" i="29" s="1"/>
  <c r="E157" i="29" s="1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C156" i="29"/>
  <c r="D156" i="29" s="1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O155" i="29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C155" i="29"/>
  <c r="D155" i="29" s="1"/>
  <c r="E155" i="29" s="1"/>
  <c r="F155" i="29" s="1"/>
  <c r="G155" i="29" s="1"/>
  <c r="H155" i="29" s="1"/>
  <c r="I155" i="29" s="1"/>
  <c r="J155" i="29" s="1"/>
  <c r="K155" i="29" s="1"/>
  <c r="L155" i="29" s="1"/>
  <c r="M155" i="29" s="1"/>
  <c r="N155" i="29" s="1"/>
  <c r="E154" i="29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D154" i="29"/>
  <c r="C154" i="29"/>
  <c r="M153" i="29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C153" i="29"/>
  <c r="D153" i="29" s="1"/>
  <c r="E153" i="29" s="1"/>
  <c r="F153" i="29" s="1"/>
  <c r="G153" i="29" s="1"/>
  <c r="H153" i="29" s="1"/>
  <c r="I153" i="29" s="1"/>
  <c r="J153" i="29" s="1"/>
  <c r="K153" i="29" s="1"/>
  <c r="L153" i="29" s="1"/>
  <c r="C151" i="29"/>
  <c r="D151" i="29" s="1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S150" i="29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D150" i="29"/>
  <c r="E150" i="29" s="1"/>
  <c r="F150" i="29" s="1"/>
  <c r="G150" i="29" s="1"/>
  <c r="H150" i="29" s="1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C150" i="29"/>
  <c r="C149" i="29"/>
  <c r="D149" i="29" s="1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F148" i="29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D148" i="29"/>
  <c r="E148" i="29" s="1"/>
  <c r="C148" i="29"/>
  <c r="D146" i="29"/>
  <c r="E146" i="29" s="1"/>
  <c r="F146" i="29" s="1"/>
  <c r="G146" i="29" s="1"/>
  <c r="H146" i="29" s="1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C146" i="29"/>
  <c r="D145" i="29"/>
  <c r="E145" i="29" s="1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C145" i="29"/>
  <c r="H143" i="29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D143" i="29"/>
  <c r="E143" i="29" s="1"/>
  <c r="F143" i="29" s="1"/>
  <c r="G143" i="29" s="1"/>
  <c r="N142" i="29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D142" i="29"/>
  <c r="E142" i="29" s="1"/>
  <c r="F142" i="29" s="1"/>
  <c r="G142" i="29" s="1"/>
  <c r="H142" i="29" s="1"/>
  <c r="I142" i="29" s="1"/>
  <c r="J142" i="29" s="1"/>
  <c r="K142" i="29" s="1"/>
  <c r="L142" i="29" s="1"/>
  <c r="M142" i="29" s="1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H139" i="29"/>
  <c r="I139" i="29" s="1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D139" i="29"/>
  <c r="E139" i="29" s="1"/>
  <c r="F139" i="29" s="1"/>
  <c r="G139" i="29" s="1"/>
  <c r="H138" i="29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D138" i="29"/>
  <c r="E138" i="29" s="1"/>
  <c r="F138" i="29" s="1"/>
  <c r="G138" i="29" s="1"/>
  <c r="F137" i="29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D137" i="29"/>
  <c r="E137" i="29" s="1"/>
  <c r="X135" i="29"/>
  <c r="Y135" i="29" s="1"/>
  <c r="Z135" i="29" s="1"/>
  <c r="AA135" i="29" s="1"/>
  <c r="AB135" i="29" s="1"/>
  <c r="AC135" i="29" s="1"/>
  <c r="AD135" i="29" s="1"/>
  <c r="AE135" i="29" s="1"/>
  <c r="AF135" i="29" s="1"/>
  <c r="D135" i="29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F134" i="29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D134" i="29"/>
  <c r="E134" i="29" s="1"/>
  <c r="E133" i="29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D133" i="29"/>
  <c r="D132" i="29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D130" i="29"/>
  <c r="E130" i="29" s="1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E129" i="29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D129" i="29"/>
  <c r="F128" i="29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D128" i="29"/>
  <c r="E128" i="29" s="1"/>
  <c r="D126" i="29"/>
  <c r="E126" i="29" s="1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D125" i="29"/>
  <c r="E125" i="29" s="1"/>
  <c r="F125" i="29" s="1"/>
  <c r="G125" i="29" s="1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J124" i="29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F124" i="29"/>
  <c r="G124" i="29" s="1"/>
  <c r="H124" i="29" s="1"/>
  <c r="I124" i="29" s="1"/>
  <c r="E124" i="29"/>
  <c r="D124" i="29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D122" i="29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J121" i="29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F121" i="29"/>
  <c r="G121" i="29" s="1"/>
  <c r="H121" i="29" s="1"/>
  <c r="I121" i="29" s="1"/>
  <c r="D121" i="29"/>
  <c r="E121" i="29" s="1"/>
  <c r="H120" i="29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D120" i="29"/>
  <c r="E120" i="29" s="1"/>
  <c r="F120" i="29" s="1"/>
  <c r="G120" i="29" s="1"/>
  <c r="D119" i="29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E118" i="29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D118" i="29"/>
  <c r="H117" i="29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E117" i="29"/>
  <c r="F117" i="29" s="1"/>
  <c r="G117" i="29" s="1"/>
  <c r="D117" i="29"/>
  <c r="F116" i="29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D116" i="29"/>
  <c r="E116" i="29" s="1"/>
  <c r="H115" i="29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D115" i="29"/>
  <c r="E115" i="29" s="1"/>
  <c r="F115" i="29" s="1"/>
  <c r="G115" i="29" s="1"/>
  <c r="F114" i="29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D114" i="29"/>
  <c r="E114" i="29" s="1"/>
  <c r="L113" i="29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H113" i="29"/>
  <c r="I113" i="29" s="1"/>
  <c r="J113" i="29" s="1"/>
  <c r="K113" i="29" s="1"/>
  <c r="E113" i="29"/>
  <c r="F113" i="29" s="1"/>
  <c r="G113" i="29" s="1"/>
  <c r="D113" i="29"/>
  <c r="D112" i="29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L111" i="29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K111" i="29"/>
  <c r="J111" i="29"/>
  <c r="D111" i="29"/>
  <c r="E111" i="29" s="1"/>
  <c r="F111" i="29" s="1"/>
  <c r="G111" i="29" s="1"/>
  <c r="H111" i="29" s="1"/>
  <c r="D110" i="29"/>
  <c r="E110" i="29" s="1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D109" i="29"/>
  <c r="E109" i="29" s="1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D107" i="29"/>
  <c r="E107" i="29" s="1"/>
  <c r="F107" i="29" s="1"/>
  <c r="G107" i="29" s="1"/>
  <c r="H107" i="29" s="1"/>
  <c r="I107" i="29" s="1"/>
  <c r="J107" i="29" s="1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I106" i="29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H106" i="29"/>
  <c r="G106" i="29"/>
  <c r="D106" i="29"/>
  <c r="E106" i="29" s="1"/>
  <c r="F106" i="29" s="1"/>
  <c r="D104" i="29"/>
  <c r="E104" i="29" s="1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V103" i="29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L103" i="29"/>
  <c r="M103" i="29" s="1"/>
  <c r="N103" i="29" s="1"/>
  <c r="O103" i="29" s="1"/>
  <c r="P103" i="29" s="1"/>
  <c r="Q103" i="29" s="1"/>
  <c r="R103" i="29" s="1"/>
  <c r="S103" i="29" s="1"/>
  <c r="T103" i="29" s="1"/>
  <c r="U103" i="29" s="1"/>
  <c r="D103" i="29"/>
  <c r="E103" i="29" s="1"/>
  <c r="F103" i="29" s="1"/>
  <c r="G103" i="29" s="1"/>
  <c r="H103" i="29" s="1"/>
  <c r="I103" i="29" s="1"/>
  <c r="J103" i="29" s="1"/>
  <c r="K103" i="29" s="1"/>
  <c r="D102" i="29"/>
  <c r="E102" i="29" s="1"/>
  <c r="F102" i="29" s="1"/>
  <c r="G102" i="29" s="1"/>
  <c r="H102" i="29" s="1"/>
  <c r="I102" i="29" s="1"/>
  <c r="J102" i="29" s="1"/>
  <c r="K102" i="29" s="1"/>
  <c r="L102" i="29" s="1"/>
  <c r="M102" i="29" s="1"/>
  <c r="N102" i="29" s="1"/>
  <c r="O102" i="29" s="1"/>
  <c r="P102" i="29" s="1"/>
  <c r="Q102" i="29" s="1"/>
  <c r="R102" i="29" s="1"/>
  <c r="S102" i="29" s="1"/>
  <c r="T102" i="29" s="1"/>
  <c r="U102" i="29" s="1"/>
  <c r="V102" i="29" s="1"/>
  <c r="W102" i="29" s="1"/>
  <c r="X102" i="29" s="1"/>
  <c r="Y102" i="29" s="1"/>
  <c r="Z102" i="29" s="1"/>
  <c r="AA102" i="29" s="1"/>
  <c r="AB102" i="29" s="1"/>
  <c r="AC102" i="29" s="1"/>
  <c r="AD102" i="29" s="1"/>
  <c r="AE102" i="29" s="1"/>
  <c r="AF102" i="29" s="1"/>
  <c r="T101" i="29"/>
  <c r="U101" i="29" s="1"/>
  <c r="V101" i="29" s="1"/>
  <c r="W101" i="29" s="1"/>
  <c r="X101" i="29" s="1"/>
  <c r="Y101" i="29" s="1"/>
  <c r="Z101" i="29" s="1"/>
  <c r="AA101" i="29" s="1"/>
  <c r="AB101" i="29" s="1"/>
  <c r="AC101" i="29" s="1"/>
  <c r="AD101" i="29" s="1"/>
  <c r="AE101" i="29" s="1"/>
  <c r="AF101" i="29" s="1"/>
  <c r="K101" i="29"/>
  <c r="L101" i="29" s="1"/>
  <c r="M101" i="29" s="1"/>
  <c r="N101" i="29" s="1"/>
  <c r="O101" i="29" s="1"/>
  <c r="P101" i="29" s="1"/>
  <c r="Q101" i="29" s="1"/>
  <c r="R101" i="29" s="1"/>
  <c r="S101" i="29" s="1"/>
  <c r="D101" i="29"/>
  <c r="E101" i="29" s="1"/>
  <c r="F101" i="29" s="1"/>
  <c r="G101" i="29" s="1"/>
  <c r="H101" i="29" s="1"/>
  <c r="I101" i="29" s="1"/>
  <c r="J101" i="29" s="1"/>
  <c r="D100" i="29"/>
  <c r="E99" i="29"/>
  <c r="D99" i="29"/>
  <c r="AH96" i="29"/>
  <c r="AI96" i="29" s="1"/>
  <c r="AH95" i="29"/>
  <c r="AI95" i="29" s="1"/>
  <c r="AH94" i="29"/>
  <c r="AI94" i="29" s="1"/>
  <c r="AH93" i="29"/>
  <c r="AI93" i="29" s="1"/>
  <c r="AH92" i="29"/>
  <c r="AI92" i="29" s="1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I82" i="29"/>
  <c r="AH82" i="29"/>
  <c r="AG80" i="29"/>
  <c r="AI79" i="29"/>
  <c r="AH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Q80" i="29" s="1"/>
  <c r="P74" i="29"/>
  <c r="P80" i="29" s="1"/>
  <c r="O74" i="29"/>
  <c r="N74" i="29"/>
  <c r="M74" i="29"/>
  <c r="M80" i="29" s="1"/>
  <c r="L74" i="29"/>
  <c r="K74" i="29"/>
  <c r="J74" i="29"/>
  <c r="I74" i="29"/>
  <c r="H74" i="29"/>
  <c r="G74" i="29"/>
  <c r="F74" i="29"/>
  <c r="E74" i="29"/>
  <c r="D74" i="29"/>
  <c r="AI72" i="29"/>
  <c r="AH72" i="29"/>
  <c r="AG70" i="29"/>
  <c r="AG73" i="29" s="1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AI69" i="29"/>
  <c r="AH69" i="29"/>
  <c r="AI68" i="29"/>
  <c r="AH68" i="29"/>
  <c r="AI67" i="29"/>
  <c r="AH67" i="29"/>
  <c r="AG66" i="29"/>
  <c r="AF66" i="29"/>
  <c r="AF5" i="29" s="1"/>
  <c r="AE66" i="29"/>
  <c r="AE5" i="29" s="1"/>
  <c r="AD66" i="29"/>
  <c r="AD5" i="29" s="1"/>
  <c r="AC66" i="29"/>
  <c r="AB66" i="29"/>
  <c r="AB5" i="29" s="1"/>
  <c r="AA66" i="29"/>
  <c r="AA5" i="29" s="1"/>
  <c r="Z66" i="29"/>
  <c r="Y66" i="29"/>
  <c r="Y71" i="29" s="1"/>
  <c r="X66" i="29"/>
  <c r="X5" i="29" s="1"/>
  <c r="W66" i="29"/>
  <c r="W5" i="29" s="1"/>
  <c r="V66" i="29"/>
  <c r="U66" i="29"/>
  <c r="T66" i="29"/>
  <c r="S66" i="29"/>
  <c r="R66" i="29"/>
  <c r="Q66" i="29"/>
  <c r="Q5" i="29" s="1"/>
  <c r="P66" i="29"/>
  <c r="O66" i="29"/>
  <c r="N66" i="29"/>
  <c r="N5" i="29" s="1"/>
  <c r="M66" i="29"/>
  <c r="M5" i="29" s="1"/>
  <c r="L66" i="29"/>
  <c r="L5" i="29" s="1"/>
  <c r="K66" i="29"/>
  <c r="K5" i="29" s="1"/>
  <c r="J66" i="29"/>
  <c r="I66" i="29"/>
  <c r="I5" i="29" s="1"/>
  <c r="H66" i="29"/>
  <c r="H5" i="29" s="1"/>
  <c r="G66" i="29"/>
  <c r="F66" i="29"/>
  <c r="E66" i="29"/>
  <c r="D66" i="29"/>
  <c r="D5" i="29" s="1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I53" i="29"/>
  <c r="AH53" i="29"/>
  <c r="AI52" i="29"/>
  <c r="AH52" i="29"/>
  <c r="AI51" i="29"/>
  <c r="AH51" i="29"/>
  <c r="Y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G50" i="29" s="1"/>
  <c r="AG3" i="29" s="1"/>
  <c r="AG6" i="29" s="1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C5" i="29"/>
  <c r="Y5" i="29"/>
  <c r="V5" i="29"/>
  <c r="U5" i="29"/>
  <c r="T5" i="29"/>
  <c r="S5" i="29"/>
  <c r="P5" i="29"/>
  <c r="O5" i="29"/>
  <c r="F5" i="29"/>
  <c r="E5" i="29"/>
  <c r="C5" i="29"/>
  <c r="AG4" i="29"/>
  <c r="K4" i="29"/>
  <c r="B4" i="29"/>
  <c r="AG2" i="29"/>
  <c r="AC93" i="28"/>
  <c r="AB93" i="28"/>
  <c r="AA93" i="28"/>
  <c r="Z35" i="28"/>
  <c r="X35" i="28"/>
  <c r="W35" i="28"/>
  <c r="V35" i="28"/>
  <c r="U35" i="28"/>
  <c r="T35" i="28"/>
  <c r="S35" i="28"/>
  <c r="P93" i="28"/>
  <c r="Q93" i="28"/>
  <c r="Q35" i="28"/>
  <c r="P35" i="28"/>
  <c r="O66" i="28"/>
  <c r="O35" i="28"/>
  <c r="N35" i="28"/>
  <c r="M35" i="28"/>
  <c r="L35" i="28"/>
  <c r="AL37" i="27"/>
  <c r="AL38" i="27"/>
  <c r="AL11" i="27"/>
  <c r="AK11" i="27"/>
  <c r="AH97" i="28"/>
  <c r="AI97" i="28" s="1"/>
  <c r="C93" i="28"/>
  <c r="AH93" i="28" s="1"/>
  <c r="AI93" i="28" s="1"/>
  <c r="B93" i="28"/>
  <c r="B91" i="28" s="1"/>
  <c r="B78" i="28"/>
  <c r="B77" i="28"/>
  <c r="B76" i="28"/>
  <c r="B75" i="28"/>
  <c r="B74" i="28"/>
  <c r="B70" i="28"/>
  <c r="AH70" i="28" s="1"/>
  <c r="B66" i="28"/>
  <c r="B54" i="28"/>
  <c r="B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E234" i="28"/>
  <c r="D234" i="28"/>
  <c r="C234" i="28"/>
  <c r="B234" i="28"/>
  <c r="A234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E233" i="28"/>
  <c r="D233" i="28"/>
  <c r="C233" i="28"/>
  <c r="B233" i="28"/>
  <c r="A233" i="28"/>
  <c r="B232" i="28"/>
  <c r="S207" i="28"/>
  <c r="AG197" i="28"/>
  <c r="B197" i="28"/>
  <c r="B49" i="28" s="1"/>
  <c r="B50" i="28" s="1"/>
  <c r="C196" i="28"/>
  <c r="D196" i="28" s="1"/>
  <c r="E196" i="28" s="1"/>
  <c r="C195" i="28"/>
  <c r="D195" i="28" s="1"/>
  <c r="E195" i="28" s="1"/>
  <c r="F195" i="28" s="1"/>
  <c r="G195" i="28" s="1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I194" i="28"/>
  <c r="J194" i="28" s="1"/>
  <c r="K194" i="28" s="1"/>
  <c r="L194" i="28" s="1"/>
  <c r="M194" i="28" s="1"/>
  <c r="N194" i="28" s="1"/>
  <c r="O194" i="28" s="1"/>
  <c r="P194" i="28" s="1"/>
  <c r="Q194" i="28" s="1"/>
  <c r="R194" i="28" s="1"/>
  <c r="S194" i="28" s="1"/>
  <c r="T194" i="28" s="1"/>
  <c r="U194" i="28" s="1"/>
  <c r="V194" i="28" s="1"/>
  <c r="W194" i="28" s="1"/>
  <c r="X194" i="28" s="1"/>
  <c r="Y194" i="28" s="1"/>
  <c r="Z194" i="28" s="1"/>
  <c r="AA194" i="28" s="1"/>
  <c r="AB194" i="28" s="1"/>
  <c r="AC194" i="28" s="1"/>
  <c r="AD194" i="28" s="1"/>
  <c r="AE194" i="28" s="1"/>
  <c r="AF194" i="28" s="1"/>
  <c r="D194" i="28"/>
  <c r="E194" i="28" s="1"/>
  <c r="F194" i="28" s="1"/>
  <c r="G194" i="28" s="1"/>
  <c r="H194" i="28" s="1"/>
  <c r="C194" i="28"/>
  <c r="D193" i="28"/>
  <c r="E193" i="28" s="1"/>
  <c r="F193" i="28" s="1"/>
  <c r="G193" i="28" s="1"/>
  <c r="H193" i="28" s="1"/>
  <c r="I193" i="28" s="1"/>
  <c r="J193" i="28" s="1"/>
  <c r="K193" i="28" s="1"/>
  <c r="L193" i="28" s="1"/>
  <c r="M193" i="28" s="1"/>
  <c r="N193" i="28" s="1"/>
  <c r="O193" i="28" s="1"/>
  <c r="P193" i="28" s="1"/>
  <c r="Q193" i="28" s="1"/>
  <c r="R193" i="28" s="1"/>
  <c r="S193" i="28" s="1"/>
  <c r="T193" i="28" s="1"/>
  <c r="U193" i="28" s="1"/>
  <c r="V193" i="28" s="1"/>
  <c r="W193" i="28" s="1"/>
  <c r="X193" i="28" s="1"/>
  <c r="Y193" i="28" s="1"/>
  <c r="Z193" i="28" s="1"/>
  <c r="AA193" i="28" s="1"/>
  <c r="AB193" i="28" s="1"/>
  <c r="AC193" i="28" s="1"/>
  <c r="AD193" i="28" s="1"/>
  <c r="AE193" i="28" s="1"/>
  <c r="AF193" i="28" s="1"/>
  <c r="C193" i="28"/>
  <c r="C192" i="28"/>
  <c r="D192" i="28" s="1"/>
  <c r="E192" i="28" s="1"/>
  <c r="F192" i="28" s="1"/>
  <c r="G192" i="28" s="1"/>
  <c r="H192" i="28" s="1"/>
  <c r="I192" i="28" s="1"/>
  <c r="J192" i="28" s="1"/>
  <c r="K192" i="28" s="1"/>
  <c r="L192" i="28" s="1"/>
  <c r="M192" i="28" s="1"/>
  <c r="N192" i="28" s="1"/>
  <c r="O192" i="28" s="1"/>
  <c r="P192" i="28" s="1"/>
  <c r="Q192" i="28" s="1"/>
  <c r="R192" i="28" s="1"/>
  <c r="S192" i="28" s="1"/>
  <c r="T192" i="28" s="1"/>
  <c r="U192" i="28" s="1"/>
  <c r="V192" i="28" s="1"/>
  <c r="W192" i="28" s="1"/>
  <c r="X192" i="28" s="1"/>
  <c r="Y192" i="28" s="1"/>
  <c r="Z192" i="28" s="1"/>
  <c r="AA192" i="28" s="1"/>
  <c r="AB192" i="28" s="1"/>
  <c r="AC192" i="28" s="1"/>
  <c r="AD192" i="28" s="1"/>
  <c r="AE192" i="28" s="1"/>
  <c r="AF192" i="28" s="1"/>
  <c r="E191" i="28"/>
  <c r="D191" i="28"/>
  <c r="C191" i="28"/>
  <c r="C197" i="28" s="1"/>
  <c r="AG189" i="28"/>
  <c r="B189" i="28"/>
  <c r="C188" i="28"/>
  <c r="D188" i="28" s="1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C187" i="28"/>
  <c r="D187" i="28" s="1"/>
  <c r="E187" i="28" s="1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S186" i="28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C186" i="28"/>
  <c r="D186" i="28" s="1"/>
  <c r="E186" i="28" s="1"/>
  <c r="F186" i="28" s="1"/>
  <c r="G186" i="28" s="1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E185" i="28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C185" i="28"/>
  <c r="D185" i="28" s="1"/>
  <c r="C184" i="28"/>
  <c r="D184" i="28" s="1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C183" i="28"/>
  <c r="D183" i="28" s="1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C182" i="28"/>
  <c r="D182" i="28" s="1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C181" i="28"/>
  <c r="D181" i="28" s="1"/>
  <c r="E181" i="28" s="1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H180" i="28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C180" i="28"/>
  <c r="D180" i="28" s="1"/>
  <c r="E180" i="28" s="1"/>
  <c r="F180" i="28" s="1"/>
  <c r="G180" i="28" s="1"/>
  <c r="C179" i="28"/>
  <c r="D179" i="28" s="1"/>
  <c r="E179" i="28" s="1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C178" i="28"/>
  <c r="D178" i="28" s="1"/>
  <c r="E178" i="28" s="1"/>
  <c r="F178" i="28" s="1"/>
  <c r="G178" i="28" s="1"/>
  <c r="H178" i="28" s="1"/>
  <c r="I178" i="28" s="1"/>
  <c r="J178" i="28" s="1"/>
  <c r="K178" i="28" s="1"/>
  <c r="L178" i="28" s="1"/>
  <c r="M178" i="28" s="1"/>
  <c r="N178" i="28" s="1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K177" i="28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C177" i="28"/>
  <c r="D177" i="28" s="1"/>
  <c r="E177" i="28" s="1"/>
  <c r="F177" i="28" s="1"/>
  <c r="G177" i="28" s="1"/>
  <c r="H177" i="28" s="1"/>
  <c r="I177" i="28" s="1"/>
  <c r="J177" i="28" s="1"/>
  <c r="C176" i="28"/>
  <c r="D176" i="28" s="1"/>
  <c r="E176" i="28" s="1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C173" i="28"/>
  <c r="D173" i="28" s="1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C172" i="28"/>
  <c r="D172" i="28" s="1"/>
  <c r="E172" i="28" s="1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C171" i="28"/>
  <c r="D171" i="28" s="1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D170" i="28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C170" i="28"/>
  <c r="C169" i="28"/>
  <c r="D169" i="28" s="1"/>
  <c r="E169" i="28" s="1"/>
  <c r="F169" i="28" s="1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D168" i="28"/>
  <c r="E168" i="28" s="1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C168" i="28"/>
  <c r="C167" i="28"/>
  <c r="D167" i="28" s="1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C165" i="28"/>
  <c r="D165" i="28" s="1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O164" i="28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M164" i="28"/>
  <c r="N164" i="28" s="1"/>
  <c r="C164" i="28"/>
  <c r="D164" i="28" s="1"/>
  <c r="E164" i="28" s="1"/>
  <c r="F164" i="28" s="1"/>
  <c r="G164" i="28" s="1"/>
  <c r="H164" i="28" s="1"/>
  <c r="I164" i="28" s="1"/>
  <c r="J164" i="28" s="1"/>
  <c r="K164" i="28" s="1"/>
  <c r="L164" i="28" s="1"/>
  <c r="C163" i="28"/>
  <c r="D163" i="28" s="1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M162" i="28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C162" i="28"/>
  <c r="D162" i="28" s="1"/>
  <c r="E162" i="28" s="1"/>
  <c r="F162" i="28" s="1"/>
  <c r="G162" i="28" s="1"/>
  <c r="H162" i="28" s="1"/>
  <c r="I162" i="28" s="1"/>
  <c r="J162" i="28" s="1"/>
  <c r="K162" i="28" s="1"/>
  <c r="L162" i="28" s="1"/>
  <c r="C161" i="28"/>
  <c r="D161" i="28" s="1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C160" i="28"/>
  <c r="D160" i="28" s="1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D159" i="28"/>
  <c r="E159" i="28" s="1"/>
  <c r="F159" i="28" s="1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C159" i="28"/>
  <c r="E158" i="28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C158" i="28"/>
  <c r="D158" i="28" s="1"/>
  <c r="F157" i="28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C157" i="28"/>
  <c r="D157" i="28" s="1"/>
  <c r="E157" i="28" s="1"/>
  <c r="C156" i="28"/>
  <c r="D156" i="28" s="1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D155" i="28"/>
  <c r="E155" i="28" s="1"/>
  <c r="F155" i="28" s="1"/>
  <c r="G155" i="28" s="1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C155" i="28"/>
  <c r="C154" i="28"/>
  <c r="D154" i="28" s="1"/>
  <c r="E154" i="28" s="1"/>
  <c r="F154" i="28" s="1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C153" i="28"/>
  <c r="D153" i="28" s="1"/>
  <c r="E153" i="28" s="1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C151" i="28"/>
  <c r="D151" i="28" s="1"/>
  <c r="E151" i="28" s="1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E150" i="28"/>
  <c r="F150" i="28" s="1"/>
  <c r="G150" i="28" s="1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C150" i="28"/>
  <c r="D150" i="28" s="1"/>
  <c r="C149" i="28"/>
  <c r="D149" i="28" s="1"/>
  <c r="E149" i="28" s="1"/>
  <c r="F149" i="28" s="1"/>
  <c r="G149" i="28" s="1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C148" i="28"/>
  <c r="D148" i="28" s="1"/>
  <c r="E148" i="28" s="1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C146" i="28"/>
  <c r="D146" i="28" s="1"/>
  <c r="E146" i="28" s="1"/>
  <c r="F146" i="28" s="1"/>
  <c r="G146" i="28" s="1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C145" i="28"/>
  <c r="D145" i="28" s="1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C143" i="28"/>
  <c r="D143" i="28" s="1"/>
  <c r="E143" i="28" s="1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D142" i="28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C142" i="28"/>
  <c r="C141" i="28"/>
  <c r="D141" i="28" s="1"/>
  <c r="E141" i="28" s="1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J140" i="28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C140" i="28"/>
  <c r="D140" i="28" s="1"/>
  <c r="E140" i="28" s="1"/>
  <c r="F140" i="28" s="1"/>
  <c r="G140" i="28" s="1"/>
  <c r="H140" i="28" s="1"/>
  <c r="I140" i="28" s="1"/>
  <c r="C139" i="28"/>
  <c r="D139" i="28" s="1"/>
  <c r="E139" i="28" s="1"/>
  <c r="F139" i="28" s="1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D138" i="28"/>
  <c r="E138" i="28" s="1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C138" i="28"/>
  <c r="J137" i="28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C137" i="28"/>
  <c r="D137" i="28" s="1"/>
  <c r="E137" i="28" s="1"/>
  <c r="F137" i="28" s="1"/>
  <c r="G137" i="28" s="1"/>
  <c r="H137" i="28" s="1"/>
  <c r="I137" i="28" s="1"/>
  <c r="F135" i="28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D135" i="28"/>
  <c r="E135" i="28" s="1"/>
  <c r="C135" i="28"/>
  <c r="D134" i="28"/>
  <c r="E134" i="28" s="1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C134" i="28"/>
  <c r="C133" i="28"/>
  <c r="D133" i="28" s="1"/>
  <c r="E133" i="28" s="1"/>
  <c r="F133" i="28" s="1"/>
  <c r="G133" i="28" s="1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F132" i="28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C132" i="28"/>
  <c r="D132" i="28" s="1"/>
  <c r="E132" i="28" s="1"/>
  <c r="D131" i="28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C131" i="28"/>
  <c r="C130" i="28"/>
  <c r="D130" i="28" s="1"/>
  <c r="E130" i="28" s="1"/>
  <c r="F130" i="28" s="1"/>
  <c r="G130" i="28" s="1"/>
  <c r="H130" i="28" s="1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R129" i="28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D129" i="28"/>
  <c r="E129" i="28" s="1"/>
  <c r="F129" i="28" s="1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C129" i="28"/>
  <c r="C128" i="28"/>
  <c r="D128" i="28" s="1"/>
  <c r="E128" i="28" s="1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D126" i="28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C126" i="28"/>
  <c r="D125" i="28"/>
  <c r="E125" i="28" s="1"/>
  <c r="F125" i="28" s="1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C125" i="28"/>
  <c r="C124" i="28"/>
  <c r="D124" i="28" s="1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C123" i="28"/>
  <c r="D123" i="28" s="1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F122" i="28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D122" i="28"/>
  <c r="E122" i="28" s="1"/>
  <c r="C122" i="28"/>
  <c r="C121" i="28"/>
  <c r="D121" i="28" s="1"/>
  <c r="E121" i="28" s="1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D120" i="28"/>
  <c r="E120" i="28" s="1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C120" i="28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C119" i="28"/>
  <c r="C118" i="28"/>
  <c r="D118" i="28" s="1"/>
  <c r="E118" i="28" s="1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D117" i="28"/>
  <c r="E117" i="28" s="1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C117" i="28"/>
  <c r="C116" i="28"/>
  <c r="D116" i="28" s="1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C115" i="28"/>
  <c r="D115" i="28" s="1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D114" i="28"/>
  <c r="E114" i="28" s="1"/>
  <c r="F114" i="28" s="1"/>
  <c r="G114" i="28" s="1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C114" i="28"/>
  <c r="D113" i="28"/>
  <c r="E113" i="28" s="1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C113" i="28"/>
  <c r="C112" i="28"/>
  <c r="D112" i="28" s="1"/>
  <c r="E112" i="28" s="1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K111" i="28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J111" i="28"/>
  <c r="D111" i="28"/>
  <c r="E111" i="28" s="1"/>
  <c r="F111" i="28" s="1"/>
  <c r="G111" i="28" s="1"/>
  <c r="H111" i="28" s="1"/>
  <c r="C111" i="28"/>
  <c r="C110" i="28"/>
  <c r="D110" i="28" s="1"/>
  <c r="E110" i="28" s="1"/>
  <c r="F110" i="28" s="1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C109" i="28"/>
  <c r="C107" i="28"/>
  <c r="D107" i="28" s="1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C106" i="28"/>
  <c r="D106" i="28" s="1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H104" i="28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C104" i="28"/>
  <c r="D104" i="28" s="1"/>
  <c r="E104" i="28" s="1"/>
  <c r="F104" i="28" s="1"/>
  <c r="G104" i="28" s="1"/>
  <c r="C103" i="28"/>
  <c r="D103" i="28" s="1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C102" i="28"/>
  <c r="D102" i="28" s="1"/>
  <c r="E102" i="28" s="1"/>
  <c r="F102" i="28" s="1"/>
  <c r="G102" i="28" s="1"/>
  <c r="H102" i="28" s="1"/>
  <c r="I102" i="28" s="1"/>
  <c r="J102" i="28" s="1"/>
  <c r="K102" i="28" s="1"/>
  <c r="L102" i="28" s="1"/>
  <c r="M102" i="28" s="1"/>
  <c r="N102" i="28" s="1"/>
  <c r="O102" i="28" s="1"/>
  <c r="P102" i="28" s="1"/>
  <c r="Q102" i="28" s="1"/>
  <c r="R102" i="28" s="1"/>
  <c r="S102" i="28" s="1"/>
  <c r="T102" i="28" s="1"/>
  <c r="U102" i="28" s="1"/>
  <c r="V102" i="28" s="1"/>
  <c r="W102" i="28" s="1"/>
  <c r="X102" i="28" s="1"/>
  <c r="Y102" i="28" s="1"/>
  <c r="Z102" i="28" s="1"/>
  <c r="AA102" i="28" s="1"/>
  <c r="AB102" i="28" s="1"/>
  <c r="AC102" i="28" s="1"/>
  <c r="AD102" i="28" s="1"/>
  <c r="AE102" i="28" s="1"/>
  <c r="AF102" i="28" s="1"/>
  <c r="D101" i="28"/>
  <c r="E101" i="28" s="1"/>
  <c r="F101" i="28" s="1"/>
  <c r="G101" i="28" s="1"/>
  <c r="H101" i="28" s="1"/>
  <c r="I101" i="28" s="1"/>
  <c r="J101" i="28" s="1"/>
  <c r="K101" i="28" s="1"/>
  <c r="L101" i="28" s="1"/>
  <c r="M101" i="28" s="1"/>
  <c r="N101" i="28" s="1"/>
  <c r="O101" i="28" s="1"/>
  <c r="P101" i="28" s="1"/>
  <c r="Q101" i="28" s="1"/>
  <c r="R101" i="28" s="1"/>
  <c r="S101" i="28" s="1"/>
  <c r="T101" i="28" s="1"/>
  <c r="U101" i="28" s="1"/>
  <c r="V101" i="28" s="1"/>
  <c r="W101" i="28" s="1"/>
  <c r="X101" i="28" s="1"/>
  <c r="Y101" i="28" s="1"/>
  <c r="Z101" i="28" s="1"/>
  <c r="AA101" i="28" s="1"/>
  <c r="AB101" i="28" s="1"/>
  <c r="AC101" i="28" s="1"/>
  <c r="AD101" i="28" s="1"/>
  <c r="AE101" i="28" s="1"/>
  <c r="AF101" i="28" s="1"/>
  <c r="C101" i="28"/>
  <c r="C100" i="28"/>
  <c r="D100" i="28" s="1"/>
  <c r="D99" i="28"/>
  <c r="C99" i="28"/>
  <c r="AH96" i="28"/>
  <c r="AI96" i="28" s="1"/>
  <c r="AH95" i="28"/>
  <c r="AI95" i="28" s="1"/>
  <c r="AH94" i="28"/>
  <c r="AI94" i="28" s="1"/>
  <c r="AH92" i="28"/>
  <c r="AI92" i="28" s="1"/>
  <c r="C91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G80" i="28"/>
  <c r="AI79" i="28"/>
  <c r="AH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AI72" i="28"/>
  <c r="AH72" i="28"/>
  <c r="AG70" i="28"/>
  <c r="AF70" i="28"/>
  <c r="AE70" i="28"/>
  <c r="AD70" i="28"/>
  <c r="AC70" i="28"/>
  <c r="AB70" i="28"/>
  <c r="AA70" i="28"/>
  <c r="Z70" i="28"/>
  <c r="Y70" i="28"/>
  <c r="X70" i="28"/>
  <c r="W70" i="28"/>
  <c r="V70" i="28"/>
  <c r="U70" i="28"/>
  <c r="T70" i="28"/>
  <c r="S70" i="28"/>
  <c r="R70" i="28"/>
  <c r="Q70" i="28"/>
  <c r="P70" i="28"/>
  <c r="O70" i="28"/>
  <c r="N70" i="28"/>
  <c r="M70" i="28"/>
  <c r="L70" i="28"/>
  <c r="K70" i="28"/>
  <c r="J70" i="28"/>
  <c r="I70" i="28"/>
  <c r="H70" i="28"/>
  <c r="G70" i="28"/>
  <c r="F70" i="28"/>
  <c r="E70" i="28"/>
  <c r="D70" i="28"/>
  <c r="C70" i="28"/>
  <c r="AI69" i="28"/>
  <c r="AH69" i="28"/>
  <c r="AI68" i="28"/>
  <c r="AH68" i="28"/>
  <c r="AI67" i="28"/>
  <c r="AH67" i="28"/>
  <c r="AG66" i="28"/>
  <c r="AF66" i="28"/>
  <c r="AF5" i="28" s="1"/>
  <c r="AE66" i="28"/>
  <c r="AE5" i="28" s="1"/>
  <c r="AD66" i="28"/>
  <c r="AD5" i="28" s="1"/>
  <c r="AC66" i="28"/>
  <c r="AC5" i="28" s="1"/>
  <c r="AB66" i="28"/>
  <c r="AB5" i="28" s="1"/>
  <c r="AA66" i="28"/>
  <c r="AA5" i="28" s="1"/>
  <c r="Z66" i="28"/>
  <c r="Y66" i="28"/>
  <c r="Y5" i="28" s="1"/>
  <c r="X66" i="28"/>
  <c r="X5" i="28" s="1"/>
  <c r="W66" i="28"/>
  <c r="W5" i="28" s="1"/>
  <c r="V66" i="28"/>
  <c r="V5" i="28" s="1"/>
  <c r="U66" i="28"/>
  <c r="T66" i="28"/>
  <c r="T5" i="28" s="1"/>
  <c r="S66" i="28"/>
  <c r="S5" i="28" s="1"/>
  <c r="R66" i="28"/>
  <c r="R5" i="28" s="1"/>
  <c r="Q66" i="28"/>
  <c r="Q5" i="28" s="1"/>
  <c r="P66" i="28"/>
  <c r="N66" i="28"/>
  <c r="N5" i="28" s="1"/>
  <c r="M66" i="28"/>
  <c r="M5" i="28" s="1"/>
  <c r="L66" i="28"/>
  <c r="L5" i="28" s="1"/>
  <c r="K66" i="28"/>
  <c r="K5" i="28" s="1"/>
  <c r="J66" i="28"/>
  <c r="J5" i="28" s="1"/>
  <c r="I66" i="28"/>
  <c r="I5" i="28" s="1"/>
  <c r="H66" i="28"/>
  <c r="H5" i="28" s="1"/>
  <c r="G66" i="28"/>
  <c r="F66" i="28"/>
  <c r="F5" i="28" s="1"/>
  <c r="E66" i="28"/>
  <c r="E5" i="28" s="1"/>
  <c r="D66" i="28"/>
  <c r="D5" i="28" s="1"/>
  <c r="C66" i="28"/>
  <c r="C5" i="28" s="1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G54" i="28"/>
  <c r="AG4" i="28" s="1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AI53" i="28"/>
  <c r="AH53" i="28"/>
  <c r="AI52" i="28"/>
  <c r="AH52" i="28"/>
  <c r="AI51" i="28"/>
  <c r="AH51" i="28"/>
  <c r="Y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AG49" i="28"/>
  <c r="AG50" i="28" s="1"/>
  <c r="AG3" i="28" s="1"/>
  <c r="AG6" i="28" s="1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G36" i="28"/>
  <c r="AG2" i="28" s="1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Z5" i="28"/>
  <c r="U5" i="28"/>
  <c r="P5" i="28"/>
  <c r="O5" i="28"/>
  <c r="G5" i="28"/>
  <c r="B5" i="28"/>
  <c r="K4" i="28"/>
  <c r="B4" i="28"/>
  <c r="AF93" i="27"/>
  <c r="AE93" i="27"/>
  <c r="AE54" i="27"/>
  <c r="AC93" i="27"/>
  <c r="AB93" i="27"/>
  <c r="AA93" i="27"/>
  <c r="W35" i="27"/>
  <c r="V35" i="27"/>
  <c r="U35" i="27"/>
  <c r="T35" i="27"/>
  <c r="E4" i="28"/>
  <c r="E4" i="30"/>
  <c r="E4" i="29"/>
  <c r="AF80" i="30" l="1"/>
  <c r="AE80" i="30"/>
  <c r="AD80" i="30"/>
  <c r="AC80" i="30"/>
  <c r="AA80" i="30"/>
  <c r="Z80" i="30"/>
  <c r="Y73" i="30"/>
  <c r="AQ211" i="30" s="1"/>
  <c r="Y71" i="30"/>
  <c r="Y80" i="30"/>
  <c r="Y81" i="30"/>
  <c r="Y7" i="30"/>
  <c r="X80" i="30"/>
  <c r="W80" i="30"/>
  <c r="AI77" i="30"/>
  <c r="V80" i="30"/>
  <c r="U80" i="30"/>
  <c r="S80" i="30"/>
  <c r="S71" i="30"/>
  <c r="R80" i="30"/>
  <c r="Q71" i="30"/>
  <c r="Q80" i="30"/>
  <c r="Q73" i="30"/>
  <c r="Q81" i="30" s="1"/>
  <c r="P71" i="30"/>
  <c r="P73" i="30"/>
  <c r="AH211" i="30" s="1"/>
  <c r="O80" i="30"/>
  <c r="O73" i="30"/>
  <c r="N80" i="30"/>
  <c r="N73" i="30"/>
  <c r="AF211" i="30" s="1"/>
  <c r="N71" i="30"/>
  <c r="M80" i="30"/>
  <c r="M73" i="30"/>
  <c r="M71" i="30"/>
  <c r="L80" i="30"/>
  <c r="L73" i="30"/>
  <c r="AD211" i="30" s="1"/>
  <c r="L71" i="30"/>
  <c r="K80" i="30"/>
  <c r="K71" i="30"/>
  <c r="J80" i="30"/>
  <c r="AH77" i="30"/>
  <c r="I80" i="30"/>
  <c r="I71" i="30"/>
  <c r="I73" i="30"/>
  <c r="AI76" i="30"/>
  <c r="H80" i="30"/>
  <c r="H71" i="30"/>
  <c r="H73" i="30"/>
  <c r="G80" i="30"/>
  <c r="G73" i="30"/>
  <c r="AI74" i="30"/>
  <c r="F71" i="30"/>
  <c r="F73" i="30"/>
  <c r="X211" i="30" s="1"/>
  <c r="E80" i="30"/>
  <c r="AI54" i="30"/>
  <c r="E73" i="30"/>
  <c r="W211" i="30" s="1"/>
  <c r="E71" i="30"/>
  <c r="D80" i="30"/>
  <c r="D73" i="30"/>
  <c r="V211" i="30" s="1"/>
  <c r="AI36" i="30"/>
  <c r="D71" i="30"/>
  <c r="AH76" i="30"/>
  <c r="AH75" i="30"/>
  <c r="C80" i="30"/>
  <c r="AI75" i="30"/>
  <c r="AI78" i="30"/>
  <c r="AH36" i="30"/>
  <c r="C71" i="30"/>
  <c r="B71" i="30"/>
  <c r="B73" i="30"/>
  <c r="B81" i="30" s="1"/>
  <c r="H4" i="30"/>
  <c r="M81" i="30"/>
  <c r="F7" i="30"/>
  <c r="AE211" i="30"/>
  <c r="M7" i="30"/>
  <c r="Y211" i="30"/>
  <c r="G7" i="30"/>
  <c r="F100" i="30"/>
  <c r="F81" i="30"/>
  <c r="Z211" i="30"/>
  <c r="H7" i="30"/>
  <c r="AG211" i="30"/>
  <c r="O7" i="30"/>
  <c r="AG6" i="30"/>
  <c r="AG73" i="30"/>
  <c r="AG71" i="30"/>
  <c r="AG81" i="30" s="1"/>
  <c r="AG3" i="30"/>
  <c r="L81" i="30"/>
  <c r="J73" i="30"/>
  <c r="R73" i="30"/>
  <c r="S208" i="30"/>
  <c r="D208" i="30"/>
  <c r="G71" i="30"/>
  <c r="G81" i="30" s="1"/>
  <c r="O71" i="30"/>
  <c r="O81" i="30" s="1"/>
  <c r="C73" i="30"/>
  <c r="K73" i="30"/>
  <c r="S73" i="30"/>
  <c r="AH74" i="30"/>
  <c r="H81" i="30"/>
  <c r="P81" i="30"/>
  <c r="AH54" i="30"/>
  <c r="AH66" i="30"/>
  <c r="AH70" i="30"/>
  <c r="AI66" i="30"/>
  <c r="AI70" i="30"/>
  <c r="J71" i="30"/>
  <c r="R71" i="30"/>
  <c r="R81" i="30" s="1"/>
  <c r="C189" i="30"/>
  <c r="AH78" i="30"/>
  <c r="D99" i="30"/>
  <c r="C232" i="30"/>
  <c r="D196" i="30"/>
  <c r="C197" i="30"/>
  <c r="D191" i="30"/>
  <c r="AF80" i="29"/>
  <c r="AC80" i="29"/>
  <c r="AB80" i="29"/>
  <c r="AA80" i="29"/>
  <c r="Z80" i="29"/>
  <c r="Y80" i="29"/>
  <c r="Y73" i="29"/>
  <c r="Y81" i="29" s="1"/>
  <c r="X80" i="29"/>
  <c r="U80" i="29"/>
  <c r="T80" i="29"/>
  <c r="S80" i="29"/>
  <c r="R80" i="29"/>
  <c r="Q71" i="29"/>
  <c r="Q73" i="29"/>
  <c r="P71" i="29"/>
  <c r="O73" i="29"/>
  <c r="O71" i="29"/>
  <c r="N71" i="29"/>
  <c r="M71" i="29"/>
  <c r="L80" i="29"/>
  <c r="L73" i="29"/>
  <c r="AD211" i="29" s="1"/>
  <c r="L71" i="29"/>
  <c r="K80" i="29"/>
  <c r="E80" i="29"/>
  <c r="E71" i="29"/>
  <c r="J80" i="29"/>
  <c r="F71" i="29"/>
  <c r="I80" i="29"/>
  <c r="I73" i="29"/>
  <c r="AA211" i="29" s="1"/>
  <c r="I71" i="29"/>
  <c r="AH75" i="29"/>
  <c r="H80" i="29"/>
  <c r="H71" i="29"/>
  <c r="G71" i="29"/>
  <c r="G5" i="29"/>
  <c r="G73" i="29"/>
  <c r="G7" i="29" s="1"/>
  <c r="AI74" i="29"/>
  <c r="D80" i="29"/>
  <c r="AI54" i="29"/>
  <c r="D73" i="29"/>
  <c r="V211" i="29" s="1"/>
  <c r="AI36" i="29"/>
  <c r="D71" i="29"/>
  <c r="AH76" i="29"/>
  <c r="H4" i="29"/>
  <c r="E100" i="29"/>
  <c r="D91" i="29"/>
  <c r="AI211" i="29"/>
  <c r="Q7" i="29"/>
  <c r="F80" i="29"/>
  <c r="K71" i="29"/>
  <c r="S71" i="29"/>
  <c r="AG71" i="29"/>
  <c r="AG81" i="29" s="1"/>
  <c r="AI70" i="29"/>
  <c r="J73" i="29"/>
  <c r="R73" i="29"/>
  <c r="AH70" i="29"/>
  <c r="G80" i="29"/>
  <c r="O80" i="29"/>
  <c r="O81" i="29" s="1"/>
  <c r="W80" i="29"/>
  <c r="AE80" i="29"/>
  <c r="N80" i="29"/>
  <c r="B5" i="29"/>
  <c r="AI66" i="29"/>
  <c r="J5" i="29"/>
  <c r="J71" i="29"/>
  <c r="R5" i="29"/>
  <c r="R71" i="29"/>
  <c r="R81" i="29" s="1"/>
  <c r="Z5" i="29"/>
  <c r="AH66" i="29"/>
  <c r="K73" i="29"/>
  <c r="S73" i="29"/>
  <c r="AI78" i="29"/>
  <c r="AG211" i="29"/>
  <c r="O7" i="29"/>
  <c r="AH54" i="29"/>
  <c r="AI77" i="29"/>
  <c r="E189" i="29"/>
  <c r="F99" i="29"/>
  <c r="I7" i="29"/>
  <c r="AQ211" i="29"/>
  <c r="Y7" i="29"/>
  <c r="V80" i="29"/>
  <c r="AH74" i="29"/>
  <c r="AI75" i="29"/>
  <c r="AI76" i="29"/>
  <c r="Y211" i="29"/>
  <c r="AD80" i="29"/>
  <c r="AH36" i="29"/>
  <c r="E73" i="29"/>
  <c r="E81" i="29" s="1"/>
  <c r="M73" i="29"/>
  <c r="M81" i="29" s="1"/>
  <c r="F73" i="29"/>
  <c r="N73" i="29"/>
  <c r="N81" i="29" s="1"/>
  <c r="AH77" i="29"/>
  <c r="AH78" i="29"/>
  <c r="H73" i="29"/>
  <c r="P73" i="29"/>
  <c r="P81" i="29" s="1"/>
  <c r="C189" i="29"/>
  <c r="S208" i="29"/>
  <c r="D208" i="29"/>
  <c r="D189" i="29"/>
  <c r="F196" i="29"/>
  <c r="C197" i="29"/>
  <c r="D232" i="29"/>
  <c r="D197" i="29"/>
  <c r="E191" i="29"/>
  <c r="AA80" i="28"/>
  <c r="F196" i="28"/>
  <c r="E232" i="28"/>
  <c r="AG71" i="28"/>
  <c r="AC80" i="28"/>
  <c r="N80" i="28"/>
  <c r="V80" i="28"/>
  <c r="AD80" i="28"/>
  <c r="T80" i="28"/>
  <c r="AB80" i="28"/>
  <c r="D232" i="28"/>
  <c r="AE80" i="28"/>
  <c r="D197" i="28"/>
  <c r="AF80" i="28"/>
  <c r="S80" i="28"/>
  <c r="U80" i="28"/>
  <c r="Z80" i="28"/>
  <c r="Y80" i="28"/>
  <c r="Y71" i="28"/>
  <c r="X80" i="28"/>
  <c r="W80" i="28"/>
  <c r="S73" i="28"/>
  <c r="R80" i="28"/>
  <c r="R71" i="28"/>
  <c r="P80" i="28"/>
  <c r="P81" i="28" s="1"/>
  <c r="Q80" i="28"/>
  <c r="P73" i="28"/>
  <c r="AH211" i="28" s="1"/>
  <c r="Q71" i="28"/>
  <c r="P7" i="28"/>
  <c r="P71" i="28"/>
  <c r="O80" i="28"/>
  <c r="O71" i="28"/>
  <c r="O73" i="28"/>
  <c r="N73" i="28"/>
  <c r="AF211" i="28" s="1"/>
  <c r="M80" i="28"/>
  <c r="M73" i="28"/>
  <c r="AE211" i="28" s="1"/>
  <c r="M71" i="28"/>
  <c r="L80" i="28"/>
  <c r="L73" i="28"/>
  <c r="AD211" i="28" s="1"/>
  <c r="K80" i="28"/>
  <c r="K73" i="28"/>
  <c r="AC211" i="28" s="1"/>
  <c r="J80" i="28"/>
  <c r="J71" i="28"/>
  <c r="J73" i="28"/>
  <c r="I80" i="28"/>
  <c r="I71" i="28"/>
  <c r="AI77" i="28"/>
  <c r="H80" i="28"/>
  <c r="H73" i="28"/>
  <c r="Z211" i="28" s="1"/>
  <c r="H71" i="28"/>
  <c r="G80" i="28"/>
  <c r="G71" i="28"/>
  <c r="AI54" i="28"/>
  <c r="AH54" i="28"/>
  <c r="G73" i="28"/>
  <c r="AI74" i="28"/>
  <c r="F80" i="28"/>
  <c r="AH75" i="28"/>
  <c r="F73" i="28"/>
  <c r="F7" i="28" s="1"/>
  <c r="E73" i="28"/>
  <c r="W211" i="28" s="1"/>
  <c r="E80" i="28"/>
  <c r="E71" i="28"/>
  <c r="D80" i="28"/>
  <c r="AI78" i="28"/>
  <c r="D73" i="28"/>
  <c r="V211" i="28" s="1"/>
  <c r="AI36" i="28"/>
  <c r="AI76" i="28"/>
  <c r="C80" i="28"/>
  <c r="AH77" i="28"/>
  <c r="AH66" i="28"/>
  <c r="C73" i="28"/>
  <c r="U211" i="28" s="1"/>
  <c r="AH76" i="28"/>
  <c r="B80" i="28"/>
  <c r="B71" i="28"/>
  <c r="B73" i="28"/>
  <c r="H4" i="28"/>
  <c r="AG81" i="28"/>
  <c r="AB211" i="28"/>
  <c r="AG211" i="28"/>
  <c r="O7" i="28"/>
  <c r="AK211" i="28"/>
  <c r="S7" i="28"/>
  <c r="M81" i="28"/>
  <c r="C71" i="28"/>
  <c r="K71" i="28"/>
  <c r="S71" i="28"/>
  <c r="S81" i="28" s="1"/>
  <c r="AH78" i="28"/>
  <c r="D189" i="28"/>
  <c r="E99" i="28"/>
  <c r="E100" i="28"/>
  <c r="D91" i="28"/>
  <c r="D71" i="28"/>
  <c r="L71" i="28"/>
  <c r="AI66" i="28"/>
  <c r="AI70" i="28"/>
  <c r="AI75" i="28"/>
  <c r="I73" i="28"/>
  <c r="Q73" i="28"/>
  <c r="Q81" i="28" s="1"/>
  <c r="Y73" i="28"/>
  <c r="Y81" i="28" s="1"/>
  <c r="AG73" i="28"/>
  <c r="F71" i="28"/>
  <c r="N71" i="28"/>
  <c r="N81" i="28" s="1"/>
  <c r="R73" i="28"/>
  <c r="R81" i="28" s="1"/>
  <c r="AH74" i="28"/>
  <c r="D208" i="28"/>
  <c r="S208" i="28"/>
  <c r="AH36" i="28"/>
  <c r="C189" i="28"/>
  <c r="E197" i="28"/>
  <c r="F191" i="28"/>
  <c r="F232" i="28"/>
  <c r="G196" i="28"/>
  <c r="C232" i="28"/>
  <c r="S35" i="27"/>
  <c r="P7" i="30" l="1"/>
  <c r="AI211" i="30"/>
  <c r="Q7" i="30"/>
  <c r="N7" i="30"/>
  <c r="N81" i="30"/>
  <c r="E7" i="30"/>
  <c r="L7" i="30"/>
  <c r="C206" i="30"/>
  <c r="J81" i="30"/>
  <c r="AA211" i="30"/>
  <c r="I7" i="30"/>
  <c r="I81" i="30"/>
  <c r="D7" i="30"/>
  <c r="D81" i="30"/>
  <c r="E81" i="30"/>
  <c r="AK211" i="30"/>
  <c r="S7" i="30"/>
  <c r="S81" i="30"/>
  <c r="G100" i="30"/>
  <c r="D232" i="30"/>
  <c r="E196" i="30"/>
  <c r="AC211" i="30"/>
  <c r="K7" i="30"/>
  <c r="K81" i="30"/>
  <c r="D189" i="30"/>
  <c r="E99" i="30"/>
  <c r="B206" i="30"/>
  <c r="U211" i="30"/>
  <c r="C7" i="30"/>
  <c r="C81" i="30"/>
  <c r="AI80" i="30"/>
  <c r="AH80" i="30"/>
  <c r="AJ211" i="30"/>
  <c r="R7" i="30"/>
  <c r="E191" i="30"/>
  <c r="D197" i="30"/>
  <c r="D91" i="30"/>
  <c r="AB211" i="30"/>
  <c r="J7" i="30"/>
  <c r="S81" i="29"/>
  <c r="Q81" i="29"/>
  <c r="L81" i="29"/>
  <c r="L7" i="29"/>
  <c r="K81" i="29"/>
  <c r="J81" i="29"/>
  <c r="G81" i="29"/>
  <c r="H81" i="29"/>
  <c r="I81" i="29"/>
  <c r="D81" i="29"/>
  <c r="D7" i="29"/>
  <c r="AF211" i="29"/>
  <c r="N7" i="29"/>
  <c r="G99" i="29"/>
  <c r="F100" i="29"/>
  <c r="E91" i="29"/>
  <c r="X211" i="29"/>
  <c r="C206" i="29"/>
  <c r="B206" i="29"/>
  <c r="F7" i="29"/>
  <c r="E197" i="29"/>
  <c r="F191" i="29"/>
  <c r="F81" i="29"/>
  <c r="AJ211" i="29"/>
  <c r="R7" i="29"/>
  <c r="AE211" i="29"/>
  <c r="M7" i="29"/>
  <c r="AK211" i="29"/>
  <c r="S7" i="29"/>
  <c r="AH211" i="29"/>
  <c r="P7" i="29"/>
  <c r="W211" i="29"/>
  <c r="E7" i="29"/>
  <c r="AC211" i="29"/>
  <c r="K7" i="29"/>
  <c r="AB211" i="29"/>
  <c r="J7" i="29"/>
  <c r="F232" i="29"/>
  <c r="G196" i="29"/>
  <c r="Z211" i="29"/>
  <c r="H7" i="29"/>
  <c r="AH80" i="29"/>
  <c r="AI80" i="29"/>
  <c r="U211" i="29"/>
  <c r="C7" i="29"/>
  <c r="K7" i="28"/>
  <c r="J81" i="28"/>
  <c r="H81" i="28"/>
  <c r="D81" i="28"/>
  <c r="J7" i="28"/>
  <c r="I81" i="28"/>
  <c r="O81" i="28"/>
  <c r="N7" i="28"/>
  <c r="M7" i="28"/>
  <c r="K81" i="28"/>
  <c r="L81" i="28"/>
  <c r="L7" i="28"/>
  <c r="D7" i="28"/>
  <c r="E81" i="28"/>
  <c r="G81" i="28"/>
  <c r="E7" i="28"/>
  <c r="H7" i="28"/>
  <c r="C206" i="28"/>
  <c r="K6" i="28" s="1"/>
  <c r="Y211" i="28"/>
  <c r="B206" i="28"/>
  <c r="G7" i="28"/>
  <c r="F81" i="28"/>
  <c r="X211" i="28"/>
  <c r="C7" i="28"/>
  <c r="C81" i="28"/>
  <c r="B81" i="28"/>
  <c r="AQ211" i="28"/>
  <c r="Y7" i="28"/>
  <c r="G191" i="28"/>
  <c r="F197" i="28"/>
  <c r="AI211" i="28"/>
  <c r="Q7" i="28"/>
  <c r="E189" i="28"/>
  <c r="F99" i="28"/>
  <c r="G232" i="28"/>
  <c r="H196" i="28"/>
  <c r="AJ211" i="28"/>
  <c r="R7" i="28"/>
  <c r="E91" i="28"/>
  <c r="F100" i="28"/>
  <c r="AA211" i="28"/>
  <c r="I7" i="28"/>
  <c r="AI80" i="28"/>
  <c r="AH80" i="28"/>
  <c r="R35" i="27"/>
  <c r="Q93" i="27"/>
  <c r="K6" i="30" l="1"/>
  <c r="T211" i="30"/>
  <c r="B7" i="30"/>
  <c r="F196" i="30"/>
  <c r="E232" i="30"/>
  <c r="H100" i="30"/>
  <c r="E189" i="30"/>
  <c r="F99" i="30"/>
  <c r="F191" i="30"/>
  <c r="E197" i="30"/>
  <c r="E91" i="30"/>
  <c r="K6" i="29"/>
  <c r="G232" i="29"/>
  <c r="H196" i="29"/>
  <c r="F91" i="29"/>
  <c r="G100" i="29"/>
  <c r="G191" i="29"/>
  <c r="F197" i="29"/>
  <c r="G189" i="29"/>
  <c r="H99" i="29"/>
  <c r="F189" i="29"/>
  <c r="T211" i="29"/>
  <c r="B7" i="29"/>
  <c r="T211" i="28"/>
  <c r="B7" i="28"/>
  <c r="H191" i="28"/>
  <c r="G197" i="28"/>
  <c r="G100" i="28"/>
  <c r="F91" i="28"/>
  <c r="H232" i="28"/>
  <c r="I196" i="28"/>
  <c r="F189" i="28"/>
  <c r="G99" i="28"/>
  <c r="P35" i="27"/>
  <c r="O93" i="27"/>
  <c r="N35" i="27"/>
  <c r="M93" i="27"/>
  <c r="M35" i="27"/>
  <c r="L35" i="27"/>
  <c r="K35" i="27"/>
  <c r="J35" i="27"/>
  <c r="I35" i="27"/>
  <c r="H35" i="27"/>
  <c r="G35" i="27"/>
  <c r="F66" i="27"/>
  <c r="F35" i="27"/>
  <c r="E35" i="27"/>
  <c r="D35" i="27"/>
  <c r="AH97" i="27"/>
  <c r="AI97" i="27" s="1"/>
  <c r="C93" i="27"/>
  <c r="C35" i="27"/>
  <c r="B93" i="27"/>
  <c r="B35" i="27"/>
  <c r="B91" i="27"/>
  <c r="B78" i="27"/>
  <c r="B77" i="27"/>
  <c r="B76" i="27"/>
  <c r="B75" i="27"/>
  <c r="B74" i="27"/>
  <c r="B70" i="27"/>
  <c r="B66" i="27"/>
  <c r="B54" i="27"/>
  <c r="B50" i="27"/>
  <c r="B49" i="27"/>
  <c r="B36" i="27"/>
  <c r="B71" i="27" s="1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P235" i="27"/>
  <c r="O235" i="27"/>
  <c r="N235" i="27"/>
  <c r="M235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AF234" i="27"/>
  <c r="AE234" i="27"/>
  <c r="AD234" i="27"/>
  <c r="AC234" i="27"/>
  <c r="AB234" i="27"/>
  <c r="AA234" i="27"/>
  <c r="Z234" i="27"/>
  <c r="Y234" i="27"/>
  <c r="X234" i="27"/>
  <c r="W234" i="27"/>
  <c r="V234" i="27"/>
  <c r="U234" i="27"/>
  <c r="T234" i="27"/>
  <c r="S234" i="27"/>
  <c r="R234" i="27"/>
  <c r="Q234" i="27"/>
  <c r="P234" i="27"/>
  <c r="O234" i="27"/>
  <c r="N234" i="27"/>
  <c r="M234" i="27"/>
  <c r="L234" i="27"/>
  <c r="K234" i="27"/>
  <c r="J234" i="27"/>
  <c r="I234" i="27"/>
  <c r="H234" i="27"/>
  <c r="G234" i="27"/>
  <c r="F234" i="27"/>
  <c r="E234" i="27"/>
  <c r="D234" i="27"/>
  <c r="C234" i="27"/>
  <c r="B234" i="27"/>
  <c r="A234" i="27"/>
  <c r="AF233" i="27"/>
  <c r="AE233" i="27"/>
  <c r="AD233" i="27"/>
  <c r="AC233" i="27"/>
  <c r="AB233" i="27"/>
  <c r="AA233" i="27"/>
  <c r="Z233" i="27"/>
  <c r="Y233" i="27"/>
  <c r="X233" i="27"/>
  <c r="W233" i="27"/>
  <c r="V233" i="27"/>
  <c r="U233" i="27"/>
  <c r="T233" i="27"/>
  <c r="S233" i="27"/>
  <c r="R233" i="27"/>
  <c r="Q233" i="27"/>
  <c r="P233" i="27"/>
  <c r="O233" i="27"/>
  <c r="N233" i="27"/>
  <c r="M233" i="27"/>
  <c r="L233" i="27"/>
  <c r="K233" i="27"/>
  <c r="J233" i="27"/>
  <c r="I233" i="27"/>
  <c r="H233" i="27"/>
  <c r="G233" i="27"/>
  <c r="F233" i="27"/>
  <c r="E233" i="27"/>
  <c r="D233" i="27"/>
  <c r="C233" i="27"/>
  <c r="B233" i="27"/>
  <c r="A233" i="27"/>
  <c r="D232" i="27"/>
  <c r="C232" i="27"/>
  <c r="B232" i="27"/>
  <c r="S207" i="27"/>
  <c r="AG197" i="27"/>
  <c r="B197" i="27"/>
  <c r="E196" i="27"/>
  <c r="D196" i="27"/>
  <c r="C196" i="27"/>
  <c r="C195" i="27"/>
  <c r="D195" i="27" s="1"/>
  <c r="E195" i="27" s="1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D194" i="27"/>
  <c r="E194" i="27" s="1"/>
  <c r="F194" i="27" s="1"/>
  <c r="G194" i="27" s="1"/>
  <c r="H194" i="27" s="1"/>
  <c r="I194" i="27" s="1"/>
  <c r="J194" i="27" s="1"/>
  <c r="K194" i="27" s="1"/>
  <c r="L194" i="27" s="1"/>
  <c r="M194" i="27" s="1"/>
  <c r="N194" i="27" s="1"/>
  <c r="O194" i="27" s="1"/>
  <c r="P194" i="27" s="1"/>
  <c r="Q194" i="27" s="1"/>
  <c r="R194" i="27" s="1"/>
  <c r="S194" i="27" s="1"/>
  <c r="T194" i="27" s="1"/>
  <c r="U194" i="27" s="1"/>
  <c r="V194" i="27" s="1"/>
  <c r="W194" i="27" s="1"/>
  <c r="X194" i="27" s="1"/>
  <c r="Y194" i="27" s="1"/>
  <c r="Z194" i="27" s="1"/>
  <c r="AA194" i="27" s="1"/>
  <c r="AB194" i="27" s="1"/>
  <c r="AC194" i="27" s="1"/>
  <c r="AD194" i="27" s="1"/>
  <c r="AE194" i="27" s="1"/>
  <c r="AF194" i="27" s="1"/>
  <c r="C194" i="27"/>
  <c r="E193" i="27"/>
  <c r="F193" i="27" s="1"/>
  <c r="G193" i="27" s="1"/>
  <c r="H193" i="27" s="1"/>
  <c r="I193" i="27" s="1"/>
  <c r="J193" i="27" s="1"/>
  <c r="K193" i="27" s="1"/>
  <c r="L193" i="27" s="1"/>
  <c r="M193" i="27" s="1"/>
  <c r="N193" i="27" s="1"/>
  <c r="O193" i="27" s="1"/>
  <c r="P193" i="27" s="1"/>
  <c r="Q193" i="27" s="1"/>
  <c r="R193" i="27" s="1"/>
  <c r="S193" i="27" s="1"/>
  <c r="T193" i="27" s="1"/>
  <c r="U193" i="27" s="1"/>
  <c r="V193" i="27" s="1"/>
  <c r="W193" i="27" s="1"/>
  <c r="X193" i="27" s="1"/>
  <c r="Y193" i="27" s="1"/>
  <c r="Z193" i="27" s="1"/>
  <c r="AA193" i="27" s="1"/>
  <c r="AB193" i="27" s="1"/>
  <c r="AC193" i="27" s="1"/>
  <c r="AD193" i="27" s="1"/>
  <c r="AE193" i="27" s="1"/>
  <c r="AF193" i="27" s="1"/>
  <c r="D193" i="27"/>
  <c r="C193" i="27"/>
  <c r="D192" i="27"/>
  <c r="E192" i="27" s="1"/>
  <c r="F192" i="27" s="1"/>
  <c r="G192" i="27" s="1"/>
  <c r="H192" i="27" s="1"/>
  <c r="I192" i="27" s="1"/>
  <c r="J192" i="27" s="1"/>
  <c r="K192" i="27" s="1"/>
  <c r="L192" i="27" s="1"/>
  <c r="M192" i="27" s="1"/>
  <c r="N192" i="27" s="1"/>
  <c r="O192" i="27" s="1"/>
  <c r="P192" i="27" s="1"/>
  <c r="Q192" i="27" s="1"/>
  <c r="R192" i="27" s="1"/>
  <c r="S192" i="27" s="1"/>
  <c r="T192" i="27" s="1"/>
  <c r="U192" i="27" s="1"/>
  <c r="V192" i="27" s="1"/>
  <c r="W192" i="27" s="1"/>
  <c r="X192" i="27" s="1"/>
  <c r="Y192" i="27" s="1"/>
  <c r="Z192" i="27" s="1"/>
  <c r="AA192" i="27" s="1"/>
  <c r="AB192" i="27" s="1"/>
  <c r="AC192" i="27" s="1"/>
  <c r="AD192" i="27" s="1"/>
  <c r="AE192" i="27" s="1"/>
  <c r="AF192" i="27" s="1"/>
  <c r="C192" i="27"/>
  <c r="C191" i="27"/>
  <c r="AG189" i="27"/>
  <c r="B189" i="27"/>
  <c r="G188" i="27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D188" i="27"/>
  <c r="E188" i="27" s="1"/>
  <c r="F188" i="27" s="1"/>
  <c r="C188" i="27"/>
  <c r="D187" i="27"/>
  <c r="E187" i="27" s="1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C187" i="27"/>
  <c r="F186" i="27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E186" i="27"/>
  <c r="D186" i="27"/>
  <c r="C186" i="27"/>
  <c r="I185" i="27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H185" i="27"/>
  <c r="D185" i="27"/>
  <c r="E185" i="27" s="1"/>
  <c r="F185" i="27" s="1"/>
  <c r="G185" i="27" s="1"/>
  <c r="C185" i="27"/>
  <c r="G184" i="27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F184" i="27"/>
  <c r="D184" i="27"/>
  <c r="E184" i="27" s="1"/>
  <c r="C184" i="27"/>
  <c r="AF183" i="27"/>
  <c r="I183" i="27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E183" i="27"/>
  <c r="F183" i="27" s="1"/>
  <c r="G183" i="27" s="1"/>
  <c r="H183" i="27" s="1"/>
  <c r="D183" i="27"/>
  <c r="C183" i="27"/>
  <c r="R182" i="27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F182" i="27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D182" i="27"/>
  <c r="E182" i="27" s="1"/>
  <c r="C182" i="27"/>
  <c r="F181" i="27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E181" i="27"/>
  <c r="D181" i="27"/>
  <c r="C181" i="27"/>
  <c r="L180" i="27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D180" i="27"/>
  <c r="E180" i="27" s="1"/>
  <c r="F180" i="27" s="1"/>
  <c r="G180" i="27" s="1"/>
  <c r="H180" i="27" s="1"/>
  <c r="I180" i="27" s="1"/>
  <c r="J180" i="27" s="1"/>
  <c r="K180" i="27" s="1"/>
  <c r="C180" i="27"/>
  <c r="N179" i="27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F179" i="27"/>
  <c r="G179" i="27" s="1"/>
  <c r="H179" i="27" s="1"/>
  <c r="I179" i="27" s="1"/>
  <c r="J179" i="27" s="1"/>
  <c r="K179" i="27" s="1"/>
  <c r="L179" i="27" s="1"/>
  <c r="M179" i="27" s="1"/>
  <c r="E179" i="27"/>
  <c r="D179" i="27"/>
  <c r="C179" i="27"/>
  <c r="H178" i="27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G178" i="27"/>
  <c r="F178" i="27"/>
  <c r="E178" i="27"/>
  <c r="D178" i="27"/>
  <c r="C178" i="27"/>
  <c r="U177" i="27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I177" i="27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D177" i="27"/>
  <c r="E177" i="27" s="1"/>
  <c r="F177" i="27" s="1"/>
  <c r="G177" i="27" s="1"/>
  <c r="H177" i="27" s="1"/>
  <c r="C177" i="27"/>
  <c r="C176" i="27"/>
  <c r="D176" i="27" s="1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X174" i="27"/>
  <c r="Y174" i="27" s="1"/>
  <c r="Z174" i="27" s="1"/>
  <c r="AA174" i="27" s="1"/>
  <c r="AB174" i="27" s="1"/>
  <c r="AC174" i="27" s="1"/>
  <c r="AD174" i="27" s="1"/>
  <c r="AE174" i="27" s="1"/>
  <c r="AF174" i="27" s="1"/>
  <c r="I174" i="27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F174" i="27"/>
  <c r="G174" i="27" s="1"/>
  <c r="H174" i="27" s="1"/>
  <c r="E174" i="27"/>
  <c r="D174" i="27"/>
  <c r="C174" i="27"/>
  <c r="T173" i="27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F173" i="27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E173" i="27"/>
  <c r="D173" i="27"/>
  <c r="C173" i="27"/>
  <c r="Z172" i="27"/>
  <c r="AA172" i="27" s="1"/>
  <c r="AB172" i="27" s="1"/>
  <c r="AC172" i="27" s="1"/>
  <c r="AD172" i="27" s="1"/>
  <c r="AE172" i="27" s="1"/>
  <c r="AF172" i="27" s="1"/>
  <c r="L172" i="27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E172" i="27"/>
  <c r="F172" i="27" s="1"/>
  <c r="G172" i="27" s="1"/>
  <c r="H172" i="27" s="1"/>
  <c r="I172" i="27" s="1"/>
  <c r="J172" i="27" s="1"/>
  <c r="K172" i="27" s="1"/>
  <c r="D172" i="27"/>
  <c r="C172" i="27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C171" i="27"/>
  <c r="E170" i="27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D170" i="27"/>
  <c r="C170" i="27"/>
  <c r="D169" i="27"/>
  <c r="E169" i="27" s="1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C169" i="27"/>
  <c r="M168" i="27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I168" i="27"/>
  <c r="J168" i="27" s="1"/>
  <c r="K168" i="27" s="1"/>
  <c r="L168" i="27" s="1"/>
  <c r="D168" i="27"/>
  <c r="E168" i="27" s="1"/>
  <c r="F168" i="27" s="1"/>
  <c r="G168" i="27" s="1"/>
  <c r="H168" i="27" s="1"/>
  <c r="C168" i="27"/>
  <c r="C167" i="27"/>
  <c r="D167" i="27" s="1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I165" i="27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E165" i="27"/>
  <c r="F165" i="27" s="1"/>
  <c r="G165" i="27" s="1"/>
  <c r="H165" i="27" s="1"/>
  <c r="D165" i="27"/>
  <c r="C165" i="27"/>
  <c r="AF164" i="27"/>
  <c r="H164" i="27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E164" i="27"/>
  <c r="F164" i="27" s="1"/>
  <c r="G164" i="27" s="1"/>
  <c r="D164" i="27"/>
  <c r="C164" i="27"/>
  <c r="AD163" i="27"/>
  <c r="AE163" i="27" s="1"/>
  <c r="AF163" i="27" s="1"/>
  <c r="V163" i="27"/>
  <c r="W163" i="27" s="1"/>
  <c r="X163" i="27" s="1"/>
  <c r="Y163" i="27" s="1"/>
  <c r="Z163" i="27" s="1"/>
  <c r="AA163" i="27" s="1"/>
  <c r="AB163" i="27" s="1"/>
  <c r="AC163" i="27" s="1"/>
  <c r="S163" i="27"/>
  <c r="T163" i="27" s="1"/>
  <c r="U163" i="27" s="1"/>
  <c r="J163" i="27"/>
  <c r="K163" i="27" s="1"/>
  <c r="L163" i="27" s="1"/>
  <c r="M163" i="27" s="1"/>
  <c r="N163" i="27" s="1"/>
  <c r="O163" i="27" s="1"/>
  <c r="P163" i="27" s="1"/>
  <c r="Q163" i="27" s="1"/>
  <c r="R163" i="27" s="1"/>
  <c r="F163" i="27"/>
  <c r="G163" i="27" s="1"/>
  <c r="H163" i="27" s="1"/>
  <c r="I163" i="27" s="1"/>
  <c r="C163" i="27"/>
  <c r="D163" i="27" s="1"/>
  <c r="E163" i="27" s="1"/>
  <c r="I162" i="27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H162" i="27"/>
  <c r="D162" i="27"/>
  <c r="E162" i="27" s="1"/>
  <c r="F162" i="27" s="1"/>
  <c r="G162" i="27" s="1"/>
  <c r="C162" i="27"/>
  <c r="C161" i="27"/>
  <c r="D161" i="27" s="1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C160" i="27"/>
  <c r="F159" i="27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C159" i="27"/>
  <c r="D159" i="27" s="1"/>
  <c r="E159" i="27" s="1"/>
  <c r="D158" i="27"/>
  <c r="E158" i="27" s="1"/>
  <c r="F158" i="27" s="1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C158" i="27"/>
  <c r="F157" i="27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C157" i="27"/>
  <c r="D157" i="27" s="1"/>
  <c r="E157" i="27" s="1"/>
  <c r="U156" i="27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E156" i="27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D156" i="27"/>
  <c r="C156" i="27"/>
  <c r="AC155" i="27"/>
  <c r="AD155" i="27" s="1"/>
  <c r="AE155" i="27" s="1"/>
  <c r="AF155" i="27" s="1"/>
  <c r="E155" i="27"/>
  <c r="F155" i="27" s="1"/>
  <c r="G155" i="27" s="1"/>
  <c r="H155" i="27" s="1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C155" i="27"/>
  <c r="D155" i="27" s="1"/>
  <c r="I154" i="27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D154" i="27"/>
  <c r="E154" i="27" s="1"/>
  <c r="F154" i="27" s="1"/>
  <c r="G154" i="27" s="1"/>
  <c r="H154" i="27" s="1"/>
  <c r="C154" i="27"/>
  <c r="S153" i="27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E153" i="27"/>
  <c r="F153" i="27" s="1"/>
  <c r="G153" i="27" s="1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C153" i="27"/>
  <c r="D153" i="27" s="1"/>
  <c r="AF151" i="27"/>
  <c r="P151" i="27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N151" i="27"/>
  <c r="O151" i="27" s="1"/>
  <c r="D151" i="27"/>
  <c r="E151" i="27" s="1"/>
  <c r="F151" i="27" s="1"/>
  <c r="G151" i="27" s="1"/>
  <c r="H151" i="27" s="1"/>
  <c r="I151" i="27" s="1"/>
  <c r="J151" i="27" s="1"/>
  <c r="K151" i="27" s="1"/>
  <c r="L151" i="27" s="1"/>
  <c r="M151" i="27" s="1"/>
  <c r="C151" i="27"/>
  <c r="C150" i="27"/>
  <c r="D150" i="27" s="1"/>
  <c r="E150" i="27" s="1"/>
  <c r="F150" i="27" s="1"/>
  <c r="G150" i="27" s="1"/>
  <c r="H150" i="27" s="1"/>
  <c r="I150" i="27" s="1"/>
  <c r="J150" i="27" s="1"/>
  <c r="K150" i="27" s="1"/>
  <c r="L150" i="27" s="1"/>
  <c r="M150" i="27" s="1"/>
  <c r="N150" i="27" s="1"/>
  <c r="O150" i="27" s="1"/>
  <c r="P150" i="27" s="1"/>
  <c r="Q150" i="27" s="1"/>
  <c r="R150" i="27" s="1"/>
  <c r="S150" i="27" s="1"/>
  <c r="T150" i="27" s="1"/>
  <c r="U150" i="27" s="1"/>
  <c r="V150" i="27" s="1"/>
  <c r="W150" i="27" s="1"/>
  <c r="X150" i="27" s="1"/>
  <c r="Y150" i="27" s="1"/>
  <c r="Z150" i="27" s="1"/>
  <c r="AA150" i="27" s="1"/>
  <c r="AB150" i="27" s="1"/>
  <c r="AC150" i="27" s="1"/>
  <c r="AD150" i="27" s="1"/>
  <c r="AE150" i="27" s="1"/>
  <c r="AF150" i="27" s="1"/>
  <c r="G149" i="27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E149" i="27"/>
  <c r="F149" i="27" s="1"/>
  <c r="D149" i="27"/>
  <c r="C149" i="27"/>
  <c r="AA148" i="27"/>
  <c r="AB148" i="27" s="1"/>
  <c r="AC148" i="27" s="1"/>
  <c r="AD148" i="27" s="1"/>
  <c r="AE148" i="27" s="1"/>
  <c r="AF148" i="27" s="1"/>
  <c r="C148" i="27"/>
  <c r="D148" i="27" s="1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Q146" i="27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E146" i="27"/>
  <c r="F146" i="27" s="1"/>
  <c r="G146" i="27" s="1"/>
  <c r="H146" i="27" s="1"/>
  <c r="I146" i="27" s="1"/>
  <c r="J146" i="27" s="1"/>
  <c r="K146" i="27" s="1"/>
  <c r="L146" i="27" s="1"/>
  <c r="M146" i="27" s="1"/>
  <c r="N146" i="27" s="1"/>
  <c r="O146" i="27" s="1"/>
  <c r="P146" i="27" s="1"/>
  <c r="D146" i="27"/>
  <c r="C146" i="27"/>
  <c r="I145" i="27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C145" i="27"/>
  <c r="D145" i="27" s="1"/>
  <c r="E145" i="27" s="1"/>
  <c r="F145" i="27" s="1"/>
  <c r="G145" i="27" s="1"/>
  <c r="H145" i="27" s="1"/>
  <c r="D143" i="27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C143" i="27"/>
  <c r="F142" i="27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E142" i="27"/>
  <c r="C142" i="27"/>
  <c r="D142" i="27" s="1"/>
  <c r="X141" i="27"/>
  <c r="Y141" i="27" s="1"/>
  <c r="Z141" i="27" s="1"/>
  <c r="AA141" i="27" s="1"/>
  <c r="AB141" i="27" s="1"/>
  <c r="AC141" i="27" s="1"/>
  <c r="AD141" i="27" s="1"/>
  <c r="AE141" i="27" s="1"/>
  <c r="AF141" i="27" s="1"/>
  <c r="L141" i="27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K141" i="27"/>
  <c r="E141" i="27"/>
  <c r="F141" i="27" s="1"/>
  <c r="G141" i="27" s="1"/>
  <c r="H141" i="27" s="1"/>
  <c r="I141" i="27" s="1"/>
  <c r="J141" i="27" s="1"/>
  <c r="D141" i="27"/>
  <c r="C141" i="27"/>
  <c r="O140" i="27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C140" i="27"/>
  <c r="D140" i="27" s="1"/>
  <c r="E140" i="27" s="1"/>
  <c r="F140" i="27" s="1"/>
  <c r="G140" i="27" s="1"/>
  <c r="H140" i="27" s="1"/>
  <c r="I140" i="27" s="1"/>
  <c r="J140" i="27" s="1"/>
  <c r="K140" i="27" s="1"/>
  <c r="L140" i="27" s="1"/>
  <c r="M140" i="27" s="1"/>
  <c r="N140" i="27" s="1"/>
  <c r="H139" i="27"/>
  <c r="I139" i="27" s="1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G139" i="27"/>
  <c r="E139" i="27"/>
  <c r="F139" i="27" s="1"/>
  <c r="D139" i="27"/>
  <c r="C139" i="27"/>
  <c r="E138" i="27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D138" i="27"/>
  <c r="C138" i="27"/>
  <c r="C137" i="27"/>
  <c r="D137" i="27" s="1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C135" i="27"/>
  <c r="D135" i="27" s="1"/>
  <c r="E135" i="27" s="1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V134" i="27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F134" i="27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E134" i="27"/>
  <c r="D134" i="27"/>
  <c r="C134" i="27"/>
  <c r="J133" i="27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E133" i="27"/>
  <c r="F133" i="27" s="1"/>
  <c r="G133" i="27" s="1"/>
  <c r="H133" i="27" s="1"/>
  <c r="I133" i="27" s="1"/>
  <c r="D133" i="27"/>
  <c r="C133" i="27"/>
  <c r="T132" i="27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S132" i="27"/>
  <c r="E132" i="27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D132" i="27"/>
  <c r="C132" i="27"/>
  <c r="C131" i="27"/>
  <c r="D131" i="27" s="1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D130" i="27"/>
  <c r="E130" i="27" s="1"/>
  <c r="F130" i="27" s="1"/>
  <c r="G130" i="27" s="1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C130" i="27"/>
  <c r="C129" i="27"/>
  <c r="D129" i="27" s="1"/>
  <c r="E129" i="27" s="1"/>
  <c r="F129" i="27" s="1"/>
  <c r="G129" i="27" s="1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Y128" i="27"/>
  <c r="Z128" i="27" s="1"/>
  <c r="AA128" i="27" s="1"/>
  <c r="AB128" i="27" s="1"/>
  <c r="AC128" i="27" s="1"/>
  <c r="AD128" i="27" s="1"/>
  <c r="AE128" i="27" s="1"/>
  <c r="AF128" i="27" s="1"/>
  <c r="X128" i="27"/>
  <c r="E128" i="27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D128" i="27"/>
  <c r="C128" i="27"/>
  <c r="F126" i="27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C126" i="27"/>
  <c r="D126" i="27" s="1"/>
  <c r="E126" i="27" s="1"/>
  <c r="L125" i="27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F125" i="27"/>
  <c r="G125" i="27" s="1"/>
  <c r="H125" i="27" s="1"/>
  <c r="I125" i="27" s="1"/>
  <c r="J125" i="27" s="1"/>
  <c r="K125" i="27" s="1"/>
  <c r="E125" i="27"/>
  <c r="D125" i="27"/>
  <c r="C125" i="27"/>
  <c r="T124" i="27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S124" i="27"/>
  <c r="D124" i="27"/>
  <c r="E124" i="27" s="1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C124" i="27"/>
  <c r="H123" i="27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E123" i="27"/>
  <c r="F123" i="27" s="1"/>
  <c r="G123" i="27" s="1"/>
  <c r="D123" i="27"/>
  <c r="C123" i="27"/>
  <c r="C122" i="27"/>
  <c r="D122" i="27" s="1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F121" i="27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E121" i="27"/>
  <c r="D121" i="27"/>
  <c r="C121" i="27"/>
  <c r="G120" i="27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D120" i="27"/>
  <c r="E120" i="27" s="1"/>
  <c r="F120" i="27" s="1"/>
  <c r="C120" i="27"/>
  <c r="J119" i="27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I119" i="27"/>
  <c r="D119" i="27"/>
  <c r="E119" i="27" s="1"/>
  <c r="F119" i="27" s="1"/>
  <c r="G119" i="27" s="1"/>
  <c r="H119" i="27" s="1"/>
  <c r="C119" i="27"/>
  <c r="G118" i="27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F118" i="27"/>
  <c r="C118" i="27"/>
  <c r="D118" i="27" s="1"/>
  <c r="E118" i="27" s="1"/>
  <c r="D117" i="27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C117" i="27"/>
  <c r="D116" i="27"/>
  <c r="E116" i="27" s="1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C116" i="27"/>
  <c r="E115" i="27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D115" i="27"/>
  <c r="C115" i="27"/>
  <c r="H114" i="27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G114" i="27"/>
  <c r="C114" i="27"/>
  <c r="D114" i="27" s="1"/>
  <c r="E114" i="27" s="1"/>
  <c r="F114" i="27" s="1"/>
  <c r="I113" i="27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D113" i="27"/>
  <c r="E113" i="27" s="1"/>
  <c r="F113" i="27" s="1"/>
  <c r="G113" i="27" s="1"/>
  <c r="H113" i="27" s="1"/>
  <c r="C113" i="27"/>
  <c r="M112" i="27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E112" i="27"/>
  <c r="F112" i="27" s="1"/>
  <c r="G112" i="27" s="1"/>
  <c r="H112" i="27" s="1"/>
  <c r="I112" i="27" s="1"/>
  <c r="J112" i="27" s="1"/>
  <c r="K112" i="27" s="1"/>
  <c r="L112" i="27" s="1"/>
  <c r="D112" i="27"/>
  <c r="C112" i="27"/>
  <c r="J111" i="27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G111" i="27"/>
  <c r="H111" i="27" s="1"/>
  <c r="E111" i="27"/>
  <c r="F111" i="27" s="1"/>
  <c r="D111" i="27"/>
  <c r="C111" i="27"/>
  <c r="D110" i="27"/>
  <c r="E110" i="27" s="1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C110" i="27"/>
  <c r="C109" i="27"/>
  <c r="D109" i="27" s="1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C107" i="27"/>
  <c r="C106" i="27"/>
  <c r="D106" i="27" s="1"/>
  <c r="E106" i="27" s="1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D104" i="27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C104" i="27"/>
  <c r="G103" i="27"/>
  <c r="H103" i="27" s="1"/>
  <c r="I103" i="27" s="1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F103" i="27"/>
  <c r="C103" i="27"/>
  <c r="D103" i="27" s="1"/>
  <c r="E103" i="27" s="1"/>
  <c r="L102" i="27"/>
  <c r="M102" i="27" s="1"/>
  <c r="N102" i="27" s="1"/>
  <c r="O102" i="27" s="1"/>
  <c r="P102" i="27" s="1"/>
  <c r="Q102" i="27" s="1"/>
  <c r="R102" i="27" s="1"/>
  <c r="S102" i="27" s="1"/>
  <c r="T102" i="27" s="1"/>
  <c r="U102" i="27" s="1"/>
  <c r="V102" i="27" s="1"/>
  <c r="W102" i="27" s="1"/>
  <c r="X102" i="27" s="1"/>
  <c r="Y102" i="27" s="1"/>
  <c r="Z102" i="27" s="1"/>
  <c r="AA102" i="27" s="1"/>
  <c r="AB102" i="27" s="1"/>
  <c r="AC102" i="27" s="1"/>
  <c r="AD102" i="27" s="1"/>
  <c r="AE102" i="27" s="1"/>
  <c r="AF102" i="27" s="1"/>
  <c r="E102" i="27"/>
  <c r="F102" i="27" s="1"/>
  <c r="G102" i="27" s="1"/>
  <c r="H102" i="27" s="1"/>
  <c r="I102" i="27" s="1"/>
  <c r="J102" i="27" s="1"/>
  <c r="K102" i="27" s="1"/>
  <c r="D102" i="27"/>
  <c r="C102" i="27"/>
  <c r="K101" i="27"/>
  <c r="L101" i="27" s="1"/>
  <c r="M101" i="27" s="1"/>
  <c r="N101" i="27" s="1"/>
  <c r="O101" i="27" s="1"/>
  <c r="P101" i="27" s="1"/>
  <c r="Q101" i="27" s="1"/>
  <c r="R101" i="27" s="1"/>
  <c r="S101" i="27" s="1"/>
  <c r="T101" i="27" s="1"/>
  <c r="U101" i="27" s="1"/>
  <c r="V101" i="27" s="1"/>
  <c r="W101" i="27" s="1"/>
  <c r="X101" i="27" s="1"/>
  <c r="Y101" i="27" s="1"/>
  <c r="Z101" i="27" s="1"/>
  <c r="AA101" i="27" s="1"/>
  <c r="AB101" i="27" s="1"/>
  <c r="AC101" i="27" s="1"/>
  <c r="AD101" i="27" s="1"/>
  <c r="AE101" i="27" s="1"/>
  <c r="AF101" i="27" s="1"/>
  <c r="J101" i="27"/>
  <c r="C101" i="27"/>
  <c r="D101" i="27" s="1"/>
  <c r="E101" i="27" s="1"/>
  <c r="F101" i="27" s="1"/>
  <c r="G101" i="27" s="1"/>
  <c r="H101" i="27" s="1"/>
  <c r="I101" i="27" s="1"/>
  <c r="D100" i="27"/>
  <c r="E100" i="27" s="1"/>
  <c r="C100" i="27"/>
  <c r="C99" i="27"/>
  <c r="AH96" i="27"/>
  <c r="AI96" i="27" s="1"/>
  <c r="AH95" i="27"/>
  <c r="AI95" i="27" s="1"/>
  <c r="AH94" i="27"/>
  <c r="AI94" i="27" s="1"/>
  <c r="AH93" i="27"/>
  <c r="AI93" i="27" s="1"/>
  <c r="AH92" i="27"/>
  <c r="AI92" i="27" s="1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G80" i="27"/>
  <c r="AI79" i="27"/>
  <c r="AH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AF74" i="27"/>
  <c r="AE74" i="27"/>
  <c r="AD74" i="27"/>
  <c r="AC74" i="27"/>
  <c r="AB74" i="27"/>
  <c r="AA74" i="27"/>
  <c r="Z74" i="27"/>
  <c r="Y74" i="27"/>
  <c r="Y80" i="27" s="1"/>
  <c r="X74" i="27"/>
  <c r="W74" i="27"/>
  <c r="W80" i="27" s="1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J80" i="27" s="1"/>
  <c r="I74" i="27"/>
  <c r="H74" i="27"/>
  <c r="G74" i="27"/>
  <c r="F74" i="27"/>
  <c r="E74" i="27"/>
  <c r="D74" i="27"/>
  <c r="C74" i="27"/>
  <c r="AI72" i="27"/>
  <c r="AH72" i="27"/>
  <c r="AG70" i="27"/>
  <c r="AF70" i="27"/>
  <c r="AE70" i="27"/>
  <c r="AD70" i="27"/>
  <c r="AC70" i="27"/>
  <c r="AB70" i="27"/>
  <c r="AA70" i="27"/>
  <c r="Z70" i="27"/>
  <c r="Y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E70" i="27"/>
  <c r="D70" i="27"/>
  <c r="C70" i="27"/>
  <c r="AI69" i="27"/>
  <c r="AH69" i="27"/>
  <c r="AI68" i="27"/>
  <c r="AH68" i="27"/>
  <c r="AI67" i="27"/>
  <c r="AH67" i="27"/>
  <c r="AG66" i="27"/>
  <c r="AG73" i="27" s="1"/>
  <c r="AF66" i="27"/>
  <c r="AE66" i="27"/>
  <c r="AE5" i="27" s="1"/>
  <c r="AD66" i="27"/>
  <c r="AD5" i="27" s="1"/>
  <c r="AC66" i="27"/>
  <c r="AC5" i="27" s="1"/>
  <c r="AB66" i="27"/>
  <c r="AA66" i="27"/>
  <c r="Z66" i="27"/>
  <c r="Z5" i="27" s="1"/>
  <c r="Y66" i="27"/>
  <c r="X66" i="27"/>
  <c r="X5" i="27" s="1"/>
  <c r="W66" i="27"/>
  <c r="W5" i="27" s="1"/>
  <c r="V66" i="27"/>
  <c r="V5" i="27" s="1"/>
  <c r="U66" i="27"/>
  <c r="U5" i="27" s="1"/>
  <c r="T66" i="27"/>
  <c r="S66" i="27"/>
  <c r="R66" i="27"/>
  <c r="R5" i="27" s="1"/>
  <c r="Q66" i="27"/>
  <c r="P66" i="27"/>
  <c r="P5" i="27" s="1"/>
  <c r="O66" i="27"/>
  <c r="O5" i="27" s="1"/>
  <c r="N66" i="27"/>
  <c r="N5" i="27" s="1"/>
  <c r="M66" i="27"/>
  <c r="L66" i="27"/>
  <c r="K66" i="27"/>
  <c r="J66" i="27"/>
  <c r="J5" i="27" s="1"/>
  <c r="I66" i="27"/>
  <c r="H66" i="27"/>
  <c r="H5" i="27" s="1"/>
  <c r="G66" i="27"/>
  <c r="G5" i="27" s="1"/>
  <c r="F5" i="27"/>
  <c r="E66" i="27"/>
  <c r="E5" i="27" s="1"/>
  <c r="D66" i="27"/>
  <c r="D5" i="27" s="1"/>
  <c r="C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G54" i="27"/>
  <c r="AG4" i="27" s="1"/>
  <c r="AF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AI53" i="27"/>
  <c r="AH53" i="27"/>
  <c r="AI52" i="27"/>
  <c r="AH52" i="27"/>
  <c r="AI51" i="27"/>
  <c r="AH51" i="27"/>
  <c r="AG50" i="27"/>
  <c r="AG3" i="27" s="1"/>
  <c r="Y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AG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G36" i="27"/>
  <c r="AG2" i="27" s="1"/>
  <c r="AF36" i="27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B5" i="27"/>
  <c r="T5" i="27"/>
  <c r="M5" i="27"/>
  <c r="L5" i="27"/>
  <c r="B5" i="27"/>
  <c r="K4" i="27"/>
  <c r="B4" i="27"/>
  <c r="AF93" i="26"/>
  <c r="AF35" i="26"/>
  <c r="AE93" i="26"/>
  <c r="AE35" i="26"/>
  <c r="AD93" i="26"/>
  <c r="AD35" i="26"/>
  <c r="AC35" i="26"/>
  <c r="AC93" i="26"/>
  <c r="AB35" i="26"/>
  <c r="Z73" i="26"/>
  <c r="Z7" i="26"/>
  <c r="AA35" i="26"/>
  <c r="T35" i="26"/>
  <c r="Q93" i="26"/>
  <c r="P93" i="26"/>
  <c r="O93" i="26"/>
  <c r="N93" i="26"/>
  <c r="M93" i="26"/>
  <c r="M56" i="26"/>
  <c r="D54" i="26"/>
  <c r="C35" i="26"/>
  <c r="AH97" i="26"/>
  <c r="AI97" i="26" s="1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AF234" i="26"/>
  <c r="AE234" i="26"/>
  <c r="AD234" i="26"/>
  <c r="AC234" i="26"/>
  <c r="AB234" i="26"/>
  <c r="AA234" i="26"/>
  <c r="Z234" i="26"/>
  <c r="Y234" i="26"/>
  <c r="X234" i="26"/>
  <c r="W234" i="26"/>
  <c r="V234" i="26"/>
  <c r="U234" i="26"/>
  <c r="T234" i="26"/>
  <c r="S234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D234" i="26"/>
  <c r="C234" i="26"/>
  <c r="B234" i="26"/>
  <c r="A234" i="26"/>
  <c r="AF233" i="26"/>
  <c r="AE233" i="26"/>
  <c r="AD233" i="26"/>
  <c r="AC233" i="26"/>
  <c r="AB233" i="26"/>
  <c r="AA233" i="26"/>
  <c r="Z233" i="26"/>
  <c r="Y233" i="26"/>
  <c r="X233" i="26"/>
  <c r="W233" i="26"/>
  <c r="V233" i="26"/>
  <c r="U233" i="26"/>
  <c r="T233" i="26"/>
  <c r="S233" i="26"/>
  <c r="R233" i="26"/>
  <c r="Q233" i="26"/>
  <c r="P233" i="26"/>
  <c r="O233" i="26"/>
  <c r="N233" i="26"/>
  <c r="M233" i="26"/>
  <c r="L233" i="26"/>
  <c r="K233" i="26"/>
  <c r="J233" i="26"/>
  <c r="I233" i="26"/>
  <c r="H233" i="26"/>
  <c r="G233" i="26"/>
  <c r="F233" i="26"/>
  <c r="E233" i="26"/>
  <c r="D233" i="26"/>
  <c r="C233" i="26"/>
  <c r="B233" i="26"/>
  <c r="A233" i="26"/>
  <c r="C232" i="26"/>
  <c r="B232" i="26"/>
  <c r="S207" i="26"/>
  <c r="AG197" i="26"/>
  <c r="B197" i="26"/>
  <c r="E196" i="26"/>
  <c r="E232" i="26" s="1"/>
  <c r="D196" i="26"/>
  <c r="D232" i="26" s="1"/>
  <c r="C196" i="26"/>
  <c r="C195" i="26"/>
  <c r="D195" i="26" s="1"/>
  <c r="E195" i="26" s="1"/>
  <c r="F195" i="26" s="1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D194" i="26"/>
  <c r="E194" i="26" s="1"/>
  <c r="F194" i="26" s="1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AD194" i="26" s="1"/>
  <c r="AE194" i="26" s="1"/>
  <c r="AF194" i="26" s="1"/>
  <c r="C194" i="26"/>
  <c r="C193" i="26"/>
  <c r="D193" i="26" s="1"/>
  <c r="E193" i="26" s="1"/>
  <c r="F193" i="26" s="1"/>
  <c r="G193" i="26" s="1"/>
  <c r="H193" i="26" s="1"/>
  <c r="I193" i="26" s="1"/>
  <c r="J193" i="26" s="1"/>
  <c r="K193" i="26" s="1"/>
  <c r="L193" i="26" s="1"/>
  <c r="M193" i="26" s="1"/>
  <c r="N193" i="26" s="1"/>
  <c r="O193" i="26" s="1"/>
  <c r="P193" i="26" s="1"/>
  <c r="Q193" i="26" s="1"/>
  <c r="R193" i="26" s="1"/>
  <c r="S193" i="26" s="1"/>
  <c r="T193" i="26" s="1"/>
  <c r="U193" i="26" s="1"/>
  <c r="V193" i="26" s="1"/>
  <c r="W193" i="26" s="1"/>
  <c r="X193" i="26" s="1"/>
  <c r="Y193" i="26" s="1"/>
  <c r="Z193" i="26" s="1"/>
  <c r="AA193" i="26" s="1"/>
  <c r="AB193" i="26" s="1"/>
  <c r="AC193" i="26" s="1"/>
  <c r="AD193" i="26" s="1"/>
  <c r="AE193" i="26" s="1"/>
  <c r="AF193" i="26" s="1"/>
  <c r="D192" i="26"/>
  <c r="E192" i="26" s="1"/>
  <c r="F192" i="26" s="1"/>
  <c r="G192" i="26" s="1"/>
  <c r="H192" i="26" s="1"/>
  <c r="I192" i="26" s="1"/>
  <c r="J192" i="26" s="1"/>
  <c r="K192" i="26" s="1"/>
  <c r="L192" i="26" s="1"/>
  <c r="M192" i="26" s="1"/>
  <c r="N192" i="26" s="1"/>
  <c r="O192" i="26" s="1"/>
  <c r="P192" i="26" s="1"/>
  <c r="Q192" i="26" s="1"/>
  <c r="R192" i="26" s="1"/>
  <c r="S192" i="26" s="1"/>
  <c r="T192" i="26" s="1"/>
  <c r="U192" i="26" s="1"/>
  <c r="V192" i="26" s="1"/>
  <c r="W192" i="26" s="1"/>
  <c r="X192" i="26" s="1"/>
  <c r="Y192" i="26" s="1"/>
  <c r="Z192" i="26" s="1"/>
  <c r="AA192" i="26" s="1"/>
  <c r="AB192" i="26" s="1"/>
  <c r="AC192" i="26" s="1"/>
  <c r="AD192" i="26" s="1"/>
  <c r="AE192" i="26" s="1"/>
  <c r="AF192" i="26" s="1"/>
  <c r="C192" i="26"/>
  <c r="C191" i="26"/>
  <c r="AG189" i="26"/>
  <c r="B189" i="26"/>
  <c r="H188" i="26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D188" i="26"/>
  <c r="E188" i="26" s="1"/>
  <c r="F188" i="26" s="1"/>
  <c r="G188" i="26" s="1"/>
  <c r="C188" i="26"/>
  <c r="O187" i="26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F187" i="26"/>
  <c r="G187" i="26" s="1"/>
  <c r="H187" i="26" s="1"/>
  <c r="I187" i="26" s="1"/>
  <c r="J187" i="26" s="1"/>
  <c r="K187" i="26" s="1"/>
  <c r="L187" i="26" s="1"/>
  <c r="M187" i="26" s="1"/>
  <c r="N187" i="26" s="1"/>
  <c r="C187" i="26"/>
  <c r="D187" i="26" s="1"/>
  <c r="E187" i="26" s="1"/>
  <c r="AD186" i="26"/>
  <c r="AE186" i="26" s="1"/>
  <c r="AF186" i="26" s="1"/>
  <c r="AC186" i="26"/>
  <c r="AB186" i="26"/>
  <c r="E186" i="26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D186" i="26"/>
  <c r="C186" i="26"/>
  <c r="S185" i="26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C185" i="26"/>
  <c r="D185" i="26" s="1"/>
  <c r="E185" i="26" s="1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Q184" i="26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D184" i="26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C184" i="26"/>
  <c r="F183" i="26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E183" i="26"/>
  <c r="D183" i="26"/>
  <c r="C183" i="26"/>
  <c r="F182" i="26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C182" i="26"/>
  <c r="D182" i="26" s="1"/>
  <c r="E182" i="26" s="1"/>
  <c r="D181" i="26"/>
  <c r="E181" i="26" s="1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C181" i="26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C180" i="26"/>
  <c r="H179" i="26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E179" i="26"/>
  <c r="F179" i="26" s="1"/>
  <c r="G179" i="26" s="1"/>
  <c r="D179" i="26"/>
  <c r="C179" i="26"/>
  <c r="D178" i="26"/>
  <c r="E178" i="26" s="1"/>
  <c r="F178" i="26" s="1"/>
  <c r="G178" i="26" s="1"/>
  <c r="H178" i="26" s="1"/>
  <c r="I178" i="26" s="1"/>
  <c r="J178" i="26" s="1"/>
  <c r="K178" i="26" s="1"/>
  <c r="L178" i="26" s="1"/>
  <c r="M178" i="26" s="1"/>
  <c r="N178" i="26" s="1"/>
  <c r="O178" i="26" s="1"/>
  <c r="P178" i="26" s="1"/>
  <c r="Q178" i="26" s="1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C178" i="26"/>
  <c r="J177" i="26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I177" i="26"/>
  <c r="F177" i="26"/>
  <c r="G177" i="26" s="1"/>
  <c r="H177" i="26" s="1"/>
  <c r="D177" i="26"/>
  <c r="E177" i="26" s="1"/>
  <c r="C177" i="26"/>
  <c r="C176" i="26"/>
  <c r="D176" i="26" s="1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S174" i="26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R174" i="26"/>
  <c r="Q174" i="26"/>
  <c r="C174" i="26"/>
  <c r="D174" i="26" s="1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C173" i="26"/>
  <c r="D173" i="26" s="1"/>
  <c r="E173" i="26" s="1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N172" i="26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M172" i="26"/>
  <c r="F172" i="26"/>
  <c r="G172" i="26" s="1"/>
  <c r="H172" i="26" s="1"/>
  <c r="I172" i="26" s="1"/>
  <c r="J172" i="26" s="1"/>
  <c r="K172" i="26" s="1"/>
  <c r="L172" i="26" s="1"/>
  <c r="E172" i="26"/>
  <c r="D172" i="26"/>
  <c r="C172" i="26"/>
  <c r="M171" i="26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C171" i="26"/>
  <c r="D171" i="26" s="1"/>
  <c r="E171" i="26" s="1"/>
  <c r="F171" i="26" s="1"/>
  <c r="G171" i="26" s="1"/>
  <c r="H171" i="26" s="1"/>
  <c r="I171" i="26" s="1"/>
  <c r="J171" i="26" s="1"/>
  <c r="K171" i="26" s="1"/>
  <c r="L171" i="26" s="1"/>
  <c r="E170" i="26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C170" i="26"/>
  <c r="D170" i="26" s="1"/>
  <c r="C169" i="26"/>
  <c r="D169" i="26" s="1"/>
  <c r="E169" i="26" s="1"/>
  <c r="F169" i="26" s="1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Y168" i="26"/>
  <c r="Z168" i="26" s="1"/>
  <c r="AA168" i="26" s="1"/>
  <c r="AB168" i="26" s="1"/>
  <c r="AC168" i="26" s="1"/>
  <c r="AD168" i="26" s="1"/>
  <c r="AE168" i="26" s="1"/>
  <c r="AF168" i="26" s="1"/>
  <c r="G168" i="26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F168" i="26"/>
  <c r="E168" i="26"/>
  <c r="D168" i="26"/>
  <c r="C168" i="26"/>
  <c r="D167" i="26"/>
  <c r="E167" i="26" s="1"/>
  <c r="F167" i="26" s="1"/>
  <c r="G167" i="26" s="1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C167" i="26"/>
  <c r="C165" i="26"/>
  <c r="D165" i="26" s="1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Y164" i="26"/>
  <c r="Z164" i="26" s="1"/>
  <c r="AA164" i="26" s="1"/>
  <c r="AB164" i="26" s="1"/>
  <c r="AC164" i="26" s="1"/>
  <c r="AD164" i="26" s="1"/>
  <c r="AE164" i="26" s="1"/>
  <c r="AF164" i="26" s="1"/>
  <c r="G164" i="26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C164" i="26"/>
  <c r="D164" i="26" s="1"/>
  <c r="E164" i="26" s="1"/>
  <c r="F164" i="26" s="1"/>
  <c r="W163" i="26"/>
  <c r="X163" i="26" s="1"/>
  <c r="Y163" i="26" s="1"/>
  <c r="Z163" i="26" s="1"/>
  <c r="AA163" i="26" s="1"/>
  <c r="AB163" i="26" s="1"/>
  <c r="AC163" i="26" s="1"/>
  <c r="AD163" i="26" s="1"/>
  <c r="AE163" i="26" s="1"/>
  <c r="AF163" i="26" s="1"/>
  <c r="E163" i="26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D163" i="26"/>
  <c r="C163" i="26"/>
  <c r="AD162" i="26"/>
  <c r="AE162" i="26" s="1"/>
  <c r="AF162" i="26" s="1"/>
  <c r="R162" i="26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J162" i="26"/>
  <c r="K162" i="26" s="1"/>
  <c r="L162" i="26" s="1"/>
  <c r="M162" i="26" s="1"/>
  <c r="N162" i="26" s="1"/>
  <c r="O162" i="26" s="1"/>
  <c r="P162" i="26" s="1"/>
  <c r="Q162" i="26" s="1"/>
  <c r="G162" i="26"/>
  <c r="H162" i="26" s="1"/>
  <c r="I162" i="26" s="1"/>
  <c r="F162" i="26"/>
  <c r="C162" i="26"/>
  <c r="D162" i="26" s="1"/>
  <c r="E162" i="26" s="1"/>
  <c r="H161" i="26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F161" i="26"/>
  <c r="G161" i="26" s="1"/>
  <c r="E161" i="26"/>
  <c r="C161" i="26"/>
  <c r="D161" i="26" s="1"/>
  <c r="C160" i="26"/>
  <c r="D160" i="26" s="1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G159" i="26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D159" i="26"/>
  <c r="E159" i="26" s="1"/>
  <c r="F159" i="26" s="1"/>
  <c r="C159" i="26"/>
  <c r="AC158" i="26"/>
  <c r="AD158" i="26" s="1"/>
  <c r="AE158" i="26" s="1"/>
  <c r="AF158" i="26" s="1"/>
  <c r="E158" i="26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D158" i="26"/>
  <c r="C158" i="26"/>
  <c r="D157" i="26"/>
  <c r="E157" i="26" s="1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C157" i="26"/>
  <c r="V156" i="26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C156" i="26"/>
  <c r="D156" i="26" s="1"/>
  <c r="E156" i="26" s="1"/>
  <c r="F156" i="26" s="1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D155" i="26"/>
  <c r="E155" i="26" s="1"/>
  <c r="F155" i="26" s="1"/>
  <c r="G155" i="26" s="1"/>
  <c r="H155" i="26" s="1"/>
  <c r="I155" i="26" s="1"/>
  <c r="J155" i="26" s="1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C155" i="26"/>
  <c r="E154" i="26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D154" i="26"/>
  <c r="C154" i="26"/>
  <c r="U153" i="26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D153" i="26"/>
  <c r="E153" i="26" s="1"/>
  <c r="F153" i="26" s="1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C153" i="26"/>
  <c r="K151" i="26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J151" i="26"/>
  <c r="I151" i="26"/>
  <c r="H151" i="26"/>
  <c r="F151" i="26"/>
  <c r="G151" i="26" s="1"/>
  <c r="C151" i="26"/>
  <c r="D151" i="26" s="1"/>
  <c r="E151" i="26" s="1"/>
  <c r="D150" i="26"/>
  <c r="E150" i="26" s="1"/>
  <c r="F150" i="26" s="1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C150" i="26"/>
  <c r="C149" i="26"/>
  <c r="D149" i="26" s="1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C148" i="26"/>
  <c r="D148" i="26" s="1"/>
  <c r="E148" i="26" s="1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G146" i="26"/>
  <c r="H146" i="26" s="1"/>
  <c r="I146" i="26" s="1"/>
  <c r="J146" i="26" s="1"/>
  <c r="K146" i="26" s="1"/>
  <c r="L146" i="26" s="1"/>
  <c r="M146" i="26" s="1"/>
  <c r="N146" i="26" s="1"/>
  <c r="O146" i="26" s="1"/>
  <c r="P146" i="26" s="1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C146" i="26"/>
  <c r="D146" i="26" s="1"/>
  <c r="E146" i="26" s="1"/>
  <c r="F146" i="26" s="1"/>
  <c r="E145" i="26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D145" i="26"/>
  <c r="C145" i="26"/>
  <c r="F143" i="26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E143" i="26"/>
  <c r="D143" i="26"/>
  <c r="C143" i="26"/>
  <c r="R142" i="26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Q142" i="26"/>
  <c r="L142" i="26"/>
  <c r="M142" i="26" s="1"/>
  <c r="N142" i="26" s="1"/>
  <c r="O142" i="26" s="1"/>
  <c r="P142" i="26" s="1"/>
  <c r="D142" i="26"/>
  <c r="E142" i="26" s="1"/>
  <c r="F142" i="26" s="1"/>
  <c r="G142" i="26" s="1"/>
  <c r="H142" i="26" s="1"/>
  <c r="I142" i="26" s="1"/>
  <c r="J142" i="26" s="1"/>
  <c r="K142" i="26" s="1"/>
  <c r="C142" i="26"/>
  <c r="Q141" i="26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C141" i="26"/>
  <c r="D141" i="26" s="1"/>
  <c r="E141" i="26" s="1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E140" i="26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D140" i="26"/>
  <c r="C140" i="26"/>
  <c r="E139" i="26"/>
  <c r="F139" i="26" s="1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D139" i="26"/>
  <c r="C139" i="26"/>
  <c r="D138" i="26"/>
  <c r="E138" i="26" s="1"/>
  <c r="F138" i="26" s="1"/>
  <c r="G138" i="26" s="1"/>
  <c r="H138" i="26" s="1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C138" i="26"/>
  <c r="G137" i="26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C137" i="26"/>
  <c r="D137" i="26" s="1"/>
  <c r="E137" i="26" s="1"/>
  <c r="F137" i="26" s="1"/>
  <c r="D135" i="26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C135" i="26"/>
  <c r="J134" i="26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F134" i="26"/>
  <c r="G134" i="26" s="1"/>
  <c r="H134" i="26" s="1"/>
  <c r="I134" i="26" s="1"/>
  <c r="E134" i="26"/>
  <c r="C134" i="26"/>
  <c r="D134" i="26" s="1"/>
  <c r="C133" i="26"/>
  <c r="D133" i="26" s="1"/>
  <c r="E133" i="26" s="1"/>
  <c r="F133" i="26" s="1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H132" i="26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G132" i="26"/>
  <c r="F132" i="26"/>
  <c r="C132" i="26"/>
  <c r="D132" i="26" s="1"/>
  <c r="E132" i="26" s="1"/>
  <c r="E131" i="26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D131" i="26"/>
  <c r="C131" i="26"/>
  <c r="T130" i="26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C130" i="26"/>
  <c r="D130" i="26" s="1"/>
  <c r="E130" i="26" s="1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L129" i="26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H129" i="26"/>
  <c r="I129" i="26" s="1"/>
  <c r="J129" i="26" s="1"/>
  <c r="K129" i="26" s="1"/>
  <c r="C129" i="26"/>
  <c r="D129" i="26" s="1"/>
  <c r="E129" i="26" s="1"/>
  <c r="F129" i="26" s="1"/>
  <c r="G129" i="26" s="1"/>
  <c r="J128" i="26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F128" i="26"/>
  <c r="G128" i="26" s="1"/>
  <c r="H128" i="26" s="1"/>
  <c r="I128" i="26" s="1"/>
  <c r="C128" i="26"/>
  <c r="D128" i="26" s="1"/>
  <c r="E128" i="26" s="1"/>
  <c r="H126" i="26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D126" i="26"/>
  <c r="E126" i="26" s="1"/>
  <c r="F126" i="26" s="1"/>
  <c r="G126" i="26" s="1"/>
  <c r="C126" i="26"/>
  <c r="D125" i="26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C125" i="26"/>
  <c r="K124" i="26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G124" i="26"/>
  <c r="H124" i="26" s="1"/>
  <c r="I124" i="26" s="1"/>
  <c r="J124" i="26" s="1"/>
  <c r="C124" i="26"/>
  <c r="D124" i="26" s="1"/>
  <c r="E124" i="26" s="1"/>
  <c r="F124" i="26" s="1"/>
  <c r="N123" i="26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C123" i="26"/>
  <c r="D123" i="26" s="1"/>
  <c r="E123" i="26" s="1"/>
  <c r="F123" i="26" s="1"/>
  <c r="G123" i="26" s="1"/>
  <c r="H123" i="26" s="1"/>
  <c r="I123" i="26" s="1"/>
  <c r="J123" i="26" s="1"/>
  <c r="K123" i="26" s="1"/>
  <c r="L123" i="26" s="1"/>
  <c r="M123" i="26" s="1"/>
  <c r="H122" i="26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G122" i="26"/>
  <c r="F122" i="26"/>
  <c r="C122" i="26"/>
  <c r="D122" i="26" s="1"/>
  <c r="E122" i="26" s="1"/>
  <c r="F121" i="26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E121" i="26"/>
  <c r="D121" i="26"/>
  <c r="C121" i="26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D120" i="26"/>
  <c r="C120" i="26"/>
  <c r="C119" i="26"/>
  <c r="D119" i="26" s="1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J118" i="26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F118" i="26"/>
  <c r="G118" i="26" s="1"/>
  <c r="H118" i="26" s="1"/>
  <c r="I118" i="26" s="1"/>
  <c r="C118" i="26"/>
  <c r="D118" i="26" s="1"/>
  <c r="E118" i="26" s="1"/>
  <c r="H117" i="26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D117" i="26"/>
  <c r="E117" i="26" s="1"/>
  <c r="F117" i="26" s="1"/>
  <c r="G117" i="26" s="1"/>
  <c r="C117" i="26"/>
  <c r="C116" i="26"/>
  <c r="D116" i="26" s="1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I115" i="26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C115" i="26"/>
  <c r="D115" i="26" s="1"/>
  <c r="E115" i="26" s="1"/>
  <c r="F115" i="26" s="1"/>
  <c r="G115" i="26" s="1"/>
  <c r="H115" i="26" s="1"/>
  <c r="C114" i="26"/>
  <c r="D114" i="26" s="1"/>
  <c r="E114" i="26" s="1"/>
  <c r="F114" i="26" s="1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E113" i="26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D113" i="26"/>
  <c r="C113" i="26"/>
  <c r="C112" i="26"/>
  <c r="C91" i="26" s="1"/>
  <c r="J111" i="26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D111" i="26"/>
  <c r="E111" i="26" s="1"/>
  <c r="F111" i="26" s="1"/>
  <c r="G111" i="26" s="1"/>
  <c r="H111" i="26" s="1"/>
  <c r="C111" i="26"/>
  <c r="G110" i="26"/>
  <c r="H110" i="26" s="1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F110" i="26"/>
  <c r="E110" i="26"/>
  <c r="D110" i="26"/>
  <c r="C110" i="26"/>
  <c r="D109" i="26"/>
  <c r="E109" i="26" s="1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C109" i="26"/>
  <c r="C107" i="26"/>
  <c r="D107" i="26" s="1"/>
  <c r="E107" i="26" s="1"/>
  <c r="F107" i="26" s="1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D106" i="26"/>
  <c r="C106" i="26"/>
  <c r="F104" i="26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E104" i="26"/>
  <c r="D104" i="26"/>
  <c r="C104" i="26"/>
  <c r="E103" i="26"/>
  <c r="F103" i="26" s="1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D103" i="26"/>
  <c r="C103" i="26"/>
  <c r="C102" i="26"/>
  <c r="D102" i="26" s="1"/>
  <c r="E102" i="26" s="1"/>
  <c r="F102" i="26" s="1"/>
  <c r="G102" i="26" s="1"/>
  <c r="H102" i="26" s="1"/>
  <c r="I102" i="26" s="1"/>
  <c r="J102" i="26" s="1"/>
  <c r="K102" i="26" s="1"/>
  <c r="L102" i="26" s="1"/>
  <c r="M102" i="26" s="1"/>
  <c r="N102" i="26" s="1"/>
  <c r="O102" i="26" s="1"/>
  <c r="P102" i="26" s="1"/>
  <c r="Q102" i="26" s="1"/>
  <c r="R102" i="26" s="1"/>
  <c r="S102" i="26" s="1"/>
  <c r="T102" i="26" s="1"/>
  <c r="U102" i="26" s="1"/>
  <c r="V102" i="26" s="1"/>
  <c r="W102" i="26" s="1"/>
  <c r="X102" i="26" s="1"/>
  <c r="Y102" i="26" s="1"/>
  <c r="Z102" i="26" s="1"/>
  <c r="AA102" i="26" s="1"/>
  <c r="AB102" i="26" s="1"/>
  <c r="AC102" i="26" s="1"/>
  <c r="AD102" i="26" s="1"/>
  <c r="AE102" i="26" s="1"/>
  <c r="AF102" i="26" s="1"/>
  <c r="D101" i="26"/>
  <c r="E101" i="26" s="1"/>
  <c r="F101" i="26" s="1"/>
  <c r="G101" i="26" s="1"/>
  <c r="H101" i="26" s="1"/>
  <c r="I101" i="26" s="1"/>
  <c r="J101" i="26" s="1"/>
  <c r="K101" i="26" s="1"/>
  <c r="L101" i="26" s="1"/>
  <c r="M101" i="26" s="1"/>
  <c r="N101" i="26" s="1"/>
  <c r="O101" i="26" s="1"/>
  <c r="P101" i="26" s="1"/>
  <c r="Q101" i="26" s="1"/>
  <c r="R101" i="26" s="1"/>
  <c r="S101" i="26" s="1"/>
  <c r="T101" i="26" s="1"/>
  <c r="U101" i="26" s="1"/>
  <c r="V101" i="26" s="1"/>
  <c r="W101" i="26" s="1"/>
  <c r="X101" i="26" s="1"/>
  <c r="Y101" i="26" s="1"/>
  <c r="Z101" i="26" s="1"/>
  <c r="AA101" i="26" s="1"/>
  <c r="AB101" i="26" s="1"/>
  <c r="AC101" i="26" s="1"/>
  <c r="AD101" i="26" s="1"/>
  <c r="AE101" i="26" s="1"/>
  <c r="AF101" i="26" s="1"/>
  <c r="C101" i="26"/>
  <c r="F100" i="26"/>
  <c r="E100" i="26"/>
  <c r="D100" i="26"/>
  <c r="C100" i="26"/>
  <c r="D99" i="26"/>
  <c r="C99" i="26"/>
  <c r="AH96" i="26"/>
  <c r="AI96" i="26" s="1"/>
  <c r="AH95" i="26"/>
  <c r="AI95" i="26" s="1"/>
  <c r="AH94" i="26"/>
  <c r="AI94" i="26" s="1"/>
  <c r="AH93" i="26"/>
  <c r="AI93" i="26" s="1"/>
  <c r="AH92" i="26"/>
  <c r="AI92" i="26" s="1"/>
  <c r="B91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3" i="26"/>
  <c r="AH83" i="26"/>
  <c r="AI82" i="26"/>
  <c r="AH82" i="26"/>
  <c r="AG80" i="26"/>
  <c r="AI79" i="26"/>
  <c r="AH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T80" i="26" s="1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S80" i="26" s="1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AI72" i="26"/>
  <c r="AH72" i="26"/>
  <c r="AG70" i="26"/>
  <c r="AF70" i="26"/>
  <c r="AE70" i="26"/>
  <c r="AD70" i="26"/>
  <c r="AC70" i="26"/>
  <c r="AB70" i="26"/>
  <c r="AA70" i="26"/>
  <c r="Z70" i="26"/>
  <c r="Y70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AI70" i="26" s="1"/>
  <c r="B70" i="26"/>
  <c r="AI69" i="26"/>
  <c r="AH69" i="26"/>
  <c r="AI68" i="26"/>
  <c r="AH68" i="26"/>
  <c r="AI67" i="26"/>
  <c r="AH67" i="26"/>
  <c r="AG66" i="26"/>
  <c r="AG71" i="26" s="1"/>
  <c r="AF66" i="26"/>
  <c r="AE66" i="26"/>
  <c r="AE5" i="26" s="1"/>
  <c r="AD66" i="26"/>
  <c r="AD5" i="26" s="1"/>
  <c r="AC66" i="26"/>
  <c r="AB66" i="26"/>
  <c r="AB5" i="26" s="1"/>
  <c r="AA66" i="26"/>
  <c r="Z66" i="26"/>
  <c r="Y66" i="26"/>
  <c r="Y5" i="26" s="1"/>
  <c r="X66" i="26"/>
  <c r="X5" i="26" s="1"/>
  <c r="W66" i="26"/>
  <c r="W5" i="26" s="1"/>
  <c r="V66" i="26"/>
  <c r="V5" i="26" s="1"/>
  <c r="U66" i="26"/>
  <c r="U5" i="26" s="1"/>
  <c r="T66" i="26"/>
  <c r="T5" i="26" s="1"/>
  <c r="S66" i="26"/>
  <c r="R66" i="26"/>
  <c r="Q66" i="26"/>
  <c r="Q5" i="26" s="1"/>
  <c r="P66" i="26"/>
  <c r="P5" i="26" s="1"/>
  <c r="O66" i="26"/>
  <c r="O5" i="26" s="1"/>
  <c r="N66" i="26"/>
  <c r="M66" i="26"/>
  <c r="M5" i="26" s="1"/>
  <c r="L66" i="26"/>
  <c r="L5" i="26" s="1"/>
  <c r="K66" i="26"/>
  <c r="J66" i="26"/>
  <c r="I66" i="26"/>
  <c r="I5" i="26" s="1"/>
  <c r="H66" i="26"/>
  <c r="H5" i="26" s="1"/>
  <c r="G66" i="26"/>
  <c r="G5" i="26" s="1"/>
  <c r="F66" i="26"/>
  <c r="F5" i="26" s="1"/>
  <c r="E66" i="26"/>
  <c r="E5" i="26" s="1"/>
  <c r="D66" i="26"/>
  <c r="D5" i="26" s="1"/>
  <c r="C66" i="26"/>
  <c r="B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G54" i="26"/>
  <c r="AG4" i="26" s="1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C54" i="26"/>
  <c r="B54" i="26"/>
  <c r="AI53" i="26"/>
  <c r="AH53" i="26"/>
  <c r="AI52" i="26"/>
  <c r="AH52" i="26"/>
  <c r="AI51" i="26"/>
  <c r="AH51" i="26"/>
  <c r="AG50" i="26"/>
  <c r="AG3" i="26" s="1"/>
  <c r="Y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AG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G36" i="26"/>
  <c r="AG2" i="26" s="1"/>
  <c r="AG6" i="26" s="1"/>
  <c r="AF36" i="26"/>
  <c r="AE36" i="26"/>
  <c r="AD36" i="26"/>
  <c r="AC36" i="26"/>
  <c r="AB36" i="26"/>
  <c r="AA36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N71" i="26" s="1"/>
  <c r="M36" i="26"/>
  <c r="L36" i="26"/>
  <c r="L73" i="26" s="1"/>
  <c r="K36" i="26"/>
  <c r="J36" i="26"/>
  <c r="I36" i="26"/>
  <c r="H36" i="26"/>
  <c r="G36" i="26"/>
  <c r="F36" i="26"/>
  <c r="E36" i="26"/>
  <c r="D36" i="26"/>
  <c r="D73" i="26" s="1"/>
  <c r="V211" i="26" s="1"/>
  <c r="C36" i="26"/>
  <c r="B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C5" i="26"/>
  <c r="N5" i="26"/>
  <c r="K4" i="26"/>
  <c r="B4" i="26"/>
  <c r="AF35" i="25"/>
  <c r="AE35" i="25"/>
  <c r="AD35" i="25"/>
  <c r="AC35" i="25"/>
  <c r="AB35" i="25"/>
  <c r="T35" i="25"/>
  <c r="S35" i="25"/>
  <c r="R35" i="25"/>
  <c r="Q35" i="25"/>
  <c r="O35" i="25"/>
  <c r="N35" i="25"/>
  <c r="M35" i="25"/>
  <c r="L35" i="25"/>
  <c r="K35" i="25"/>
  <c r="J35" i="25"/>
  <c r="I35" i="25"/>
  <c r="H35" i="25"/>
  <c r="G35" i="25"/>
  <c r="AK36" i="25"/>
  <c r="AJ36" i="25"/>
  <c r="F35" i="25"/>
  <c r="E35" i="25"/>
  <c r="E4" i="26"/>
  <c r="E4" i="27"/>
  <c r="I100" i="30" l="1"/>
  <c r="G191" i="30"/>
  <c r="F197" i="30"/>
  <c r="F91" i="30"/>
  <c r="F232" i="30"/>
  <c r="G196" i="30"/>
  <c r="F189" i="30"/>
  <c r="G99" i="30"/>
  <c r="H191" i="29"/>
  <c r="G197" i="29"/>
  <c r="H100" i="29"/>
  <c r="G91" i="29"/>
  <c r="H232" i="29"/>
  <c r="I196" i="29"/>
  <c r="I99" i="29"/>
  <c r="G189" i="28"/>
  <c r="H99" i="28"/>
  <c r="J196" i="28"/>
  <c r="I232" i="28"/>
  <c r="I191" i="28"/>
  <c r="H197" i="28"/>
  <c r="G91" i="28"/>
  <c r="H100" i="28"/>
  <c r="AF80" i="27"/>
  <c r="AE80" i="27"/>
  <c r="AC80" i="27"/>
  <c r="AB80" i="27"/>
  <c r="Z80" i="27"/>
  <c r="Y71" i="27"/>
  <c r="X80" i="27"/>
  <c r="U80" i="27"/>
  <c r="T80" i="27"/>
  <c r="R80" i="27"/>
  <c r="R71" i="27"/>
  <c r="Q80" i="27"/>
  <c r="Q73" i="27"/>
  <c r="P80" i="27"/>
  <c r="P73" i="27"/>
  <c r="O80" i="27"/>
  <c r="N73" i="27"/>
  <c r="AF211" i="27" s="1"/>
  <c r="M80" i="27"/>
  <c r="M71" i="27"/>
  <c r="M73" i="27"/>
  <c r="L80" i="27"/>
  <c r="L71" i="27"/>
  <c r="AI76" i="27"/>
  <c r="I80" i="27"/>
  <c r="I71" i="27"/>
  <c r="AH77" i="27"/>
  <c r="H80" i="27"/>
  <c r="AI78" i="27"/>
  <c r="G80" i="27"/>
  <c r="J71" i="27"/>
  <c r="F73" i="27"/>
  <c r="E80" i="27"/>
  <c r="AI75" i="27"/>
  <c r="E73" i="27"/>
  <c r="W211" i="27" s="1"/>
  <c r="D80" i="27"/>
  <c r="AH66" i="27"/>
  <c r="AI54" i="27"/>
  <c r="E71" i="27"/>
  <c r="D71" i="27"/>
  <c r="AH54" i="27"/>
  <c r="B80" i="27"/>
  <c r="B73" i="27"/>
  <c r="B81" i="27" s="1"/>
  <c r="H4" i="27"/>
  <c r="X211" i="27"/>
  <c r="F7" i="27"/>
  <c r="AE211" i="27"/>
  <c r="M7" i="27"/>
  <c r="AG6" i="27"/>
  <c r="M81" i="27"/>
  <c r="AH211" i="27"/>
  <c r="P7" i="27"/>
  <c r="AI211" i="27"/>
  <c r="Q7" i="27"/>
  <c r="I73" i="27"/>
  <c r="I81" i="27" s="1"/>
  <c r="D208" i="27"/>
  <c r="S208" i="27"/>
  <c r="AH36" i="27"/>
  <c r="AG81" i="27"/>
  <c r="Y73" i="27"/>
  <c r="Y81" i="27" s="1"/>
  <c r="AI36" i="27"/>
  <c r="AH70" i="27"/>
  <c r="J73" i="27"/>
  <c r="R73" i="27"/>
  <c r="R81" i="27" s="1"/>
  <c r="AI70" i="27"/>
  <c r="Q71" i="27"/>
  <c r="Q81" i="27" s="1"/>
  <c r="AG71" i="27"/>
  <c r="F80" i="27"/>
  <c r="N80" i="27"/>
  <c r="V80" i="27"/>
  <c r="AD80" i="27"/>
  <c r="C71" i="27"/>
  <c r="C73" i="27"/>
  <c r="AF5" i="27"/>
  <c r="N7" i="27"/>
  <c r="D73" i="27"/>
  <c r="L73" i="27"/>
  <c r="L81" i="27" s="1"/>
  <c r="AH76" i="27"/>
  <c r="C91" i="27"/>
  <c r="K71" i="27"/>
  <c r="AI66" i="27"/>
  <c r="K73" i="27"/>
  <c r="I5" i="27"/>
  <c r="Q5" i="27"/>
  <c r="Y5" i="27"/>
  <c r="AH75" i="27"/>
  <c r="D91" i="27"/>
  <c r="F71" i="27"/>
  <c r="N71" i="27"/>
  <c r="AI74" i="27"/>
  <c r="AI77" i="27"/>
  <c r="AH78" i="27"/>
  <c r="S71" i="27"/>
  <c r="S73" i="27"/>
  <c r="C5" i="27"/>
  <c r="K5" i="27"/>
  <c r="S5" i="27"/>
  <c r="AA5" i="27"/>
  <c r="G71" i="27"/>
  <c r="O71" i="27"/>
  <c r="G73" i="27"/>
  <c r="G81" i="27" s="1"/>
  <c r="O73" i="27"/>
  <c r="C80" i="27"/>
  <c r="C81" i="27" s="1"/>
  <c r="K80" i="27"/>
  <c r="S80" i="27"/>
  <c r="AA80" i="27"/>
  <c r="F100" i="27"/>
  <c r="H71" i="27"/>
  <c r="P71" i="27"/>
  <c r="P81" i="27" s="1"/>
  <c r="H73" i="27"/>
  <c r="C189" i="27"/>
  <c r="AH74" i="27"/>
  <c r="D99" i="27"/>
  <c r="F196" i="27"/>
  <c r="E232" i="27"/>
  <c r="C197" i="27"/>
  <c r="D191" i="27"/>
  <c r="AE80" i="26"/>
  <c r="AB80" i="26"/>
  <c r="AA80" i="26"/>
  <c r="Z80" i="26"/>
  <c r="W80" i="26"/>
  <c r="R80" i="26"/>
  <c r="P71" i="26"/>
  <c r="P73" i="26"/>
  <c r="O80" i="26"/>
  <c r="O71" i="26"/>
  <c r="O73" i="26"/>
  <c r="AG211" i="26" s="1"/>
  <c r="M73" i="26"/>
  <c r="AE211" i="26" s="1"/>
  <c r="M71" i="26"/>
  <c r="L80" i="26"/>
  <c r="K80" i="26"/>
  <c r="J80" i="26"/>
  <c r="AI75" i="26"/>
  <c r="I71" i="26"/>
  <c r="H71" i="26"/>
  <c r="H73" i="26"/>
  <c r="H7" i="26" s="1"/>
  <c r="G80" i="26"/>
  <c r="AI54" i="26"/>
  <c r="G73" i="26"/>
  <c r="Y211" i="26" s="1"/>
  <c r="G71" i="26"/>
  <c r="F71" i="26"/>
  <c r="AI77" i="26"/>
  <c r="E73" i="26"/>
  <c r="W211" i="26" s="1"/>
  <c r="E71" i="26"/>
  <c r="D80" i="26"/>
  <c r="C80" i="26"/>
  <c r="AI74" i="26"/>
  <c r="AH76" i="26"/>
  <c r="AI76" i="26"/>
  <c r="AH54" i="26"/>
  <c r="AH36" i="26"/>
  <c r="AI36" i="26"/>
  <c r="B80" i="26"/>
  <c r="AH75" i="26"/>
  <c r="AI66" i="26"/>
  <c r="H4" i="26"/>
  <c r="AD211" i="26"/>
  <c r="L7" i="26"/>
  <c r="S208" i="26"/>
  <c r="D208" i="26"/>
  <c r="D71" i="26"/>
  <c r="D81" i="26" s="1"/>
  <c r="L71" i="26"/>
  <c r="L81" i="26" s="1"/>
  <c r="Y71" i="26"/>
  <c r="E80" i="26"/>
  <c r="M80" i="26"/>
  <c r="M81" i="26" s="1"/>
  <c r="U80" i="26"/>
  <c r="AC80" i="26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S5" i="26"/>
  <c r="S71" i="26"/>
  <c r="AA5" i="26"/>
  <c r="G81" i="26"/>
  <c r="O81" i="26"/>
  <c r="H80" i="26"/>
  <c r="P80" i="26"/>
  <c r="P81" i="26" s="1"/>
  <c r="X80" i="26"/>
  <c r="AF80" i="26"/>
  <c r="F80" i="26"/>
  <c r="N80" i="26"/>
  <c r="V80" i="26"/>
  <c r="AD80" i="26"/>
  <c r="G100" i="26"/>
  <c r="Z211" i="26"/>
  <c r="AH211" i="26"/>
  <c r="P7" i="26"/>
  <c r="I80" i="26"/>
  <c r="Q80" i="26"/>
  <c r="Y80" i="26"/>
  <c r="AH74" i="26"/>
  <c r="E99" i="26"/>
  <c r="K71" i="26"/>
  <c r="K5" i="26"/>
  <c r="AH78" i="26"/>
  <c r="Y73" i="26"/>
  <c r="C5" i="26"/>
  <c r="C71" i="26"/>
  <c r="D7" i="26"/>
  <c r="K73" i="26"/>
  <c r="I73" i="26"/>
  <c r="Q73" i="26"/>
  <c r="AG73" i="26"/>
  <c r="AG81" i="26" s="1"/>
  <c r="Q71" i="26"/>
  <c r="M7" i="26"/>
  <c r="B5" i="26"/>
  <c r="B71" i="26"/>
  <c r="J5" i="26"/>
  <c r="J71" i="26"/>
  <c r="R5" i="26"/>
  <c r="R71" i="26"/>
  <c r="Z5" i="26"/>
  <c r="AH66" i="26"/>
  <c r="J73" i="26"/>
  <c r="R73" i="26"/>
  <c r="AH70" i="26"/>
  <c r="C73" i="26"/>
  <c r="S73" i="26"/>
  <c r="AI78" i="26"/>
  <c r="F73" i="26"/>
  <c r="N73" i="26"/>
  <c r="AH77" i="26"/>
  <c r="E106" i="26"/>
  <c r="C189" i="26"/>
  <c r="C197" i="26"/>
  <c r="D191" i="26"/>
  <c r="D91" i="26" s="1"/>
  <c r="F196" i="26"/>
  <c r="H191" i="30" l="1"/>
  <c r="G197" i="30"/>
  <c r="G91" i="30"/>
  <c r="G189" i="30"/>
  <c r="H99" i="30"/>
  <c r="G232" i="30"/>
  <c r="H196" i="30"/>
  <c r="J100" i="30"/>
  <c r="I100" i="29"/>
  <c r="H91" i="29"/>
  <c r="H197" i="29"/>
  <c r="I191" i="29"/>
  <c r="I189" i="29"/>
  <c r="J99" i="29"/>
  <c r="H189" i="29"/>
  <c r="J196" i="29"/>
  <c r="I232" i="29"/>
  <c r="J191" i="28"/>
  <c r="I197" i="28"/>
  <c r="K196" i="28"/>
  <c r="J232" i="28"/>
  <c r="I100" i="28"/>
  <c r="H91" i="28"/>
  <c r="H189" i="28"/>
  <c r="I99" i="28"/>
  <c r="S81" i="27"/>
  <c r="O81" i="27"/>
  <c r="N81" i="27"/>
  <c r="K81" i="27"/>
  <c r="H81" i="27"/>
  <c r="C206" i="27"/>
  <c r="F81" i="27"/>
  <c r="E81" i="27"/>
  <c r="E7" i="27"/>
  <c r="D81" i="27"/>
  <c r="AQ211" i="27"/>
  <c r="Y7" i="27"/>
  <c r="F232" i="27"/>
  <c r="G196" i="27"/>
  <c r="G100" i="27"/>
  <c r="U211" i="27"/>
  <c r="C7" i="27"/>
  <c r="B206" i="27"/>
  <c r="D189" i="27"/>
  <c r="E99" i="27"/>
  <c r="AG211" i="27"/>
  <c r="O7" i="27"/>
  <c r="AI80" i="27"/>
  <c r="AH80" i="27"/>
  <c r="AD211" i="27"/>
  <c r="L7" i="27"/>
  <c r="T211" i="27"/>
  <c r="B7" i="27"/>
  <c r="Y211" i="27"/>
  <c r="G7" i="27"/>
  <c r="AJ211" i="27"/>
  <c r="R7" i="27"/>
  <c r="V211" i="27"/>
  <c r="D7" i="27"/>
  <c r="AB211" i="27"/>
  <c r="J7" i="27"/>
  <c r="D197" i="27"/>
  <c r="E191" i="27"/>
  <c r="J81" i="27"/>
  <c r="Z211" i="27"/>
  <c r="H7" i="27"/>
  <c r="AK211" i="27"/>
  <c r="S7" i="27"/>
  <c r="AC211" i="27"/>
  <c r="K7" i="27"/>
  <c r="AA211" i="27"/>
  <c r="I7" i="27"/>
  <c r="Y81" i="26"/>
  <c r="S81" i="26"/>
  <c r="Q81" i="26"/>
  <c r="O7" i="26"/>
  <c r="H81" i="26"/>
  <c r="K81" i="26"/>
  <c r="G7" i="26"/>
  <c r="E81" i="26"/>
  <c r="E7" i="26"/>
  <c r="C81" i="26"/>
  <c r="AH80" i="26"/>
  <c r="AI211" i="26"/>
  <c r="Q7" i="26"/>
  <c r="F232" i="26"/>
  <c r="G196" i="26"/>
  <c r="J81" i="26"/>
  <c r="AA211" i="26"/>
  <c r="I7" i="26"/>
  <c r="AI80" i="26"/>
  <c r="D197" i="26"/>
  <c r="E191" i="26"/>
  <c r="AF211" i="26"/>
  <c r="N7" i="26"/>
  <c r="AJ211" i="26"/>
  <c r="R7" i="26"/>
  <c r="AC211" i="26"/>
  <c r="K7" i="26"/>
  <c r="X211" i="26"/>
  <c r="C206" i="26"/>
  <c r="B206" i="26"/>
  <c r="F7" i="26"/>
  <c r="AB211" i="26"/>
  <c r="J7" i="26"/>
  <c r="B73" i="26"/>
  <c r="B81" i="26" s="1"/>
  <c r="N81" i="26"/>
  <c r="AQ211" i="26"/>
  <c r="Y7" i="26"/>
  <c r="E91" i="26"/>
  <c r="F106" i="26"/>
  <c r="E189" i="26"/>
  <c r="F99" i="26"/>
  <c r="H100" i="26"/>
  <c r="I81" i="26"/>
  <c r="AK211" i="26"/>
  <c r="S7" i="26"/>
  <c r="F81" i="26"/>
  <c r="D189" i="26"/>
  <c r="U211" i="26"/>
  <c r="C7" i="26"/>
  <c r="R81" i="26"/>
  <c r="H232" i="30" l="1"/>
  <c r="I196" i="30"/>
  <c r="H189" i="30"/>
  <c r="I99" i="30"/>
  <c r="K100" i="30"/>
  <c r="H197" i="30"/>
  <c r="I191" i="30"/>
  <c r="H91" i="30"/>
  <c r="K99" i="29"/>
  <c r="I197" i="29"/>
  <c r="J191" i="29"/>
  <c r="J100" i="29"/>
  <c r="I91" i="29"/>
  <c r="K196" i="29"/>
  <c r="J232" i="29"/>
  <c r="J100" i="28"/>
  <c r="I91" i="28"/>
  <c r="I189" i="28"/>
  <c r="J99" i="28"/>
  <c r="L196" i="28"/>
  <c r="K232" i="28"/>
  <c r="J197" i="28"/>
  <c r="K191" i="28"/>
  <c r="K6" i="27"/>
  <c r="H100" i="27"/>
  <c r="E189" i="27"/>
  <c r="F99" i="27"/>
  <c r="G232" i="27"/>
  <c r="H196" i="27"/>
  <c r="F191" i="27"/>
  <c r="E197" i="27"/>
  <c r="E91" i="27"/>
  <c r="G232" i="26"/>
  <c r="H196" i="26"/>
  <c r="K6" i="26"/>
  <c r="I100" i="26"/>
  <c r="F191" i="26"/>
  <c r="E197" i="26"/>
  <c r="F189" i="26"/>
  <c r="G99" i="26"/>
  <c r="G106" i="26"/>
  <c r="F91" i="26"/>
  <c r="T211" i="26"/>
  <c r="B7" i="26"/>
  <c r="L100" i="30" l="1"/>
  <c r="J191" i="30"/>
  <c r="I197" i="30"/>
  <c r="I91" i="30"/>
  <c r="I189" i="30"/>
  <c r="J99" i="30"/>
  <c r="J196" i="30"/>
  <c r="I232" i="30"/>
  <c r="K100" i="29"/>
  <c r="J91" i="29"/>
  <c r="J197" i="29"/>
  <c r="K191" i="29"/>
  <c r="K189" i="29"/>
  <c r="L99" i="29"/>
  <c r="L196" i="29"/>
  <c r="K232" i="29"/>
  <c r="J189" i="29"/>
  <c r="K197" i="28"/>
  <c r="L191" i="28"/>
  <c r="L232" i="28"/>
  <c r="M196" i="28"/>
  <c r="J189" i="28"/>
  <c r="K99" i="28"/>
  <c r="K100" i="28"/>
  <c r="J91" i="28"/>
  <c r="G191" i="27"/>
  <c r="F197" i="27"/>
  <c r="F91" i="27"/>
  <c r="H232" i="27"/>
  <c r="I196" i="27"/>
  <c r="F189" i="27"/>
  <c r="G99" i="27"/>
  <c r="I100" i="27"/>
  <c r="G191" i="26"/>
  <c r="F197" i="26"/>
  <c r="H106" i="26"/>
  <c r="G91" i="26"/>
  <c r="J100" i="26"/>
  <c r="H232" i="26"/>
  <c r="I196" i="26"/>
  <c r="G189" i="26"/>
  <c r="H99" i="26"/>
  <c r="J189" i="30" l="1"/>
  <c r="K99" i="30"/>
  <c r="K196" i="30"/>
  <c r="J232" i="30"/>
  <c r="J197" i="30"/>
  <c r="K191" i="30"/>
  <c r="J91" i="30"/>
  <c r="M100" i="30"/>
  <c r="M196" i="29"/>
  <c r="L232" i="29"/>
  <c r="M99" i="29"/>
  <c r="K197" i="29"/>
  <c r="L191" i="29"/>
  <c r="L100" i="29"/>
  <c r="K91" i="29"/>
  <c r="N196" i="28"/>
  <c r="M232" i="28"/>
  <c r="L100" i="28"/>
  <c r="K91" i="28"/>
  <c r="K189" i="28"/>
  <c r="L99" i="28"/>
  <c r="L197" i="28"/>
  <c r="M191" i="28"/>
  <c r="G189" i="27"/>
  <c r="H99" i="27"/>
  <c r="J196" i="27"/>
  <c r="I232" i="27"/>
  <c r="J100" i="27"/>
  <c r="H191" i="27"/>
  <c r="G197" i="27"/>
  <c r="G91" i="27"/>
  <c r="I106" i="26"/>
  <c r="K100" i="26"/>
  <c r="H191" i="26"/>
  <c r="G197" i="26"/>
  <c r="H189" i="26"/>
  <c r="I99" i="26"/>
  <c r="J196" i="26"/>
  <c r="I232" i="26"/>
  <c r="K197" i="30" l="1"/>
  <c r="L191" i="30"/>
  <c r="K91" i="30"/>
  <c r="K232" i="30"/>
  <c r="L196" i="30"/>
  <c r="K189" i="30"/>
  <c r="L99" i="30"/>
  <c r="N100" i="30"/>
  <c r="L197" i="29"/>
  <c r="M191" i="29"/>
  <c r="M100" i="29"/>
  <c r="L91" i="29"/>
  <c r="M189" i="29"/>
  <c r="N99" i="29"/>
  <c r="L189" i="29"/>
  <c r="N196" i="29"/>
  <c r="M232" i="29"/>
  <c r="M197" i="28"/>
  <c r="N191" i="28"/>
  <c r="L189" i="28"/>
  <c r="M99" i="28"/>
  <c r="M100" i="28"/>
  <c r="L91" i="28"/>
  <c r="N232" i="28"/>
  <c r="O196" i="28"/>
  <c r="K100" i="27"/>
  <c r="J232" i="27"/>
  <c r="K196" i="27"/>
  <c r="H189" i="27"/>
  <c r="I99" i="27"/>
  <c r="I191" i="27"/>
  <c r="H197" i="27"/>
  <c r="H91" i="27"/>
  <c r="I189" i="26"/>
  <c r="J99" i="26"/>
  <c r="I191" i="26"/>
  <c r="H197" i="26"/>
  <c r="L100" i="26"/>
  <c r="H91" i="26"/>
  <c r="K196" i="26"/>
  <c r="J232" i="26"/>
  <c r="J106" i="26"/>
  <c r="I91" i="26"/>
  <c r="L189" i="30" l="1"/>
  <c r="M99" i="30"/>
  <c r="L232" i="30"/>
  <c r="M196" i="30"/>
  <c r="M191" i="30"/>
  <c r="L197" i="30"/>
  <c r="L91" i="30"/>
  <c r="O100" i="30"/>
  <c r="O99" i="29"/>
  <c r="N100" i="29"/>
  <c r="M91" i="29"/>
  <c r="N232" i="29"/>
  <c r="O196" i="29"/>
  <c r="M197" i="29"/>
  <c r="N191" i="29"/>
  <c r="M91" i="28"/>
  <c r="N100" i="28"/>
  <c r="M189" i="28"/>
  <c r="N99" i="28"/>
  <c r="O232" i="28"/>
  <c r="P196" i="28"/>
  <c r="O191" i="28"/>
  <c r="N197" i="28"/>
  <c r="I197" i="27"/>
  <c r="J191" i="27"/>
  <c r="I91" i="27"/>
  <c r="I189" i="27"/>
  <c r="J99" i="27"/>
  <c r="K232" i="27"/>
  <c r="L196" i="27"/>
  <c r="L100" i="27"/>
  <c r="M100" i="26"/>
  <c r="I197" i="26"/>
  <c r="J191" i="26"/>
  <c r="K106" i="26"/>
  <c r="J91" i="26"/>
  <c r="J189" i="26"/>
  <c r="K99" i="26"/>
  <c r="K232" i="26"/>
  <c r="L196" i="26"/>
  <c r="M197" i="30" l="1"/>
  <c r="N191" i="30"/>
  <c r="M91" i="30"/>
  <c r="N196" i="30"/>
  <c r="M232" i="30"/>
  <c r="P100" i="30"/>
  <c r="M189" i="30"/>
  <c r="N99" i="30"/>
  <c r="O232" i="29"/>
  <c r="P196" i="29"/>
  <c r="O191" i="29"/>
  <c r="N197" i="29"/>
  <c r="N91" i="29"/>
  <c r="O100" i="29"/>
  <c r="O189" i="29"/>
  <c r="P99" i="29"/>
  <c r="N189" i="29"/>
  <c r="P232" i="28"/>
  <c r="Q196" i="28"/>
  <c r="P191" i="28"/>
  <c r="O197" i="28"/>
  <c r="N189" i="28"/>
  <c r="O99" i="28"/>
  <c r="O100" i="28"/>
  <c r="N91" i="28"/>
  <c r="M100" i="27"/>
  <c r="L232" i="27"/>
  <c r="M196" i="27"/>
  <c r="J189" i="27"/>
  <c r="K99" i="27"/>
  <c r="J197" i="27"/>
  <c r="K191" i="27"/>
  <c r="J91" i="27"/>
  <c r="K189" i="26"/>
  <c r="L99" i="26"/>
  <c r="L232" i="26"/>
  <c r="M196" i="26"/>
  <c r="L106" i="26"/>
  <c r="K91" i="26"/>
  <c r="J197" i="26"/>
  <c r="K191" i="26"/>
  <c r="N100" i="26"/>
  <c r="N232" i="30" l="1"/>
  <c r="O196" i="30"/>
  <c r="O191" i="30"/>
  <c r="N197" i="30"/>
  <c r="N91" i="30"/>
  <c r="Q100" i="30"/>
  <c r="N189" i="30"/>
  <c r="O99" i="30"/>
  <c r="Q99" i="29"/>
  <c r="P100" i="29"/>
  <c r="O91" i="29"/>
  <c r="P191" i="29"/>
  <c r="O197" i="29"/>
  <c r="P232" i="29"/>
  <c r="Q196" i="29"/>
  <c r="O91" i="28"/>
  <c r="P100" i="28"/>
  <c r="O189" i="28"/>
  <c r="P99" i="28"/>
  <c r="P197" i="28"/>
  <c r="Q191" i="28"/>
  <c r="R196" i="28"/>
  <c r="Q232" i="28"/>
  <c r="M232" i="27"/>
  <c r="N196" i="27"/>
  <c r="K189" i="27"/>
  <c r="L99" i="27"/>
  <c r="K197" i="27"/>
  <c r="L191" i="27"/>
  <c r="K91" i="27"/>
  <c r="N100" i="27"/>
  <c r="K197" i="26"/>
  <c r="L191" i="26"/>
  <c r="M232" i="26"/>
  <c r="N196" i="26"/>
  <c r="O100" i="26"/>
  <c r="L189" i="26"/>
  <c r="M99" i="26"/>
  <c r="M106" i="26"/>
  <c r="L91" i="26"/>
  <c r="R100" i="30" l="1"/>
  <c r="P191" i="30"/>
  <c r="O197" i="30"/>
  <c r="O91" i="30"/>
  <c r="O232" i="30"/>
  <c r="P196" i="30"/>
  <c r="O189" i="30"/>
  <c r="P99" i="30"/>
  <c r="P197" i="29"/>
  <c r="Q191" i="29"/>
  <c r="Q100" i="29"/>
  <c r="P91" i="29"/>
  <c r="Q189" i="29"/>
  <c r="R99" i="29"/>
  <c r="R196" i="29"/>
  <c r="Q232" i="29"/>
  <c r="P189" i="29"/>
  <c r="R232" i="28"/>
  <c r="S196" i="28"/>
  <c r="R191" i="28"/>
  <c r="Q197" i="28"/>
  <c r="P189" i="28"/>
  <c r="Q99" i="28"/>
  <c r="Q100" i="28"/>
  <c r="P91" i="28"/>
  <c r="L197" i="27"/>
  <c r="M191" i="27"/>
  <c r="L91" i="27"/>
  <c r="L189" i="27"/>
  <c r="M99" i="27"/>
  <c r="N232" i="27"/>
  <c r="O196" i="27"/>
  <c r="O100" i="27"/>
  <c r="M189" i="26"/>
  <c r="N99" i="26"/>
  <c r="P100" i="26"/>
  <c r="N232" i="26"/>
  <c r="O196" i="26"/>
  <c r="L197" i="26"/>
  <c r="M191" i="26"/>
  <c r="N106" i="26"/>
  <c r="P232" i="30" l="1"/>
  <c r="Q196" i="30"/>
  <c r="P197" i="30"/>
  <c r="Q191" i="30"/>
  <c r="P91" i="30"/>
  <c r="P189" i="30"/>
  <c r="Q99" i="30"/>
  <c r="S100" i="30"/>
  <c r="S196" i="29"/>
  <c r="R232" i="29"/>
  <c r="S99" i="29"/>
  <c r="R100" i="29"/>
  <c r="R189" i="29" s="1"/>
  <c r="Q91" i="29"/>
  <c r="R191" i="29"/>
  <c r="Q197" i="29"/>
  <c r="Q91" i="28"/>
  <c r="R100" i="28"/>
  <c r="Q189" i="28"/>
  <c r="R99" i="28"/>
  <c r="T196" i="28"/>
  <c r="S232" i="28"/>
  <c r="R197" i="28"/>
  <c r="S191" i="28"/>
  <c r="P100" i="27"/>
  <c r="O232" i="27"/>
  <c r="P196" i="27"/>
  <c r="M189" i="27"/>
  <c r="N99" i="27"/>
  <c r="M197" i="27"/>
  <c r="N191" i="27"/>
  <c r="M91" i="27"/>
  <c r="N191" i="26"/>
  <c r="M197" i="26"/>
  <c r="M91" i="26"/>
  <c r="N189" i="26"/>
  <c r="O99" i="26"/>
  <c r="O232" i="26"/>
  <c r="P196" i="26"/>
  <c r="Q100" i="26"/>
  <c r="O106" i="26"/>
  <c r="N91" i="26"/>
  <c r="T100" i="30" l="1"/>
  <c r="R191" i="30"/>
  <c r="Q197" i="30"/>
  <c r="Q91" i="30"/>
  <c r="Q189" i="30"/>
  <c r="R99" i="30"/>
  <c r="R196" i="30"/>
  <c r="Q232" i="30"/>
  <c r="R197" i="29"/>
  <c r="S191" i="29"/>
  <c r="S100" i="29"/>
  <c r="R91" i="29"/>
  <c r="S189" i="29"/>
  <c r="T99" i="29"/>
  <c r="S232" i="29"/>
  <c r="T196" i="29"/>
  <c r="U196" i="28"/>
  <c r="T232" i="28"/>
  <c r="S197" i="28"/>
  <c r="T191" i="28"/>
  <c r="R189" i="28"/>
  <c r="S99" i="28"/>
  <c r="S100" i="28"/>
  <c r="R91" i="28"/>
  <c r="O191" i="27"/>
  <c r="N197" i="27"/>
  <c r="N91" i="27"/>
  <c r="N189" i="27"/>
  <c r="O99" i="27"/>
  <c r="P232" i="27"/>
  <c r="Q196" i="27"/>
  <c r="Q100" i="27"/>
  <c r="R100" i="26"/>
  <c r="O189" i="26"/>
  <c r="P99" i="26"/>
  <c r="P232" i="26"/>
  <c r="Q196" i="26"/>
  <c r="P106" i="26"/>
  <c r="O91" i="26"/>
  <c r="O191" i="26"/>
  <c r="N197" i="26"/>
  <c r="R232" i="30" l="1"/>
  <c r="S196" i="30"/>
  <c r="R197" i="30"/>
  <c r="S191" i="30"/>
  <c r="R91" i="30"/>
  <c r="R189" i="30"/>
  <c r="S99" i="30"/>
  <c r="U100" i="30"/>
  <c r="U99" i="29"/>
  <c r="T100" i="29"/>
  <c r="S91" i="29"/>
  <c r="S197" i="29"/>
  <c r="T191" i="29"/>
  <c r="U196" i="29"/>
  <c r="T232" i="29"/>
  <c r="V196" i="28"/>
  <c r="U232" i="28"/>
  <c r="T197" i="28"/>
  <c r="T49" i="28" s="1"/>
  <c r="U191" i="28"/>
  <c r="T100" i="28"/>
  <c r="S91" i="28"/>
  <c r="S189" i="28"/>
  <c r="T99" i="28"/>
  <c r="R196" i="27"/>
  <c r="Q232" i="27"/>
  <c r="R100" i="27"/>
  <c r="O189" i="27"/>
  <c r="P99" i="27"/>
  <c r="P191" i="27"/>
  <c r="O197" i="27"/>
  <c r="O91" i="27"/>
  <c r="R196" i="26"/>
  <c r="Q232" i="26"/>
  <c r="P189" i="26"/>
  <c r="Q99" i="26"/>
  <c r="Q106" i="26"/>
  <c r="P91" i="26"/>
  <c r="P191" i="26"/>
  <c r="O197" i="26"/>
  <c r="S100" i="26"/>
  <c r="S189" i="30" l="1"/>
  <c r="T99" i="30"/>
  <c r="S197" i="30"/>
  <c r="T191" i="30"/>
  <c r="S91" i="30"/>
  <c r="S232" i="30"/>
  <c r="T196" i="30"/>
  <c r="V100" i="30"/>
  <c r="U232" i="29"/>
  <c r="V196" i="29"/>
  <c r="T197" i="29"/>
  <c r="T49" i="29" s="1"/>
  <c r="U191" i="29"/>
  <c r="V99" i="29"/>
  <c r="U100" i="29"/>
  <c r="T91" i="29"/>
  <c r="T189" i="29"/>
  <c r="T189" i="28"/>
  <c r="U99" i="28"/>
  <c r="U197" i="28"/>
  <c r="U49" i="28" s="1"/>
  <c r="U50" i="28" s="1"/>
  <c r="V191" i="28"/>
  <c r="T50" i="28"/>
  <c r="U100" i="28"/>
  <c r="T91" i="28"/>
  <c r="V232" i="28"/>
  <c r="W196" i="28"/>
  <c r="Q191" i="27"/>
  <c r="P197" i="27"/>
  <c r="P91" i="27"/>
  <c r="P189" i="27"/>
  <c r="Q99" i="27"/>
  <c r="S100" i="27"/>
  <c r="S196" i="27"/>
  <c r="R232" i="27"/>
  <c r="Q191" i="26"/>
  <c r="P197" i="26"/>
  <c r="R99" i="26"/>
  <c r="Q189" i="26"/>
  <c r="R106" i="26"/>
  <c r="Q91" i="26"/>
  <c r="T100" i="26"/>
  <c r="S196" i="26"/>
  <c r="R232" i="26"/>
  <c r="U191" i="30" l="1"/>
  <c r="T197" i="30"/>
  <c r="T49" i="30" s="1"/>
  <c r="T91" i="30"/>
  <c r="W100" i="30"/>
  <c r="T232" i="30"/>
  <c r="U196" i="30"/>
  <c r="T189" i="30"/>
  <c r="U99" i="30"/>
  <c r="U197" i="29"/>
  <c r="U49" i="29" s="1"/>
  <c r="U50" i="29" s="1"/>
  <c r="V191" i="29"/>
  <c r="V189" i="29"/>
  <c r="W99" i="29"/>
  <c r="T50" i="29"/>
  <c r="V232" i="29"/>
  <c r="W196" i="29"/>
  <c r="V100" i="29"/>
  <c r="U91" i="29"/>
  <c r="U189" i="29"/>
  <c r="T73" i="28"/>
  <c r="T71" i="28"/>
  <c r="U91" i="28"/>
  <c r="V100" i="28"/>
  <c r="W191" i="28"/>
  <c r="V197" i="28"/>
  <c r="V49" i="28" s="1"/>
  <c r="W232" i="28"/>
  <c r="X196" i="28"/>
  <c r="U73" i="28"/>
  <c r="U71" i="28"/>
  <c r="U189" i="28"/>
  <c r="V99" i="28"/>
  <c r="T100" i="27"/>
  <c r="Q189" i="27"/>
  <c r="R99" i="27"/>
  <c r="S232" i="27"/>
  <c r="T196" i="27"/>
  <c r="R191" i="27"/>
  <c r="Q197" i="27"/>
  <c r="Q91" i="27"/>
  <c r="U100" i="26"/>
  <c r="S106" i="26"/>
  <c r="R91" i="26"/>
  <c r="S99" i="26"/>
  <c r="R189" i="26"/>
  <c r="S232" i="26"/>
  <c r="T196" i="26"/>
  <c r="Q197" i="26"/>
  <c r="R191" i="26"/>
  <c r="X100" i="30" l="1"/>
  <c r="V196" i="30"/>
  <c r="U232" i="30"/>
  <c r="T50" i="30"/>
  <c r="U189" i="30"/>
  <c r="V99" i="30"/>
  <c r="V191" i="30"/>
  <c r="U197" i="30"/>
  <c r="U49" i="30" s="1"/>
  <c r="U50" i="30" s="1"/>
  <c r="U91" i="30"/>
  <c r="T71" i="29"/>
  <c r="T73" i="29"/>
  <c r="V91" i="29"/>
  <c r="W100" i="29"/>
  <c r="W191" i="29"/>
  <c r="V197" i="29"/>
  <c r="V49" i="29" s="1"/>
  <c r="X99" i="29"/>
  <c r="W232" i="29"/>
  <c r="X196" i="29"/>
  <c r="U71" i="29"/>
  <c r="U73" i="29"/>
  <c r="U81" i="28"/>
  <c r="V50" i="28"/>
  <c r="X191" i="28"/>
  <c r="W197" i="28"/>
  <c r="W49" i="28" s="1"/>
  <c r="W50" i="28" s="1"/>
  <c r="T81" i="28"/>
  <c r="V189" i="28"/>
  <c r="W99" i="28"/>
  <c r="W100" i="28"/>
  <c r="V91" i="28"/>
  <c r="AM211" i="28"/>
  <c r="U7" i="28"/>
  <c r="X232" i="28"/>
  <c r="Y196" i="28"/>
  <c r="AL211" i="28"/>
  <c r="T7" i="28"/>
  <c r="R197" i="27"/>
  <c r="S191" i="27"/>
  <c r="R91" i="27"/>
  <c r="U196" i="27"/>
  <c r="T232" i="27"/>
  <c r="R189" i="27"/>
  <c r="S99" i="27"/>
  <c r="U100" i="27"/>
  <c r="S189" i="26"/>
  <c r="T99" i="26"/>
  <c r="T232" i="26"/>
  <c r="U196" i="26"/>
  <c r="T106" i="26"/>
  <c r="S91" i="26"/>
  <c r="R197" i="26"/>
  <c r="S191" i="26"/>
  <c r="V100" i="26"/>
  <c r="T73" i="30" l="1"/>
  <c r="T71" i="30"/>
  <c r="U71" i="30"/>
  <c r="U73" i="30"/>
  <c r="V232" i="30"/>
  <c r="W196" i="30"/>
  <c r="W191" i="30"/>
  <c r="V197" i="30"/>
  <c r="V49" i="30" s="1"/>
  <c r="V91" i="30"/>
  <c r="V189" i="30"/>
  <c r="W99" i="30"/>
  <c r="Y100" i="30"/>
  <c r="X100" i="29"/>
  <c r="W91" i="29"/>
  <c r="X232" i="29"/>
  <c r="Y196" i="29"/>
  <c r="X191" i="29"/>
  <c r="W197" i="29"/>
  <c r="W49" i="29" s="1"/>
  <c r="W50" i="29" s="1"/>
  <c r="U81" i="29"/>
  <c r="X189" i="29"/>
  <c r="Y99" i="29"/>
  <c r="AL211" i="29"/>
  <c r="T7" i="29"/>
  <c r="V50" i="29"/>
  <c r="AM211" i="29"/>
  <c r="U7" i="29"/>
  <c r="W189" i="29"/>
  <c r="T81" i="29"/>
  <c r="W71" i="28"/>
  <c r="W73" i="28"/>
  <c r="X197" i="28"/>
  <c r="X49" i="28" s="1"/>
  <c r="X50" i="28" s="1"/>
  <c r="Y191" i="28"/>
  <c r="W91" i="28"/>
  <c r="X100" i="28"/>
  <c r="W189" i="28"/>
  <c r="X99" i="28"/>
  <c r="Z196" i="28"/>
  <c r="Y232" i="28"/>
  <c r="V73" i="28"/>
  <c r="V71" i="28"/>
  <c r="V100" i="27"/>
  <c r="S189" i="27"/>
  <c r="T99" i="27"/>
  <c r="V196" i="27"/>
  <c r="U232" i="27"/>
  <c r="S197" i="27"/>
  <c r="T191" i="27"/>
  <c r="S91" i="27"/>
  <c r="S197" i="26"/>
  <c r="T191" i="26"/>
  <c r="U106" i="26"/>
  <c r="T91" i="26"/>
  <c r="U232" i="26"/>
  <c r="V196" i="26"/>
  <c r="W100" i="26"/>
  <c r="T189" i="26"/>
  <c r="U99" i="26"/>
  <c r="W232" i="30" l="1"/>
  <c r="X196" i="30"/>
  <c r="AM211" i="30"/>
  <c r="U7" i="30"/>
  <c r="U81" i="30"/>
  <c r="Z100" i="30"/>
  <c r="V50" i="30"/>
  <c r="T81" i="30"/>
  <c r="W189" i="30"/>
  <c r="X99" i="30"/>
  <c r="X191" i="30"/>
  <c r="W197" i="30"/>
  <c r="W49" i="30" s="1"/>
  <c r="W50" i="30" s="1"/>
  <c r="W91" i="30"/>
  <c r="AL211" i="30"/>
  <c r="T7" i="30"/>
  <c r="V73" i="29"/>
  <c r="V71" i="29"/>
  <c r="W71" i="29"/>
  <c r="W73" i="29"/>
  <c r="X197" i="29"/>
  <c r="X49" i="29" s="1"/>
  <c r="Y191" i="29"/>
  <c r="Z196" i="29"/>
  <c r="Y232" i="29"/>
  <c r="Z99" i="29"/>
  <c r="Y100" i="29"/>
  <c r="Y189" i="29" s="1"/>
  <c r="X91" i="29"/>
  <c r="AN211" i="28"/>
  <c r="V7" i="28"/>
  <c r="Y100" i="28"/>
  <c r="X91" i="28"/>
  <c r="Z232" i="28"/>
  <c r="AA196" i="28"/>
  <c r="X189" i="28"/>
  <c r="Y99" i="28"/>
  <c r="Z191" i="28"/>
  <c r="Y197" i="28"/>
  <c r="X73" i="28"/>
  <c r="X71" i="28"/>
  <c r="AO211" i="28"/>
  <c r="W7" i="28"/>
  <c r="V81" i="28"/>
  <c r="W81" i="28"/>
  <c r="U191" i="27"/>
  <c r="T197" i="27"/>
  <c r="T49" i="27" s="1"/>
  <c r="T91" i="27"/>
  <c r="T189" i="27"/>
  <c r="U99" i="27"/>
  <c r="V232" i="27"/>
  <c r="W196" i="27"/>
  <c r="W100" i="27"/>
  <c r="X100" i="26"/>
  <c r="V106" i="26"/>
  <c r="U189" i="26"/>
  <c r="V99" i="26"/>
  <c r="T197" i="26"/>
  <c r="T49" i="26" s="1"/>
  <c r="U191" i="26"/>
  <c r="V232" i="26"/>
  <c r="W196" i="26"/>
  <c r="V73" i="30" l="1"/>
  <c r="V71" i="30"/>
  <c r="X197" i="30"/>
  <c r="X49" i="30" s="1"/>
  <c r="X50" i="30" s="1"/>
  <c r="Y191" i="30"/>
  <c r="X91" i="30"/>
  <c r="X189" i="30"/>
  <c r="Y99" i="30"/>
  <c r="AA100" i="30"/>
  <c r="X232" i="30"/>
  <c r="Y196" i="30"/>
  <c r="W71" i="30"/>
  <c r="W73" i="30"/>
  <c r="W81" i="29"/>
  <c r="X50" i="29"/>
  <c r="AO211" i="29"/>
  <c r="W7" i="29"/>
  <c r="Z100" i="29"/>
  <c r="Y91" i="29"/>
  <c r="Z189" i="29"/>
  <c r="AA99" i="29"/>
  <c r="Y197" i="29"/>
  <c r="Z191" i="29"/>
  <c r="V81" i="29"/>
  <c r="AA196" i="29"/>
  <c r="Z232" i="29"/>
  <c r="AN211" i="29"/>
  <c r="V7" i="29"/>
  <c r="X81" i="28"/>
  <c r="AB196" i="28"/>
  <c r="AA232" i="28"/>
  <c r="AP211" i="28"/>
  <c r="X7" i="28"/>
  <c r="Y91" i="28"/>
  <c r="Z100" i="28"/>
  <c r="Z197" i="28"/>
  <c r="Z49" i="28" s="1"/>
  <c r="AA191" i="28"/>
  <c r="Y189" i="28"/>
  <c r="Z99" i="28"/>
  <c r="X100" i="27"/>
  <c r="W232" i="27"/>
  <c r="X196" i="27"/>
  <c r="U189" i="27"/>
  <c r="V99" i="27"/>
  <c r="T50" i="27"/>
  <c r="U197" i="27"/>
  <c r="U49" i="27" s="1"/>
  <c r="U50" i="27" s="1"/>
  <c r="V191" i="27"/>
  <c r="U91" i="27"/>
  <c r="V191" i="26"/>
  <c r="U197" i="26"/>
  <c r="U49" i="26" s="1"/>
  <c r="U50" i="26" s="1"/>
  <c r="T50" i="26"/>
  <c r="V189" i="26"/>
  <c r="W99" i="26"/>
  <c r="W106" i="26"/>
  <c r="V91" i="26"/>
  <c r="W232" i="26"/>
  <c r="X196" i="26"/>
  <c r="U91" i="26"/>
  <c r="Y100" i="26"/>
  <c r="Z191" i="30" l="1"/>
  <c r="Y197" i="30"/>
  <c r="Y91" i="30"/>
  <c r="X71" i="30"/>
  <c r="X73" i="30"/>
  <c r="AO211" i="30"/>
  <c r="W7" i="30"/>
  <c r="W81" i="30"/>
  <c r="AB100" i="30"/>
  <c r="V81" i="30"/>
  <c r="Z196" i="30"/>
  <c r="Y232" i="30"/>
  <c r="Y189" i="30"/>
  <c r="Z99" i="30"/>
  <c r="AN211" i="30"/>
  <c r="V7" i="30"/>
  <c r="AA232" i="29"/>
  <c r="AB196" i="29"/>
  <c r="AA100" i="29"/>
  <c r="Z91" i="29"/>
  <c r="Z197" i="29"/>
  <c r="Z49" i="29" s="1"/>
  <c r="AA191" i="29"/>
  <c r="AA189" i="29"/>
  <c r="AB99" i="29"/>
  <c r="X71" i="29"/>
  <c r="X73" i="29"/>
  <c r="AA100" i="28"/>
  <c r="Z91" i="28"/>
  <c r="Z189" i="28"/>
  <c r="AA99" i="28"/>
  <c r="AA197" i="28"/>
  <c r="AA49" i="28" s="1"/>
  <c r="AA50" i="28" s="1"/>
  <c r="AB191" i="28"/>
  <c r="Z50" i="28"/>
  <c r="AB232" i="28"/>
  <c r="AC196" i="28"/>
  <c r="W191" i="27"/>
  <c r="V197" i="27"/>
  <c r="V49" i="27" s="1"/>
  <c r="V91" i="27"/>
  <c r="U73" i="27"/>
  <c r="U71" i="27"/>
  <c r="Y100" i="27"/>
  <c r="T71" i="27"/>
  <c r="T73" i="27"/>
  <c r="V189" i="27"/>
  <c r="W99" i="27"/>
  <c r="X232" i="27"/>
  <c r="Y196" i="27"/>
  <c r="Z100" i="26"/>
  <c r="X106" i="26"/>
  <c r="W189" i="26"/>
  <c r="X99" i="26"/>
  <c r="T73" i="26"/>
  <c r="T71" i="26"/>
  <c r="U73" i="26"/>
  <c r="U71" i="26"/>
  <c r="X232" i="26"/>
  <c r="Y196" i="26"/>
  <c r="W191" i="26"/>
  <c r="V197" i="26"/>
  <c r="V49" i="26" s="1"/>
  <c r="AP211" i="30" l="1"/>
  <c r="X7" i="30"/>
  <c r="X81" i="30"/>
  <c r="Z189" i="30"/>
  <c r="AA99" i="30"/>
  <c r="AC100" i="30"/>
  <c r="Z232" i="30"/>
  <c r="AA196" i="30"/>
  <c r="Z197" i="30"/>
  <c r="Z49" i="30" s="1"/>
  <c r="AA191" i="30"/>
  <c r="Z91" i="30"/>
  <c r="AA197" i="29"/>
  <c r="AA49" i="29" s="1"/>
  <c r="AA50" i="29" s="1"/>
  <c r="AB191" i="29"/>
  <c r="AP211" i="29"/>
  <c r="X7" i="29"/>
  <c r="X81" i="29"/>
  <c r="AC99" i="29"/>
  <c r="AB100" i="29"/>
  <c r="AA91" i="29"/>
  <c r="AC196" i="29"/>
  <c r="AB232" i="29"/>
  <c r="Z50" i="29"/>
  <c r="AB197" i="28"/>
  <c r="AB49" i="28" s="1"/>
  <c r="AC191" i="28"/>
  <c r="Z71" i="28"/>
  <c r="Z73" i="28"/>
  <c r="AA73" i="28"/>
  <c r="AA71" i="28"/>
  <c r="AA189" i="28"/>
  <c r="AB99" i="28"/>
  <c r="AC232" i="28"/>
  <c r="AD196" i="28"/>
  <c r="AB100" i="28"/>
  <c r="AA91" i="28"/>
  <c r="U81" i="27"/>
  <c r="Z100" i="27"/>
  <c r="Z196" i="27"/>
  <c r="Y232" i="27"/>
  <c r="AM211" i="27"/>
  <c r="U7" i="27"/>
  <c r="T81" i="27"/>
  <c r="AL211" i="27"/>
  <c r="T7" i="27"/>
  <c r="V50" i="27"/>
  <c r="W189" i="27"/>
  <c r="X99" i="27"/>
  <c r="X191" i="27"/>
  <c r="W197" i="27"/>
  <c r="W49" i="27" s="1"/>
  <c r="W50" i="27" s="1"/>
  <c r="W91" i="27"/>
  <c r="U81" i="26"/>
  <c r="X191" i="26"/>
  <c r="W197" i="26"/>
  <c r="W49" i="26" s="1"/>
  <c r="W50" i="26" s="1"/>
  <c r="Z196" i="26"/>
  <c r="Y232" i="26"/>
  <c r="V50" i="26"/>
  <c r="AL211" i="26"/>
  <c r="T7" i="26"/>
  <c r="X189" i="26"/>
  <c r="Y99" i="26"/>
  <c r="W91" i="26"/>
  <c r="AM211" i="26"/>
  <c r="U7" i="26"/>
  <c r="Y106" i="26"/>
  <c r="X91" i="26"/>
  <c r="T81" i="26"/>
  <c r="AA100" i="26"/>
  <c r="AA197" i="30" l="1"/>
  <c r="AA49" i="30" s="1"/>
  <c r="AA50" i="30" s="1"/>
  <c r="AB191" i="30"/>
  <c r="AA91" i="30"/>
  <c r="AA232" i="30"/>
  <c r="AB196" i="30"/>
  <c r="AA189" i="30"/>
  <c r="AB99" i="30"/>
  <c r="Z50" i="30"/>
  <c r="AD100" i="30"/>
  <c r="Z73" i="29"/>
  <c r="Z71" i="29"/>
  <c r="AC100" i="29"/>
  <c r="AB91" i="29"/>
  <c r="AC189" i="29"/>
  <c r="AD99" i="29"/>
  <c r="AC232" i="29"/>
  <c r="AD196" i="29"/>
  <c r="AB189" i="29"/>
  <c r="AB197" i="29"/>
  <c r="AB49" i="29" s="1"/>
  <c r="AC191" i="29"/>
  <c r="AA71" i="29"/>
  <c r="AA73" i="29"/>
  <c r="AA81" i="28"/>
  <c r="AS211" i="28"/>
  <c r="AA7" i="28"/>
  <c r="AC100" i="28"/>
  <c r="AB91" i="28"/>
  <c r="AD232" i="28"/>
  <c r="AE196" i="28"/>
  <c r="Z81" i="28"/>
  <c r="AR211" i="28"/>
  <c r="Z7" i="28"/>
  <c r="AB189" i="28"/>
  <c r="AC99" i="28"/>
  <c r="AC197" i="28"/>
  <c r="AC49" i="28" s="1"/>
  <c r="AC50" i="28" s="1"/>
  <c r="AD191" i="28"/>
  <c r="AB50" i="28"/>
  <c r="V71" i="27"/>
  <c r="V73" i="27"/>
  <c r="W71" i="27"/>
  <c r="W73" i="27"/>
  <c r="X197" i="27"/>
  <c r="X49" i="27" s="1"/>
  <c r="Y191" i="27"/>
  <c r="X91" i="27"/>
  <c r="Z232" i="27"/>
  <c r="AA196" i="27"/>
  <c r="X189" i="27"/>
  <c r="Y99" i="27"/>
  <c r="AA100" i="27"/>
  <c r="Y189" i="26"/>
  <c r="Z99" i="26"/>
  <c r="AA196" i="26"/>
  <c r="Z232" i="26"/>
  <c r="AB100" i="26"/>
  <c r="W73" i="26"/>
  <c r="W71" i="26"/>
  <c r="V71" i="26"/>
  <c r="V73" i="26"/>
  <c r="Z106" i="26"/>
  <c r="Y91" i="26"/>
  <c r="Y191" i="26"/>
  <c r="X197" i="26"/>
  <c r="X49" i="26" s="1"/>
  <c r="AB232" i="30" l="1"/>
  <c r="AC196" i="30"/>
  <c r="AC191" i="30"/>
  <c r="AB197" i="30"/>
  <c r="AB49" i="30" s="1"/>
  <c r="AB91" i="30"/>
  <c r="AB189" i="30"/>
  <c r="AC99" i="30"/>
  <c r="Z71" i="30"/>
  <c r="Z73" i="30"/>
  <c r="AA73" i="30"/>
  <c r="AA71" i="30"/>
  <c r="AE100" i="30"/>
  <c r="AA81" i="29"/>
  <c r="AE99" i="29"/>
  <c r="AS211" i="29"/>
  <c r="AA7" i="29"/>
  <c r="AD191" i="29"/>
  <c r="AC197" i="29"/>
  <c r="AC49" i="29" s="1"/>
  <c r="AC50" i="29" s="1"/>
  <c r="AD100" i="29"/>
  <c r="AC91" i="29"/>
  <c r="Z81" i="29"/>
  <c r="AB50" i="29"/>
  <c r="AD232" i="29"/>
  <c r="AE196" i="29"/>
  <c r="AR211" i="29"/>
  <c r="Z7" i="29"/>
  <c r="AC73" i="28"/>
  <c r="AC71" i="28"/>
  <c r="AC91" i="28"/>
  <c r="AD100" i="28"/>
  <c r="AC189" i="28"/>
  <c r="AD99" i="28"/>
  <c r="AE232" i="28"/>
  <c r="AF196" i="28"/>
  <c r="AF232" i="28" s="1"/>
  <c r="AB73" i="28"/>
  <c r="AB71" i="28"/>
  <c r="AE191" i="28"/>
  <c r="AD197" i="28"/>
  <c r="AD49" i="28" s="1"/>
  <c r="AD50" i="28" s="1"/>
  <c r="Y189" i="27"/>
  <c r="Z99" i="27"/>
  <c r="X50" i="27"/>
  <c r="W81" i="27"/>
  <c r="AA232" i="27"/>
  <c r="AB196" i="27"/>
  <c r="Z191" i="27"/>
  <c r="Y197" i="27"/>
  <c r="Y91" i="27"/>
  <c r="AN211" i="27"/>
  <c r="V7" i="27"/>
  <c r="AO211" i="27"/>
  <c r="W7" i="27"/>
  <c r="AB100" i="27"/>
  <c r="V81" i="27"/>
  <c r="W81" i="26"/>
  <c r="AA106" i="26"/>
  <c r="Z91" i="26"/>
  <c r="AO211" i="26"/>
  <c r="W7" i="26"/>
  <c r="X50" i="26"/>
  <c r="AA232" i="26"/>
  <c r="AB196" i="26"/>
  <c r="Y197" i="26"/>
  <c r="Z191" i="26"/>
  <c r="AN211" i="26"/>
  <c r="V7" i="26"/>
  <c r="Z189" i="26"/>
  <c r="AA99" i="26"/>
  <c r="AC100" i="26"/>
  <c r="V81" i="26"/>
  <c r="AA81" i="30" l="1"/>
  <c r="AC189" i="30"/>
  <c r="AD99" i="30"/>
  <c r="Z81" i="30"/>
  <c r="AB50" i="30"/>
  <c r="AF100" i="30"/>
  <c r="AS211" i="30"/>
  <c r="AA7" i="30"/>
  <c r="AC197" i="30"/>
  <c r="AC49" i="30" s="1"/>
  <c r="AC50" i="30" s="1"/>
  <c r="AD191" i="30"/>
  <c r="AC91" i="30"/>
  <c r="AD196" i="30"/>
  <c r="AC232" i="30"/>
  <c r="AR211" i="30"/>
  <c r="Z7" i="30"/>
  <c r="AE100" i="29"/>
  <c r="AD91" i="29"/>
  <c r="AB71" i="29"/>
  <c r="AB73" i="29"/>
  <c r="AE191" i="29"/>
  <c r="AD197" i="29"/>
  <c r="AD49" i="29" s="1"/>
  <c r="AD50" i="29" s="1"/>
  <c r="AE189" i="29"/>
  <c r="AF99" i="29"/>
  <c r="AC71" i="29"/>
  <c r="AC73" i="29"/>
  <c r="AD189" i="29"/>
  <c r="AE232" i="29"/>
  <c r="AF196" i="29"/>
  <c r="AF232" i="29" s="1"/>
  <c r="AC81" i="28"/>
  <c r="AB81" i="28"/>
  <c r="AD189" i="28"/>
  <c r="AE99" i="28"/>
  <c r="AE100" i="28"/>
  <c r="AD91" i="28"/>
  <c r="AD73" i="28"/>
  <c r="AD71" i="28"/>
  <c r="AF191" i="28"/>
  <c r="AF197" i="28" s="1"/>
  <c r="AF49" i="28" s="1"/>
  <c r="AE197" i="28"/>
  <c r="AE49" i="28" s="1"/>
  <c r="AE50" i="28" s="1"/>
  <c r="AT211" i="28"/>
  <c r="AB7" i="28"/>
  <c r="AU211" i="28"/>
  <c r="AC7" i="28"/>
  <c r="AB232" i="27"/>
  <c r="AC196" i="27"/>
  <c r="X73" i="27"/>
  <c r="X71" i="27"/>
  <c r="AC100" i="27"/>
  <c r="Z189" i="27"/>
  <c r="AA99" i="27"/>
  <c r="Z197" i="27"/>
  <c r="Z49" i="27" s="1"/>
  <c r="AA191" i="27"/>
  <c r="Z91" i="27"/>
  <c r="X71" i="26"/>
  <c r="X73" i="26"/>
  <c r="Z197" i="26"/>
  <c r="Z49" i="26" s="1"/>
  <c r="AA191" i="26"/>
  <c r="AD100" i="26"/>
  <c r="AA189" i="26"/>
  <c r="AB99" i="26"/>
  <c r="AB232" i="26"/>
  <c r="AC196" i="26"/>
  <c r="AB106" i="26"/>
  <c r="AA91" i="26"/>
  <c r="AB73" i="30" l="1"/>
  <c r="AB71" i="30"/>
  <c r="AE191" i="30"/>
  <c r="AD197" i="30"/>
  <c r="AD49" i="30" s="1"/>
  <c r="AD50" i="30" s="1"/>
  <c r="AD91" i="30"/>
  <c r="AC71" i="30"/>
  <c r="AC73" i="30"/>
  <c r="AD189" i="30"/>
  <c r="AE99" i="30"/>
  <c r="AD232" i="30"/>
  <c r="AE196" i="30"/>
  <c r="AD73" i="29"/>
  <c r="AD71" i="29"/>
  <c r="AB81" i="29"/>
  <c r="AF191" i="29"/>
  <c r="AF197" i="29" s="1"/>
  <c r="AF49" i="29" s="1"/>
  <c r="AE197" i="29"/>
  <c r="AE49" i="29" s="1"/>
  <c r="AE50" i="29" s="1"/>
  <c r="AF189" i="29"/>
  <c r="AT211" i="29"/>
  <c r="AB7" i="29"/>
  <c r="AU211" i="29"/>
  <c r="AC7" i="29"/>
  <c r="AC81" i="29"/>
  <c r="AF100" i="29"/>
  <c r="AF91" i="29" s="1"/>
  <c r="AE91" i="29"/>
  <c r="AD81" i="28"/>
  <c r="AF50" i="28"/>
  <c r="AH49" i="28"/>
  <c r="AI49" i="28"/>
  <c r="AE91" i="28"/>
  <c r="AF100" i="28"/>
  <c r="AF91" i="28" s="1"/>
  <c r="AE71" i="28"/>
  <c r="AE73" i="28"/>
  <c r="AV211" i="28"/>
  <c r="AD7" i="28"/>
  <c r="AE189" i="28"/>
  <c r="AF99" i="28"/>
  <c r="Z50" i="27"/>
  <c r="X81" i="27"/>
  <c r="AA189" i="27"/>
  <c r="AB99" i="27"/>
  <c r="AP211" i="27"/>
  <c r="X7" i="27"/>
  <c r="AD100" i="27"/>
  <c r="AC232" i="27"/>
  <c r="AD196" i="27"/>
  <c r="AA197" i="27"/>
  <c r="AA49" i="27" s="1"/>
  <c r="AA50" i="27" s="1"/>
  <c r="AB191" i="27"/>
  <c r="AA91" i="27"/>
  <c r="AC232" i="26"/>
  <c r="AD196" i="26"/>
  <c r="Z50" i="26"/>
  <c r="AB189" i="26"/>
  <c r="AC99" i="26"/>
  <c r="AE100" i="26"/>
  <c r="AP211" i="26"/>
  <c r="X7" i="26"/>
  <c r="AC106" i="26"/>
  <c r="AB91" i="26"/>
  <c r="AA197" i="26"/>
  <c r="AA49" i="26" s="1"/>
  <c r="AA50" i="26" s="1"/>
  <c r="AB191" i="26"/>
  <c r="X81" i="26"/>
  <c r="AU211" i="30" l="1"/>
  <c r="AC7" i="30"/>
  <c r="AE232" i="30"/>
  <c r="AF196" i="30"/>
  <c r="AF232" i="30" s="1"/>
  <c r="AD73" i="30"/>
  <c r="AD71" i="30"/>
  <c r="AE189" i="30"/>
  <c r="AF99" i="30"/>
  <c r="AF189" i="30" s="1"/>
  <c r="AF191" i="30"/>
  <c r="AE197" i="30"/>
  <c r="AE49" i="30" s="1"/>
  <c r="AE50" i="30" s="1"/>
  <c r="AE91" i="30"/>
  <c r="AB81" i="30"/>
  <c r="AC81" i="30"/>
  <c r="AT211" i="30"/>
  <c r="AB7" i="30"/>
  <c r="AD81" i="29"/>
  <c r="AI91" i="29"/>
  <c r="AH91" i="29"/>
  <c r="AF50" i="29"/>
  <c r="AI49" i="29"/>
  <c r="AH49" i="29"/>
  <c r="AE73" i="29"/>
  <c r="AE71" i="29"/>
  <c r="AV211" i="29"/>
  <c r="AD7" i="29"/>
  <c r="AE81" i="28"/>
  <c r="AI91" i="28"/>
  <c r="AH91" i="28"/>
  <c r="AW211" i="28"/>
  <c r="AE7" i="28"/>
  <c r="AF189" i="28"/>
  <c r="AF73" i="28"/>
  <c r="AF71" i="28"/>
  <c r="AH50" i="28"/>
  <c r="AI50" i="28"/>
  <c r="AD232" i="27"/>
  <c r="AE196" i="27"/>
  <c r="AB189" i="27"/>
  <c r="AC99" i="27"/>
  <c r="AA71" i="27"/>
  <c r="AA73" i="27"/>
  <c r="AE100" i="27"/>
  <c r="AB197" i="27"/>
  <c r="AB49" i="27" s="1"/>
  <c r="AB50" i="27" s="1"/>
  <c r="AC191" i="27"/>
  <c r="AB91" i="27"/>
  <c r="Z71" i="27"/>
  <c r="Z73" i="27"/>
  <c r="AA71" i="26"/>
  <c r="AA73" i="26"/>
  <c r="AC189" i="26"/>
  <c r="AD99" i="26"/>
  <c r="AD232" i="26"/>
  <c r="AE196" i="26"/>
  <c r="AD106" i="26"/>
  <c r="AC91" i="26"/>
  <c r="Z71" i="26"/>
  <c r="AB197" i="26"/>
  <c r="AB49" i="26" s="1"/>
  <c r="AB50" i="26" s="1"/>
  <c r="AC191" i="26"/>
  <c r="AF100" i="26"/>
  <c r="AD81" i="30" l="1"/>
  <c r="AV211" i="30"/>
  <c r="AD7" i="30"/>
  <c r="AE73" i="30"/>
  <c r="AE71" i="30"/>
  <c r="AE81" i="30" s="1"/>
  <c r="AF197" i="30"/>
  <c r="AF49" i="30" s="1"/>
  <c r="AF91" i="30"/>
  <c r="AE81" i="29"/>
  <c r="AW211" i="29"/>
  <c r="AE7" i="29"/>
  <c r="AF71" i="29"/>
  <c r="AF73" i="29"/>
  <c r="AH50" i="29"/>
  <c r="AI50" i="29"/>
  <c r="AX211" i="28"/>
  <c r="AF7" i="28"/>
  <c r="A7" i="28" s="1"/>
  <c r="AH73" i="28"/>
  <c r="AI73" i="28"/>
  <c r="AF81" i="28"/>
  <c r="AH71" i="28"/>
  <c r="AI71" i="28"/>
  <c r="Z81" i="27"/>
  <c r="AC197" i="27"/>
  <c r="AC49" i="27" s="1"/>
  <c r="AC50" i="27" s="1"/>
  <c r="AD191" i="27"/>
  <c r="AC91" i="27"/>
  <c r="AR211" i="27"/>
  <c r="Z7" i="27"/>
  <c r="AS211" i="27"/>
  <c r="AA7" i="27"/>
  <c r="AB71" i="27"/>
  <c r="AB73" i="27"/>
  <c r="AC189" i="27"/>
  <c r="AD99" i="27"/>
  <c r="AE232" i="27"/>
  <c r="AF196" i="27"/>
  <c r="AF232" i="27" s="1"/>
  <c r="AF100" i="27"/>
  <c r="AA81" i="27"/>
  <c r="AB73" i="26"/>
  <c r="AB71" i="26"/>
  <c r="AD189" i="26"/>
  <c r="AE99" i="26"/>
  <c r="AE106" i="26"/>
  <c r="AD91" i="26"/>
  <c r="AS211" i="26"/>
  <c r="AA7" i="26"/>
  <c r="AR211" i="26"/>
  <c r="Z81" i="26"/>
  <c r="AE232" i="26"/>
  <c r="AF196" i="26"/>
  <c r="AF232" i="26" s="1"/>
  <c r="AD191" i="26"/>
  <c r="AC197" i="26"/>
  <c r="AC49" i="26" s="1"/>
  <c r="AC50" i="26" s="1"/>
  <c r="AA81" i="26"/>
  <c r="AH91" i="30" l="1"/>
  <c r="AI91" i="30"/>
  <c r="AW211" i="30"/>
  <c r="AE7" i="30"/>
  <c r="AF50" i="30"/>
  <c r="AI49" i="30"/>
  <c r="AH49" i="30"/>
  <c r="AX211" i="29"/>
  <c r="AF7" i="29"/>
  <c r="A7" i="29" s="1"/>
  <c r="AI73" i="29"/>
  <c r="AH73" i="29"/>
  <c r="AF81" i="29"/>
  <c r="AI71" i="29"/>
  <c r="AH71" i="29"/>
  <c r="AI81" i="28"/>
  <c r="AH81" i="28"/>
  <c r="AD189" i="27"/>
  <c r="AE99" i="27"/>
  <c r="AT211" i="27"/>
  <c r="AB7" i="27"/>
  <c r="AB81" i="27"/>
  <c r="AE191" i="27"/>
  <c r="AD197" i="27"/>
  <c r="AD49" i="27" s="1"/>
  <c r="AD50" i="27" s="1"/>
  <c r="AD91" i="27"/>
  <c r="AC71" i="27"/>
  <c r="AC73" i="27"/>
  <c r="AB81" i="26"/>
  <c r="AF106" i="26"/>
  <c r="AC73" i="26"/>
  <c r="AC71" i="26"/>
  <c r="AE191" i="26"/>
  <c r="AD197" i="26"/>
  <c r="AD49" i="26" s="1"/>
  <c r="AD50" i="26" s="1"/>
  <c r="AE189" i="26"/>
  <c r="AF99" i="26"/>
  <c r="AT211" i="26"/>
  <c r="AB7" i="26"/>
  <c r="AF71" i="30" l="1"/>
  <c r="AF73" i="30"/>
  <c r="AI50" i="30"/>
  <c r="AH50" i="30"/>
  <c r="AH81" i="29"/>
  <c r="AI81" i="29"/>
  <c r="AF191" i="27"/>
  <c r="AE197" i="27"/>
  <c r="AE49" i="27" s="1"/>
  <c r="AE50" i="27" s="1"/>
  <c r="AE91" i="27"/>
  <c r="AD73" i="27"/>
  <c r="AD71" i="27"/>
  <c r="AD81" i="27" s="1"/>
  <c r="AU211" i="27"/>
  <c r="AC7" i="27"/>
  <c r="AC81" i="27"/>
  <c r="AE189" i="27"/>
  <c r="AF99" i="27"/>
  <c r="AF189" i="27" s="1"/>
  <c r="AC81" i="26"/>
  <c r="AU211" i="26"/>
  <c r="AC7" i="26"/>
  <c r="AD71" i="26"/>
  <c r="AD73" i="26"/>
  <c r="AF191" i="26"/>
  <c r="AF197" i="26" s="1"/>
  <c r="AF49" i="26" s="1"/>
  <c r="AE197" i="26"/>
  <c r="AE49" i="26" s="1"/>
  <c r="AE50" i="26" s="1"/>
  <c r="AE91" i="26"/>
  <c r="AF189" i="26"/>
  <c r="AX211" i="30" l="1"/>
  <c r="AF7" i="30"/>
  <c r="A7" i="30" s="1"/>
  <c r="AI73" i="30"/>
  <c r="AH73" i="30"/>
  <c r="AF81" i="30"/>
  <c r="AI71" i="30"/>
  <c r="AH71" i="30"/>
  <c r="AV211" i="27"/>
  <c r="AD7" i="27"/>
  <c r="AE71" i="27"/>
  <c r="AE73" i="27"/>
  <c r="AF197" i="27"/>
  <c r="AF49" i="27" s="1"/>
  <c r="AF91" i="27"/>
  <c r="AF50" i="26"/>
  <c r="AH49" i="26"/>
  <c r="AI49" i="26"/>
  <c r="AD81" i="26"/>
  <c r="AE73" i="26"/>
  <c r="AE71" i="26"/>
  <c r="AV211" i="26"/>
  <c r="AD7" i="26"/>
  <c r="AF91" i="26"/>
  <c r="AI81" i="30" l="1"/>
  <c r="AH81" i="30"/>
  <c r="AH91" i="27"/>
  <c r="AI91" i="27"/>
  <c r="AW211" i="27"/>
  <c r="AE7" i="27"/>
  <c r="AF50" i="27"/>
  <c r="AI49" i="27"/>
  <c r="AH49" i="27"/>
  <c r="AE81" i="27"/>
  <c r="AE81" i="26"/>
  <c r="AW211" i="26"/>
  <c r="AE7" i="26"/>
  <c r="AI91" i="26"/>
  <c r="AH91" i="26"/>
  <c r="AF71" i="26"/>
  <c r="AF73" i="26"/>
  <c r="AH50" i="26"/>
  <c r="AI50" i="26"/>
  <c r="AF73" i="27" l="1"/>
  <c r="AF71" i="27"/>
  <c r="AI50" i="27"/>
  <c r="AH50" i="27"/>
  <c r="AX211" i="26"/>
  <c r="AF7" i="26"/>
  <c r="A7" i="26" s="1"/>
  <c r="AI73" i="26"/>
  <c r="AH73" i="26"/>
  <c r="AF81" i="26"/>
  <c r="AI71" i="26"/>
  <c r="AH71" i="26"/>
  <c r="AF81" i="27" l="1"/>
  <c r="AI71" i="27"/>
  <c r="AH71" i="27"/>
  <c r="AX211" i="27"/>
  <c r="AF7" i="27"/>
  <c r="A7" i="27" s="1"/>
  <c r="AI73" i="27"/>
  <c r="AH73" i="27"/>
  <c r="AH81" i="26"/>
  <c r="AI81" i="26"/>
  <c r="AI81" i="27" l="1"/>
  <c r="AH81" i="27"/>
  <c r="D35" i="25" l="1"/>
  <c r="AH97" i="25"/>
  <c r="AI97" i="25" s="1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AF234" i="25"/>
  <c r="AE234" i="25"/>
  <c r="AD234" i="25"/>
  <c r="AC234" i="25"/>
  <c r="AB234" i="25"/>
  <c r="AA234" i="25"/>
  <c r="Z234" i="25"/>
  <c r="Y234" i="25"/>
  <c r="X234" i="25"/>
  <c r="W234" i="25"/>
  <c r="V234" i="25"/>
  <c r="U234" i="25"/>
  <c r="T234" i="25"/>
  <c r="S234" i="25"/>
  <c r="R234" i="25"/>
  <c r="Q234" i="25"/>
  <c r="P234" i="25"/>
  <c r="O234" i="25"/>
  <c r="N234" i="25"/>
  <c r="M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AF233" i="25"/>
  <c r="AE233" i="25"/>
  <c r="AD233" i="25"/>
  <c r="AC233" i="25"/>
  <c r="AB233" i="25"/>
  <c r="AA233" i="25"/>
  <c r="Z233" i="25"/>
  <c r="Y233" i="25"/>
  <c r="X233" i="25"/>
  <c r="W233" i="25"/>
  <c r="V233" i="25"/>
  <c r="U233" i="25"/>
  <c r="T233" i="25"/>
  <c r="S233" i="25"/>
  <c r="R233" i="25"/>
  <c r="Q233" i="25"/>
  <c r="P233" i="25"/>
  <c r="O233" i="25"/>
  <c r="N233" i="25"/>
  <c r="M233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B232" i="25"/>
  <c r="S207" i="25"/>
  <c r="AG197" i="25"/>
  <c r="C197" i="25"/>
  <c r="B197" i="25"/>
  <c r="D196" i="25"/>
  <c r="C196" i="25"/>
  <c r="C232" i="25" s="1"/>
  <c r="D195" i="25"/>
  <c r="E195" i="25" s="1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C195" i="25"/>
  <c r="AE194" i="25"/>
  <c r="AF194" i="25" s="1"/>
  <c r="I194" i="25"/>
  <c r="J194" i="25" s="1"/>
  <c r="K194" i="25" s="1"/>
  <c r="L194" i="25" s="1"/>
  <c r="M194" i="25" s="1"/>
  <c r="N194" i="25" s="1"/>
  <c r="O194" i="25" s="1"/>
  <c r="P194" i="25" s="1"/>
  <c r="Q194" i="25" s="1"/>
  <c r="R194" i="25" s="1"/>
  <c r="S194" i="25" s="1"/>
  <c r="T194" i="25" s="1"/>
  <c r="U194" i="25" s="1"/>
  <c r="V194" i="25" s="1"/>
  <c r="W194" i="25" s="1"/>
  <c r="X194" i="25" s="1"/>
  <c r="Y194" i="25" s="1"/>
  <c r="Z194" i="25" s="1"/>
  <c r="AA194" i="25" s="1"/>
  <c r="AB194" i="25" s="1"/>
  <c r="AC194" i="25" s="1"/>
  <c r="AD194" i="25" s="1"/>
  <c r="C194" i="25"/>
  <c r="D194" i="25" s="1"/>
  <c r="E194" i="25" s="1"/>
  <c r="F194" i="25" s="1"/>
  <c r="G194" i="25" s="1"/>
  <c r="H194" i="25" s="1"/>
  <c r="E193" i="25"/>
  <c r="F193" i="25" s="1"/>
  <c r="G193" i="25" s="1"/>
  <c r="H193" i="25" s="1"/>
  <c r="I193" i="25" s="1"/>
  <c r="J193" i="25" s="1"/>
  <c r="K193" i="25" s="1"/>
  <c r="L193" i="25" s="1"/>
  <c r="M193" i="25" s="1"/>
  <c r="N193" i="25" s="1"/>
  <c r="O193" i="25" s="1"/>
  <c r="P193" i="25" s="1"/>
  <c r="Q193" i="25" s="1"/>
  <c r="R193" i="25" s="1"/>
  <c r="S193" i="25" s="1"/>
  <c r="T193" i="25" s="1"/>
  <c r="U193" i="25" s="1"/>
  <c r="V193" i="25" s="1"/>
  <c r="W193" i="25" s="1"/>
  <c r="X193" i="25" s="1"/>
  <c r="Y193" i="25" s="1"/>
  <c r="Z193" i="25" s="1"/>
  <c r="AA193" i="25" s="1"/>
  <c r="AB193" i="25" s="1"/>
  <c r="AC193" i="25" s="1"/>
  <c r="AD193" i="25" s="1"/>
  <c r="AE193" i="25" s="1"/>
  <c r="AF193" i="25" s="1"/>
  <c r="C193" i="25"/>
  <c r="D193" i="25" s="1"/>
  <c r="G192" i="25"/>
  <c r="H192" i="25" s="1"/>
  <c r="I192" i="25" s="1"/>
  <c r="J192" i="25" s="1"/>
  <c r="K192" i="25" s="1"/>
  <c r="L192" i="25" s="1"/>
  <c r="M192" i="25" s="1"/>
  <c r="N192" i="25" s="1"/>
  <c r="O192" i="25" s="1"/>
  <c r="P192" i="25" s="1"/>
  <c r="Q192" i="25" s="1"/>
  <c r="R192" i="25" s="1"/>
  <c r="S192" i="25" s="1"/>
  <c r="T192" i="25" s="1"/>
  <c r="U192" i="25" s="1"/>
  <c r="V192" i="25" s="1"/>
  <c r="W192" i="25" s="1"/>
  <c r="X192" i="25" s="1"/>
  <c r="Y192" i="25" s="1"/>
  <c r="Z192" i="25" s="1"/>
  <c r="AA192" i="25" s="1"/>
  <c r="AB192" i="25" s="1"/>
  <c r="AC192" i="25" s="1"/>
  <c r="AD192" i="25" s="1"/>
  <c r="AE192" i="25" s="1"/>
  <c r="AF192" i="25" s="1"/>
  <c r="C192" i="25"/>
  <c r="D192" i="25" s="1"/>
  <c r="E192" i="25" s="1"/>
  <c r="F192" i="25" s="1"/>
  <c r="C191" i="25"/>
  <c r="D191" i="25" s="1"/>
  <c r="AG189" i="25"/>
  <c r="B189" i="25"/>
  <c r="C188" i="25"/>
  <c r="D188" i="25" s="1"/>
  <c r="E188" i="25" s="1"/>
  <c r="F188" i="25" s="1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C187" i="25"/>
  <c r="D187" i="25" s="1"/>
  <c r="E187" i="25" s="1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K186" i="25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E186" i="25"/>
  <c r="F186" i="25" s="1"/>
  <c r="G186" i="25" s="1"/>
  <c r="H186" i="25" s="1"/>
  <c r="I186" i="25" s="1"/>
  <c r="J186" i="25" s="1"/>
  <c r="D186" i="25"/>
  <c r="C186" i="25"/>
  <c r="G185" i="25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D185" i="25"/>
  <c r="E185" i="25" s="1"/>
  <c r="F185" i="25" s="1"/>
  <c r="C185" i="25"/>
  <c r="AA184" i="25"/>
  <c r="AB184" i="25" s="1"/>
  <c r="AC184" i="25" s="1"/>
  <c r="AD184" i="25" s="1"/>
  <c r="AE184" i="25" s="1"/>
  <c r="AF184" i="25" s="1"/>
  <c r="R184" i="25"/>
  <c r="S184" i="25" s="1"/>
  <c r="T184" i="25" s="1"/>
  <c r="U184" i="25" s="1"/>
  <c r="V184" i="25" s="1"/>
  <c r="W184" i="25" s="1"/>
  <c r="X184" i="25" s="1"/>
  <c r="Y184" i="25" s="1"/>
  <c r="Z184" i="25" s="1"/>
  <c r="C184" i="25"/>
  <c r="D184" i="25" s="1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C183" i="25"/>
  <c r="D183" i="25" s="1"/>
  <c r="E183" i="25" s="1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D182" i="25"/>
  <c r="E182" i="25" s="1"/>
  <c r="F182" i="25" s="1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C182" i="25"/>
  <c r="C181" i="25"/>
  <c r="D181" i="25" s="1"/>
  <c r="E181" i="25" s="1"/>
  <c r="F181" i="25" s="1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C180" i="25"/>
  <c r="D180" i="25" s="1"/>
  <c r="E180" i="25" s="1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D179" i="25"/>
  <c r="E179" i="25" s="1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C179" i="25"/>
  <c r="G178" i="25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E178" i="25"/>
  <c r="F178" i="25" s="1"/>
  <c r="D178" i="25"/>
  <c r="C178" i="25"/>
  <c r="G177" i="25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AF177" i="25" s="1"/>
  <c r="C177" i="25"/>
  <c r="D177" i="25" s="1"/>
  <c r="E177" i="25" s="1"/>
  <c r="F177" i="25" s="1"/>
  <c r="J176" i="25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D176" i="25"/>
  <c r="E176" i="25" s="1"/>
  <c r="F176" i="25" s="1"/>
  <c r="G176" i="25" s="1"/>
  <c r="H176" i="25" s="1"/>
  <c r="I176" i="25" s="1"/>
  <c r="C176" i="25"/>
  <c r="H174" i="25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C174" i="25"/>
  <c r="D174" i="25" s="1"/>
  <c r="E174" i="25" s="1"/>
  <c r="F174" i="25" s="1"/>
  <c r="G174" i="25" s="1"/>
  <c r="F173" i="25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D173" i="25"/>
  <c r="E173" i="25" s="1"/>
  <c r="C173" i="25"/>
  <c r="E172" i="25"/>
  <c r="F172" i="25" s="1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D172" i="25"/>
  <c r="C172" i="25"/>
  <c r="C171" i="25"/>
  <c r="D171" i="25" s="1"/>
  <c r="E171" i="25" s="1"/>
  <c r="F171" i="25" s="1"/>
  <c r="G171" i="25" s="1"/>
  <c r="H171" i="25" s="1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E170" i="25"/>
  <c r="F170" i="25" s="1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C170" i="25"/>
  <c r="D170" i="25" s="1"/>
  <c r="E169" i="25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D169" i="25"/>
  <c r="C169" i="25"/>
  <c r="C168" i="25"/>
  <c r="D168" i="25" s="1"/>
  <c r="E168" i="25" s="1"/>
  <c r="F168" i="25" s="1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M167" i="25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J167" i="25"/>
  <c r="K167" i="25" s="1"/>
  <c r="L167" i="25" s="1"/>
  <c r="H167" i="25"/>
  <c r="I167" i="25" s="1"/>
  <c r="D167" i="25"/>
  <c r="E167" i="25" s="1"/>
  <c r="F167" i="25" s="1"/>
  <c r="G167" i="25" s="1"/>
  <c r="C167" i="25"/>
  <c r="D165" i="25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C165" i="25"/>
  <c r="F164" i="25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E164" i="25"/>
  <c r="C164" i="25"/>
  <c r="D164" i="25" s="1"/>
  <c r="H163" i="25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C163" i="25"/>
  <c r="D163" i="25" s="1"/>
  <c r="E163" i="25" s="1"/>
  <c r="F163" i="25" s="1"/>
  <c r="G163" i="25" s="1"/>
  <c r="J162" i="25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D162" i="25"/>
  <c r="E162" i="25" s="1"/>
  <c r="F162" i="25" s="1"/>
  <c r="G162" i="25" s="1"/>
  <c r="H162" i="25" s="1"/>
  <c r="I162" i="25" s="1"/>
  <c r="C162" i="25"/>
  <c r="E161" i="25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C161" i="25"/>
  <c r="D161" i="25" s="1"/>
  <c r="I160" i="25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H160" i="25"/>
  <c r="C160" i="25"/>
  <c r="D160" i="25" s="1"/>
  <c r="E160" i="25" s="1"/>
  <c r="F160" i="25" s="1"/>
  <c r="G160" i="25" s="1"/>
  <c r="K159" i="25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F159" i="25"/>
  <c r="G159" i="25" s="1"/>
  <c r="H159" i="25" s="1"/>
  <c r="I159" i="25" s="1"/>
  <c r="J159" i="25" s="1"/>
  <c r="C159" i="25"/>
  <c r="D159" i="25" s="1"/>
  <c r="E159" i="25" s="1"/>
  <c r="F158" i="25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E158" i="25"/>
  <c r="D158" i="25"/>
  <c r="C158" i="25"/>
  <c r="C157" i="25"/>
  <c r="D157" i="25" s="1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D156" i="25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C156" i="25"/>
  <c r="C155" i="25"/>
  <c r="D155" i="25" s="1"/>
  <c r="E155" i="25" s="1"/>
  <c r="F155" i="25" s="1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I154" i="25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D154" i="25"/>
  <c r="E154" i="25" s="1"/>
  <c r="F154" i="25" s="1"/>
  <c r="G154" i="25" s="1"/>
  <c r="H154" i="25" s="1"/>
  <c r="C154" i="25"/>
  <c r="D153" i="25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C153" i="25"/>
  <c r="F151" i="25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E151" i="25"/>
  <c r="D151" i="25"/>
  <c r="C151" i="25"/>
  <c r="D150" i="25"/>
  <c r="E150" i="25" s="1"/>
  <c r="F150" i="25" s="1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C150" i="25"/>
  <c r="F149" i="25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E149" i="25"/>
  <c r="D149" i="25"/>
  <c r="C149" i="25"/>
  <c r="F148" i="25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E148" i="25"/>
  <c r="D148" i="25"/>
  <c r="C148" i="25"/>
  <c r="F146" i="25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C146" i="25"/>
  <c r="D146" i="25" s="1"/>
  <c r="E146" i="25" s="1"/>
  <c r="D145" i="25"/>
  <c r="E145" i="25" s="1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C145" i="25"/>
  <c r="P143" i="25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D143" i="25"/>
  <c r="E143" i="25" s="1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C143" i="25"/>
  <c r="M142" i="25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E142" i="25"/>
  <c r="F142" i="25" s="1"/>
  <c r="G142" i="25" s="1"/>
  <c r="H142" i="25" s="1"/>
  <c r="I142" i="25" s="1"/>
  <c r="J142" i="25" s="1"/>
  <c r="K142" i="25" s="1"/>
  <c r="L142" i="25" s="1"/>
  <c r="C142" i="25"/>
  <c r="D142" i="25" s="1"/>
  <c r="J141" i="25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C141" i="25"/>
  <c r="D141" i="25" s="1"/>
  <c r="E141" i="25" s="1"/>
  <c r="F141" i="25" s="1"/>
  <c r="G141" i="25" s="1"/>
  <c r="H141" i="25" s="1"/>
  <c r="I141" i="25" s="1"/>
  <c r="G140" i="25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F140" i="25"/>
  <c r="D140" i="25"/>
  <c r="E140" i="25" s="1"/>
  <c r="C140" i="25"/>
  <c r="G139" i="25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F139" i="25"/>
  <c r="E139" i="25"/>
  <c r="D139" i="25"/>
  <c r="C139" i="25"/>
  <c r="H138" i="25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E138" i="25"/>
  <c r="F138" i="25" s="1"/>
  <c r="G138" i="25" s="1"/>
  <c r="D138" i="25"/>
  <c r="C138" i="25"/>
  <c r="C137" i="25"/>
  <c r="D137" i="25" s="1"/>
  <c r="E137" i="25" s="1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J135" i="25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D135" i="25"/>
  <c r="E135" i="25" s="1"/>
  <c r="F135" i="25" s="1"/>
  <c r="G135" i="25" s="1"/>
  <c r="H135" i="25" s="1"/>
  <c r="I135" i="25" s="1"/>
  <c r="C135" i="25"/>
  <c r="H134" i="25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G134" i="25"/>
  <c r="C134" i="25"/>
  <c r="D134" i="25" s="1"/>
  <c r="E134" i="25" s="1"/>
  <c r="F134" i="25" s="1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C133" i="25"/>
  <c r="D133" i="25" s="1"/>
  <c r="D132" i="25"/>
  <c r="E132" i="25" s="1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C132" i="25"/>
  <c r="C131" i="25"/>
  <c r="D131" i="25" s="1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J130" i="25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C130" i="25"/>
  <c r="D130" i="25" s="1"/>
  <c r="E130" i="25" s="1"/>
  <c r="F130" i="25" s="1"/>
  <c r="G130" i="25" s="1"/>
  <c r="H130" i="25" s="1"/>
  <c r="I130" i="25" s="1"/>
  <c r="C129" i="25"/>
  <c r="D129" i="25" s="1"/>
  <c r="E129" i="25" s="1"/>
  <c r="F129" i="25" s="1"/>
  <c r="G129" i="25" s="1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G128" i="25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F128" i="25"/>
  <c r="C128" i="25"/>
  <c r="D128" i="25" s="1"/>
  <c r="E128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C126" i="25"/>
  <c r="C125" i="25"/>
  <c r="D125" i="25" s="1"/>
  <c r="E125" i="25" s="1"/>
  <c r="F125" i="25" s="1"/>
  <c r="G125" i="25" s="1"/>
  <c r="H125" i="25" s="1"/>
  <c r="I125" i="25" s="1"/>
  <c r="J125" i="25" s="1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G124" i="25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F124" i="25"/>
  <c r="E124" i="25"/>
  <c r="C124" i="25"/>
  <c r="D124" i="25" s="1"/>
  <c r="G123" i="25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C123" i="25"/>
  <c r="D123" i="25" s="1"/>
  <c r="E123" i="25" s="1"/>
  <c r="F123" i="25" s="1"/>
  <c r="J122" i="25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C122" i="25"/>
  <c r="D122" i="25" s="1"/>
  <c r="E122" i="25" s="1"/>
  <c r="F122" i="25" s="1"/>
  <c r="G122" i="25" s="1"/>
  <c r="H122" i="25" s="1"/>
  <c r="I122" i="25" s="1"/>
  <c r="E121" i="25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D121" i="25"/>
  <c r="C121" i="25"/>
  <c r="C120" i="25"/>
  <c r="D120" i="25" s="1"/>
  <c r="E120" i="25" s="1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D119" i="25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C119" i="25"/>
  <c r="K118" i="25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D118" i="25"/>
  <c r="E118" i="25" s="1"/>
  <c r="F118" i="25" s="1"/>
  <c r="G118" i="25" s="1"/>
  <c r="H118" i="25" s="1"/>
  <c r="I118" i="25" s="1"/>
  <c r="J118" i="25" s="1"/>
  <c r="C118" i="25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C117" i="25"/>
  <c r="G116" i="25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E116" i="25"/>
  <c r="F116" i="25" s="1"/>
  <c r="C116" i="25"/>
  <c r="D116" i="25" s="1"/>
  <c r="K115" i="25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I115" i="25"/>
  <c r="J115" i="25" s="1"/>
  <c r="C115" i="25"/>
  <c r="D115" i="25" s="1"/>
  <c r="E115" i="25" s="1"/>
  <c r="F115" i="25" s="1"/>
  <c r="G115" i="25" s="1"/>
  <c r="H115" i="25" s="1"/>
  <c r="D114" i="25"/>
  <c r="E114" i="25" s="1"/>
  <c r="F114" i="25" s="1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C114" i="25"/>
  <c r="E113" i="25"/>
  <c r="F113" i="25" s="1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C113" i="25"/>
  <c r="D113" i="25" s="1"/>
  <c r="H112" i="25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C112" i="25"/>
  <c r="D112" i="25" s="1"/>
  <c r="E112" i="25" s="1"/>
  <c r="F112" i="25" s="1"/>
  <c r="G112" i="25" s="1"/>
  <c r="M111" i="25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L111" i="25"/>
  <c r="K111" i="25"/>
  <c r="J111" i="25"/>
  <c r="D111" i="25"/>
  <c r="E111" i="25" s="1"/>
  <c r="F111" i="25" s="1"/>
  <c r="G111" i="25" s="1"/>
  <c r="H111" i="25" s="1"/>
  <c r="C111" i="25"/>
  <c r="E110" i="25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D110" i="25"/>
  <c r="C110" i="25"/>
  <c r="H109" i="25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G109" i="25"/>
  <c r="D109" i="25"/>
  <c r="E109" i="25" s="1"/>
  <c r="F109" i="25" s="1"/>
  <c r="C109" i="25"/>
  <c r="I107" i="25"/>
  <c r="J107" i="25" s="1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E107" i="25"/>
  <c r="F107" i="25" s="1"/>
  <c r="G107" i="25" s="1"/>
  <c r="H107" i="25" s="1"/>
  <c r="D107" i="25"/>
  <c r="C107" i="25"/>
  <c r="F106" i="25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E106" i="25"/>
  <c r="D106" i="25"/>
  <c r="C106" i="25"/>
  <c r="F104" i="25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E104" i="25"/>
  <c r="D104" i="25"/>
  <c r="C104" i="25"/>
  <c r="I103" i="25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D103" i="25"/>
  <c r="E103" i="25" s="1"/>
  <c r="F103" i="25" s="1"/>
  <c r="G103" i="25" s="1"/>
  <c r="H103" i="25" s="1"/>
  <c r="C103" i="25"/>
  <c r="E102" i="25"/>
  <c r="F102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R102" i="25" s="1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D102" i="25"/>
  <c r="C102" i="25"/>
  <c r="G101" i="25"/>
  <c r="H101" i="25" s="1"/>
  <c r="I101" i="25" s="1"/>
  <c r="J101" i="25" s="1"/>
  <c r="K101" i="25" s="1"/>
  <c r="L101" i="25" s="1"/>
  <c r="M101" i="25" s="1"/>
  <c r="N101" i="25" s="1"/>
  <c r="O101" i="25" s="1"/>
  <c r="P101" i="25" s="1"/>
  <c r="Q101" i="25" s="1"/>
  <c r="R101" i="25" s="1"/>
  <c r="S101" i="25" s="1"/>
  <c r="T101" i="25" s="1"/>
  <c r="U101" i="25" s="1"/>
  <c r="V101" i="25" s="1"/>
  <c r="W101" i="25" s="1"/>
  <c r="X101" i="25" s="1"/>
  <c r="Y101" i="25" s="1"/>
  <c r="Z101" i="25" s="1"/>
  <c r="AA101" i="25" s="1"/>
  <c r="AB101" i="25" s="1"/>
  <c r="AC101" i="25" s="1"/>
  <c r="AD101" i="25" s="1"/>
  <c r="AE101" i="25" s="1"/>
  <c r="AF101" i="25" s="1"/>
  <c r="F101" i="25"/>
  <c r="E101" i="25"/>
  <c r="D101" i="25"/>
  <c r="C101" i="25"/>
  <c r="D100" i="25"/>
  <c r="E100" i="25" s="1"/>
  <c r="C100" i="25"/>
  <c r="C91" i="25" s="1"/>
  <c r="D99" i="25"/>
  <c r="C99" i="25"/>
  <c r="AH96" i="25"/>
  <c r="AI96" i="25" s="1"/>
  <c r="AH95" i="25"/>
  <c r="AI95" i="25" s="1"/>
  <c r="AH94" i="25"/>
  <c r="AI94" i="25" s="1"/>
  <c r="AH93" i="25"/>
  <c r="AI93" i="25" s="1"/>
  <c r="AH92" i="25"/>
  <c r="AI92" i="25" s="1"/>
  <c r="D91" i="25"/>
  <c r="B91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G80" i="25"/>
  <c r="AI79" i="25"/>
  <c r="AH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E76" i="25"/>
  <c r="AD76" i="25"/>
  <c r="AC76" i="25"/>
  <c r="AB76" i="25"/>
  <c r="AA76" i="25"/>
  <c r="Z76" i="25"/>
  <c r="Y76" i="25"/>
  <c r="Y80" i="25" s="1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AF74" i="25"/>
  <c r="AE74" i="25"/>
  <c r="AD74" i="25"/>
  <c r="AC74" i="25"/>
  <c r="AB74" i="25"/>
  <c r="AA74" i="25"/>
  <c r="AA80" i="25" s="1"/>
  <c r="Z74" i="25"/>
  <c r="Y74" i="25"/>
  <c r="X74" i="25"/>
  <c r="W74" i="25"/>
  <c r="W80" i="25" s="1"/>
  <c r="V74" i="25"/>
  <c r="U74" i="25"/>
  <c r="T74" i="25"/>
  <c r="S74" i="25"/>
  <c r="R74" i="25"/>
  <c r="Q74" i="25"/>
  <c r="P74" i="25"/>
  <c r="P80" i="25" s="1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AI72" i="25"/>
  <c r="AH72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B70" i="25"/>
  <c r="AI69" i="25"/>
  <c r="AH69" i="25"/>
  <c r="AI68" i="25"/>
  <c r="AH68" i="25"/>
  <c r="AI67" i="25"/>
  <c r="AH67" i="25"/>
  <c r="AG66" i="25"/>
  <c r="AF66" i="25"/>
  <c r="AE66" i="25"/>
  <c r="AD66" i="25"/>
  <c r="AD5" i="25" s="1"/>
  <c r="AC66" i="25"/>
  <c r="AC5" i="25" s="1"/>
  <c r="AB66" i="25"/>
  <c r="AA66" i="25"/>
  <c r="AA5" i="25" s="1"/>
  <c r="Z66" i="25"/>
  <c r="Y66" i="25"/>
  <c r="X66" i="25"/>
  <c r="W66" i="25"/>
  <c r="V66" i="25"/>
  <c r="V5" i="25" s="1"/>
  <c r="U66" i="25"/>
  <c r="U5" i="25" s="1"/>
  <c r="T66" i="25"/>
  <c r="T5" i="25" s="1"/>
  <c r="S66" i="25"/>
  <c r="S5" i="25" s="1"/>
  <c r="R66" i="25"/>
  <c r="R5" i="25" s="1"/>
  <c r="Q66" i="25"/>
  <c r="P66" i="25"/>
  <c r="O66" i="25"/>
  <c r="N66" i="25"/>
  <c r="M66" i="25"/>
  <c r="M5" i="25" s="1"/>
  <c r="L66" i="25"/>
  <c r="L5" i="25" s="1"/>
  <c r="K66" i="25"/>
  <c r="J66" i="25"/>
  <c r="I66" i="25"/>
  <c r="H66" i="25"/>
  <c r="G66" i="25"/>
  <c r="F66" i="25"/>
  <c r="E66" i="25"/>
  <c r="E5" i="25" s="1"/>
  <c r="D66" i="25"/>
  <c r="D5" i="25" s="1"/>
  <c r="C66" i="25"/>
  <c r="B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G54" i="25"/>
  <c r="AG73" i="25" s="1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AI53" i="25"/>
  <c r="AH53" i="25"/>
  <c r="AI52" i="25"/>
  <c r="AH52" i="25"/>
  <c r="AI51" i="25"/>
  <c r="AH51" i="25"/>
  <c r="AG50" i="25"/>
  <c r="Y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AG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G36" i="25"/>
  <c r="AG2" i="25" s="1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B5" i="25"/>
  <c r="Z5" i="25"/>
  <c r="Y5" i="25"/>
  <c r="Q5" i="25"/>
  <c r="K5" i="25"/>
  <c r="J5" i="25"/>
  <c r="F5" i="25"/>
  <c r="C5" i="25"/>
  <c r="B5" i="25"/>
  <c r="K4" i="25"/>
  <c r="B4" i="25"/>
  <c r="AG3" i="25"/>
  <c r="AA93" i="24"/>
  <c r="Z35" i="24"/>
  <c r="Y35" i="24"/>
  <c r="X35" i="24"/>
  <c r="W35" i="24"/>
  <c r="V35" i="24"/>
  <c r="U35" i="24"/>
  <c r="T35" i="24"/>
  <c r="S35" i="24"/>
  <c r="E4" i="25"/>
  <c r="AF80" i="25" l="1"/>
  <c r="AE80" i="25"/>
  <c r="AD80" i="25"/>
  <c r="Z80" i="25"/>
  <c r="X80" i="25"/>
  <c r="V80" i="25"/>
  <c r="S80" i="25"/>
  <c r="S71" i="25"/>
  <c r="S73" i="25"/>
  <c r="R80" i="25"/>
  <c r="R73" i="25"/>
  <c r="AJ211" i="25" s="1"/>
  <c r="R71" i="25"/>
  <c r="Q80" i="25"/>
  <c r="Q73" i="25"/>
  <c r="AI211" i="25" s="1"/>
  <c r="O80" i="25"/>
  <c r="O73" i="25"/>
  <c r="AG211" i="25" s="1"/>
  <c r="N80" i="25"/>
  <c r="AI77" i="25"/>
  <c r="M71" i="25"/>
  <c r="M73" i="25"/>
  <c r="AE211" i="25" s="1"/>
  <c r="L71" i="25"/>
  <c r="L73" i="25"/>
  <c r="L7" i="25" s="1"/>
  <c r="K80" i="25"/>
  <c r="K73" i="25"/>
  <c r="AC211" i="25" s="1"/>
  <c r="K71" i="25"/>
  <c r="K81" i="25" s="1"/>
  <c r="J80" i="25"/>
  <c r="J73" i="25"/>
  <c r="AB211" i="25" s="1"/>
  <c r="J71" i="25"/>
  <c r="J81" i="25" s="1"/>
  <c r="I80" i="25"/>
  <c r="H80" i="25"/>
  <c r="G80" i="25"/>
  <c r="AH78" i="25"/>
  <c r="AI78" i="25"/>
  <c r="G73" i="25"/>
  <c r="Y211" i="25" s="1"/>
  <c r="F80" i="25"/>
  <c r="F71" i="25"/>
  <c r="E71" i="25"/>
  <c r="E73" i="25"/>
  <c r="W211" i="25" s="1"/>
  <c r="D71" i="25"/>
  <c r="D73" i="25"/>
  <c r="V211" i="25" s="1"/>
  <c r="C80" i="25"/>
  <c r="C73" i="25"/>
  <c r="U211" i="25" s="1"/>
  <c r="C71" i="25"/>
  <c r="B71" i="25"/>
  <c r="B73" i="25" s="1"/>
  <c r="H4" i="25"/>
  <c r="N71" i="25"/>
  <c r="P5" i="25"/>
  <c r="P71" i="25"/>
  <c r="P73" i="25"/>
  <c r="X5" i="25"/>
  <c r="J7" i="25"/>
  <c r="H5" i="25"/>
  <c r="H71" i="25"/>
  <c r="AF5" i="25"/>
  <c r="AG4" i="25"/>
  <c r="AG6" i="25" s="1"/>
  <c r="I71" i="25"/>
  <c r="Q71" i="25"/>
  <c r="Y71" i="25"/>
  <c r="AG71" i="25"/>
  <c r="Y73" i="25"/>
  <c r="D80" i="25"/>
  <c r="D81" i="25" s="1"/>
  <c r="L80" i="25"/>
  <c r="T80" i="25"/>
  <c r="AB80" i="25"/>
  <c r="E80" i="25"/>
  <c r="E81" i="25" s="1"/>
  <c r="AH74" i="25"/>
  <c r="M80" i="25"/>
  <c r="M81" i="25" s="1"/>
  <c r="U80" i="25"/>
  <c r="AC80" i="25"/>
  <c r="F100" i="25"/>
  <c r="E7" i="25"/>
  <c r="N5" i="25"/>
  <c r="AI54" i="25"/>
  <c r="F73" i="25"/>
  <c r="N73" i="25"/>
  <c r="N81" i="25" s="1"/>
  <c r="AH77" i="25"/>
  <c r="B80" i="25"/>
  <c r="AI76" i="25"/>
  <c r="H73" i="25"/>
  <c r="S208" i="25"/>
  <c r="D208" i="25"/>
  <c r="P81" i="25"/>
  <c r="AI75" i="25"/>
  <c r="I5" i="25"/>
  <c r="AI36" i="25"/>
  <c r="AH36" i="25"/>
  <c r="G5" i="25"/>
  <c r="G71" i="25"/>
  <c r="O5" i="25"/>
  <c r="O71" i="25"/>
  <c r="O81" i="25" s="1"/>
  <c r="W5" i="25"/>
  <c r="AE5" i="25"/>
  <c r="AG81" i="25"/>
  <c r="I73" i="25"/>
  <c r="AI74" i="25"/>
  <c r="C189" i="25"/>
  <c r="D189" i="25"/>
  <c r="AH54" i="25"/>
  <c r="AH66" i="25"/>
  <c r="AH70" i="25"/>
  <c r="AH75" i="25"/>
  <c r="E99" i="25"/>
  <c r="AI66" i="25"/>
  <c r="AI70" i="25"/>
  <c r="AH76" i="25"/>
  <c r="E191" i="25"/>
  <c r="D197" i="25"/>
  <c r="D232" i="25"/>
  <c r="E196" i="25"/>
  <c r="Y81" i="25" l="1"/>
  <c r="Q81" i="25"/>
  <c r="S81" i="25"/>
  <c r="AK211" i="25"/>
  <c r="S7" i="25"/>
  <c r="R81" i="25"/>
  <c r="R7" i="25"/>
  <c r="Q7" i="25"/>
  <c r="O7" i="25"/>
  <c r="L81" i="25"/>
  <c r="M7" i="25"/>
  <c r="AD211" i="25"/>
  <c r="G7" i="25"/>
  <c r="I81" i="25"/>
  <c r="K7" i="25"/>
  <c r="H81" i="25"/>
  <c r="G81" i="25"/>
  <c r="D7" i="25"/>
  <c r="C81" i="25"/>
  <c r="C7" i="25"/>
  <c r="B81" i="25"/>
  <c r="F191" i="25"/>
  <c r="E197" i="25"/>
  <c r="T211" i="25"/>
  <c r="B7" i="25"/>
  <c r="AQ211" i="25"/>
  <c r="Y7" i="25"/>
  <c r="E189" i="25"/>
  <c r="F99" i="25"/>
  <c r="AH211" i="25"/>
  <c r="P7" i="25"/>
  <c r="AF211" i="25"/>
  <c r="N7" i="25"/>
  <c r="X211" i="25"/>
  <c r="C206" i="25"/>
  <c r="B206" i="25"/>
  <c r="F7" i="25"/>
  <c r="AA211" i="25"/>
  <c r="I7" i="25"/>
  <c r="E91" i="25"/>
  <c r="F81" i="25"/>
  <c r="Z211" i="25"/>
  <c r="H7" i="25"/>
  <c r="E232" i="25"/>
  <c r="F196" i="25"/>
  <c r="AI80" i="25"/>
  <c r="AH80" i="25"/>
  <c r="G100" i="25"/>
  <c r="F91" i="25"/>
  <c r="K6" i="25" l="1"/>
  <c r="F232" i="25"/>
  <c r="G196" i="25"/>
  <c r="G91" i="25" s="1"/>
  <c r="F189" i="25"/>
  <c r="G99" i="25"/>
  <c r="H100" i="25"/>
  <c r="G191" i="25"/>
  <c r="F197" i="25"/>
  <c r="G189" i="25" l="1"/>
  <c r="H99" i="25"/>
  <c r="G232" i="25"/>
  <c r="H196" i="25"/>
  <c r="G197" i="25"/>
  <c r="H191" i="25"/>
  <c r="I100" i="25"/>
  <c r="H197" i="25" l="1"/>
  <c r="I191" i="25"/>
  <c r="H91" i="25"/>
  <c r="H232" i="25"/>
  <c r="I196" i="25"/>
  <c r="H189" i="25"/>
  <c r="I99" i="25"/>
  <c r="I91" i="25"/>
  <c r="J100" i="25"/>
  <c r="J196" i="25" l="1"/>
  <c r="I232" i="25"/>
  <c r="I197" i="25"/>
  <c r="J191" i="25"/>
  <c r="I189" i="25"/>
  <c r="J99" i="25"/>
  <c r="K100" i="25"/>
  <c r="J91" i="25"/>
  <c r="K191" i="25" l="1"/>
  <c r="J197" i="25"/>
  <c r="J189" i="25"/>
  <c r="K99" i="25"/>
  <c r="L100" i="25"/>
  <c r="K91" i="25"/>
  <c r="K196" i="25"/>
  <c r="J232" i="25"/>
  <c r="L196" i="25" l="1"/>
  <c r="K232" i="25"/>
  <c r="M100" i="25"/>
  <c r="K189" i="25"/>
  <c r="L99" i="25"/>
  <c r="L191" i="25"/>
  <c r="K197" i="25"/>
  <c r="R35" i="24"/>
  <c r="Q99" i="24"/>
  <c r="L189" i="25" l="1"/>
  <c r="M99" i="25"/>
  <c r="M191" i="25"/>
  <c r="L197" i="25"/>
  <c r="L91" i="25"/>
  <c r="N100" i="25"/>
  <c r="M91" i="25"/>
  <c r="L232" i="25"/>
  <c r="M196" i="25"/>
  <c r="Q35" i="24"/>
  <c r="P35" i="24"/>
  <c r="O35" i="24"/>
  <c r="N35" i="24"/>
  <c r="M35" i="24"/>
  <c r="L35" i="24"/>
  <c r="AH97" i="24"/>
  <c r="AI97" i="24" s="1"/>
  <c r="B91" i="24"/>
  <c r="B78" i="24"/>
  <c r="B77" i="24"/>
  <c r="B76" i="24"/>
  <c r="B75" i="24"/>
  <c r="B74" i="24"/>
  <c r="B80" i="24" s="1"/>
  <c r="B70" i="24"/>
  <c r="B66" i="24"/>
  <c r="B54" i="24"/>
  <c r="B49" i="24"/>
  <c r="B50" i="24" s="1"/>
  <c r="B36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AF234" i="24"/>
  <c r="AE234" i="24"/>
  <c r="AD234" i="24"/>
  <c r="AC234" i="24"/>
  <c r="AB234" i="24"/>
  <c r="AA234" i="24"/>
  <c r="Z234" i="24"/>
  <c r="Y234" i="24"/>
  <c r="X234" i="24"/>
  <c r="W234" i="24"/>
  <c r="V234" i="24"/>
  <c r="U234" i="24"/>
  <c r="T234" i="24"/>
  <c r="S234" i="24"/>
  <c r="R234" i="24"/>
  <c r="Q234" i="24"/>
  <c r="P234" i="24"/>
  <c r="O234" i="24"/>
  <c r="N234" i="24"/>
  <c r="M234" i="24"/>
  <c r="L234" i="24"/>
  <c r="K234" i="24"/>
  <c r="J234" i="24"/>
  <c r="I234" i="24"/>
  <c r="H234" i="24"/>
  <c r="G234" i="24"/>
  <c r="F234" i="24"/>
  <c r="E234" i="24"/>
  <c r="D234" i="24"/>
  <c r="C234" i="24"/>
  <c r="B234" i="24"/>
  <c r="A234" i="24"/>
  <c r="AF233" i="24"/>
  <c r="AE233" i="24"/>
  <c r="AD233" i="24"/>
  <c r="AC233" i="24"/>
  <c r="AB233" i="24"/>
  <c r="AA233" i="24"/>
  <c r="Z233" i="24"/>
  <c r="Y233" i="24"/>
  <c r="X233" i="24"/>
  <c r="W233" i="24"/>
  <c r="V233" i="24"/>
  <c r="U233" i="24"/>
  <c r="T233" i="24"/>
  <c r="S233" i="24"/>
  <c r="R233" i="24"/>
  <c r="Q233" i="24"/>
  <c r="P233" i="24"/>
  <c r="O233" i="24"/>
  <c r="N233" i="24"/>
  <c r="M233" i="24"/>
  <c r="L233" i="24"/>
  <c r="K233" i="24"/>
  <c r="J233" i="24"/>
  <c r="I233" i="24"/>
  <c r="H233" i="24"/>
  <c r="G233" i="24"/>
  <c r="F233" i="24"/>
  <c r="E233" i="24"/>
  <c r="D233" i="24"/>
  <c r="C233" i="24"/>
  <c r="B233" i="24"/>
  <c r="A233" i="24"/>
  <c r="B232" i="24"/>
  <c r="S207" i="24"/>
  <c r="AG197" i="24"/>
  <c r="B197" i="24"/>
  <c r="C196" i="24"/>
  <c r="E195" i="24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D195" i="24"/>
  <c r="C195" i="24"/>
  <c r="C194" i="24"/>
  <c r="D194" i="24" s="1"/>
  <c r="E194" i="24" s="1"/>
  <c r="F194" i="24" s="1"/>
  <c r="G194" i="24" s="1"/>
  <c r="H194" i="24" s="1"/>
  <c r="I194" i="24" s="1"/>
  <c r="J194" i="24" s="1"/>
  <c r="K194" i="24" s="1"/>
  <c r="L194" i="24" s="1"/>
  <c r="M194" i="24" s="1"/>
  <c r="N194" i="24" s="1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F193" i="24"/>
  <c r="G193" i="24" s="1"/>
  <c r="H193" i="24" s="1"/>
  <c r="I193" i="24" s="1"/>
  <c r="J193" i="24" s="1"/>
  <c r="K193" i="24" s="1"/>
  <c r="L193" i="24" s="1"/>
  <c r="M193" i="24" s="1"/>
  <c r="N193" i="24" s="1"/>
  <c r="O193" i="24" s="1"/>
  <c r="P193" i="24" s="1"/>
  <c r="Q193" i="24" s="1"/>
  <c r="R193" i="24" s="1"/>
  <c r="S193" i="24" s="1"/>
  <c r="T193" i="24" s="1"/>
  <c r="U193" i="24" s="1"/>
  <c r="V193" i="24" s="1"/>
  <c r="W193" i="24" s="1"/>
  <c r="X193" i="24" s="1"/>
  <c r="Y193" i="24" s="1"/>
  <c r="Z193" i="24" s="1"/>
  <c r="AA193" i="24" s="1"/>
  <c r="AB193" i="24" s="1"/>
  <c r="AC193" i="24" s="1"/>
  <c r="AD193" i="24" s="1"/>
  <c r="AE193" i="24" s="1"/>
  <c r="AF193" i="24" s="1"/>
  <c r="D193" i="24"/>
  <c r="E193" i="24" s="1"/>
  <c r="C193" i="24"/>
  <c r="G192" i="24"/>
  <c r="H192" i="24" s="1"/>
  <c r="I192" i="24" s="1"/>
  <c r="J192" i="24" s="1"/>
  <c r="K192" i="24" s="1"/>
  <c r="L192" i="24" s="1"/>
  <c r="M192" i="24" s="1"/>
  <c r="N192" i="24" s="1"/>
  <c r="O192" i="24" s="1"/>
  <c r="P192" i="24" s="1"/>
  <c r="Q192" i="24" s="1"/>
  <c r="R192" i="24" s="1"/>
  <c r="S192" i="24" s="1"/>
  <c r="T192" i="24" s="1"/>
  <c r="U192" i="24" s="1"/>
  <c r="V192" i="24" s="1"/>
  <c r="W192" i="24" s="1"/>
  <c r="X192" i="24" s="1"/>
  <c r="Y192" i="24" s="1"/>
  <c r="Z192" i="24" s="1"/>
  <c r="AA192" i="24" s="1"/>
  <c r="AB192" i="24" s="1"/>
  <c r="AC192" i="24" s="1"/>
  <c r="AD192" i="24" s="1"/>
  <c r="AE192" i="24" s="1"/>
  <c r="AF192" i="24" s="1"/>
  <c r="E192" i="24"/>
  <c r="F192" i="24" s="1"/>
  <c r="D192" i="24"/>
  <c r="C192" i="24"/>
  <c r="C191" i="24"/>
  <c r="D191" i="24" s="1"/>
  <c r="E191" i="24" s="1"/>
  <c r="AG189" i="24"/>
  <c r="B189" i="24"/>
  <c r="C188" i="24"/>
  <c r="D188" i="24" s="1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T187" i="24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C187" i="24"/>
  <c r="C186" i="24"/>
  <c r="D186" i="24" s="1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H185" i="24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E185" i="24"/>
  <c r="F185" i="24" s="1"/>
  <c r="G185" i="24" s="1"/>
  <c r="C185" i="24"/>
  <c r="D185" i="24" s="1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C184" i="24"/>
  <c r="E183" i="24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D183" i="24"/>
  <c r="C183" i="24"/>
  <c r="C182" i="24"/>
  <c r="D182" i="24" s="1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U181" i="24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H181" i="24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D181" i="24"/>
  <c r="E181" i="24" s="1"/>
  <c r="F181" i="24" s="1"/>
  <c r="G181" i="24" s="1"/>
  <c r="C181" i="24"/>
  <c r="C180" i="24"/>
  <c r="D180" i="24" s="1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F179" i="24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E179" i="24"/>
  <c r="D179" i="24"/>
  <c r="C179" i="24"/>
  <c r="D178" i="24"/>
  <c r="E178" i="24" s="1"/>
  <c r="F178" i="24" s="1"/>
  <c r="G178" i="24" s="1"/>
  <c r="H178" i="24" s="1"/>
  <c r="I178" i="24" s="1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C178" i="24"/>
  <c r="C177" i="24"/>
  <c r="D177" i="24" s="1"/>
  <c r="E177" i="24" s="1"/>
  <c r="F177" i="24" s="1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D176" i="24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C176" i="24"/>
  <c r="C174" i="24"/>
  <c r="D174" i="24" s="1"/>
  <c r="E174" i="24" s="1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AF173" i="24"/>
  <c r="F173" i="24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E173" i="24"/>
  <c r="C173" i="24"/>
  <c r="D173" i="24" s="1"/>
  <c r="G172" i="24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E172" i="24"/>
  <c r="F172" i="24" s="1"/>
  <c r="D172" i="24"/>
  <c r="C172" i="24"/>
  <c r="Y171" i="24"/>
  <c r="Z171" i="24" s="1"/>
  <c r="AA171" i="24" s="1"/>
  <c r="AB171" i="24" s="1"/>
  <c r="AC171" i="24" s="1"/>
  <c r="AD171" i="24" s="1"/>
  <c r="AE171" i="24" s="1"/>
  <c r="AF171" i="24" s="1"/>
  <c r="C171" i="24"/>
  <c r="D171" i="24" s="1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E170" i="24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D170" i="24"/>
  <c r="C170" i="24"/>
  <c r="AA169" i="24"/>
  <c r="AB169" i="24" s="1"/>
  <c r="AC169" i="24" s="1"/>
  <c r="AD169" i="24" s="1"/>
  <c r="AE169" i="24" s="1"/>
  <c r="AF169" i="24" s="1"/>
  <c r="W169" i="24"/>
  <c r="X169" i="24" s="1"/>
  <c r="Y169" i="24" s="1"/>
  <c r="Z169" i="24" s="1"/>
  <c r="E169" i="24"/>
  <c r="F169" i="24" s="1"/>
  <c r="G169" i="24" s="1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C169" i="24"/>
  <c r="D169" i="24" s="1"/>
  <c r="E168" i="24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C168" i="24"/>
  <c r="D168" i="24" s="1"/>
  <c r="F167" i="24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C167" i="24"/>
  <c r="D167" i="24" s="1"/>
  <c r="E167" i="24" s="1"/>
  <c r="N165" i="24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M165" i="24"/>
  <c r="D165" i="24"/>
  <c r="E165" i="24" s="1"/>
  <c r="F165" i="24" s="1"/>
  <c r="G165" i="24" s="1"/>
  <c r="H165" i="24" s="1"/>
  <c r="I165" i="24" s="1"/>
  <c r="J165" i="24" s="1"/>
  <c r="K165" i="24" s="1"/>
  <c r="L165" i="24" s="1"/>
  <c r="C165" i="24"/>
  <c r="C164" i="24"/>
  <c r="D164" i="24" s="1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D163" i="24"/>
  <c r="E163" i="24" s="1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C163" i="24"/>
  <c r="G162" i="24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C162" i="24"/>
  <c r="D162" i="24" s="1"/>
  <c r="E162" i="24" s="1"/>
  <c r="F162" i="24" s="1"/>
  <c r="M161" i="24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L161" i="24"/>
  <c r="I161" i="24"/>
  <c r="J161" i="24" s="1"/>
  <c r="K161" i="24" s="1"/>
  <c r="D161" i="24"/>
  <c r="E161" i="24" s="1"/>
  <c r="F161" i="24" s="1"/>
  <c r="G161" i="24" s="1"/>
  <c r="H161" i="24" s="1"/>
  <c r="C161" i="24"/>
  <c r="P160" i="24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C160" i="24"/>
  <c r="K159" i="24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C159" i="24"/>
  <c r="D159" i="24" s="1"/>
  <c r="E159" i="24" s="1"/>
  <c r="F159" i="24" s="1"/>
  <c r="G159" i="24" s="1"/>
  <c r="H159" i="24" s="1"/>
  <c r="I159" i="24" s="1"/>
  <c r="J159" i="24" s="1"/>
  <c r="C158" i="24"/>
  <c r="D158" i="24" s="1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C157" i="24"/>
  <c r="D157" i="24" s="1"/>
  <c r="E157" i="24" s="1"/>
  <c r="F157" i="24" s="1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G156" i="24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C156" i="24"/>
  <c r="D156" i="24" s="1"/>
  <c r="E156" i="24" s="1"/>
  <c r="F156" i="24" s="1"/>
  <c r="D155" i="24"/>
  <c r="E155" i="24" s="1"/>
  <c r="F155" i="24" s="1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C155" i="24"/>
  <c r="AF154" i="24"/>
  <c r="G154" i="24"/>
  <c r="H154" i="24" s="1"/>
  <c r="I154" i="24" s="1"/>
  <c r="J154" i="24" s="1"/>
  <c r="K154" i="24" s="1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D154" i="24"/>
  <c r="E154" i="24" s="1"/>
  <c r="F154" i="24" s="1"/>
  <c r="C154" i="24"/>
  <c r="C153" i="24"/>
  <c r="D153" i="24" s="1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M151" i="24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C151" i="24"/>
  <c r="D151" i="24" s="1"/>
  <c r="E151" i="24" s="1"/>
  <c r="F151" i="24" s="1"/>
  <c r="G151" i="24" s="1"/>
  <c r="H151" i="24" s="1"/>
  <c r="I151" i="24" s="1"/>
  <c r="J151" i="24" s="1"/>
  <c r="K151" i="24" s="1"/>
  <c r="L151" i="24" s="1"/>
  <c r="D150" i="24"/>
  <c r="E150" i="24" s="1"/>
  <c r="F150" i="24" s="1"/>
  <c r="G150" i="24" s="1"/>
  <c r="H150" i="24" s="1"/>
  <c r="I150" i="24" s="1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C150" i="24"/>
  <c r="H149" i="24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C149" i="24"/>
  <c r="D149" i="24" s="1"/>
  <c r="E149" i="24" s="1"/>
  <c r="F149" i="24" s="1"/>
  <c r="G149" i="24" s="1"/>
  <c r="G148" i="24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C148" i="24"/>
  <c r="D148" i="24" s="1"/>
  <c r="E148" i="24" s="1"/>
  <c r="F148" i="24" s="1"/>
  <c r="S146" i="24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E146" i="24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C146" i="24"/>
  <c r="D146" i="24" s="1"/>
  <c r="D145" i="24"/>
  <c r="E145" i="24" s="1"/>
  <c r="F145" i="24" s="1"/>
  <c r="G145" i="24" s="1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C145" i="24"/>
  <c r="G143" i="24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C143" i="24"/>
  <c r="D143" i="24" s="1"/>
  <c r="E143" i="24" s="1"/>
  <c r="F143" i="24" s="1"/>
  <c r="E142" i="24"/>
  <c r="F142" i="24" s="1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C142" i="24"/>
  <c r="D142" i="24" s="1"/>
  <c r="C141" i="24"/>
  <c r="D141" i="24" s="1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H140" i="24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C140" i="24"/>
  <c r="D140" i="24" s="1"/>
  <c r="E140" i="24" s="1"/>
  <c r="F140" i="24" s="1"/>
  <c r="G140" i="24" s="1"/>
  <c r="J139" i="24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F139" i="24"/>
  <c r="G139" i="24" s="1"/>
  <c r="H139" i="24" s="1"/>
  <c r="I139" i="24" s="1"/>
  <c r="C139" i="24"/>
  <c r="D139" i="24" s="1"/>
  <c r="E139" i="24" s="1"/>
  <c r="F138" i="24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D138" i="24"/>
  <c r="E138" i="24" s="1"/>
  <c r="C138" i="24"/>
  <c r="C137" i="24"/>
  <c r="D137" i="24" s="1"/>
  <c r="E137" i="24" s="1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M135" i="24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C135" i="24"/>
  <c r="D135" i="24" s="1"/>
  <c r="E135" i="24" s="1"/>
  <c r="F135" i="24" s="1"/>
  <c r="G135" i="24" s="1"/>
  <c r="H135" i="24" s="1"/>
  <c r="I135" i="24" s="1"/>
  <c r="J135" i="24" s="1"/>
  <c r="K135" i="24" s="1"/>
  <c r="L135" i="24" s="1"/>
  <c r="K134" i="24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C134" i="24"/>
  <c r="D134" i="24" s="1"/>
  <c r="E134" i="24" s="1"/>
  <c r="F134" i="24" s="1"/>
  <c r="G134" i="24" s="1"/>
  <c r="H134" i="24" s="1"/>
  <c r="I134" i="24" s="1"/>
  <c r="J134" i="24" s="1"/>
  <c r="E133" i="24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D133" i="24"/>
  <c r="C133" i="24"/>
  <c r="D132" i="24"/>
  <c r="E132" i="24" s="1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C132" i="24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C131" i="24"/>
  <c r="P130" i="24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F130" i="24"/>
  <c r="G130" i="24" s="1"/>
  <c r="H130" i="24" s="1"/>
  <c r="I130" i="24" s="1"/>
  <c r="J130" i="24" s="1"/>
  <c r="K130" i="24" s="1"/>
  <c r="L130" i="24" s="1"/>
  <c r="M130" i="24" s="1"/>
  <c r="N130" i="24" s="1"/>
  <c r="O130" i="24" s="1"/>
  <c r="C130" i="24"/>
  <c r="D130" i="24" s="1"/>
  <c r="E130" i="24" s="1"/>
  <c r="D129" i="24"/>
  <c r="E129" i="24" s="1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C129" i="24"/>
  <c r="M128" i="24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C128" i="24"/>
  <c r="D128" i="24" s="1"/>
  <c r="E128" i="24" s="1"/>
  <c r="F128" i="24" s="1"/>
  <c r="G128" i="24" s="1"/>
  <c r="H128" i="24" s="1"/>
  <c r="I128" i="24" s="1"/>
  <c r="J128" i="24" s="1"/>
  <c r="K128" i="24" s="1"/>
  <c r="L128" i="24" s="1"/>
  <c r="U126" i="24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K126" i="24"/>
  <c r="L126" i="24" s="1"/>
  <c r="M126" i="24" s="1"/>
  <c r="N126" i="24" s="1"/>
  <c r="O126" i="24" s="1"/>
  <c r="P126" i="24" s="1"/>
  <c r="Q126" i="24" s="1"/>
  <c r="R126" i="24" s="1"/>
  <c r="S126" i="24" s="1"/>
  <c r="T126" i="24" s="1"/>
  <c r="C126" i="24"/>
  <c r="D126" i="24" s="1"/>
  <c r="E126" i="24" s="1"/>
  <c r="F126" i="24" s="1"/>
  <c r="G126" i="24" s="1"/>
  <c r="H126" i="24" s="1"/>
  <c r="I126" i="24" s="1"/>
  <c r="J126" i="24" s="1"/>
  <c r="C125" i="24"/>
  <c r="D125" i="24" s="1"/>
  <c r="E125" i="24" s="1"/>
  <c r="F125" i="24" s="1"/>
  <c r="G125" i="24" s="1"/>
  <c r="H125" i="24" s="1"/>
  <c r="I125" i="24" s="1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Q124" i="24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G124" i="24"/>
  <c r="H124" i="24" s="1"/>
  <c r="I124" i="24" s="1"/>
  <c r="J124" i="24" s="1"/>
  <c r="K124" i="24" s="1"/>
  <c r="L124" i="24" s="1"/>
  <c r="M124" i="24" s="1"/>
  <c r="N124" i="24" s="1"/>
  <c r="O124" i="24" s="1"/>
  <c r="P124" i="24" s="1"/>
  <c r="E124" i="24"/>
  <c r="F124" i="24" s="1"/>
  <c r="D124" i="24"/>
  <c r="C124" i="24"/>
  <c r="D123" i="24"/>
  <c r="E123" i="24" s="1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C123" i="24"/>
  <c r="H122" i="24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D122" i="24"/>
  <c r="E122" i="24" s="1"/>
  <c r="F122" i="24" s="1"/>
  <c r="G122" i="24" s="1"/>
  <c r="C122" i="24"/>
  <c r="F121" i="24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C121" i="24"/>
  <c r="D121" i="24" s="1"/>
  <c r="E121" i="24" s="1"/>
  <c r="D120" i="24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C120" i="24"/>
  <c r="S119" i="24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K119" i="24"/>
  <c r="L119" i="24" s="1"/>
  <c r="M119" i="24" s="1"/>
  <c r="N119" i="24" s="1"/>
  <c r="O119" i="24" s="1"/>
  <c r="P119" i="24" s="1"/>
  <c r="Q119" i="24" s="1"/>
  <c r="R119" i="24" s="1"/>
  <c r="G119" i="24"/>
  <c r="H119" i="24" s="1"/>
  <c r="I119" i="24" s="1"/>
  <c r="J119" i="24" s="1"/>
  <c r="C119" i="24"/>
  <c r="D119" i="24" s="1"/>
  <c r="E119" i="24" s="1"/>
  <c r="F119" i="24" s="1"/>
  <c r="C118" i="24"/>
  <c r="D118" i="24" s="1"/>
  <c r="E118" i="24" s="1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G117" i="24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C117" i="24"/>
  <c r="D117" i="24" s="1"/>
  <c r="E117" i="24" s="1"/>
  <c r="F117" i="24" s="1"/>
  <c r="Y116" i="24"/>
  <c r="Z116" i="24" s="1"/>
  <c r="AA116" i="24" s="1"/>
  <c r="AB116" i="24" s="1"/>
  <c r="AC116" i="24" s="1"/>
  <c r="AD116" i="24" s="1"/>
  <c r="AE116" i="24" s="1"/>
  <c r="AF116" i="24" s="1"/>
  <c r="G116" i="24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E116" i="24"/>
  <c r="F116" i="24" s="1"/>
  <c r="D116" i="24"/>
  <c r="C116" i="24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C115" i="24"/>
  <c r="J114" i="24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D114" i="24"/>
  <c r="E114" i="24" s="1"/>
  <c r="F114" i="24" s="1"/>
  <c r="G114" i="24" s="1"/>
  <c r="H114" i="24" s="1"/>
  <c r="I114" i="24" s="1"/>
  <c r="C114" i="24"/>
  <c r="R113" i="24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F113" i="24"/>
  <c r="G113" i="24" s="1"/>
  <c r="H113" i="24" s="1"/>
  <c r="I113" i="24" s="1"/>
  <c r="J113" i="24" s="1"/>
  <c r="K113" i="24" s="1"/>
  <c r="L113" i="24" s="1"/>
  <c r="M113" i="24" s="1"/>
  <c r="N113" i="24" s="1"/>
  <c r="O113" i="24" s="1"/>
  <c r="P113" i="24" s="1"/>
  <c r="Q113" i="24" s="1"/>
  <c r="C113" i="24"/>
  <c r="D113" i="24" s="1"/>
  <c r="E113" i="24" s="1"/>
  <c r="N112" i="24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D112" i="24"/>
  <c r="E112" i="24" s="1"/>
  <c r="F112" i="24" s="1"/>
  <c r="G112" i="24" s="1"/>
  <c r="H112" i="24" s="1"/>
  <c r="I112" i="24" s="1"/>
  <c r="J112" i="24" s="1"/>
  <c r="K112" i="24" s="1"/>
  <c r="L112" i="24" s="1"/>
  <c r="M112" i="24" s="1"/>
  <c r="C112" i="24"/>
  <c r="R111" i="24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J111" i="24"/>
  <c r="K111" i="24" s="1"/>
  <c r="L111" i="24" s="1"/>
  <c r="M111" i="24" s="1"/>
  <c r="N111" i="24" s="1"/>
  <c r="O111" i="24" s="1"/>
  <c r="P111" i="24" s="1"/>
  <c r="Q111" i="24" s="1"/>
  <c r="D111" i="24"/>
  <c r="E111" i="24" s="1"/>
  <c r="F111" i="24" s="1"/>
  <c r="G111" i="24" s="1"/>
  <c r="H111" i="24" s="1"/>
  <c r="C111" i="24"/>
  <c r="X110" i="24"/>
  <c r="Y110" i="24" s="1"/>
  <c r="Z110" i="24" s="1"/>
  <c r="AA110" i="24" s="1"/>
  <c r="AB110" i="24" s="1"/>
  <c r="AC110" i="24" s="1"/>
  <c r="AD110" i="24" s="1"/>
  <c r="AE110" i="24" s="1"/>
  <c r="AF110" i="24" s="1"/>
  <c r="J110" i="24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C110" i="24"/>
  <c r="D110" i="24" s="1"/>
  <c r="E110" i="24" s="1"/>
  <c r="F110" i="24" s="1"/>
  <c r="G110" i="24" s="1"/>
  <c r="H110" i="24" s="1"/>
  <c r="I110" i="24" s="1"/>
  <c r="E109" i="24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C109" i="24"/>
  <c r="D109" i="24" s="1"/>
  <c r="L107" i="24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D107" i="24"/>
  <c r="E107" i="24" s="1"/>
  <c r="F107" i="24" s="1"/>
  <c r="G107" i="24" s="1"/>
  <c r="H107" i="24" s="1"/>
  <c r="I107" i="24" s="1"/>
  <c r="J107" i="24" s="1"/>
  <c r="K107" i="24" s="1"/>
  <c r="C107" i="24"/>
  <c r="D106" i="24"/>
  <c r="E106" i="24" s="1"/>
  <c r="F106" i="24" s="1"/>
  <c r="G106" i="24" s="1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C106" i="24"/>
  <c r="L104" i="24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K104" i="24"/>
  <c r="C104" i="24"/>
  <c r="D104" i="24" s="1"/>
  <c r="E104" i="24" s="1"/>
  <c r="F104" i="24" s="1"/>
  <c r="G104" i="24" s="1"/>
  <c r="H104" i="24" s="1"/>
  <c r="I104" i="24" s="1"/>
  <c r="J104" i="24" s="1"/>
  <c r="G103" i="24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F103" i="24"/>
  <c r="D103" i="24"/>
  <c r="E103" i="24" s="1"/>
  <c r="C103" i="24"/>
  <c r="M102" i="24"/>
  <c r="N102" i="24" s="1"/>
  <c r="O102" i="24" s="1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AA102" i="24" s="1"/>
  <c r="AB102" i="24" s="1"/>
  <c r="AC102" i="24" s="1"/>
  <c r="AD102" i="24" s="1"/>
  <c r="AE102" i="24" s="1"/>
  <c r="AF102" i="24" s="1"/>
  <c r="L102" i="24"/>
  <c r="E102" i="24"/>
  <c r="F102" i="24" s="1"/>
  <c r="G102" i="24" s="1"/>
  <c r="H102" i="24" s="1"/>
  <c r="I102" i="24" s="1"/>
  <c r="J102" i="24" s="1"/>
  <c r="K102" i="24" s="1"/>
  <c r="D102" i="24"/>
  <c r="C102" i="24"/>
  <c r="R101" i="24"/>
  <c r="S101" i="24" s="1"/>
  <c r="T101" i="24" s="1"/>
  <c r="U101" i="24" s="1"/>
  <c r="V101" i="24" s="1"/>
  <c r="W101" i="24" s="1"/>
  <c r="X101" i="24" s="1"/>
  <c r="Y101" i="24" s="1"/>
  <c r="Z101" i="24" s="1"/>
  <c r="AA101" i="24" s="1"/>
  <c r="AB101" i="24" s="1"/>
  <c r="AC101" i="24" s="1"/>
  <c r="AD101" i="24" s="1"/>
  <c r="AE101" i="24" s="1"/>
  <c r="AF101" i="24" s="1"/>
  <c r="K101" i="24"/>
  <c r="L101" i="24" s="1"/>
  <c r="M101" i="24" s="1"/>
  <c r="N101" i="24" s="1"/>
  <c r="O101" i="24" s="1"/>
  <c r="P101" i="24" s="1"/>
  <c r="Q101" i="24" s="1"/>
  <c r="J101" i="24"/>
  <c r="C101" i="24"/>
  <c r="D101" i="24" s="1"/>
  <c r="E101" i="24" s="1"/>
  <c r="F101" i="24" s="1"/>
  <c r="G101" i="24" s="1"/>
  <c r="H101" i="24" s="1"/>
  <c r="I101" i="24" s="1"/>
  <c r="C100" i="24"/>
  <c r="D100" i="24" s="1"/>
  <c r="D99" i="24"/>
  <c r="C99" i="24"/>
  <c r="AH96" i="24"/>
  <c r="AI96" i="24" s="1"/>
  <c r="AH95" i="24"/>
  <c r="AI95" i="24" s="1"/>
  <c r="AH94" i="24"/>
  <c r="AI94" i="24" s="1"/>
  <c r="AH93" i="24"/>
  <c r="AI93" i="24" s="1"/>
  <c r="AH92" i="24"/>
  <c r="AI92" i="24" s="1"/>
  <c r="C91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3" i="24"/>
  <c r="AH83" i="24"/>
  <c r="AI82" i="24"/>
  <c r="AH82" i="24"/>
  <c r="AG80" i="24"/>
  <c r="AI79" i="24"/>
  <c r="AH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AF75" i="24"/>
  <c r="AE75" i="24"/>
  <c r="AD75" i="24"/>
  <c r="AC75" i="24"/>
  <c r="AC80" i="24" s="1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AF74" i="24"/>
  <c r="AE74" i="24"/>
  <c r="AD74" i="24"/>
  <c r="AC74" i="24"/>
  <c r="AB74" i="24"/>
  <c r="AB80" i="24" s="1"/>
  <c r="AA74" i="24"/>
  <c r="AA80" i="24" s="1"/>
  <c r="Z74" i="24"/>
  <c r="Y74" i="24"/>
  <c r="X74" i="24"/>
  <c r="X80" i="24" s="1"/>
  <c r="W74" i="24"/>
  <c r="V74" i="24"/>
  <c r="V80" i="24" s="1"/>
  <c r="U74" i="24"/>
  <c r="T74" i="24"/>
  <c r="T80" i="24" s="1"/>
  <c r="S74" i="24"/>
  <c r="S80" i="24" s="1"/>
  <c r="R74" i="24"/>
  <c r="Q74" i="24"/>
  <c r="P74" i="24"/>
  <c r="P80" i="24" s="1"/>
  <c r="O74" i="24"/>
  <c r="N74" i="24"/>
  <c r="N80" i="24" s="1"/>
  <c r="M74" i="24"/>
  <c r="L74" i="24"/>
  <c r="K74" i="24"/>
  <c r="J74" i="24"/>
  <c r="I74" i="24"/>
  <c r="H74" i="24"/>
  <c r="G74" i="24"/>
  <c r="F74" i="24"/>
  <c r="E74" i="24"/>
  <c r="D74" i="24"/>
  <c r="C74" i="24"/>
  <c r="AI72" i="24"/>
  <c r="AH72" i="24"/>
  <c r="AG71" i="24"/>
  <c r="AG70" i="24"/>
  <c r="AF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R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AI69" i="24"/>
  <c r="AH69" i="24"/>
  <c r="AI68" i="24"/>
  <c r="AH68" i="24"/>
  <c r="AI67" i="24"/>
  <c r="AH67" i="24"/>
  <c r="AG66" i="24"/>
  <c r="AF66" i="24"/>
  <c r="AE66" i="24"/>
  <c r="AD66" i="24"/>
  <c r="AC66" i="24"/>
  <c r="AC5" i="24" s="1"/>
  <c r="AB66" i="24"/>
  <c r="AA66" i="24"/>
  <c r="Z66" i="24"/>
  <c r="Z5" i="24" s="1"/>
  <c r="Y66" i="24"/>
  <c r="X66" i="24"/>
  <c r="W66" i="24"/>
  <c r="W5" i="24" s="1"/>
  <c r="V66" i="24"/>
  <c r="U66" i="24"/>
  <c r="T66" i="24"/>
  <c r="S66" i="24"/>
  <c r="R66" i="24"/>
  <c r="R5" i="24" s="1"/>
  <c r="Q66" i="24"/>
  <c r="Q5" i="24" s="1"/>
  <c r="P66" i="24"/>
  <c r="P5" i="24" s="1"/>
  <c r="O66" i="24"/>
  <c r="O5" i="24" s="1"/>
  <c r="N66" i="24"/>
  <c r="N5" i="24" s="1"/>
  <c r="M66" i="24"/>
  <c r="M5" i="24" s="1"/>
  <c r="L66" i="24"/>
  <c r="K66" i="24"/>
  <c r="J66" i="24"/>
  <c r="I66" i="24"/>
  <c r="I5" i="24" s="1"/>
  <c r="H66" i="24"/>
  <c r="G66" i="24"/>
  <c r="F66" i="24"/>
  <c r="E66" i="24"/>
  <c r="E5" i="24" s="1"/>
  <c r="D66" i="24"/>
  <c r="C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AI53" i="24"/>
  <c r="AH53" i="24"/>
  <c r="AI52" i="24"/>
  <c r="AH52" i="24"/>
  <c r="AI51" i="24"/>
  <c r="AH51" i="24"/>
  <c r="Y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AG49" i="24"/>
  <c r="AG50" i="24" s="1"/>
  <c r="AG3" i="24" s="1"/>
  <c r="AG6" i="24" s="1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H73" i="24" s="1"/>
  <c r="G36" i="24"/>
  <c r="F36" i="24"/>
  <c r="E36" i="24"/>
  <c r="D36" i="24"/>
  <c r="C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F5" i="24"/>
  <c r="AE5" i="24"/>
  <c r="AD5" i="24"/>
  <c r="Y5" i="24"/>
  <c r="X5" i="24"/>
  <c r="V5" i="24"/>
  <c r="U5" i="24"/>
  <c r="J5" i="24"/>
  <c r="H5" i="24"/>
  <c r="G5" i="24"/>
  <c r="F5" i="24"/>
  <c r="AG4" i="24"/>
  <c r="K4" i="24"/>
  <c r="B4" i="24"/>
  <c r="AG2" i="24"/>
  <c r="AD66" i="23"/>
  <c r="AC66" i="23"/>
  <c r="Z66" i="23"/>
  <c r="X36" i="23"/>
  <c r="W36" i="23"/>
  <c r="V35" i="23"/>
  <c r="U35" i="23"/>
  <c r="O35" i="23"/>
  <c r="E4" i="24"/>
  <c r="O100" i="25" l="1"/>
  <c r="N191" i="25"/>
  <c r="M197" i="25"/>
  <c r="M189" i="25"/>
  <c r="N99" i="25"/>
  <c r="M232" i="25"/>
  <c r="N196" i="25"/>
  <c r="AF80" i="24"/>
  <c r="AE80" i="24"/>
  <c r="AD80" i="24"/>
  <c r="Z80" i="24"/>
  <c r="Y71" i="24"/>
  <c r="Y73" i="24"/>
  <c r="W80" i="24"/>
  <c r="U80" i="24"/>
  <c r="R71" i="24"/>
  <c r="R80" i="24"/>
  <c r="R73" i="24"/>
  <c r="Q71" i="24"/>
  <c r="Q73" i="24"/>
  <c r="AI211" i="24" s="1"/>
  <c r="P73" i="24"/>
  <c r="P71" i="24"/>
  <c r="O80" i="24"/>
  <c r="O71" i="24"/>
  <c r="N73" i="24"/>
  <c r="AF211" i="24" s="1"/>
  <c r="N71" i="24"/>
  <c r="AI76" i="24"/>
  <c r="M80" i="24"/>
  <c r="M73" i="24"/>
  <c r="AE211" i="24" s="1"/>
  <c r="L80" i="24"/>
  <c r="K80" i="24"/>
  <c r="J71" i="24"/>
  <c r="J80" i="24"/>
  <c r="J73" i="24"/>
  <c r="AB211" i="24" s="1"/>
  <c r="I71" i="24"/>
  <c r="I73" i="24"/>
  <c r="H80" i="24"/>
  <c r="H71" i="24"/>
  <c r="G80" i="24"/>
  <c r="AI54" i="24"/>
  <c r="AI75" i="24"/>
  <c r="F80" i="24"/>
  <c r="B71" i="24"/>
  <c r="G71" i="24"/>
  <c r="F73" i="24"/>
  <c r="F7" i="24" s="1"/>
  <c r="F71" i="24"/>
  <c r="E80" i="24"/>
  <c r="AH54" i="24"/>
  <c r="E73" i="24"/>
  <c r="E7" i="24" s="1"/>
  <c r="AH76" i="24"/>
  <c r="AH77" i="24"/>
  <c r="D80" i="24"/>
  <c r="C80" i="24"/>
  <c r="B5" i="24"/>
  <c r="B73" i="24"/>
  <c r="B81" i="24" s="1"/>
  <c r="H4" i="24"/>
  <c r="K5" i="24"/>
  <c r="K71" i="24"/>
  <c r="L73" i="24"/>
  <c r="D5" i="24"/>
  <c r="D71" i="24"/>
  <c r="L5" i="24"/>
  <c r="L71" i="24"/>
  <c r="T5" i="24"/>
  <c r="AB5" i="24"/>
  <c r="I80" i="24"/>
  <c r="I81" i="24" s="1"/>
  <c r="Q80" i="24"/>
  <c r="Y80" i="24"/>
  <c r="AH75" i="24"/>
  <c r="C5" i="24"/>
  <c r="C71" i="24"/>
  <c r="S5" i="24"/>
  <c r="S71" i="24"/>
  <c r="AA5" i="24"/>
  <c r="D73" i="24"/>
  <c r="E71" i="24"/>
  <c r="M71" i="24"/>
  <c r="N81" i="24"/>
  <c r="AI74" i="24"/>
  <c r="AI77" i="24"/>
  <c r="AI78" i="24"/>
  <c r="AH211" i="24"/>
  <c r="P7" i="24"/>
  <c r="H81" i="24"/>
  <c r="P81" i="24"/>
  <c r="Z211" i="24"/>
  <c r="H7" i="24"/>
  <c r="AA211" i="24"/>
  <c r="I7" i="24"/>
  <c r="AQ211" i="24"/>
  <c r="Y7" i="24"/>
  <c r="AG73" i="24"/>
  <c r="AI36" i="24"/>
  <c r="AH70" i="24"/>
  <c r="AJ211" i="24"/>
  <c r="R7" i="24"/>
  <c r="AI70" i="24"/>
  <c r="J81" i="24"/>
  <c r="N7" i="24"/>
  <c r="AH66" i="24"/>
  <c r="AI66" i="24"/>
  <c r="C73" i="24"/>
  <c r="K73" i="24"/>
  <c r="S73" i="24"/>
  <c r="E100" i="24"/>
  <c r="S208" i="24"/>
  <c r="D208" i="24"/>
  <c r="AH36" i="24"/>
  <c r="AH74" i="24"/>
  <c r="D189" i="24"/>
  <c r="Y81" i="24"/>
  <c r="AG81" i="24"/>
  <c r="E99" i="24"/>
  <c r="G73" i="24"/>
  <c r="O73" i="24"/>
  <c r="AH78" i="24"/>
  <c r="C189" i="24"/>
  <c r="F191" i="24"/>
  <c r="C232" i="24"/>
  <c r="D196" i="24"/>
  <c r="D91" i="24" s="1"/>
  <c r="C197" i="24"/>
  <c r="N232" i="25" l="1"/>
  <c r="O196" i="25"/>
  <c r="N189" i="25"/>
  <c r="O99" i="25"/>
  <c r="O191" i="25"/>
  <c r="N197" i="25"/>
  <c r="N91" i="25"/>
  <c r="P100" i="25"/>
  <c r="S81" i="24"/>
  <c r="R81" i="24"/>
  <c r="Q7" i="24"/>
  <c r="Q81" i="24"/>
  <c r="M81" i="24"/>
  <c r="M7" i="24"/>
  <c r="L81" i="24"/>
  <c r="K81" i="24"/>
  <c r="J7" i="24"/>
  <c r="F81" i="24"/>
  <c r="X211" i="24"/>
  <c r="E81" i="24"/>
  <c r="W211" i="24"/>
  <c r="D81" i="24"/>
  <c r="Y211" i="24"/>
  <c r="G7" i="24"/>
  <c r="AG211" i="24"/>
  <c r="O7" i="24"/>
  <c r="E189" i="24"/>
  <c r="F99" i="24"/>
  <c r="T211" i="24"/>
  <c r="B7" i="24"/>
  <c r="AK211" i="24"/>
  <c r="S7" i="24"/>
  <c r="O81" i="24"/>
  <c r="AC211" i="24"/>
  <c r="K7" i="24"/>
  <c r="G81" i="24"/>
  <c r="E91" i="24"/>
  <c r="F100" i="24"/>
  <c r="U211" i="24"/>
  <c r="C7" i="24"/>
  <c r="C81" i="24"/>
  <c r="G191" i="24"/>
  <c r="B206" i="24"/>
  <c r="D232" i="24"/>
  <c r="E196" i="24"/>
  <c r="D197" i="24"/>
  <c r="AI80" i="24"/>
  <c r="AH80" i="24"/>
  <c r="C206" i="24"/>
  <c r="V211" i="24"/>
  <c r="D7" i="24"/>
  <c r="AD211" i="24"/>
  <c r="L7" i="24"/>
  <c r="Q100" i="25" l="1"/>
  <c r="O189" i="25"/>
  <c r="P99" i="25"/>
  <c r="P191" i="25"/>
  <c r="O197" i="25"/>
  <c r="O232" i="25"/>
  <c r="P196" i="25"/>
  <c r="O91" i="25"/>
  <c r="K6" i="24"/>
  <c r="G100" i="24"/>
  <c r="F91" i="24"/>
  <c r="H191" i="24"/>
  <c r="F196" i="24"/>
  <c r="E232" i="24"/>
  <c r="E197" i="24"/>
  <c r="F189" i="24"/>
  <c r="G99" i="24"/>
  <c r="P232" i="25" l="1"/>
  <c r="Q196" i="25"/>
  <c r="P197" i="25"/>
  <c r="Q191" i="25"/>
  <c r="P189" i="25"/>
  <c r="Q99" i="25"/>
  <c r="P91" i="25"/>
  <c r="Q91" i="25"/>
  <c r="R100" i="25"/>
  <c r="I191" i="24"/>
  <c r="G189" i="24"/>
  <c r="H99" i="24"/>
  <c r="G91" i="24"/>
  <c r="H100" i="24"/>
  <c r="F232" i="24"/>
  <c r="G196" i="24"/>
  <c r="F197" i="24"/>
  <c r="Q189" i="25" l="1"/>
  <c r="R99" i="25"/>
  <c r="Q197" i="25"/>
  <c r="R191" i="25"/>
  <c r="Q232" i="25"/>
  <c r="R196" i="25"/>
  <c r="S100" i="25"/>
  <c r="R91" i="25"/>
  <c r="H189" i="24"/>
  <c r="I99" i="24"/>
  <c r="J191" i="24"/>
  <c r="H91" i="24"/>
  <c r="I100" i="24"/>
  <c r="G232" i="24"/>
  <c r="H196" i="24"/>
  <c r="G197" i="24"/>
  <c r="R232" i="25" l="1"/>
  <c r="S196" i="25"/>
  <c r="T100" i="25"/>
  <c r="R189" i="25"/>
  <c r="S99" i="25"/>
  <c r="R197" i="25"/>
  <c r="S191" i="25"/>
  <c r="I196" i="24"/>
  <c r="H232" i="24"/>
  <c r="H197" i="24"/>
  <c r="K191" i="24"/>
  <c r="I189" i="24"/>
  <c r="J99" i="24"/>
  <c r="J100" i="24"/>
  <c r="I91" i="24"/>
  <c r="T191" i="25" l="1"/>
  <c r="S197" i="25"/>
  <c r="S189" i="25"/>
  <c r="T99" i="25"/>
  <c r="U100" i="25"/>
  <c r="T91" i="25"/>
  <c r="T196" i="25"/>
  <c r="S232" i="25"/>
  <c r="S91" i="25"/>
  <c r="K100" i="24"/>
  <c r="L191" i="24"/>
  <c r="J189" i="24"/>
  <c r="K99" i="24"/>
  <c r="I232" i="24"/>
  <c r="J196" i="24"/>
  <c r="I197" i="24"/>
  <c r="U196" i="25" l="1"/>
  <c r="T232" i="25"/>
  <c r="V100" i="25"/>
  <c r="T189" i="25"/>
  <c r="U99" i="25"/>
  <c r="U191" i="25"/>
  <c r="T197" i="25"/>
  <c r="T49" i="25" s="1"/>
  <c r="J232" i="24"/>
  <c r="K196" i="24"/>
  <c r="J197" i="24"/>
  <c r="K189" i="24"/>
  <c r="L99" i="24"/>
  <c r="J91" i="24"/>
  <c r="M191" i="24"/>
  <c r="L100" i="24"/>
  <c r="K91" i="24"/>
  <c r="T50" i="25" l="1"/>
  <c r="U189" i="25"/>
  <c r="V99" i="25"/>
  <c r="V191" i="25"/>
  <c r="U197" i="25"/>
  <c r="U49" i="25" s="1"/>
  <c r="U50" i="25" s="1"/>
  <c r="U91" i="25"/>
  <c r="W100" i="25"/>
  <c r="U232" i="25"/>
  <c r="V196" i="25"/>
  <c r="L189" i="24"/>
  <c r="M99" i="24"/>
  <c r="N191" i="24"/>
  <c r="L196" i="24"/>
  <c r="K232" i="24"/>
  <c r="K197" i="24"/>
  <c r="M100" i="24"/>
  <c r="L91" i="24"/>
  <c r="U71" i="25" l="1"/>
  <c r="U73" i="25"/>
  <c r="W196" i="25"/>
  <c r="V232" i="25"/>
  <c r="W191" i="25"/>
  <c r="V197" i="25"/>
  <c r="V49" i="25" s="1"/>
  <c r="V50" i="25" s="1"/>
  <c r="V189" i="25"/>
  <c r="W99" i="25"/>
  <c r="V91" i="25"/>
  <c r="X100" i="25"/>
  <c r="W91" i="25"/>
  <c r="T71" i="25"/>
  <c r="T73" i="25"/>
  <c r="N100" i="24"/>
  <c r="L232" i="24"/>
  <c r="M196" i="24"/>
  <c r="L197" i="24"/>
  <c r="O191" i="24"/>
  <c r="M189" i="24"/>
  <c r="N99" i="24"/>
  <c r="V71" i="25" l="1"/>
  <c r="V73" i="25"/>
  <c r="W232" i="25"/>
  <c r="X196" i="25"/>
  <c r="X191" i="25"/>
  <c r="W197" i="25"/>
  <c r="W49" i="25" s="1"/>
  <c r="Y100" i="25"/>
  <c r="X91" i="25"/>
  <c r="W189" i="25"/>
  <c r="X99" i="25"/>
  <c r="AM211" i="25"/>
  <c r="U7" i="25"/>
  <c r="AL211" i="25"/>
  <c r="T7" i="25"/>
  <c r="T81" i="25"/>
  <c r="U81" i="25"/>
  <c r="M232" i="24"/>
  <c r="N196" i="24"/>
  <c r="M197" i="24"/>
  <c r="O100" i="24"/>
  <c r="N91" i="24"/>
  <c r="P191" i="24"/>
  <c r="N189" i="24"/>
  <c r="O99" i="24"/>
  <c r="M91" i="24"/>
  <c r="W50" i="25" l="1"/>
  <c r="X232" i="25"/>
  <c r="Y196" i="25"/>
  <c r="Z100" i="25"/>
  <c r="Y91" i="25"/>
  <c r="X189" i="25"/>
  <c r="Y99" i="25"/>
  <c r="AN211" i="25"/>
  <c r="V7" i="25"/>
  <c r="Y191" i="25"/>
  <c r="X197" i="25"/>
  <c r="X49" i="25" s="1"/>
  <c r="X50" i="25" s="1"/>
  <c r="V81" i="25"/>
  <c r="Q191" i="24"/>
  <c r="O91" i="24"/>
  <c r="P100" i="24"/>
  <c r="N232" i="24"/>
  <c r="O196" i="24"/>
  <c r="N197" i="24"/>
  <c r="O189" i="24"/>
  <c r="P99" i="24"/>
  <c r="AA100" i="25" l="1"/>
  <c r="Y232" i="25"/>
  <c r="Z196" i="25"/>
  <c r="Y189" i="25"/>
  <c r="Z99" i="25"/>
  <c r="W71" i="25"/>
  <c r="W73" i="25"/>
  <c r="X73" i="25"/>
  <c r="X71" i="25"/>
  <c r="Y197" i="25"/>
  <c r="Z191" i="25"/>
  <c r="O232" i="24"/>
  <c r="P196" i="24"/>
  <c r="O197" i="24"/>
  <c r="Q100" i="24"/>
  <c r="P91" i="24"/>
  <c r="R191" i="24"/>
  <c r="P189" i="24"/>
  <c r="X81" i="25" l="1"/>
  <c r="AP211" i="25"/>
  <c r="X7" i="25"/>
  <c r="AO211" i="25"/>
  <c r="W7" i="25"/>
  <c r="AB100" i="25"/>
  <c r="AA91" i="25"/>
  <c r="Z232" i="25"/>
  <c r="AA196" i="25"/>
  <c r="Z91" i="25"/>
  <c r="W81" i="25"/>
  <c r="Z197" i="25"/>
  <c r="AA191" i="25"/>
  <c r="Z189" i="25"/>
  <c r="AA99" i="25"/>
  <c r="S191" i="24"/>
  <c r="R100" i="24"/>
  <c r="Q91" i="24"/>
  <c r="Q196" i="24"/>
  <c r="P232" i="24"/>
  <c r="P197" i="24"/>
  <c r="Q189" i="24"/>
  <c r="R99" i="24"/>
  <c r="AA197" i="25" l="1"/>
  <c r="AA49" i="25" s="1"/>
  <c r="AA50" i="25" s="1"/>
  <c r="AB191" i="25"/>
  <c r="AC100" i="25"/>
  <c r="AB91" i="25"/>
  <c r="AA189" i="25"/>
  <c r="AB99" i="25"/>
  <c r="AA232" i="25"/>
  <c r="AB196" i="25"/>
  <c r="Z50" i="25"/>
  <c r="Q232" i="24"/>
  <c r="R196" i="24"/>
  <c r="Q197" i="24"/>
  <c r="T191" i="24"/>
  <c r="S100" i="24"/>
  <c r="R91" i="24"/>
  <c r="R189" i="24"/>
  <c r="S99" i="24"/>
  <c r="AB189" i="25" l="1"/>
  <c r="AC99" i="25"/>
  <c r="AC191" i="25"/>
  <c r="AB197" i="25"/>
  <c r="AB49" i="25" s="1"/>
  <c r="AB50" i="25" s="1"/>
  <c r="Z73" i="25"/>
  <c r="Z71" i="25"/>
  <c r="AD100" i="25"/>
  <c r="AB232" i="25"/>
  <c r="AC196" i="25"/>
  <c r="AC91" i="25" s="1"/>
  <c r="AA73" i="25"/>
  <c r="AA71" i="25"/>
  <c r="T100" i="24"/>
  <c r="S91" i="24"/>
  <c r="U191" i="24"/>
  <c r="R232" i="24"/>
  <c r="S196" i="24"/>
  <c r="R197" i="24"/>
  <c r="S189" i="24"/>
  <c r="T99" i="24"/>
  <c r="AA81" i="25" l="1"/>
  <c r="AS211" i="25"/>
  <c r="AA7" i="25"/>
  <c r="AB71" i="25"/>
  <c r="AB73" i="25"/>
  <c r="AD191" i="25"/>
  <c r="AC197" i="25"/>
  <c r="AC49" i="25" s="1"/>
  <c r="AC50" i="25" s="1"/>
  <c r="Z81" i="25"/>
  <c r="AC189" i="25"/>
  <c r="AD99" i="25"/>
  <c r="AR211" i="25"/>
  <c r="Z7" i="25"/>
  <c r="AC232" i="25"/>
  <c r="AD196" i="25"/>
  <c r="AE100" i="25"/>
  <c r="S232" i="24"/>
  <c r="T196" i="24"/>
  <c r="S197" i="24"/>
  <c r="V191" i="24"/>
  <c r="T189" i="24"/>
  <c r="U99" i="24"/>
  <c r="U100" i="24"/>
  <c r="T91" i="24"/>
  <c r="AB81" i="25" l="1"/>
  <c r="AF100" i="25"/>
  <c r="AD232" i="25"/>
  <c r="AE196" i="25"/>
  <c r="AC71" i="25"/>
  <c r="AC73" i="25"/>
  <c r="AE191" i="25"/>
  <c r="AD197" i="25"/>
  <c r="AD49" i="25" s="1"/>
  <c r="AD50" i="25" s="1"/>
  <c r="AT211" i="25"/>
  <c r="AB7" i="25"/>
  <c r="AD91" i="25"/>
  <c r="AD189" i="25"/>
  <c r="AE99" i="25"/>
  <c r="V100" i="24"/>
  <c r="U189" i="24"/>
  <c r="V99" i="24"/>
  <c r="W191" i="24"/>
  <c r="T232" i="24"/>
  <c r="U196" i="24"/>
  <c r="T197" i="24"/>
  <c r="T49" i="24" s="1"/>
  <c r="AF191" i="25" l="1"/>
  <c r="AE197" i="25"/>
  <c r="AE49" i="25" s="1"/>
  <c r="AE50" i="25" s="1"/>
  <c r="AU211" i="25"/>
  <c r="AC7" i="25"/>
  <c r="AE189" i="25"/>
  <c r="AF99" i="25"/>
  <c r="AF189" i="25" s="1"/>
  <c r="AC81" i="25"/>
  <c r="AE232" i="25"/>
  <c r="AF196" i="25"/>
  <c r="AF232" i="25" s="1"/>
  <c r="AD71" i="25"/>
  <c r="AD73" i="25"/>
  <c r="AE91" i="25"/>
  <c r="U232" i="24"/>
  <c r="V196" i="24"/>
  <c r="U197" i="24"/>
  <c r="U49" i="24" s="1"/>
  <c r="U50" i="24" s="1"/>
  <c r="X191" i="24"/>
  <c r="V189" i="24"/>
  <c r="W99" i="24"/>
  <c r="W100" i="24"/>
  <c r="V91" i="24"/>
  <c r="T50" i="24"/>
  <c r="U91" i="24"/>
  <c r="AV211" i="25" l="1"/>
  <c r="AD7" i="25"/>
  <c r="AE73" i="25"/>
  <c r="AE71" i="25"/>
  <c r="AD81" i="25"/>
  <c r="AF91" i="25"/>
  <c r="AF197" i="25"/>
  <c r="AF49" i="25" s="1"/>
  <c r="T73" i="24"/>
  <c r="T71" i="24"/>
  <c r="U73" i="24"/>
  <c r="U71" i="24"/>
  <c r="U81" i="24" s="1"/>
  <c r="W91" i="24"/>
  <c r="X100" i="24"/>
  <c r="W189" i="24"/>
  <c r="X99" i="24"/>
  <c r="Y191" i="24"/>
  <c r="V232" i="24"/>
  <c r="W196" i="24"/>
  <c r="V197" i="24"/>
  <c r="V49" i="24" s="1"/>
  <c r="AE81" i="25" l="1"/>
  <c r="AH91" i="25"/>
  <c r="AI91" i="25"/>
  <c r="AF50" i="25"/>
  <c r="AI49" i="25"/>
  <c r="AH49" i="25"/>
  <c r="AW211" i="25"/>
  <c r="AE7" i="25"/>
  <c r="V50" i="24"/>
  <c r="W232" i="24"/>
  <c r="X196" i="24"/>
  <c r="W197" i="24"/>
  <c r="W49" i="24" s="1"/>
  <c r="W50" i="24" s="1"/>
  <c r="AM211" i="24"/>
  <c r="U7" i="24"/>
  <c r="Z191" i="24"/>
  <c r="X189" i="24"/>
  <c r="Y99" i="24"/>
  <c r="AL211" i="24"/>
  <c r="T7" i="24"/>
  <c r="Y100" i="24"/>
  <c r="X91" i="24"/>
  <c r="T81" i="24"/>
  <c r="AF73" i="25" l="1"/>
  <c r="AF71" i="25"/>
  <c r="AI50" i="25"/>
  <c r="AH50" i="25"/>
  <c r="Z100" i="24"/>
  <c r="W73" i="24"/>
  <c r="W71" i="24"/>
  <c r="Y196" i="24"/>
  <c r="X232" i="24"/>
  <c r="X197" i="24"/>
  <c r="X49" i="24" s="1"/>
  <c r="X50" i="24" s="1"/>
  <c r="Y189" i="24"/>
  <c r="Z99" i="24"/>
  <c r="AA191" i="24"/>
  <c r="V73" i="24"/>
  <c r="V71" i="24"/>
  <c r="AF81" i="25" l="1"/>
  <c r="AI71" i="25"/>
  <c r="AH71" i="25"/>
  <c r="AX211" i="25"/>
  <c r="AF7" i="25"/>
  <c r="A7" i="25" s="1"/>
  <c r="AH73" i="25"/>
  <c r="AI73" i="25"/>
  <c r="W81" i="24"/>
  <c r="X73" i="24"/>
  <c r="X71" i="24"/>
  <c r="X81" i="24" s="1"/>
  <c r="AB191" i="24"/>
  <c r="Y232" i="24"/>
  <c r="Z196" i="24"/>
  <c r="Y197" i="24"/>
  <c r="AO211" i="24"/>
  <c r="W7" i="24"/>
  <c r="Y91" i="24"/>
  <c r="Z189" i="24"/>
  <c r="AA99" i="24"/>
  <c r="V81" i="24"/>
  <c r="AN211" i="24"/>
  <c r="V7" i="24"/>
  <c r="AA100" i="24"/>
  <c r="Z91" i="24"/>
  <c r="AI81" i="25" l="1"/>
  <c r="AH81" i="25"/>
  <c r="AA189" i="24"/>
  <c r="AB99" i="24"/>
  <c r="AC191" i="24"/>
  <c r="Z232" i="24"/>
  <c r="AA196" i="24"/>
  <c r="Z197" i="24"/>
  <c r="Z49" i="24" s="1"/>
  <c r="AB100" i="24"/>
  <c r="AP211" i="24"/>
  <c r="X7" i="24"/>
  <c r="AB196" i="24" l="1"/>
  <c r="AA232" i="24"/>
  <c r="AA197" i="24"/>
  <c r="AA49" i="24" s="1"/>
  <c r="AA50" i="24" s="1"/>
  <c r="AA91" i="24"/>
  <c r="AD191" i="24"/>
  <c r="Z50" i="24"/>
  <c r="AC100" i="24"/>
  <c r="AB91" i="24"/>
  <c r="AB189" i="24"/>
  <c r="AC99" i="24"/>
  <c r="Z71" i="24" l="1"/>
  <c r="Z73" i="24"/>
  <c r="AE191" i="24"/>
  <c r="AA73" i="24"/>
  <c r="AA71" i="24"/>
  <c r="AC189" i="24"/>
  <c r="AD99" i="24"/>
  <c r="AC91" i="24"/>
  <c r="AD100" i="24"/>
  <c r="AC196" i="24"/>
  <c r="AB232" i="24"/>
  <c r="AB197" i="24"/>
  <c r="AB49" i="24" s="1"/>
  <c r="AA81" i="24" l="1"/>
  <c r="AB50" i="24"/>
  <c r="AS211" i="24"/>
  <c r="AA7" i="24"/>
  <c r="AC232" i="24"/>
  <c r="AD196" i="24"/>
  <c r="AD91" i="24" s="1"/>
  <c r="AC197" i="24"/>
  <c r="AC49" i="24" s="1"/>
  <c r="AC50" i="24" s="1"/>
  <c r="AF191" i="24"/>
  <c r="AE100" i="24"/>
  <c r="AR211" i="24"/>
  <c r="Z7" i="24"/>
  <c r="AD189" i="24"/>
  <c r="AE99" i="24"/>
  <c r="Z81" i="24"/>
  <c r="AC73" i="24" l="1"/>
  <c r="AC71" i="24"/>
  <c r="AC81" i="24" s="1"/>
  <c r="AD232" i="24"/>
  <c r="AE196" i="24"/>
  <c r="AD197" i="24"/>
  <c r="AD49" i="24" s="1"/>
  <c r="AD50" i="24" s="1"/>
  <c r="AE91" i="24"/>
  <c r="AF100" i="24"/>
  <c r="AE189" i="24"/>
  <c r="AF99" i="24"/>
  <c r="AF189" i="24" s="1"/>
  <c r="AB71" i="24"/>
  <c r="AB73" i="24"/>
  <c r="AD73" i="24" l="1"/>
  <c r="AD71" i="24"/>
  <c r="AD81" i="24" s="1"/>
  <c r="AE232" i="24"/>
  <c r="AF196" i="24"/>
  <c r="AE197" i="24"/>
  <c r="AE49" i="24" s="1"/>
  <c r="AE50" i="24" s="1"/>
  <c r="AT211" i="24"/>
  <c r="AB7" i="24"/>
  <c r="AB81" i="24"/>
  <c r="AF91" i="24"/>
  <c r="AU211" i="24"/>
  <c r="AC7" i="24"/>
  <c r="AE73" i="24" l="1"/>
  <c r="AE71" i="24"/>
  <c r="AH91" i="24"/>
  <c r="AI91" i="24"/>
  <c r="AF232" i="24"/>
  <c r="AF197" i="24"/>
  <c r="AF49" i="24" s="1"/>
  <c r="AV211" i="24"/>
  <c r="AD7" i="24"/>
  <c r="AE81" i="24" l="1"/>
  <c r="AF50" i="24"/>
  <c r="AH49" i="24"/>
  <c r="AI49" i="24"/>
  <c r="AW211" i="24"/>
  <c r="AE7" i="24"/>
  <c r="AF73" i="24" l="1"/>
  <c r="AF71" i="24"/>
  <c r="AH50" i="24"/>
  <c r="AI50" i="24"/>
  <c r="N35" i="23"/>
  <c r="M35" i="23"/>
  <c r="L35" i="23"/>
  <c r="K35" i="23"/>
  <c r="J35" i="23"/>
  <c r="I35" i="23"/>
  <c r="H35" i="23"/>
  <c r="G35" i="23"/>
  <c r="AJ41" i="23"/>
  <c r="AL41" i="23" s="1"/>
  <c r="AJ40" i="23"/>
  <c r="AL40" i="23" s="1"/>
  <c r="AJ39" i="23"/>
  <c r="AL39" i="23" s="1"/>
  <c r="AJ38" i="23"/>
  <c r="AL38" i="23" s="1"/>
  <c r="AJ37" i="23"/>
  <c r="AL37" i="23" s="1"/>
  <c r="AJ25" i="23"/>
  <c r="AL25" i="23" s="1"/>
  <c r="AJ24" i="23"/>
  <c r="AL24" i="23" s="1"/>
  <c r="AJ23" i="23"/>
  <c r="AL23" i="23" s="1"/>
  <c r="AJ22" i="23"/>
  <c r="AL22" i="23" s="1"/>
  <c r="AL21" i="23"/>
  <c r="AL20" i="23"/>
  <c r="AL19" i="23"/>
  <c r="AJ18" i="23"/>
  <c r="AL18" i="23" s="1"/>
  <c r="AJ17" i="23"/>
  <c r="AL17" i="23" s="1"/>
  <c r="AJ16" i="23"/>
  <c r="AL16" i="23" s="1"/>
  <c r="AJ15" i="23"/>
  <c r="AL15" i="23" s="1"/>
  <c r="AJ14" i="23"/>
  <c r="AL14" i="23" s="1"/>
  <c r="AL13" i="23"/>
  <c r="AJ12" i="23"/>
  <c r="AL12" i="23" s="1"/>
  <c r="AJ11" i="23"/>
  <c r="AL11" i="23" s="1"/>
  <c r="F35" i="23"/>
  <c r="E35" i="23"/>
  <c r="D35" i="23"/>
  <c r="AH97" i="23"/>
  <c r="AI97" i="23" s="1"/>
  <c r="C35" i="23"/>
  <c r="B35" i="23"/>
  <c r="AH92" i="22"/>
  <c r="AI92" i="22" s="1"/>
  <c r="AH93" i="22"/>
  <c r="AI93" i="22"/>
  <c r="AH94" i="22"/>
  <c r="AI94" i="22" s="1"/>
  <c r="AH95" i="22"/>
  <c r="AI95" i="22" s="1"/>
  <c r="AH96" i="22"/>
  <c r="AI96" i="22" s="1"/>
  <c r="AH97" i="22"/>
  <c r="AI97" i="22"/>
  <c r="AF99" i="22"/>
  <c r="AF35" i="22"/>
  <c r="AE35" i="22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AF234" i="23"/>
  <c r="AE234" i="23"/>
  <c r="AD234" i="23"/>
  <c r="AC234" i="23"/>
  <c r="AB234" i="23"/>
  <c r="AA234" i="23"/>
  <c r="Z234" i="23"/>
  <c r="Y234" i="23"/>
  <c r="X234" i="23"/>
  <c r="W234" i="23"/>
  <c r="V234" i="23"/>
  <c r="U234" i="23"/>
  <c r="T234" i="23"/>
  <c r="S234" i="23"/>
  <c r="R234" i="23"/>
  <c r="Q234" i="23"/>
  <c r="P234" i="23"/>
  <c r="O234" i="23"/>
  <c r="N234" i="23"/>
  <c r="M234" i="23"/>
  <c r="L234" i="23"/>
  <c r="K234" i="23"/>
  <c r="J234" i="23"/>
  <c r="I234" i="23"/>
  <c r="H234" i="23"/>
  <c r="G234" i="23"/>
  <c r="F234" i="23"/>
  <c r="E234" i="23"/>
  <c r="D234" i="23"/>
  <c r="C234" i="23"/>
  <c r="B234" i="23"/>
  <c r="A234" i="23"/>
  <c r="AF233" i="23"/>
  <c r="AE233" i="23"/>
  <c r="AD233" i="23"/>
  <c r="AC233" i="23"/>
  <c r="AB233" i="23"/>
  <c r="AA233" i="23"/>
  <c r="Z233" i="23"/>
  <c r="Y233" i="23"/>
  <c r="X233" i="23"/>
  <c r="W233" i="23"/>
  <c r="V233" i="23"/>
  <c r="U233" i="23"/>
  <c r="T233" i="23"/>
  <c r="S233" i="23"/>
  <c r="R233" i="23"/>
  <c r="Q233" i="23"/>
  <c r="P233" i="23"/>
  <c r="O233" i="23"/>
  <c r="N233" i="23"/>
  <c r="M233" i="23"/>
  <c r="L233" i="23"/>
  <c r="K233" i="23"/>
  <c r="J233" i="23"/>
  <c r="I233" i="23"/>
  <c r="H233" i="23"/>
  <c r="G233" i="23"/>
  <c r="F233" i="23"/>
  <c r="E233" i="23"/>
  <c r="D233" i="23"/>
  <c r="C233" i="23"/>
  <c r="B233" i="23"/>
  <c r="A233" i="23"/>
  <c r="D232" i="23"/>
  <c r="C232" i="23"/>
  <c r="B232" i="23"/>
  <c r="S207" i="23"/>
  <c r="AG197" i="23"/>
  <c r="B197" i="23"/>
  <c r="C196" i="23"/>
  <c r="D196" i="23" s="1"/>
  <c r="E196" i="23" s="1"/>
  <c r="E232" i="23" s="1"/>
  <c r="C195" i="23"/>
  <c r="D195" i="23" s="1"/>
  <c r="E195" i="23" s="1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O194" i="23"/>
  <c r="P194" i="23" s="1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D194" i="23"/>
  <c r="E194" i="23" s="1"/>
  <c r="F194" i="23" s="1"/>
  <c r="G194" i="23" s="1"/>
  <c r="H194" i="23" s="1"/>
  <c r="I194" i="23" s="1"/>
  <c r="J194" i="23" s="1"/>
  <c r="K194" i="23" s="1"/>
  <c r="L194" i="23" s="1"/>
  <c r="M194" i="23" s="1"/>
  <c r="N194" i="23" s="1"/>
  <c r="C194" i="23"/>
  <c r="J193" i="23"/>
  <c r="K193" i="23" s="1"/>
  <c r="L193" i="23" s="1"/>
  <c r="M193" i="23" s="1"/>
  <c r="N193" i="23" s="1"/>
  <c r="O193" i="23" s="1"/>
  <c r="P193" i="23" s="1"/>
  <c r="Q193" i="23" s="1"/>
  <c r="R193" i="23" s="1"/>
  <c r="S193" i="23" s="1"/>
  <c r="T193" i="23" s="1"/>
  <c r="U193" i="23" s="1"/>
  <c r="V193" i="23" s="1"/>
  <c r="W193" i="23" s="1"/>
  <c r="X193" i="23" s="1"/>
  <c r="Y193" i="23" s="1"/>
  <c r="Z193" i="23" s="1"/>
  <c r="AA193" i="23" s="1"/>
  <c r="AB193" i="23" s="1"/>
  <c r="AC193" i="23" s="1"/>
  <c r="AD193" i="23" s="1"/>
  <c r="AE193" i="23" s="1"/>
  <c r="AF193" i="23" s="1"/>
  <c r="G193" i="23"/>
  <c r="H193" i="23" s="1"/>
  <c r="I193" i="23" s="1"/>
  <c r="E193" i="23"/>
  <c r="F193" i="23" s="1"/>
  <c r="D193" i="23"/>
  <c r="C193" i="23"/>
  <c r="E192" i="23"/>
  <c r="F192" i="23" s="1"/>
  <c r="G192" i="23" s="1"/>
  <c r="H192" i="23" s="1"/>
  <c r="I192" i="23" s="1"/>
  <c r="J192" i="23" s="1"/>
  <c r="K192" i="23" s="1"/>
  <c r="L192" i="23" s="1"/>
  <c r="M192" i="23" s="1"/>
  <c r="N192" i="23" s="1"/>
  <c r="O192" i="23" s="1"/>
  <c r="P192" i="23" s="1"/>
  <c r="Q192" i="23" s="1"/>
  <c r="R192" i="23" s="1"/>
  <c r="S192" i="23" s="1"/>
  <c r="T192" i="23" s="1"/>
  <c r="U192" i="23" s="1"/>
  <c r="V192" i="23" s="1"/>
  <c r="W192" i="23" s="1"/>
  <c r="X192" i="23" s="1"/>
  <c r="Y192" i="23" s="1"/>
  <c r="Z192" i="23" s="1"/>
  <c r="AA192" i="23" s="1"/>
  <c r="AB192" i="23" s="1"/>
  <c r="AC192" i="23" s="1"/>
  <c r="AD192" i="23" s="1"/>
  <c r="AE192" i="23" s="1"/>
  <c r="AF192" i="23" s="1"/>
  <c r="C192" i="23"/>
  <c r="D192" i="23" s="1"/>
  <c r="C191" i="23"/>
  <c r="AG189" i="23"/>
  <c r="B189" i="23"/>
  <c r="D188" i="23"/>
  <c r="E188" i="23" s="1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C188" i="23"/>
  <c r="I187" i="23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G187" i="23"/>
  <c r="H187" i="23" s="1"/>
  <c r="E187" i="23"/>
  <c r="F187" i="23" s="1"/>
  <c r="D187" i="23"/>
  <c r="C187" i="23"/>
  <c r="E186" i="23"/>
  <c r="F186" i="23" s="1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C186" i="23"/>
  <c r="D186" i="23" s="1"/>
  <c r="I185" i="23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C185" i="23"/>
  <c r="D185" i="23" s="1"/>
  <c r="E185" i="23" s="1"/>
  <c r="F185" i="23" s="1"/>
  <c r="G185" i="23" s="1"/>
  <c r="H185" i="23" s="1"/>
  <c r="C184" i="23"/>
  <c r="D184" i="23" s="1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E183" i="23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D183" i="23"/>
  <c r="C183" i="23"/>
  <c r="S182" i="23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C182" i="23"/>
  <c r="D182" i="23" s="1"/>
  <c r="E182" i="23" s="1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C181" i="23"/>
  <c r="D181" i="23" s="1"/>
  <c r="E181" i="23" s="1"/>
  <c r="F181" i="23" s="1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C180" i="23"/>
  <c r="D180" i="23" s="1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D179" i="23"/>
  <c r="E179" i="23" s="1"/>
  <c r="F179" i="23" s="1"/>
  <c r="G179" i="23" s="1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C179" i="23"/>
  <c r="AC178" i="23"/>
  <c r="AD178" i="23" s="1"/>
  <c r="AE178" i="23" s="1"/>
  <c r="AF178" i="23" s="1"/>
  <c r="AA178" i="23"/>
  <c r="AB178" i="23" s="1"/>
  <c r="C178" i="23"/>
  <c r="D178" i="23" s="1"/>
  <c r="E178" i="23" s="1"/>
  <c r="F178" i="23" s="1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C177" i="23"/>
  <c r="D177" i="23" s="1"/>
  <c r="E177" i="23" s="1"/>
  <c r="F177" i="23" s="1"/>
  <c r="G177" i="23" s="1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D176" i="23"/>
  <c r="E176" i="23" s="1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C176" i="23"/>
  <c r="N174" i="23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C174" i="23"/>
  <c r="D174" i="23" s="1"/>
  <c r="E174" i="23" s="1"/>
  <c r="F174" i="23" s="1"/>
  <c r="G174" i="23" s="1"/>
  <c r="H174" i="23" s="1"/>
  <c r="I174" i="23" s="1"/>
  <c r="J174" i="23" s="1"/>
  <c r="K174" i="23" s="1"/>
  <c r="L174" i="23" s="1"/>
  <c r="M174" i="23" s="1"/>
  <c r="C173" i="23"/>
  <c r="D173" i="23" s="1"/>
  <c r="E173" i="23" s="1"/>
  <c r="F173" i="23" s="1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L172" i="23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K172" i="23"/>
  <c r="C172" i="23"/>
  <c r="D172" i="23" s="1"/>
  <c r="E172" i="23" s="1"/>
  <c r="F172" i="23" s="1"/>
  <c r="G172" i="23" s="1"/>
  <c r="H172" i="23" s="1"/>
  <c r="I172" i="23" s="1"/>
  <c r="J172" i="23" s="1"/>
  <c r="P171" i="23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O171" i="23"/>
  <c r="C171" i="23"/>
  <c r="D171" i="23" s="1"/>
  <c r="E171" i="23" s="1"/>
  <c r="F171" i="23" s="1"/>
  <c r="G171" i="23" s="1"/>
  <c r="H171" i="23" s="1"/>
  <c r="I171" i="23" s="1"/>
  <c r="J171" i="23" s="1"/>
  <c r="K171" i="23" s="1"/>
  <c r="L171" i="23" s="1"/>
  <c r="M171" i="23" s="1"/>
  <c r="N171" i="23" s="1"/>
  <c r="C170" i="23"/>
  <c r="D170" i="23" s="1"/>
  <c r="E170" i="23" s="1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O169" i="23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E169" i="23"/>
  <c r="F169" i="23" s="1"/>
  <c r="G169" i="23" s="1"/>
  <c r="H169" i="23" s="1"/>
  <c r="I169" i="23" s="1"/>
  <c r="J169" i="23" s="1"/>
  <c r="K169" i="23" s="1"/>
  <c r="L169" i="23" s="1"/>
  <c r="M169" i="23" s="1"/>
  <c r="N169" i="23" s="1"/>
  <c r="D169" i="23"/>
  <c r="C169" i="23"/>
  <c r="C168" i="23"/>
  <c r="D168" i="23" s="1"/>
  <c r="E168" i="23" s="1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U167" i="23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D167" i="23"/>
  <c r="E167" i="23" s="1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C167" i="23"/>
  <c r="H165" i="23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C165" i="23"/>
  <c r="D165" i="23" s="1"/>
  <c r="E165" i="23" s="1"/>
  <c r="F165" i="23" s="1"/>
  <c r="G165" i="23" s="1"/>
  <c r="D164" i="23"/>
  <c r="E164" i="23" s="1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C164" i="23"/>
  <c r="L163" i="23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F163" i="23"/>
  <c r="G163" i="23" s="1"/>
  <c r="H163" i="23" s="1"/>
  <c r="I163" i="23" s="1"/>
  <c r="J163" i="23" s="1"/>
  <c r="K163" i="23" s="1"/>
  <c r="D163" i="23"/>
  <c r="E163" i="23" s="1"/>
  <c r="C163" i="23"/>
  <c r="T162" i="23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S162" i="23"/>
  <c r="D162" i="23"/>
  <c r="E162" i="23" s="1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C162" i="23"/>
  <c r="H161" i="23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C161" i="23"/>
  <c r="D161" i="23" s="1"/>
  <c r="E161" i="23" s="1"/>
  <c r="F161" i="23" s="1"/>
  <c r="G161" i="23" s="1"/>
  <c r="F160" i="23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D160" i="23"/>
  <c r="E160" i="23" s="1"/>
  <c r="C160" i="23"/>
  <c r="T159" i="23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L159" i="23"/>
  <c r="M159" i="23" s="1"/>
  <c r="N159" i="23" s="1"/>
  <c r="O159" i="23" s="1"/>
  <c r="P159" i="23" s="1"/>
  <c r="Q159" i="23" s="1"/>
  <c r="R159" i="23" s="1"/>
  <c r="S159" i="23" s="1"/>
  <c r="E159" i="23"/>
  <c r="F159" i="23" s="1"/>
  <c r="G159" i="23" s="1"/>
  <c r="H159" i="23" s="1"/>
  <c r="I159" i="23" s="1"/>
  <c r="J159" i="23" s="1"/>
  <c r="K159" i="23" s="1"/>
  <c r="D159" i="23"/>
  <c r="C159" i="23"/>
  <c r="C158" i="23"/>
  <c r="D158" i="23" s="1"/>
  <c r="E158" i="23" s="1"/>
  <c r="F158" i="23" s="1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I157" i="23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C157" i="23"/>
  <c r="D157" i="23" s="1"/>
  <c r="E157" i="23" s="1"/>
  <c r="F157" i="23" s="1"/>
  <c r="G157" i="23" s="1"/>
  <c r="H157" i="23" s="1"/>
  <c r="D156" i="23"/>
  <c r="E156" i="23" s="1"/>
  <c r="F156" i="23" s="1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C156" i="23"/>
  <c r="V155" i="23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E155" i="23"/>
  <c r="F155" i="23" s="1"/>
  <c r="G155" i="23" s="1"/>
  <c r="H155" i="23" s="1"/>
  <c r="I155" i="23" s="1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T155" i="23" s="1"/>
  <c r="U155" i="23" s="1"/>
  <c r="D155" i="23"/>
  <c r="C155" i="23"/>
  <c r="R154" i="23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C154" i="23"/>
  <c r="D154" i="23" s="1"/>
  <c r="E154" i="23" s="1"/>
  <c r="F154" i="23" s="1"/>
  <c r="G154" i="23" s="1"/>
  <c r="H154" i="23" s="1"/>
  <c r="I154" i="23" s="1"/>
  <c r="J154" i="23" s="1"/>
  <c r="K154" i="23" s="1"/>
  <c r="L154" i="23" s="1"/>
  <c r="M154" i="23" s="1"/>
  <c r="N154" i="23" s="1"/>
  <c r="O154" i="23" s="1"/>
  <c r="P154" i="23" s="1"/>
  <c r="Q154" i="23" s="1"/>
  <c r="D153" i="23"/>
  <c r="E153" i="23" s="1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C153" i="23"/>
  <c r="AE151" i="23"/>
  <c r="AF151" i="23" s="1"/>
  <c r="C151" i="23"/>
  <c r="D151" i="23" s="1"/>
  <c r="E151" i="23" s="1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D150" i="23"/>
  <c r="E150" i="23" s="1"/>
  <c r="F150" i="23" s="1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C150" i="23"/>
  <c r="J149" i="23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F149" i="23"/>
  <c r="G149" i="23" s="1"/>
  <c r="H149" i="23" s="1"/>
  <c r="I149" i="23" s="1"/>
  <c r="D149" i="23"/>
  <c r="E149" i="23" s="1"/>
  <c r="C149" i="23"/>
  <c r="C148" i="23"/>
  <c r="D148" i="23" s="1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H146" i="23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F146" i="23"/>
  <c r="G146" i="23" s="1"/>
  <c r="C146" i="23"/>
  <c r="D146" i="23" s="1"/>
  <c r="E146" i="23" s="1"/>
  <c r="S145" i="23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C145" i="23"/>
  <c r="D145" i="23" s="1"/>
  <c r="E145" i="23" s="1"/>
  <c r="F145" i="23" s="1"/>
  <c r="G145" i="23" s="1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I143" i="23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D143" i="23"/>
  <c r="E143" i="23" s="1"/>
  <c r="F143" i="23" s="1"/>
  <c r="G143" i="23" s="1"/>
  <c r="H143" i="23" s="1"/>
  <c r="C143" i="23"/>
  <c r="C142" i="23"/>
  <c r="D142" i="23" s="1"/>
  <c r="E142" i="23" s="1"/>
  <c r="F142" i="23" s="1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AD141" i="23"/>
  <c r="AE141" i="23" s="1"/>
  <c r="AF141" i="23" s="1"/>
  <c r="C141" i="23"/>
  <c r="D141" i="23" s="1"/>
  <c r="E141" i="23" s="1"/>
  <c r="F141" i="23" s="1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T140" i="23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C140" i="23"/>
  <c r="R139" i="23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G139" i="23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D139" i="23"/>
  <c r="E139" i="23" s="1"/>
  <c r="F139" i="23" s="1"/>
  <c r="C139" i="23"/>
  <c r="G138" i="23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E138" i="23"/>
  <c r="F138" i="23" s="1"/>
  <c r="C138" i="23"/>
  <c r="D138" i="23" s="1"/>
  <c r="D137" i="23"/>
  <c r="E137" i="23" s="1"/>
  <c r="F137" i="23" s="1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C137" i="23"/>
  <c r="C135" i="23"/>
  <c r="D135" i="23" s="1"/>
  <c r="E135" i="23" s="1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C134" i="23"/>
  <c r="D134" i="23" s="1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D133" i="23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C133" i="23"/>
  <c r="J132" i="23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I132" i="23"/>
  <c r="C132" i="23"/>
  <c r="D132" i="23" s="1"/>
  <c r="E132" i="23" s="1"/>
  <c r="F132" i="23" s="1"/>
  <c r="G132" i="23" s="1"/>
  <c r="H132" i="23" s="1"/>
  <c r="Q131" i="23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P131" i="23"/>
  <c r="C131" i="23"/>
  <c r="D131" i="23" s="1"/>
  <c r="E131" i="23" s="1"/>
  <c r="F131" i="23" s="1"/>
  <c r="G131" i="23" s="1"/>
  <c r="H131" i="23" s="1"/>
  <c r="I131" i="23" s="1"/>
  <c r="J131" i="23" s="1"/>
  <c r="K131" i="23" s="1"/>
  <c r="L131" i="23" s="1"/>
  <c r="M131" i="23" s="1"/>
  <c r="N131" i="23" s="1"/>
  <c r="O131" i="23" s="1"/>
  <c r="F130" i="23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C130" i="23"/>
  <c r="D130" i="23" s="1"/>
  <c r="E130" i="23" s="1"/>
  <c r="S129" i="23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C129" i="23"/>
  <c r="D129" i="23" s="1"/>
  <c r="E129" i="23" s="1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J128" i="23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I128" i="23"/>
  <c r="C128" i="23"/>
  <c r="D128" i="23" s="1"/>
  <c r="E128" i="23" s="1"/>
  <c r="F128" i="23" s="1"/>
  <c r="G128" i="23" s="1"/>
  <c r="H128" i="23" s="1"/>
  <c r="G126" i="23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C126" i="23"/>
  <c r="D126" i="23" s="1"/>
  <c r="E126" i="23" s="1"/>
  <c r="F126" i="23" s="1"/>
  <c r="C125" i="23"/>
  <c r="D125" i="23" s="1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E124" i="23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C124" i="23"/>
  <c r="D124" i="23" s="1"/>
  <c r="S123" i="23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I123" i="23"/>
  <c r="J123" i="23" s="1"/>
  <c r="K123" i="23" s="1"/>
  <c r="L123" i="23" s="1"/>
  <c r="M123" i="23" s="1"/>
  <c r="N123" i="23" s="1"/>
  <c r="O123" i="23" s="1"/>
  <c r="P123" i="23" s="1"/>
  <c r="Q123" i="23" s="1"/>
  <c r="R123" i="23" s="1"/>
  <c r="G123" i="23"/>
  <c r="H123" i="23" s="1"/>
  <c r="C123" i="23"/>
  <c r="D123" i="23" s="1"/>
  <c r="E123" i="23" s="1"/>
  <c r="F123" i="23" s="1"/>
  <c r="E122" i="23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C122" i="23"/>
  <c r="D122" i="23" s="1"/>
  <c r="E121" i="23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C121" i="23"/>
  <c r="D121" i="23" s="1"/>
  <c r="C120" i="23"/>
  <c r="D120" i="23" s="1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Q119" i="23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G119" i="23"/>
  <c r="H119" i="23" s="1"/>
  <c r="I119" i="23" s="1"/>
  <c r="J119" i="23" s="1"/>
  <c r="K119" i="23" s="1"/>
  <c r="L119" i="23" s="1"/>
  <c r="M119" i="23" s="1"/>
  <c r="N119" i="23" s="1"/>
  <c r="O119" i="23" s="1"/>
  <c r="P119" i="23" s="1"/>
  <c r="D119" i="23"/>
  <c r="E119" i="23" s="1"/>
  <c r="F119" i="23" s="1"/>
  <c r="C119" i="23"/>
  <c r="I118" i="23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H118" i="23"/>
  <c r="C118" i="23"/>
  <c r="D118" i="23" s="1"/>
  <c r="E118" i="23" s="1"/>
  <c r="F118" i="23" s="1"/>
  <c r="G118" i="23" s="1"/>
  <c r="N117" i="23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E117" i="23"/>
  <c r="F117" i="23" s="1"/>
  <c r="G117" i="23" s="1"/>
  <c r="H117" i="23" s="1"/>
  <c r="I117" i="23" s="1"/>
  <c r="J117" i="23" s="1"/>
  <c r="K117" i="23" s="1"/>
  <c r="L117" i="23" s="1"/>
  <c r="M117" i="23" s="1"/>
  <c r="C117" i="23"/>
  <c r="D117" i="23" s="1"/>
  <c r="F116" i="23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E116" i="23"/>
  <c r="C116" i="23"/>
  <c r="D116" i="23" s="1"/>
  <c r="J115" i="23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D115" i="23"/>
  <c r="E115" i="23" s="1"/>
  <c r="F115" i="23" s="1"/>
  <c r="G115" i="23" s="1"/>
  <c r="H115" i="23" s="1"/>
  <c r="I115" i="23" s="1"/>
  <c r="C115" i="23"/>
  <c r="O114" i="23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E114" i="23"/>
  <c r="F114" i="23" s="1"/>
  <c r="G114" i="23" s="1"/>
  <c r="H114" i="23" s="1"/>
  <c r="I114" i="23" s="1"/>
  <c r="J114" i="23" s="1"/>
  <c r="K114" i="23" s="1"/>
  <c r="L114" i="23" s="1"/>
  <c r="M114" i="23" s="1"/>
  <c r="N114" i="23" s="1"/>
  <c r="C114" i="23"/>
  <c r="D114" i="23" s="1"/>
  <c r="W113" i="23"/>
  <c r="X113" i="23" s="1"/>
  <c r="Y113" i="23" s="1"/>
  <c r="Z113" i="23" s="1"/>
  <c r="AA113" i="23" s="1"/>
  <c r="AB113" i="23" s="1"/>
  <c r="AC113" i="23" s="1"/>
  <c r="AD113" i="23" s="1"/>
  <c r="AE113" i="23" s="1"/>
  <c r="AF113" i="23" s="1"/>
  <c r="H113" i="23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G113" i="23"/>
  <c r="C113" i="23"/>
  <c r="D113" i="23" s="1"/>
  <c r="E113" i="23" s="1"/>
  <c r="F113" i="23" s="1"/>
  <c r="AA112" i="23"/>
  <c r="AB112" i="23" s="1"/>
  <c r="AC112" i="23" s="1"/>
  <c r="AD112" i="23" s="1"/>
  <c r="AE112" i="23" s="1"/>
  <c r="AF112" i="23" s="1"/>
  <c r="L112" i="23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C112" i="23"/>
  <c r="D112" i="23" s="1"/>
  <c r="E112" i="23" s="1"/>
  <c r="F112" i="23" s="1"/>
  <c r="G112" i="23" s="1"/>
  <c r="H112" i="23" s="1"/>
  <c r="I112" i="23" s="1"/>
  <c r="J112" i="23" s="1"/>
  <c r="K112" i="23" s="1"/>
  <c r="M111" i="23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J111" i="23"/>
  <c r="K111" i="23" s="1"/>
  <c r="L111" i="23" s="1"/>
  <c r="C111" i="23"/>
  <c r="D111" i="23" s="1"/>
  <c r="E111" i="23" s="1"/>
  <c r="F111" i="23" s="1"/>
  <c r="G111" i="23" s="1"/>
  <c r="H111" i="23" s="1"/>
  <c r="G110" i="23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D110" i="23"/>
  <c r="E110" i="23" s="1"/>
  <c r="F110" i="23" s="1"/>
  <c r="C110" i="23"/>
  <c r="AD109" i="23"/>
  <c r="AE109" i="23" s="1"/>
  <c r="AF109" i="23" s="1"/>
  <c r="N109" i="23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F109" i="23"/>
  <c r="G109" i="23" s="1"/>
  <c r="H109" i="23" s="1"/>
  <c r="I109" i="23" s="1"/>
  <c r="J109" i="23" s="1"/>
  <c r="K109" i="23" s="1"/>
  <c r="L109" i="23" s="1"/>
  <c r="M109" i="23" s="1"/>
  <c r="E109" i="23"/>
  <c r="C109" i="23"/>
  <c r="D109" i="23" s="1"/>
  <c r="E107" i="23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D107" i="23"/>
  <c r="C107" i="23"/>
  <c r="K106" i="23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C106" i="23"/>
  <c r="D106" i="23" s="1"/>
  <c r="E106" i="23" s="1"/>
  <c r="F106" i="23" s="1"/>
  <c r="G106" i="23" s="1"/>
  <c r="H106" i="23" s="1"/>
  <c r="I106" i="23" s="1"/>
  <c r="J106" i="23" s="1"/>
  <c r="G104" i="23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D104" i="23"/>
  <c r="E104" i="23" s="1"/>
  <c r="F104" i="23" s="1"/>
  <c r="C104" i="23"/>
  <c r="J103" i="23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C103" i="23"/>
  <c r="D103" i="23" s="1"/>
  <c r="E103" i="23" s="1"/>
  <c r="F103" i="23" s="1"/>
  <c r="G103" i="23" s="1"/>
  <c r="H103" i="23" s="1"/>
  <c r="I103" i="23" s="1"/>
  <c r="C102" i="23"/>
  <c r="D102" i="23" s="1"/>
  <c r="E102" i="23" s="1"/>
  <c r="F102" i="23" s="1"/>
  <c r="G102" i="23" s="1"/>
  <c r="H102" i="23" s="1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D102" i="23" s="1"/>
  <c r="AE102" i="23" s="1"/>
  <c r="AF102" i="23" s="1"/>
  <c r="Y101" i="23"/>
  <c r="Z101" i="23" s="1"/>
  <c r="AA101" i="23" s="1"/>
  <c r="AB101" i="23" s="1"/>
  <c r="AC101" i="23" s="1"/>
  <c r="AD101" i="23" s="1"/>
  <c r="AE101" i="23" s="1"/>
  <c r="AF101" i="23" s="1"/>
  <c r="I101" i="23"/>
  <c r="J101" i="23" s="1"/>
  <c r="K101" i="23" s="1"/>
  <c r="L101" i="23" s="1"/>
  <c r="M101" i="23" s="1"/>
  <c r="N101" i="23" s="1"/>
  <c r="O101" i="23" s="1"/>
  <c r="P101" i="23" s="1"/>
  <c r="Q101" i="23" s="1"/>
  <c r="R101" i="23" s="1"/>
  <c r="S101" i="23" s="1"/>
  <c r="T101" i="23" s="1"/>
  <c r="U101" i="23" s="1"/>
  <c r="V101" i="23" s="1"/>
  <c r="W101" i="23" s="1"/>
  <c r="X101" i="23" s="1"/>
  <c r="C101" i="23"/>
  <c r="D101" i="23" s="1"/>
  <c r="E101" i="23" s="1"/>
  <c r="F101" i="23" s="1"/>
  <c r="G101" i="23" s="1"/>
  <c r="H101" i="23" s="1"/>
  <c r="G100" i="23"/>
  <c r="D100" i="23"/>
  <c r="E100" i="23" s="1"/>
  <c r="F100" i="23" s="1"/>
  <c r="C100" i="23"/>
  <c r="C99" i="23"/>
  <c r="AH96" i="23"/>
  <c r="AI96" i="23" s="1"/>
  <c r="AH95" i="23"/>
  <c r="AI95" i="23" s="1"/>
  <c r="AH94" i="23"/>
  <c r="AI94" i="23" s="1"/>
  <c r="AH93" i="23"/>
  <c r="AI93" i="23" s="1"/>
  <c r="AH92" i="23"/>
  <c r="AI92" i="23" s="1"/>
  <c r="B91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G80" i="23"/>
  <c r="AI79" i="23"/>
  <c r="AH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F75" i="23"/>
  <c r="AE75" i="23"/>
  <c r="AD75" i="23"/>
  <c r="AC75" i="23"/>
  <c r="AB75" i="23"/>
  <c r="AA75" i="23"/>
  <c r="Z75" i="23"/>
  <c r="Y75" i="23"/>
  <c r="X75" i="23"/>
  <c r="X80" i="23" s="1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AF74" i="23"/>
  <c r="AE74" i="23"/>
  <c r="AD74" i="23"/>
  <c r="AC74" i="23"/>
  <c r="AB74" i="23"/>
  <c r="AA74" i="23"/>
  <c r="Z74" i="23"/>
  <c r="Y74" i="23"/>
  <c r="Y80" i="23" s="1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AI72" i="23"/>
  <c r="AH72" i="23"/>
  <c r="AG70" i="23"/>
  <c r="AG73" i="23" s="1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B70" i="23"/>
  <c r="AI69" i="23"/>
  <c r="AH69" i="23"/>
  <c r="AI68" i="23"/>
  <c r="AH68" i="23"/>
  <c r="AI67" i="23"/>
  <c r="AH67" i="23"/>
  <c r="AG66" i="23"/>
  <c r="AF66" i="23"/>
  <c r="AE66" i="23"/>
  <c r="AE5" i="23" s="1"/>
  <c r="AC5" i="23"/>
  <c r="AB66" i="23"/>
  <c r="AB5" i="23" s="1"/>
  <c r="AA66" i="23"/>
  <c r="AA5" i="23" s="1"/>
  <c r="Z5" i="23"/>
  <c r="Y66" i="23"/>
  <c r="Y5" i="23" s="1"/>
  <c r="X66" i="23"/>
  <c r="X5" i="23" s="1"/>
  <c r="W66" i="23"/>
  <c r="W5" i="23" s="1"/>
  <c r="V66" i="23"/>
  <c r="U66" i="23"/>
  <c r="U5" i="23" s="1"/>
  <c r="T66" i="23"/>
  <c r="T5" i="23" s="1"/>
  <c r="S66" i="23"/>
  <c r="S5" i="23" s="1"/>
  <c r="R66" i="23"/>
  <c r="R5" i="23" s="1"/>
  <c r="Q66" i="23"/>
  <c r="P66" i="23"/>
  <c r="P5" i="23" s="1"/>
  <c r="O66" i="23"/>
  <c r="O5" i="23" s="1"/>
  <c r="N66" i="23"/>
  <c r="M66" i="23"/>
  <c r="L66" i="23"/>
  <c r="L5" i="23" s="1"/>
  <c r="K66" i="23"/>
  <c r="J66" i="23"/>
  <c r="I66" i="23"/>
  <c r="I5" i="23" s="1"/>
  <c r="H66" i="23"/>
  <c r="G66" i="23"/>
  <c r="G5" i="23" s="1"/>
  <c r="F66" i="23"/>
  <c r="E66" i="23"/>
  <c r="D66" i="23"/>
  <c r="D5" i="23" s="1"/>
  <c r="C66" i="23"/>
  <c r="B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G54" i="23"/>
  <c r="AG4" i="23" s="1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AI53" i="23"/>
  <c r="AH53" i="23"/>
  <c r="AI52" i="23"/>
  <c r="AH52" i="23"/>
  <c r="AI51" i="23"/>
  <c r="AH51" i="23"/>
  <c r="AG50" i="23"/>
  <c r="AG3" i="23" s="1"/>
  <c r="Y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AG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G36" i="23"/>
  <c r="AF36" i="23"/>
  <c r="AE36" i="23"/>
  <c r="AD36" i="23"/>
  <c r="AC36" i="23"/>
  <c r="AB36" i="23"/>
  <c r="AA36" i="23"/>
  <c r="Z36" i="23"/>
  <c r="Y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F5" i="23"/>
  <c r="K5" i="23"/>
  <c r="J5" i="23"/>
  <c r="H5" i="23"/>
  <c r="E5" i="23"/>
  <c r="C5" i="23"/>
  <c r="B5" i="23"/>
  <c r="K4" i="23"/>
  <c r="B4" i="23"/>
  <c r="AG2" i="23"/>
  <c r="AD35" i="22"/>
  <c r="AC35" i="22"/>
  <c r="AB35" i="22"/>
  <c r="AA35" i="22"/>
  <c r="X93" i="22"/>
  <c r="V93" i="22"/>
  <c r="U93" i="22"/>
  <c r="T66" i="22"/>
  <c r="T35" i="22"/>
  <c r="S35" i="22"/>
  <c r="R35" i="22"/>
  <c r="AM2" i="22"/>
  <c r="Q35" i="22"/>
  <c r="P35" i="22"/>
  <c r="O35" i="22"/>
  <c r="AM50" i="22"/>
  <c r="AK50" i="22"/>
  <c r="AM36" i="22"/>
  <c r="AK36" i="22"/>
  <c r="L54" i="22"/>
  <c r="L35" i="22"/>
  <c r="K35" i="22"/>
  <c r="I36" i="22"/>
  <c r="J35" i="22"/>
  <c r="I35" i="22"/>
  <c r="H35" i="22"/>
  <c r="G35" i="22"/>
  <c r="F35" i="22"/>
  <c r="E35" i="22"/>
  <c r="D35" i="22"/>
  <c r="C35" i="22"/>
  <c r="B93" i="22"/>
  <c r="B35" i="22"/>
  <c r="B91" i="22"/>
  <c r="B78" i="22"/>
  <c r="B77" i="22"/>
  <c r="B76" i="22"/>
  <c r="B75" i="22"/>
  <c r="B74" i="22"/>
  <c r="B80" i="22" s="1"/>
  <c r="B70" i="22"/>
  <c r="B66" i="22"/>
  <c r="B54" i="22"/>
  <c r="B49" i="22"/>
  <c r="B50" i="22" s="1"/>
  <c r="B36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T234" i="22"/>
  <c r="S234" i="22"/>
  <c r="R234" i="22"/>
  <c r="Q234" i="22"/>
  <c r="P234" i="22"/>
  <c r="O234" i="22"/>
  <c r="N234" i="22"/>
  <c r="M234" i="22"/>
  <c r="L234" i="22"/>
  <c r="K234" i="22"/>
  <c r="J234" i="22"/>
  <c r="I234" i="22"/>
  <c r="H234" i="22"/>
  <c r="G234" i="22"/>
  <c r="F234" i="22"/>
  <c r="E234" i="22"/>
  <c r="D234" i="22"/>
  <c r="C234" i="22"/>
  <c r="B234" i="22"/>
  <c r="A234" i="22"/>
  <c r="AF233" i="22"/>
  <c r="AE233" i="22"/>
  <c r="AD233" i="22"/>
  <c r="AC233" i="22"/>
  <c r="AB233" i="22"/>
  <c r="AA233" i="22"/>
  <c r="Z233" i="22"/>
  <c r="Y233" i="22"/>
  <c r="X233" i="22"/>
  <c r="W233" i="22"/>
  <c r="V233" i="22"/>
  <c r="U233" i="22"/>
  <c r="T233" i="22"/>
  <c r="S233" i="22"/>
  <c r="R233" i="22"/>
  <c r="Q233" i="22"/>
  <c r="P233" i="22"/>
  <c r="O233" i="22"/>
  <c r="N233" i="22"/>
  <c r="M233" i="22"/>
  <c r="L233" i="22"/>
  <c r="K233" i="22"/>
  <c r="J233" i="22"/>
  <c r="I233" i="22"/>
  <c r="H233" i="22"/>
  <c r="G233" i="22"/>
  <c r="F233" i="22"/>
  <c r="E233" i="22"/>
  <c r="D233" i="22"/>
  <c r="C233" i="22"/>
  <c r="B233" i="22"/>
  <c r="A233" i="22"/>
  <c r="B232" i="22"/>
  <c r="S207" i="22"/>
  <c r="AG197" i="22"/>
  <c r="B197" i="22"/>
  <c r="D196" i="22"/>
  <c r="C196" i="22"/>
  <c r="C232" i="22" s="1"/>
  <c r="D195" i="22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C195" i="22"/>
  <c r="C194" i="22"/>
  <c r="D194" i="22" s="1"/>
  <c r="E194" i="22" s="1"/>
  <c r="F194" i="22" s="1"/>
  <c r="G194" i="22" s="1"/>
  <c r="H194" i="22" s="1"/>
  <c r="I194" i="22" s="1"/>
  <c r="J194" i="22" s="1"/>
  <c r="K194" i="22" s="1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V194" i="22" s="1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C193" i="22"/>
  <c r="D193" i="22" s="1"/>
  <c r="E193" i="22" s="1"/>
  <c r="F193" i="22" s="1"/>
  <c r="G193" i="22" s="1"/>
  <c r="H193" i="22" s="1"/>
  <c r="I193" i="22" s="1"/>
  <c r="J193" i="22" s="1"/>
  <c r="K193" i="22" s="1"/>
  <c r="L193" i="22" s="1"/>
  <c r="M193" i="22" s="1"/>
  <c r="N193" i="22" s="1"/>
  <c r="O193" i="22" s="1"/>
  <c r="P193" i="22" s="1"/>
  <c r="Q193" i="22" s="1"/>
  <c r="R193" i="22" s="1"/>
  <c r="S193" i="22" s="1"/>
  <c r="T193" i="22" s="1"/>
  <c r="U193" i="22" s="1"/>
  <c r="V193" i="22" s="1"/>
  <c r="W193" i="22" s="1"/>
  <c r="X193" i="22" s="1"/>
  <c r="Y193" i="22" s="1"/>
  <c r="Z193" i="22" s="1"/>
  <c r="AA193" i="22" s="1"/>
  <c r="AB193" i="22" s="1"/>
  <c r="AC193" i="22" s="1"/>
  <c r="AD193" i="22" s="1"/>
  <c r="AE193" i="22" s="1"/>
  <c r="AF193" i="22" s="1"/>
  <c r="C192" i="22"/>
  <c r="D192" i="22" s="1"/>
  <c r="E192" i="22" s="1"/>
  <c r="F192" i="22" s="1"/>
  <c r="G192" i="22" s="1"/>
  <c r="H192" i="22" s="1"/>
  <c r="I192" i="22" s="1"/>
  <c r="J192" i="22" s="1"/>
  <c r="K192" i="22" s="1"/>
  <c r="L192" i="22" s="1"/>
  <c r="M192" i="22" s="1"/>
  <c r="N192" i="22" s="1"/>
  <c r="O192" i="22" s="1"/>
  <c r="P192" i="22" s="1"/>
  <c r="Q192" i="22" s="1"/>
  <c r="R192" i="22" s="1"/>
  <c r="S192" i="22" s="1"/>
  <c r="T192" i="22" s="1"/>
  <c r="U192" i="22" s="1"/>
  <c r="V192" i="22" s="1"/>
  <c r="W192" i="22" s="1"/>
  <c r="X192" i="22" s="1"/>
  <c r="Y192" i="22" s="1"/>
  <c r="Z192" i="22" s="1"/>
  <c r="AA192" i="22" s="1"/>
  <c r="AB192" i="22" s="1"/>
  <c r="AC192" i="22" s="1"/>
  <c r="AD192" i="22" s="1"/>
  <c r="AE192" i="22" s="1"/>
  <c r="AF192" i="22" s="1"/>
  <c r="C191" i="22"/>
  <c r="D191" i="22" s="1"/>
  <c r="AG189" i="22"/>
  <c r="B189" i="22"/>
  <c r="C188" i="22"/>
  <c r="D188" i="22" s="1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C187" i="22"/>
  <c r="D187" i="22" s="1"/>
  <c r="E187" i="22" s="1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I186" i="22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C186" i="22"/>
  <c r="D186" i="22" s="1"/>
  <c r="E186" i="22" s="1"/>
  <c r="F186" i="22" s="1"/>
  <c r="G186" i="22" s="1"/>
  <c r="H186" i="22" s="1"/>
  <c r="D185" i="22"/>
  <c r="E185" i="22" s="1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C185" i="22"/>
  <c r="E184" i="22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C184" i="22"/>
  <c r="D184" i="22" s="1"/>
  <c r="AC183" i="22"/>
  <c r="AD183" i="22" s="1"/>
  <c r="AE183" i="22" s="1"/>
  <c r="AF183" i="22" s="1"/>
  <c r="M183" i="22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D183" i="22"/>
  <c r="E183" i="22" s="1"/>
  <c r="F183" i="22" s="1"/>
  <c r="G183" i="22" s="1"/>
  <c r="H183" i="22" s="1"/>
  <c r="I183" i="22" s="1"/>
  <c r="J183" i="22" s="1"/>
  <c r="K183" i="22" s="1"/>
  <c r="L183" i="22" s="1"/>
  <c r="C183" i="22"/>
  <c r="C182" i="22"/>
  <c r="D182" i="22" s="1"/>
  <c r="E182" i="22" s="1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P181" i="22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C181" i="22"/>
  <c r="D181" i="22" s="1"/>
  <c r="E181" i="22" s="1"/>
  <c r="F181" i="22" s="1"/>
  <c r="G181" i="22" s="1"/>
  <c r="H181" i="22" s="1"/>
  <c r="I181" i="22" s="1"/>
  <c r="J181" i="22" s="1"/>
  <c r="K181" i="22" s="1"/>
  <c r="L181" i="22" s="1"/>
  <c r="M181" i="22" s="1"/>
  <c r="N181" i="22" s="1"/>
  <c r="O181" i="22" s="1"/>
  <c r="C180" i="22"/>
  <c r="D180" i="22" s="1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C179" i="22"/>
  <c r="D179" i="22" s="1"/>
  <c r="E179" i="22" s="1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E178" i="22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D178" i="22"/>
  <c r="C178" i="22"/>
  <c r="G177" i="22"/>
  <c r="H177" i="22" s="1"/>
  <c r="I177" i="22" s="1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D177" i="22"/>
  <c r="E177" i="22" s="1"/>
  <c r="F177" i="22" s="1"/>
  <c r="C177" i="22"/>
  <c r="M176" i="22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C176" i="22"/>
  <c r="D176" i="22" s="1"/>
  <c r="E176" i="22" s="1"/>
  <c r="F176" i="22" s="1"/>
  <c r="G176" i="22" s="1"/>
  <c r="H176" i="22" s="1"/>
  <c r="I176" i="22" s="1"/>
  <c r="J176" i="22" s="1"/>
  <c r="K176" i="22" s="1"/>
  <c r="L176" i="22" s="1"/>
  <c r="F174" i="22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D174" i="22"/>
  <c r="E174" i="22" s="1"/>
  <c r="C174" i="22"/>
  <c r="D173" i="22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C173" i="22"/>
  <c r="D172" i="22"/>
  <c r="E172" i="22" s="1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C172" i="22"/>
  <c r="L171" i="22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C171" i="22"/>
  <c r="D171" i="22" s="1"/>
  <c r="E171" i="22" s="1"/>
  <c r="F171" i="22" s="1"/>
  <c r="G171" i="22" s="1"/>
  <c r="H171" i="22" s="1"/>
  <c r="I171" i="22" s="1"/>
  <c r="J171" i="22" s="1"/>
  <c r="K171" i="22" s="1"/>
  <c r="F170" i="22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D170" i="22"/>
  <c r="E170" i="22" s="1"/>
  <c r="C170" i="22"/>
  <c r="E169" i="22"/>
  <c r="F169" i="22" s="1"/>
  <c r="G169" i="22" s="1"/>
  <c r="H169" i="22" s="1"/>
  <c r="I169" i="22" s="1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D169" i="22"/>
  <c r="C169" i="22"/>
  <c r="O168" i="22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C168" i="22"/>
  <c r="D168" i="22" s="1"/>
  <c r="E168" i="22" s="1"/>
  <c r="F168" i="22" s="1"/>
  <c r="G168" i="22" s="1"/>
  <c r="H168" i="22" s="1"/>
  <c r="I168" i="22" s="1"/>
  <c r="J168" i="22" s="1"/>
  <c r="K168" i="22" s="1"/>
  <c r="L168" i="22" s="1"/>
  <c r="M168" i="22" s="1"/>
  <c r="N168" i="22" s="1"/>
  <c r="D167" i="22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C167" i="22"/>
  <c r="G165" i="22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D165" i="22"/>
  <c r="E165" i="22" s="1"/>
  <c r="F165" i="22" s="1"/>
  <c r="C165" i="22"/>
  <c r="M164" i="22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C164" i="22"/>
  <c r="E163" i="22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D163" i="22"/>
  <c r="C163" i="22"/>
  <c r="F162" i="22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D162" i="22"/>
  <c r="E162" i="22" s="1"/>
  <c r="C162" i="22"/>
  <c r="L161" i="22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D161" i="22"/>
  <c r="E161" i="22" s="1"/>
  <c r="F161" i="22" s="1"/>
  <c r="G161" i="22" s="1"/>
  <c r="H161" i="22" s="1"/>
  <c r="I161" i="22" s="1"/>
  <c r="J161" i="22" s="1"/>
  <c r="K161" i="22" s="1"/>
  <c r="C161" i="22"/>
  <c r="D160" i="22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C160" i="22"/>
  <c r="D159" i="22"/>
  <c r="E159" i="22" s="1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C159" i="22"/>
  <c r="I158" i="22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C158" i="22"/>
  <c r="D158" i="22" s="1"/>
  <c r="E158" i="22" s="1"/>
  <c r="F158" i="22" s="1"/>
  <c r="G158" i="22" s="1"/>
  <c r="H158" i="22" s="1"/>
  <c r="K157" i="22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C157" i="22"/>
  <c r="D157" i="22" s="1"/>
  <c r="E157" i="22" s="1"/>
  <c r="F157" i="22" s="1"/>
  <c r="G157" i="22" s="1"/>
  <c r="H157" i="22" s="1"/>
  <c r="I157" i="22" s="1"/>
  <c r="J157" i="22" s="1"/>
  <c r="H156" i="22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D156" i="22"/>
  <c r="E156" i="22" s="1"/>
  <c r="F156" i="22" s="1"/>
  <c r="G156" i="22" s="1"/>
  <c r="C156" i="22"/>
  <c r="G155" i="22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C155" i="22"/>
  <c r="D155" i="22" s="1"/>
  <c r="E155" i="22" s="1"/>
  <c r="F155" i="22" s="1"/>
  <c r="C154" i="22"/>
  <c r="D154" i="22" s="1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C153" i="22"/>
  <c r="D153" i="22" s="1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C151" i="22"/>
  <c r="D151" i="22" s="1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C150" i="22"/>
  <c r="D150" i="22" s="1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E149" i="22"/>
  <c r="F149" i="22" s="1"/>
  <c r="G149" i="22" s="1"/>
  <c r="H149" i="22" s="1"/>
  <c r="I149" i="22" s="1"/>
  <c r="J149" i="22" s="1"/>
  <c r="K149" i="22" s="1"/>
  <c r="L149" i="22" s="1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D149" i="22"/>
  <c r="C149" i="22"/>
  <c r="C148" i="22"/>
  <c r="D148" i="22" s="1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C146" i="22"/>
  <c r="D146" i="22" s="1"/>
  <c r="E146" i="22" s="1"/>
  <c r="F146" i="22" s="1"/>
  <c r="G146" i="22" s="1"/>
  <c r="H146" i="22" s="1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C145" i="22"/>
  <c r="D145" i="22" s="1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E143" i="22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D143" i="22"/>
  <c r="C143" i="22"/>
  <c r="C142" i="22"/>
  <c r="D142" i="22" s="1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C141" i="22"/>
  <c r="D141" i="22" s="1"/>
  <c r="E141" i="22" s="1"/>
  <c r="F141" i="22" s="1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S140" i="22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N140" i="22"/>
  <c r="O140" i="22" s="1"/>
  <c r="P140" i="22" s="1"/>
  <c r="Q140" i="22" s="1"/>
  <c r="R140" i="22" s="1"/>
  <c r="K140" i="22"/>
  <c r="L140" i="22" s="1"/>
  <c r="M140" i="22" s="1"/>
  <c r="G140" i="22"/>
  <c r="H140" i="22" s="1"/>
  <c r="I140" i="22" s="1"/>
  <c r="J140" i="22" s="1"/>
  <c r="F140" i="22"/>
  <c r="C140" i="22"/>
  <c r="D140" i="22" s="1"/>
  <c r="E140" i="22" s="1"/>
  <c r="Q139" i="22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D139" i="22"/>
  <c r="E139" i="22" s="1"/>
  <c r="F139" i="22" s="1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C139" i="22"/>
  <c r="C138" i="22"/>
  <c r="D138" i="22" s="1"/>
  <c r="E138" i="22" s="1"/>
  <c r="F138" i="22" s="1"/>
  <c r="G138" i="22" s="1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D137" i="22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C137" i="22"/>
  <c r="C135" i="22"/>
  <c r="D135" i="22" s="1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M134" i="22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D134" i="22"/>
  <c r="E134" i="22" s="1"/>
  <c r="F134" i="22" s="1"/>
  <c r="G134" i="22" s="1"/>
  <c r="H134" i="22" s="1"/>
  <c r="I134" i="22" s="1"/>
  <c r="J134" i="22" s="1"/>
  <c r="K134" i="22" s="1"/>
  <c r="L134" i="22" s="1"/>
  <c r="C134" i="22"/>
  <c r="C133" i="22"/>
  <c r="D133" i="22" s="1"/>
  <c r="E133" i="22" s="1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C132" i="22"/>
  <c r="D132" i="22" s="1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Q131" i="22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C131" i="22"/>
  <c r="D131" i="22" s="1"/>
  <c r="E131" i="22" s="1"/>
  <c r="F131" i="22" s="1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C130" i="22"/>
  <c r="D130" i="22" s="1"/>
  <c r="E130" i="22" s="1"/>
  <c r="F130" i="22" s="1"/>
  <c r="G130" i="22" s="1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H129" i="22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E129" i="22"/>
  <c r="F129" i="22" s="1"/>
  <c r="G129" i="22" s="1"/>
  <c r="D129" i="22"/>
  <c r="C129" i="22"/>
  <c r="J128" i="22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G128" i="22"/>
  <c r="H128" i="22" s="1"/>
  <c r="I128" i="22" s="1"/>
  <c r="F128" i="22"/>
  <c r="C128" i="22"/>
  <c r="D128" i="22" s="1"/>
  <c r="E128" i="22" s="1"/>
  <c r="E126" i="22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D126" i="22"/>
  <c r="C126" i="22"/>
  <c r="F125" i="22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C125" i="22"/>
  <c r="D125" i="22" s="1"/>
  <c r="E125" i="22" s="1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C124" i="22"/>
  <c r="C123" i="22"/>
  <c r="D123" i="22" s="1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D122" i="22"/>
  <c r="E122" i="22" s="1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C122" i="22"/>
  <c r="C121" i="22"/>
  <c r="D121" i="22" s="1"/>
  <c r="E121" i="22" s="1"/>
  <c r="F121" i="22" s="1"/>
  <c r="G121" i="22" s="1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H120" i="22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C120" i="22"/>
  <c r="D120" i="22" s="1"/>
  <c r="E120" i="22" s="1"/>
  <c r="F120" i="22" s="1"/>
  <c r="G120" i="22" s="1"/>
  <c r="C119" i="22"/>
  <c r="D119" i="22" s="1"/>
  <c r="E119" i="22" s="1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D118" i="22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C118" i="22"/>
  <c r="C117" i="22"/>
  <c r="D117" i="22" s="1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D116" i="22"/>
  <c r="E116" i="22" s="1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C116" i="22"/>
  <c r="C115" i="22"/>
  <c r="D115" i="22" s="1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D114" i="22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C114" i="22"/>
  <c r="C113" i="22"/>
  <c r="D113" i="22" s="1"/>
  <c r="E113" i="22" s="1"/>
  <c r="F113" i="22" s="1"/>
  <c r="G113" i="22" s="1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C112" i="22"/>
  <c r="J111" i="22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E111" i="22"/>
  <c r="F111" i="22" s="1"/>
  <c r="G111" i="22" s="1"/>
  <c r="H111" i="22" s="1"/>
  <c r="D111" i="22"/>
  <c r="C111" i="22"/>
  <c r="C110" i="22"/>
  <c r="D110" i="22" s="1"/>
  <c r="E110" i="22" s="1"/>
  <c r="F110" i="22" s="1"/>
  <c r="G110" i="22" s="1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E109" i="22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D109" i="22"/>
  <c r="C109" i="22"/>
  <c r="D107" i="22"/>
  <c r="E107" i="22" s="1"/>
  <c r="F107" i="22" s="1"/>
  <c r="G107" i="22" s="1"/>
  <c r="H107" i="22" s="1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C107" i="22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C106" i="22"/>
  <c r="C104" i="22"/>
  <c r="D104" i="22" s="1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E103" i="22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D103" i="22"/>
  <c r="C103" i="22"/>
  <c r="C102" i="22"/>
  <c r="D102" i="22" s="1"/>
  <c r="E102" i="22" s="1"/>
  <c r="F102" i="22" s="1"/>
  <c r="G102" i="22" s="1"/>
  <c r="H102" i="22" s="1"/>
  <c r="I102" i="22" s="1"/>
  <c r="J102" i="22" s="1"/>
  <c r="K102" i="22" s="1"/>
  <c r="L102" i="22" s="1"/>
  <c r="M102" i="22" s="1"/>
  <c r="N102" i="22" s="1"/>
  <c r="O102" i="22" s="1"/>
  <c r="P102" i="22" s="1"/>
  <c r="Q102" i="22" s="1"/>
  <c r="R102" i="22" s="1"/>
  <c r="S102" i="22" s="1"/>
  <c r="T102" i="22" s="1"/>
  <c r="U102" i="22" s="1"/>
  <c r="V102" i="22" s="1"/>
  <c r="W102" i="22" s="1"/>
  <c r="X102" i="22" s="1"/>
  <c r="Y102" i="22" s="1"/>
  <c r="Z102" i="22" s="1"/>
  <c r="AA102" i="22" s="1"/>
  <c r="AB102" i="22" s="1"/>
  <c r="AC102" i="22" s="1"/>
  <c r="AD102" i="22" s="1"/>
  <c r="AE102" i="22" s="1"/>
  <c r="AF102" i="22" s="1"/>
  <c r="D101" i="22"/>
  <c r="E101" i="22" s="1"/>
  <c r="F101" i="22" s="1"/>
  <c r="G101" i="22" s="1"/>
  <c r="H101" i="22" s="1"/>
  <c r="I101" i="22" s="1"/>
  <c r="J101" i="22" s="1"/>
  <c r="K101" i="22" s="1"/>
  <c r="L101" i="22" s="1"/>
  <c r="M101" i="22" s="1"/>
  <c r="N101" i="22" s="1"/>
  <c r="O101" i="22" s="1"/>
  <c r="P101" i="22" s="1"/>
  <c r="Q101" i="22" s="1"/>
  <c r="R101" i="22" s="1"/>
  <c r="S101" i="22" s="1"/>
  <c r="T101" i="22" s="1"/>
  <c r="U101" i="22" s="1"/>
  <c r="V101" i="22" s="1"/>
  <c r="W101" i="22" s="1"/>
  <c r="X101" i="22" s="1"/>
  <c r="Y101" i="22" s="1"/>
  <c r="Z101" i="22" s="1"/>
  <c r="AA101" i="22" s="1"/>
  <c r="AB101" i="22" s="1"/>
  <c r="AC101" i="22" s="1"/>
  <c r="AD101" i="22" s="1"/>
  <c r="AE101" i="22" s="1"/>
  <c r="AF101" i="22" s="1"/>
  <c r="C101" i="22"/>
  <c r="F100" i="22"/>
  <c r="C100" i="22"/>
  <c r="D100" i="22" s="1"/>
  <c r="E100" i="22" s="1"/>
  <c r="D99" i="22"/>
  <c r="C99" i="22"/>
  <c r="D91" i="22"/>
  <c r="C91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3" i="22"/>
  <c r="AH83" i="22"/>
  <c r="AI82" i="22"/>
  <c r="AH82" i="22"/>
  <c r="AG80" i="22"/>
  <c r="AI79" i="22"/>
  <c r="AH79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AF77" i="22"/>
  <c r="AE77" i="22"/>
  <c r="AD77" i="22"/>
  <c r="AC77" i="22"/>
  <c r="AB77" i="22"/>
  <c r="AA77" i="22"/>
  <c r="Z77" i="22"/>
  <c r="Y77" i="22"/>
  <c r="X77" i="22"/>
  <c r="X80" i="22" s="1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U80" i="22" s="1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AF74" i="22"/>
  <c r="AE74" i="22"/>
  <c r="AD74" i="22"/>
  <c r="AC74" i="22"/>
  <c r="AB74" i="22"/>
  <c r="AA74" i="22"/>
  <c r="AA80" i="22" s="1"/>
  <c r="Z74" i="22"/>
  <c r="Y74" i="22"/>
  <c r="X74" i="22"/>
  <c r="W74" i="22"/>
  <c r="V74" i="22"/>
  <c r="V80" i="22" s="1"/>
  <c r="U74" i="22"/>
  <c r="T74" i="22"/>
  <c r="S74" i="22"/>
  <c r="R74" i="22"/>
  <c r="R80" i="22" s="1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E80" i="22" s="1"/>
  <c r="D74" i="22"/>
  <c r="C74" i="22"/>
  <c r="N73" i="22"/>
  <c r="AF211" i="22" s="1"/>
  <c r="AI72" i="22"/>
  <c r="AH72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AH70" i="22"/>
  <c r="AI69" i="22"/>
  <c r="AH69" i="22"/>
  <c r="AI68" i="22"/>
  <c r="AH68" i="22"/>
  <c r="AI67" i="22"/>
  <c r="AH67" i="22"/>
  <c r="AG66" i="22"/>
  <c r="AF66" i="22"/>
  <c r="AF5" i="22" s="1"/>
  <c r="AE66" i="22"/>
  <c r="AD66" i="22"/>
  <c r="AD5" i="22" s="1"/>
  <c r="AC66" i="22"/>
  <c r="AB66" i="22"/>
  <c r="AB5" i="22" s="1"/>
  <c r="AA66" i="22"/>
  <c r="Z66" i="22"/>
  <c r="Y66" i="22"/>
  <c r="X66" i="22"/>
  <c r="W66" i="22"/>
  <c r="W5" i="22" s="1"/>
  <c r="V66" i="22"/>
  <c r="V5" i="22" s="1"/>
  <c r="U66" i="22"/>
  <c r="T5" i="22"/>
  <c r="S66" i="22"/>
  <c r="R66" i="22"/>
  <c r="Q66" i="22"/>
  <c r="P66" i="22"/>
  <c r="P5" i="22" s="1"/>
  <c r="O66" i="22"/>
  <c r="N66" i="22"/>
  <c r="N5" i="22" s="1"/>
  <c r="M66" i="22"/>
  <c r="M5" i="22" s="1"/>
  <c r="L66" i="22"/>
  <c r="K66" i="22"/>
  <c r="J66" i="22"/>
  <c r="J5" i="22" s="1"/>
  <c r="I66" i="22"/>
  <c r="I5" i="22" s="1"/>
  <c r="H66" i="22"/>
  <c r="H5" i="22" s="1"/>
  <c r="G66" i="22"/>
  <c r="F66" i="22"/>
  <c r="F5" i="22" s="1"/>
  <c r="E66" i="22"/>
  <c r="E5" i="22" s="1"/>
  <c r="D66" i="22"/>
  <c r="D5" i="22" s="1"/>
  <c r="C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K54" i="22"/>
  <c r="J54" i="22"/>
  <c r="I54" i="22"/>
  <c r="H54" i="22"/>
  <c r="G54" i="22"/>
  <c r="F54" i="22"/>
  <c r="E54" i="22"/>
  <c r="D54" i="22"/>
  <c r="C54" i="22"/>
  <c r="AI53" i="22"/>
  <c r="AH53" i="22"/>
  <c r="AI52" i="22"/>
  <c r="AH52" i="22"/>
  <c r="AI51" i="22"/>
  <c r="AH51" i="22"/>
  <c r="Y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AG49" i="22"/>
  <c r="AG50" i="22" s="1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G36" i="22"/>
  <c r="AF36" i="22"/>
  <c r="AE36" i="22"/>
  <c r="AD36" i="22"/>
  <c r="AC36" i="22"/>
  <c r="AB36" i="22"/>
  <c r="AA36" i="22"/>
  <c r="Z36" i="22"/>
  <c r="Y36" i="22"/>
  <c r="Y73" i="22" s="1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H36" i="22"/>
  <c r="G36" i="22"/>
  <c r="F36" i="22"/>
  <c r="E36" i="22"/>
  <c r="D36" i="22"/>
  <c r="C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AC5" i="22"/>
  <c r="Z5" i="22"/>
  <c r="Y5" i="22"/>
  <c r="X5" i="22"/>
  <c r="U5" i="22"/>
  <c r="R5" i="22"/>
  <c r="Q5" i="22"/>
  <c r="O5" i="22"/>
  <c r="G5" i="22"/>
  <c r="B5" i="22"/>
  <c r="AG4" i="22"/>
  <c r="K4" i="22"/>
  <c r="B4" i="22"/>
  <c r="AG2" i="22"/>
  <c r="AF93" i="21"/>
  <c r="AF35" i="21"/>
  <c r="AE93" i="21"/>
  <c r="AE35" i="21"/>
  <c r="AD93" i="21"/>
  <c r="AD35" i="21"/>
  <c r="AC93" i="21"/>
  <c r="AC35" i="21"/>
  <c r="AB35" i="21"/>
  <c r="AA35" i="21"/>
  <c r="E4" i="23"/>
  <c r="E4" i="22"/>
  <c r="AF81" i="24" l="1"/>
  <c r="AI71" i="24"/>
  <c r="AH71" i="24"/>
  <c r="AX211" i="24"/>
  <c r="AF7" i="24"/>
  <c r="A7" i="24" s="1"/>
  <c r="AH73" i="24"/>
  <c r="AI73" i="24"/>
  <c r="AF80" i="23"/>
  <c r="AE80" i="23"/>
  <c r="AD80" i="23"/>
  <c r="AC80" i="23"/>
  <c r="AB80" i="23"/>
  <c r="AA80" i="23"/>
  <c r="Z80" i="23"/>
  <c r="W80" i="23"/>
  <c r="V80" i="23"/>
  <c r="U80" i="23"/>
  <c r="T80" i="23"/>
  <c r="S80" i="23"/>
  <c r="S73" i="23"/>
  <c r="AK211" i="23" s="1"/>
  <c r="S71" i="23"/>
  <c r="R80" i="23"/>
  <c r="R71" i="23"/>
  <c r="Q80" i="23"/>
  <c r="P80" i="23"/>
  <c r="P73" i="23"/>
  <c r="O80" i="23"/>
  <c r="N80" i="23"/>
  <c r="N73" i="23"/>
  <c r="M80" i="23"/>
  <c r="M71" i="23"/>
  <c r="L80" i="23"/>
  <c r="L73" i="23"/>
  <c r="AD211" i="23" s="1"/>
  <c r="K80" i="23"/>
  <c r="K73" i="23"/>
  <c r="AC211" i="23" s="1"/>
  <c r="K71" i="23"/>
  <c r="K81" i="23" s="1"/>
  <c r="J80" i="23"/>
  <c r="J71" i="23"/>
  <c r="I80" i="23"/>
  <c r="I73" i="23"/>
  <c r="I7" i="23" s="1"/>
  <c r="H80" i="23"/>
  <c r="H73" i="23"/>
  <c r="H7" i="23" s="1"/>
  <c r="G80" i="23"/>
  <c r="AL42" i="23"/>
  <c r="AL27" i="23"/>
  <c r="AL28" i="23" s="1"/>
  <c r="F80" i="23"/>
  <c r="F73" i="23"/>
  <c r="AI77" i="23"/>
  <c r="E80" i="23"/>
  <c r="E71" i="23"/>
  <c r="D80" i="23"/>
  <c r="AI78" i="23"/>
  <c r="AH78" i="23"/>
  <c r="D73" i="23"/>
  <c r="V211" i="23" s="1"/>
  <c r="C80" i="23"/>
  <c r="C73" i="23"/>
  <c r="U211" i="23" s="1"/>
  <c r="C71" i="23"/>
  <c r="B80" i="23"/>
  <c r="AH80" i="23"/>
  <c r="AI66" i="23"/>
  <c r="AF80" i="22"/>
  <c r="AE80" i="22"/>
  <c r="H4" i="23"/>
  <c r="AA211" i="23"/>
  <c r="AG6" i="23"/>
  <c r="I71" i="23"/>
  <c r="Q71" i="23"/>
  <c r="Y71" i="23"/>
  <c r="AG71" i="23"/>
  <c r="AI70" i="23"/>
  <c r="D208" i="23"/>
  <c r="S208" i="23"/>
  <c r="AH66" i="23"/>
  <c r="G71" i="23"/>
  <c r="Y73" i="23"/>
  <c r="AF211" i="23"/>
  <c r="N7" i="23"/>
  <c r="E73" i="23"/>
  <c r="X211" i="23"/>
  <c r="F7" i="23"/>
  <c r="M73" i="23"/>
  <c r="M5" i="23"/>
  <c r="AH54" i="23"/>
  <c r="AI80" i="23"/>
  <c r="AH211" i="23"/>
  <c r="P7" i="23"/>
  <c r="AI54" i="23"/>
  <c r="G73" i="23"/>
  <c r="O73" i="23"/>
  <c r="O71" i="23"/>
  <c r="AH74" i="23"/>
  <c r="AI76" i="23"/>
  <c r="Q5" i="23"/>
  <c r="F71" i="23"/>
  <c r="N71" i="23"/>
  <c r="N81" i="23" s="1"/>
  <c r="S81" i="23"/>
  <c r="AI74" i="23"/>
  <c r="AI75" i="23"/>
  <c r="H100" i="23"/>
  <c r="B71" i="23"/>
  <c r="AI36" i="23"/>
  <c r="AH36" i="23"/>
  <c r="AG81" i="23"/>
  <c r="S7" i="23"/>
  <c r="H71" i="23"/>
  <c r="H81" i="23" s="1"/>
  <c r="P71" i="23"/>
  <c r="P81" i="23" s="1"/>
  <c r="J73" i="23"/>
  <c r="J81" i="23" s="1"/>
  <c r="R73" i="23"/>
  <c r="C81" i="23"/>
  <c r="Q73" i="23"/>
  <c r="F5" i="23"/>
  <c r="N5" i="23"/>
  <c r="V5" i="23"/>
  <c r="AD5" i="23"/>
  <c r="AH70" i="23"/>
  <c r="AH75" i="23"/>
  <c r="AH76" i="23"/>
  <c r="AH77" i="23"/>
  <c r="C91" i="23"/>
  <c r="D71" i="23"/>
  <c r="L71" i="23"/>
  <c r="L81" i="23" s="1"/>
  <c r="C189" i="23"/>
  <c r="D99" i="23"/>
  <c r="F196" i="23"/>
  <c r="C197" i="23"/>
  <c r="D191" i="23"/>
  <c r="AD80" i="22"/>
  <c r="AC80" i="22"/>
  <c r="AB80" i="22"/>
  <c r="Z80" i="22"/>
  <c r="Y80" i="22"/>
  <c r="AQ211" i="22"/>
  <c r="Y7" i="22"/>
  <c r="Y71" i="22"/>
  <c r="W80" i="22"/>
  <c r="T80" i="22"/>
  <c r="S80" i="22"/>
  <c r="S73" i="22"/>
  <c r="S71" i="22"/>
  <c r="R71" i="22"/>
  <c r="R73" i="22"/>
  <c r="Q80" i="22"/>
  <c r="Q73" i="22"/>
  <c r="AI211" i="22" s="1"/>
  <c r="Q71" i="22"/>
  <c r="P80" i="22"/>
  <c r="P73" i="22"/>
  <c r="AH211" i="22" s="1"/>
  <c r="P71" i="22"/>
  <c r="O80" i="22"/>
  <c r="O73" i="22"/>
  <c r="O71" i="22"/>
  <c r="N80" i="22"/>
  <c r="N7" i="22"/>
  <c r="M71" i="22"/>
  <c r="M80" i="22"/>
  <c r="L80" i="22"/>
  <c r="L71" i="22"/>
  <c r="M73" i="22"/>
  <c r="M81" i="22" s="1"/>
  <c r="K80" i="22"/>
  <c r="K71" i="22"/>
  <c r="K73" i="22"/>
  <c r="J80" i="22"/>
  <c r="J71" i="22"/>
  <c r="J73" i="22"/>
  <c r="I80" i="22"/>
  <c r="AH78" i="22"/>
  <c r="I71" i="22"/>
  <c r="I73" i="22"/>
  <c r="I81" i="22" s="1"/>
  <c r="H73" i="22"/>
  <c r="Z211" i="22" s="1"/>
  <c r="AH75" i="22"/>
  <c r="H7" i="22"/>
  <c r="H71" i="22"/>
  <c r="AI74" i="22"/>
  <c r="G80" i="22"/>
  <c r="AH54" i="22"/>
  <c r="G73" i="22"/>
  <c r="G71" i="22"/>
  <c r="F80" i="22"/>
  <c r="F73" i="22"/>
  <c r="F7" i="22" s="1"/>
  <c r="AI54" i="22"/>
  <c r="E71" i="22"/>
  <c r="AI77" i="22"/>
  <c r="E73" i="22"/>
  <c r="E81" i="22" s="1"/>
  <c r="AI36" i="22"/>
  <c r="AI76" i="22"/>
  <c r="AH66" i="22"/>
  <c r="D80" i="22"/>
  <c r="AH77" i="22"/>
  <c r="C80" i="22"/>
  <c r="C71" i="22"/>
  <c r="C73" i="22"/>
  <c r="C81" i="22" s="1"/>
  <c r="B73" i="22"/>
  <c r="B71" i="22"/>
  <c r="B81" i="22" s="1"/>
  <c r="H4" i="22"/>
  <c r="AB211" i="22"/>
  <c r="J81" i="22"/>
  <c r="J7" i="22"/>
  <c r="AJ211" i="22"/>
  <c r="R7" i="22"/>
  <c r="R81" i="22"/>
  <c r="AG211" i="22"/>
  <c r="O7" i="22"/>
  <c r="P81" i="22"/>
  <c r="Y211" i="22"/>
  <c r="Q81" i="22"/>
  <c r="Y81" i="22"/>
  <c r="AG81" i="22"/>
  <c r="U211" i="22"/>
  <c r="C7" i="22"/>
  <c r="AC211" i="22"/>
  <c r="K7" i="22"/>
  <c r="AK211" i="22"/>
  <c r="S7" i="22"/>
  <c r="AG73" i="22"/>
  <c r="AG3" i="22"/>
  <c r="AG6" i="22" s="1"/>
  <c r="AG71" i="22"/>
  <c r="AI66" i="22"/>
  <c r="G100" i="22"/>
  <c r="X211" i="22"/>
  <c r="S81" i="22"/>
  <c r="AI78" i="22"/>
  <c r="K5" i="22"/>
  <c r="AA5" i="22"/>
  <c r="H80" i="22"/>
  <c r="D189" i="22"/>
  <c r="D71" i="22"/>
  <c r="C5" i="22"/>
  <c r="S5" i="22"/>
  <c r="L5" i="22"/>
  <c r="F71" i="22"/>
  <c r="F81" i="22" s="1"/>
  <c r="N71" i="22"/>
  <c r="N81" i="22" s="1"/>
  <c r="O81" i="22"/>
  <c r="E91" i="22"/>
  <c r="E99" i="22"/>
  <c r="AI70" i="22"/>
  <c r="AI75" i="22"/>
  <c r="K81" i="22"/>
  <c r="S208" i="22"/>
  <c r="D208" i="22"/>
  <c r="AH36" i="22"/>
  <c r="AH74" i="22"/>
  <c r="AH76" i="22"/>
  <c r="D73" i="22"/>
  <c r="L73" i="22"/>
  <c r="C189" i="22"/>
  <c r="D232" i="22"/>
  <c r="E196" i="22"/>
  <c r="E191" i="22"/>
  <c r="D197" i="22"/>
  <c r="C197" i="22"/>
  <c r="AH81" i="24" l="1"/>
  <c r="AI81" i="24"/>
  <c r="Y81" i="23"/>
  <c r="Q81" i="23"/>
  <c r="O81" i="23"/>
  <c r="L7" i="23"/>
  <c r="K7" i="23"/>
  <c r="I81" i="23"/>
  <c r="Z211" i="23"/>
  <c r="C206" i="23"/>
  <c r="G81" i="23"/>
  <c r="AL44" i="23"/>
  <c r="B206" i="23"/>
  <c r="K6" i="23" s="1"/>
  <c r="F81" i="23"/>
  <c r="D7" i="23"/>
  <c r="D81" i="23"/>
  <c r="C7" i="23"/>
  <c r="D189" i="23"/>
  <c r="E99" i="23"/>
  <c r="B73" i="23"/>
  <c r="I100" i="23"/>
  <c r="D197" i="23"/>
  <c r="E191" i="23"/>
  <c r="D91" i="23"/>
  <c r="AJ211" i="23"/>
  <c r="R7" i="23"/>
  <c r="W211" i="23"/>
  <c r="E7" i="23"/>
  <c r="R81" i="23"/>
  <c r="AB211" i="23"/>
  <c r="J7" i="23"/>
  <c r="AG211" i="23"/>
  <c r="O7" i="23"/>
  <c r="E81" i="23"/>
  <c r="F232" i="23"/>
  <c r="G196" i="23"/>
  <c r="AE211" i="23"/>
  <c r="M7" i="23"/>
  <c r="Y211" i="23"/>
  <c r="G7" i="23"/>
  <c r="M81" i="23"/>
  <c r="AI211" i="23"/>
  <c r="Q7" i="23"/>
  <c r="AQ211" i="23"/>
  <c r="Y7" i="23"/>
  <c r="Q7" i="22"/>
  <c r="P7" i="22"/>
  <c r="AE211" i="22"/>
  <c r="M7" i="22"/>
  <c r="B206" i="22"/>
  <c r="AA211" i="22"/>
  <c r="I7" i="22"/>
  <c r="H81" i="22"/>
  <c r="G81" i="22"/>
  <c r="G7" i="22"/>
  <c r="C206" i="22"/>
  <c r="K6" i="22" s="1"/>
  <c r="W211" i="22"/>
  <c r="E7" i="22"/>
  <c r="D81" i="22"/>
  <c r="AI80" i="22"/>
  <c r="AH80" i="22"/>
  <c r="E189" i="22"/>
  <c r="F99" i="22"/>
  <c r="L81" i="22"/>
  <c r="F191" i="22"/>
  <c r="E197" i="22"/>
  <c r="AD211" i="22"/>
  <c r="L7" i="22"/>
  <c r="H100" i="22"/>
  <c r="E232" i="22"/>
  <c r="F196" i="22"/>
  <c r="V211" i="22"/>
  <c r="D7" i="22"/>
  <c r="T211" i="22"/>
  <c r="B7" i="22"/>
  <c r="J100" i="23" l="1"/>
  <c r="G232" i="23"/>
  <c r="H196" i="23"/>
  <c r="T211" i="23"/>
  <c r="B7" i="23"/>
  <c r="E189" i="23"/>
  <c r="F99" i="23"/>
  <c r="E197" i="23"/>
  <c r="F191" i="23"/>
  <c r="E91" i="23"/>
  <c r="B81" i="23"/>
  <c r="F189" i="22"/>
  <c r="G99" i="22"/>
  <c r="I100" i="22"/>
  <c r="G196" i="22"/>
  <c r="F232" i="22"/>
  <c r="G191" i="22"/>
  <c r="F197" i="22"/>
  <c r="F91" i="22"/>
  <c r="G191" i="23" l="1"/>
  <c r="F197" i="23"/>
  <c r="F91" i="23"/>
  <c r="H232" i="23"/>
  <c r="I196" i="23"/>
  <c r="F189" i="23"/>
  <c r="G99" i="23"/>
  <c r="K100" i="23"/>
  <c r="H196" i="22"/>
  <c r="G232" i="22"/>
  <c r="J100" i="22"/>
  <c r="G189" i="22"/>
  <c r="H99" i="22"/>
  <c r="G197" i="22"/>
  <c r="H191" i="22"/>
  <c r="G91" i="22"/>
  <c r="J196" i="23" l="1"/>
  <c r="I232" i="23"/>
  <c r="H191" i="23"/>
  <c r="G197" i="23"/>
  <c r="G91" i="23"/>
  <c r="G189" i="23"/>
  <c r="H99" i="23"/>
  <c r="L100" i="23"/>
  <c r="H189" i="22"/>
  <c r="I99" i="22"/>
  <c r="K100" i="22"/>
  <c r="H197" i="22"/>
  <c r="I191" i="22"/>
  <c r="H91" i="22"/>
  <c r="I196" i="22"/>
  <c r="H232" i="22"/>
  <c r="H189" i="23" l="1"/>
  <c r="I99" i="23"/>
  <c r="M100" i="23"/>
  <c r="H197" i="23"/>
  <c r="I191" i="23"/>
  <c r="H91" i="23"/>
  <c r="J232" i="23"/>
  <c r="K196" i="23"/>
  <c r="I189" i="22"/>
  <c r="J99" i="22"/>
  <c r="J196" i="22"/>
  <c r="I232" i="22"/>
  <c r="I197" i="22"/>
  <c r="J191" i="22"/>
  <c r="I91" i="22"/>
  <c r="L100" i="22"/>
  <c r="N100" i="23" l="1"/>
  <c r="I189" i="23"/>
  <c r="J99" i="23"/>
  <c r="J191" i="23"/>
  <c r="I197" i="23"/>
  <c r="I91" i="23"/>
  <c r="L196" i="23"/>
  <c r="K232" i="23"/>
  <c r="K196" i="22"/>
  <c r="J232" i="22"/>
  <c r="K191" i="22"/>
  <c r="J197" i="22"/>
  <c r="J91" i="22"/>
  <c r="J189" i="22"/>
  <c r="K99" i="22"/>
  <c r="M100" i="22"/>
  <c r="L232" i="23" l="1"/>
  <c r="M196" i="23"/>
  <c r="J189" i="23"/>
  <c r="K99" i="23"/>
  <c r="J197" i="23"/>
  <c r="K191" i="23"/>
  <c r="J91" i="23"/>
  <c r="O100" i="23"/>
  <c r="L191" i="22"/>
  <c r="K197" i="22"/>
  <c r="K91" i="22"/>
  <c r="N100" i="22"/>
  <c r="K189" i="22"/>
  <c r="L99" i="22"/>
  <c r="L196" i="22"/>
  <c r="K232" i="22"/>
  <c r="K189" i="23" l="1"/>
  <c r="L99" i="23"/>
  <c r="M232" i="23"/>
  <c r="N196" i="23"/>
  <c r="K197" i="23"/>
  <c r="L191" i="23"/>
  <c r="K91" i="23"/>
  <c r="P100" i="23"/>
  <c r="L232" i="22"/>
  <c r="M196" i="22"/>
  <c r="O100" i="22"/>
  <c r="L189" i="22"/>
  <c r="M99" i="22"/>
  <c r="M191" i="22"/>
  <c r="L197" i="22"/>
  <c r="L91" i="22"/>
  <c r="M191" i="23" l="1"/>
  <c r="L197" i="23"/>
  <c r="L91" i="23"/>
  <c r="Q100" i="23"/>
  <c r="N232" i="23"/>
  <c r="O196" i="23"/>
  <c r="L189" i="23"/>
  <c r="M99" i="23"/>
  <c r="N191" i="22"/>
  <c r="M197" i="22"/>
  <c r="M91" i="22"/>
  <c r="M189" i="22"/>
  <c r="N99" i="22"/>
  <c r="P100" i="22"/>
  <c r="M232" i="22"/>
  <c r="N196" i="22"/>
  <c r="O232" i="23" l="1"/>
  <c r="P196" i="23"/>
  <c r="R100" i="23"/>
  <c r="M189" i="23"/>
  <c r="N99" i="23"/>
  <c r="M197" i="23"/>
  <c r="N191" i="23"/>
  <c r="M91" i="23"/>
  <c r="Q100" i="22"/>
  <c r="N189" i="22"/>
  <c r="O99" i="22"/>
  <c r="N232" i="22"/>
  <c r="O196" i="22"/>
  <c r="O191" i="22"/>
  <c r="N197" i="22"/>
  <c r="N91" i="22"/>
  <c r="S100" i="23" l="1"/>
  <c r="O191" i="23"/>
  <c r="N197" i="23"/>
  <c r="N91" i="23"/>
  <c r="N189" i="23"/>
  <c r="O99" i="23"/>
  <c r="P232" i="23"/>
  <c r="Q196" i="23"/>
  <c r="P191" i="22"/>
  <c r="O197" i="22"/>
  <c r="O91" i="22"/>
  <c r="P196" i="22"/>
  <c r="O232" i="22"/>
  <c r="O189" i="22"/>
  <c r="P99" i="22"/>
  <c r="R100" i="22"/>
  <c r="O189" i="23" l="1"/>
  <c r="P99" i="23"/>
  <c r="P191" i="23"/>
  <c r="O197" i="23"/>
  <c r="O91" i="23"/>
  <c r="R196" i="23"/>
  <c r="Q232" i="23"/>
  <c r="T100" i="23"/>
  <c r="P189" i="22"/>
  <c r="Q99" i="22"/>
  <c r="Q196" i="22"/>
  <c r="P232" i="22"/>
  <c r="S100" i="22"/>
  <c r="P197" i="22"/>
  <c r="Q191" i="22"/>
  <c r="P91" i="22"/>
  <c r="R232" i="23" l="1"/>
  <c r="S196" i="23"/>
  <c r="Q191" i="23"/>
  <c r="P197" i="23"/>
  <c r="P91" i="23"/>
  <c r="P189" i="23"/>
  <c r="Q99" i="23"/>
  <c r="U100" i="23"/>
  <c r="Q197" i="22"/>
  <c r="R191" i="22"/>
  <c r="Q91" i="22"/>
  <c r="R196" i="22"/>
  <c r="Q232" i="22"/>
  <c r="Q189" i="22"/>
  <c r="R99" i="22"/>
  <c r="T100" i="22"/>
  <c r="R191" i="23" l="1"/>
  <c r="Q197" i="23"/>
  <c r="Q91" i="23"/>
  <c r="V100" i="23"/>
  <c r="T196" i="23"/>
  <c r="S232" i="23"/>
  <c r="Q189" i="23"/>
  <c r="R99" i="23"/>
  <c r="U100" i="22"/>
  <c r="S196" i="22"/>
  <c r="R232" i="22"/>
  <c r="R197" i="22"/>
  <c r="S191" i="22"/>
  <c r="R91" i="22"/>
  <c r="R189" i="22"/>
  <c r="S99" i="22"/>
  <c r="U196" i="23" l="1"/>
  <c r="T232" i="23"/>
  <c r="W100" i="23"/>
  <c r="R189" i="23"/>
  <c r="S99" i="23"/>
  <c r="R197" i="23"/>
  <c r="S191" i="23"/>
  <c r="R91" i="23"/>
  <c r="T191" i="22"/>
  <c r="S197" i="22"/>
  <c r="S91" i="22"/>
  <c r="T196" i="22"/>
  <c r="S232" i="22"/>
  <c r="S189" i="22"/>
  <c r="T99" i="22"/>
  <c r="V100" i="22"/>
  <c r="S197" i="23" l="1"/>
  <c r="T191" i="23"/>
  <c r="S91" i="23"/>
  <c r="S189" i="23"/>
  <c r="T99" i="23"/>
  <c r="X100" i="23"/>
  <c r="U232" i="23"/>
  <c r="V196" i="23"/>
  <c r="T189" i="22"/>
  <c r="U99" i="22"/>
  <c r="U196" i="22"/>
  <c r="T232" i="22"/>
  <c r="W100" i="22"/>
  <c r="U191" i="22"/>
  <c r="T197" i="22"/>
  <c r="T49" i="22" s="1"/>
  <c r="T91" i="22"/>
  <c r="Y100" i="23" l="1"/>
  <c r="T189" i="23"/>
  <c r="U99" i="23"/>
  <c r="T197" i="23"/>
  <c r="T49" i="23" s="1"/>
  <c r="U191" i="23"/>
  <c r="T91" i="23"/>
  <c r="V232" i="23"/>
  <c r="W196" i="23"/>
  <c r="V191" i="22"/>
  <c r="U197" i="22"/>
  <c r="U49" i="22" s="1"/>
  <c r="U50" i="22" s="1"/>
  <c r="U91" i="22"/>
  <c r="X100" i="22"/>
  <c r="U232" i="22"/>
  <c r="V196" i="22"/>
  <c r="T50" i="22"/>
  <c r="U189" i="22"/>
  <c r="V99" i="22"/>
  <c r="U197" i="23" l="1"/>
  <c r="U49" i="23" s="1"/>
  <c r="U50" i="23" s="1"/>
  <c r="V191" i="23"/>
  <c r="U91" i="23"/>
  <c r="Z100" i="23"/>
  <c r="T50" i="23"/>
  <c r="U189" i="23"/>
  <c r="V99" i="23"/>
  <c r="W232" i="23"/>
  <c r="X196" i="23"/>
  <c r="V232" i="22"/>
  <c r="W196" i="22"/>
  <c r="V189" i="22"/>
  <c r="W99" i="22"/>
  <c r="Y100" i="22"/>
  <c r="U71" i="22"/>
  <c r="U73" i="22"/>
  <c r="T71" i="22"/>
  <c r="T73" i="22"/>
  <c r="W191" i="22"/>
  <c r="V197" i="22"/>
  <c r="V49" i="22" s="1"/>
  <c r="V91" i="22"/>
  <c r="T71" i="23" l="1"/>
  <c r="T73" i="23"/>
  <c r="V189" i="23"/>
  <c r="W99" i="23"/>
  <c r="W191" i="23"/>
  <c r="V197" i="23"/>
  <c r="V49" i="23" s="1"/>
  <c r="V91" i="23"/>
  <c r="X232" i="23"/>
  <c r="Y196" i="23"/>
  <c r="AA100" i="23"/>
  <c r="U71" i="23"/>
  <c r="U73" i="23"/>
  <c r="AM211" i="22"/>
  <c r="U7" i="22"/>
  <c r="U81" i="22"/>
  <c r="V50" i="22"/>
  <c r="AL211" i="22"/>
  <c r="T7" i="22"/>
  <c r="X196" i="22"/>
  <c r="W232" i="22"/>
  <c r="X191" i="22"/>
  <c r="W197" i="22"/>
  <c r="W49" i="22" s="1"/>
  <c r="W50" i="22" s="1"/>
  <c r="W91" i="22"/>
  <c r="Z100" i="22"/>
  <c r="W189" i="22"/>
  <c r="X99" i="22"/>
  <c r="T81" i="22"/>
  <c r="U81" i="23" l="1"/>
  <c r="AB100" i="23"/>
  <c r="AL211" i="23"/>
  <c r="T7" i="23"/>
  <c r="Z196" i="23"/>
  <c r="Y232" i="23"/>
  <c r="T81" i="23"/>
  <c r="V50" i="23"/>
  <c r="AM211" i="23"/>
  <c r="U7" i="23"/>
  <c r="X191" i="23"/>
  <c r="W197" i="23"/>
  <c r="W49" i="23" s="1"/>
  <c r="W50" i="23" s="1"/>
  <c r="W91" i="23"/>
  <c r="W189" i="23"/>
  <c r="X99" i="23"/>
  <c r="V73" i="22"/>
  <c r="V71" i="22"/>
  <c r="Y191" i="22"/>
  <c r="X197" i="22"/>
  <c r="X49" i="22" s="1"/>
  <c r="X50" i="22" s="1"/>
  <c r="X91" i="22"/>
  <c r="X189" i="22"/>
  <c r="Y99" i="22"/>
  <c r="Y196" i="22"/>
  <c r="X232" i="22"/>
  <c r="W73" i="22"/>
  <c r="W71" i="22"/>
  <c r="AA100" i="22"/>
  <c r="AA196" i="23" l="1"/>
  <c r="Z232" i="23"/>
  <c r="X189" i="23"/>
  <c r="Y99" i="23"/>
  <c r="V73" i="23"/>
  <c r="V71" i="23"/>
  <c r="W71" i="23"/>
  <c r="W73" i="23"/>
  <c r="Y191" i="23"/>
  <c r="X197" i="23"/>
  <c r="X49" i="23" s="1"/>
  <c r="X91" i="23"/>
  <c r="AC100" i="23"/>
  <c r="W81" i="22"/>
  <c r="AO211" i="22"/>
  <c r="W7" i="22"/>
  <c r="Y197" i="22"/>
  <c r="Z191" i="22"/>
  <c r="Y91" i="22"/>
  <c r="Z196" i="22"/>
  <c r="Y232" i="22"/>
  <c r="AB100" i="22"/>
  <c r="Y189" i="22"/>
  <c r="Z99" i="22"/>
  <c r="V81" i="22"/>
  <c r="X73" i="22"/>
  <c r="X71" i="22"/>
  <c r="AN211" i="22"/>
  <c r="V7" i="22"/>
  <c r="AN211" i="23" l="1"/>
  <c r="V7" i="23"/>
  <c r="AO211" i="23"/>
  <c r="W7" i="23"/>
  <c r="W81" i="23"/>
  <c r="V81" i="23"/>
  <c r="X50" i="23"/>
  <c r="Y189" i="23"/>
  <c r="Z99" i="23"/>
  <c r="Z191" i="23"/>
  <c r="Y197" i="23"/>
  <c r="Y91" i="23"/>
  <c r="AD100" i="23"/>
  <c r="AB196" i="23"/>
  <c r="AA232" i="23"/>
  <c r="X81" i="22"/>
  <c r="Z197" i="22"/>
  <c r="Z49" i="22" s="1"/>
  <c r="AA191" i="22"/>
  <c r="Z91" i="22"/>
  <c r="Z189" i="22"/>
  <c r="AA99" i="22"/>
  <c r="AP211" i="22"/>
  <c r="X7" i="22"/>
  <c r="AA196" i="22"/>
  <c r="Z232" i="22"/>
  <c r="AC100" i="22"/>
  <c r="Z189" i="23" l="1"/>
  <c r="AA99" i="23"/>
  <c r="AB232" i="23"/>
  <c r="AC196" i="23"/>
  <c r="AE100" i="23"/>
  <c r="X73" i="23"/>
  <c r="X71" i="23"/>
  <c r="Z197" i="23"/>
  <c r="Z49" i="23" s="1"/>
  <c r="AA191" i="23"/>
  <c r="Z91" i="23"/>
  <c r="AD100" i="22"/>
  <c r="AB196" i="22"/>
  <c r="AA232" i="22"/>
  <c r="AA197" i="22"/>
  <c r="AA49" i="22" s="1"/>
  <c r="AA50" i="22" s="1"/>
  <c r="AB191" i="22"/>
  <c r="AA91" i="22"/>
  <c r="Z50" i="22"/>
  <c r="AA189" i="22"/>
  <c r="AB99" i="22"/>
  <c r="AP211" i="23" l="1"/>
  <c r="X7" i="23"/>
  <c r="AF100" i="23"/>
  <c r="AA197" i="23"/>
  <c r="AA49" i="23" s="1"/>
  <c r="AA50" i="23" s="1"/>
  <c r="AB191" i="23"/>
  <c r="AA91" i="23"/>
  <c r="AC232" i="23"/>
  <c r="AD196" i="23"/>
  <c r="Z50" i="23"/>
  <c r="AA189" i="23"/>
  <c r="AB99" i="23"/>
  <c r="X81" i="23"/>
  <c r="Z71" i="22"/>
  <c r="Z73" i="22"/>
  <c r="AC191" i="22"/>
  <c r="AB197" i="22"/>
  <c r="AB49" i="22" s="1"/>
  <c r="AB50" i="22" s="1"/>
  <c r="AB91" i="22"/>
  <c r="AC196" i="22"/>
  <c r="AB232" i="22"/>
  <c r="AA71" i="22"/>
  <c r="AA81" i="22" s="1"/>
  <c r="AA73" i="22"/>
  <c r="AB189" i="22"/>
  <c r="AC99" i="22"/>
  <c r="AE100" i="22"/>
  <c r="AB189" i="23" l="1"/>
  <c r="AC99" i="23"/>
  <c r="AC191" i="23"/>
  <c r="AB197" i="23"/>
  <c r="AB49" i="23" s="1"/>
  <c r="AB50" i="23" s="1"/>
  <c r="AB91" i="23"/>
  <c r="AA71" i="23"/>
  <c r="AA73" i="23"/>
  <c r="Z71" i="23"/>
  <c r="Z73" i="23"/>
  <c r="AD232" i="23"/>
  <c r="AE196" i="23"/>
  <c r="AC232" i="22"/>
  <c r="AD196" i="22"/>
  <c r="AF100" i="22"/>
  <c r="AC189" i="22"/>
  <c r="AD99" i="22"/>
  <c r="AD191" i="22"/>
  <c r="AC197" i="22"/>
  <c r="AC49" i="22" s="1"/>
  <c r="AC50" i="22" s="1"/>
  <c r="AC91" i="22"/>
  <c r="AR211" i="22"/>
  <c r="Z7" i="22"/>
  <c r="AB71" i="22"/>
  <c r="AB73" i="22"/>
  <c r="AS211" i="22"/>
  <c r="AA7" i="22"/>
  <c r="Z81" i="22"/>
  <c r="AA81" i="23" l="1"/>
  <c r="AE232" i="23"/>
  <c r="AF196" i="23"/>
  <c r="AF232" i="23" s="1"/>
  <c r="AR211" i="23"/>
  <c r="Z7" i="23"/>
  <c r="AC197" i="23"/>
  <c r="AC49" i="23" s="1"/>
  <c r="AC50" i="23" s="1"/>
  <c r="AD191" i="23"/>
  <c r="AC91" i="23"/>
  <c r="AB71" i="23"/>
  <c r="AB73" i="23"/>
  <c r="Z81" i="23"/>
  <c r="AC189" i="23"/>
  <c r="AD99" i="23"/>
  <c r="AS211" i="23"/>
  <c r="AA7" i="23"/>
  <c r="AC71" i="22"/>
  <c r="AC73" i="22"/>
  <c r="AE191" i="22"/>
  <c r="AD197" i="22"/>
  <c r="AD49" i="22" s="1"/>
  <c r="AD50" i="22" s="1"/>
  <c r="AD91" i="22"/>
  <c r="AB81" i="22"/>
  <c r="AD232" i="22"/>
  <c r="AE196" i="22"/>
  <c r="AT211" i="22"/>
  <c r="AB7" i="22"/>
  <c r="AD189" i="22"/>
  <c r="AE99" i="22"/>
  <c r="AC71" i="23" l="1"/>
  <c r="AC73" i="23"/>
  <c r="AT211" i="23"/>
  <c r="AB7" i="23"/>
  <c r="AB81" i="23"/>
  <c r="AD189" i="23"/>
  <c r="AE99" i="23"/>
  <c r="AE191" i="23"/>
  <c r="AD197" i="23"/>
  <c r="AD49" i="23" s="1"/>
  <c r="AD50" i="23" s="1"/>
  <c r="AD91" i="23"/>
  <c r="AE189" i="22"/>
  <c r="AF189" i="22"/>
  <c r="AF191" i="22"/>
  <c r="AE197" i="22"/>
  <c r="AE49" i="22" s="1"/>
  <c r="AE50" i="22" s="1"/>
  <c r="AE91" i="22"/>
  <c r="AD73" i="22"/>
  <c r="AD71" i="22"/>
  <c r="AU211" i="22"/>
  <c r="AC7" i="22"/>
  <c r="AF196" i="22"/>
  <c r="AF232" i="22" s="1"/>
  <c r="AE232" i="22"/>
  <c r="AC81" i="22"/>
  <c r="AD73" i="23" l="1"/>
  <c r="AD71" i="23"/>
  <c r="AU211" i="23"/>
  <c r="AC7" i="23"/>
  <c r="AF191" i="23"/>
  <c r="AE197" i="23"/>
  <c r="AE49" i="23" s="1"/>
  <c r="AE50" i="23" s="1"/>
  <c r="AE91" i="23"/>
  <c r="AE189" i="23"/>
  <c r="AF99" i="23"/>
  <c r="AF189" i="23" s="1"/>
  <c r="AC81" i="23"/>
  <c r="AD81" i="22"/>
  <c r="AV211" i="22"/>
  <c r="AD7" i="22"/>
  <c r="AE73" i="22"/>
  <c r="AE71" i="22"/>
  <c r="AF197" i="22"/>
  <c r="AF49" i="22" s="1"/>
  <c r="AF91" i="22"/>
  <c r="AD81" i="23" l="1"/>
  <c r="AE73" i="23"/>
  <c r="AE71" i="23"/>
  <c r="AF197" i="23"/>
  <c r="AF49" i="23" s="1"/>
  <c r="AF91" i="23"/>
  <c r="AV211" i="23"/>
  <c r="AD7" i="23"/>
  <c r="AF50" i="22"/>
  <c r="AH49" i="22"/>
  <c r="AI49" i="22"/>
  <c r="AI91" i="22"/>
  <c r="AH91" i="22"/>
  <c r="AE81" i="22"/>
  <c r="AW211" i="22"/>
  <c r="AE7" i="22"/>
  <c r="AE81" i="23" l="1"/>
  <c r="AF50" i="23"/>
  <c r="AH49" i="23"/>
  <c r="AI49" i="23"/>
  <c r="AI91" i="23"/>
  <c r="AH91" i="23"/>
  <c r="AW211" i="23"/>
  <c r="AE7" i="23"/>
  <c r="AF73" i="22"/>
  <c r="AF71" i="22"/>
  <c r="AI50" i="22"/>
  <c r="AH50" i="22"/>
  <c r="AF73" i="23" l="1"/>
  <c r="AF71" i="23"/>
  <c r="AH50" i="23"/>
  <c r="AI50" i="23"/>
  <c r="AF81" i="22"/>
  <c r="AI71" i="22"/>
  <c r="AH71" i="22"/>
  <c r="AX211" i="22"/>
  <c r="AF7" i="22"/>
  <c r="A7" i="22" s="1"/>
  <c r="AH73" i="22"/>
  <c r="AI73" i="22"/>
  <c r="AF81" i="23" l="1"/>
  <c r="AI71" i="23"/>
  <c r="AH71" i="23"/>
  <c r="AX211" i="23"/>
  <c r="AF7" i="23"/>
  <c r="A7" i="23" s="1"/>
  <c r="AI73" i="23"/>
  <c r="AH73" i="23"/>
  <c r="AH81" i="22"/>
  <c r="AI81" i="22"/>
  <c r="AI81" i="23" l="1"/>
  <c r="AH81" i="23"/>
  <c r="Q93" i="21" l="1"/>
  <c r="P93" i="21"/>
  <c r="O93" i="21"/>
  <c r="N93" i="21"/>
  <c r="M93" i="21"/>
  <c r="L93" i="21"/>
  <c r="F54" i="21"/>
  <c r="AH97" i="21"/>
  <c r="AI97" i="21" s="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C232" i="21"/>
  <c r="B232" i="21"/>
  <c r="S207" i="21"/>
  <c r="AG197" i="21"/>
  <c r="B197" i="21"/>
  <c r="F196" i="21"/>
  <c r="E196" i="21"/>
  <c r="E232" i="21" s="1"/>
  <c r="C196" i="21"/>
  <c r="D196" i="21" s="1"/>
  <c r="D232" i="21" s="1"/>
  <c r="C195" i="21"/>
  <c r="D195" i="21" s="1"/>
  <c r="E195" i="21" s="1"/>
  <c r="F195" i="21" s="1"/>
  <c r="G195" i="21" s="1"/>
  <c r="H195" i="21" s="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O194" i="21"/>
  <c r="P194" i="21" s="1"/>
  <c r="Q194" i="21" s="1"/>
  <c r="R194" i="21" s="1"/>
  <c r="S194" i="21" s="1"/>
  <c r="T194" i="21" s="1"/>
  <c r="U194" i="21" s="1"/>
  <c r="V194" i="21" s="1"/>
  <c r="W194" i="21" s="1"/>
  <c r="X194" i="21" s="1"/>
  <c r="Y194" i="21" s="1"/>
  <c r="Z194" i="21" s="1"/>
  <c r="AA194" i="21" s="1"/>
  <c r="AB194" i="21" s="1"/>
  <c r="AC194" i="21" s="1"/>
  <c r="AD194" i="21" s="1"/>
  <c r="AE194" i="21" s="1"/>
  <c r="AF194" i="21" s="1"/>
  <c r="G194" i="21"/>
  <c r="H194" i="21" s="1"/>
  <c r="I194" i="21" s="1"/>
  <c r="J194" i="21" s="1"/>
  <c r="K194" i="21" s="1"/>
  <c r="L194" i="21" s="1"/>
  <c r="M194" i="21" s="1"/>
  <c r="N194" i="21" s="1"/>
  <c r="D194" i="21"/>
  <c r="E194" i="21" s="1"/>
  <c r="F194" i="21" s="1"/>
  <c r="C194" i="21"/>
  <c r="G193" i="21"/>
  <c r="H193" i="21" s="1"/>
  <c r="I193" i="21" s="1"/>
  <c r="J193" i="21" s="1"/>
  <c r="K193" i="21" s="1"/>
  <c r="L193" i="21" s="1"/>
  <c r="M193" i="21" s="1"/>
  <c r="N193" i="21" s="1"/>
  <c r="O193" i="21" s="1"/>
  <c r="P193" i="21" s="1"/>
  <c r="Q193" i="21" s="1"/>
  <c r="R193" i="21" s="1"/>
  <c r="S193" i="21" s="1"/>
  <c r="T193" i="21" s="1"/>
  <c r="U193" i="21" s="1"/>
  <c r="V193" i="21" s="1"/>
  <c r="W193" i="21" s="1"/>
  <c r="X193" i="21" s="1"/>
  <c r="Y193" i="21" s="1"/>
  <c r="Z193" i="21" s="1"/>
  <c r="AA193" i="21" s="1"/>
  <c r="AB193" i="21" s="1"/>
  <c r="AC193" i="21" s="1"/>
  <c r="AD193" i="21" s="1"/>
  <c r="AE193" i="21" s="1"/>
  <c r="AF193" i="21" s="1"/>
  <c r="E193" i="21"/>
  <c r="F193" i="21" s="1"/>
  <c r="D193" i="21"/>
  <c r="C193" i="21"/>
  <c r="F192" i="21"/>
  <c r="G192" i="21" s="1"/>
  <c r="H192" i="21" s="1"/>
  <c r="I192" i="21" s="1"/>
  <c r="J192" i="21" s="1"/>
  <c r="K192" i="21" s="1"/>
  <c r="L192" i="21" s="1"/>
  <c r="M192" i="21" s="1"/>
  <c r="N192" i="21" s="1"/>
  <c r="O192" i="21" s="1"/>
  <c r="P192" i="21" s="1"/>
  <c r="Q192" i="21" s="1"/>
  <c r="R192" i="21" s="1"/>
  <c r="S192" i="21" s="1"/>
  <c r="T192" i="21" s="1"/>
  <c r="U192" i="21" s="1"/>
  <c r="V192" i="21" s="1"/>
  <c r="W192" i="21" s="1"/>
  <c r="X192" i="21" s="1"/>
  <c r="Y192" i="21" s="1"/>
  <c r="Z192" i="21" s="1"/>
  <c r="AA192" i="21" s="1"/>
  <c r="AB192" i="21" s="1"/>
  <c r="AC192" i="21" s="1"/>
  <c r="AD192" i="21" s="1"/>
  <c r="AE192" i="21" s="1"/>
  <c r="AF192" i="21" s="1"/>
  <c r="E192" i="21"/>
  <c r="C192" i="21"/>
  <c r="D192" i="21" s="1"/>
  <c r="E191" i="21"/>
  <c r="D191" i="21"/>
  <c r="D197" i="21" s="1"/>
  <c r="C191" i="21"/>
  <c r="AG189" i="21"/>
  <c r="B189" i="21"/>
  <c r="O188" i="2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C188" i="21"/>
  <c r="D188" i="21" s="1"/>
  <c r="E188" i="21" s="1"/>
  <c r="F188" i="21" s="1"/>
  <c r="G188" i="21" s="1"/>
  <c r="H188" i="21" s="1"/>
  <c r="I188" i="21" s="1"/>
  <c r="J188" i="21" s="1"/>
  <c r="K188" i="21" s="1"/>
  <c r="L188" i="21" s="1"/>
  <c r="M188" i="21" s="1"/>
  <c r="N188" i="21" s="1"/>
  <c r="F187" i="2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E187" i="21"/>
  <c r="D187" i="21"/>
  <c r="C187" i="21"/>
  <c r="C186" i="21"/>
  <c r="D186" i="21" s="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K185" i="2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D185" i="21"/>
  <c r="E185" i="21" s="1"/>
  <c r="F185" i="21" s="1"/>
  <c r="G185" i="21" s="1"/>
  <c r="H185" i="21" s="1"/>
  <c r="I185" i="21" s="1"/>
  <c r="J185" i="21" s="1"/>
  <c r="C185" i="21"/>
  <c r="S184" i="2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C184" i="21"/>
  <c r="D184" i="21" s="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Q183" i="2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G183" i="21"/>
  <c r="H183" i="21" s="1"/>
  <c r="I183" i="21" s="1"/>
  <c r="J183" i="21" s="1"/>
  <c r="K183" i="21" s="1"/>
  <c r="L183" i="21" s="1"/>
  <c r="M183" i="21" s="1"/>
  <c r="N183" i="21" s="1"/>
  <c r="O183" i="21" s="1"/>
  <c r="P183" i="21" s="1"/>
  <c r="F183" i="21"/>
  <c r="E183" i="21"/>
  <c r="D183" i="21"/>
  <c r="C183" i="21"/>
  <c r="G182" i="2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C182" i="21"/>
  <c r="D182" i="21" s="1"/>
  <c r="E182" i="21" s="1"/>
  <c r="F182" i="21" s="1"/>
  <c r="E181" i="21"/>
  <c r="F181" i="21" s="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D181" i="21"/>
  <c r="C181" i="21"/>
  <c r="O180" i="2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C180" i="21"/>
  <c r="D180" i="21" s="1"/>
  <c r="E180" i="21" s="1"/>
  <c r="F180" i="21" s="1"/>
  <c r="G180" i="21" s="1"/>
  <c r="H180" i="21" s="1"/>
  <c r="I180" i="21" s="1"/>
  <c r="J180" i="21" s="1"/>
  <c r="K180" i="21" s="1"/>
  <c r="L180" i="21" s="1"/>
  <c r="M180" i="21" s="1"/>
  <c r="N180" i="21" s="1"/>
  <c r="G179" i="2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F179" i="21"/>
  <c r="E179" i="21"/>
  <c r="D179" i="21"/>
  <c r="C179" i="21"/>
  <c r="M178" i="2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C178" i="21"/>
  <c r="D178" i="21" s="1"/>
  <c r="E178" i="21" s="1"/>
  <c r="F178" i="21" s="1"/>
  <c r="G178" i="21" s="1"/>
  <c r="H178" i="21" s="1"/>
  <c r="I178" i="21" s="1"/>
  <c r="J178" i="21" s="1"/>
  <c r="K178" i="21" s="1"/>
  <c r="L178" i="21" s="1"/>
  <c r="E177" i="21"/>
  <c r="F177" i="21" s="1"/>
  <c r="G177" i="21" s="1"/>
  <c r="H177" i="21" s="1"/>
  <c r="I177" i="21" s="1"/>
  <c r="J177" i="21" s="1"/>
  <c r="K177" i="21" s="1"/>
  <c r="L177" i="21" s="1"/>
  <c r="M177" i="21" s="1"/>
  <c r="N177" i="21" s="1"/>
  <c r="O177" i="21" s="1"/>
  <c r="P177" i="21" s="1"/>
  <c r="Q177" i="21" s="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D177" i="21"/>
  <c r="C177" i="21"/>
  <c r="C176" i="21"/>
  <c r="D176" i="21" s="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F174" i="2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E174" i="21"/>
  <c r="D174" i="21"/>
  <c r="C174" i="21"/>
  <c r="L173" i="2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C173" i="21"/>
  <c r="D173" i="21" s="1"/>
  <c r="E173" i="21" s="1"/>
  <c r="F173" i="21" s="1"/>
  <c r="G173" i="21" s="1"/>
  <c r="H173" i="21" s="1"/>
  <c r="I173" i="21" s="1"/>
  <c r="J173" i="21" s="1"/>
  <c r="K173" i="21" s="1"/>
  <c r="E172" i="2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C172" i="21"/>
  <c r="D172" i="21" s="1"/>
  <c r="X171" i="21"/>
  <c r="Y171" i="21" s="1"/>
  <c r="Z171" i="21" s="1"/>
  <c r="AA171" i="21" s="1"/>
  <c r="AB171" i="21" s="1"/>
  <c r="AC171" i="21" s="1"/>
  <c r="AD171" i="21" s="1"/>
  <c r="AE171" i="21" s="1"/>
  <c r="AF171" i="21" s="1"/>
  <c r="H171" i="2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D171" i="21"/>
  <c r="E171" i="21" s="1"/>
  <c r="F171" i="21" s="1"/>
  <c r="G171" i="21" s="1"/>
  <c r="C171" i="21"/>
  <c r="F170" i="21"/>
  <c r="G170" i="21" s="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E170" i="21"/>
  <c r="D170" i="21"/>
  <c r="C170" i="21"/>
  <c r="G169" i="2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C169" i="21"/>
  <c r="D169" i="21" s="1"/>
  <c r="E169" i="21" s="1"/>
  <c r="F169" i="21" s="1"/>
  <c r="J168" i="2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E168" i="21"/>
  <c r="F168" i="21" s="1"/>
  <c r="G168" i="21" s="1"/>
  <c r="H168" i="21" s="1"/>
  <c r="I168" i="21" s="1"/>
  <c r="C168" i="21"/>
  <c r="D168" i="21" s="1"/>
  <c r="C167" i="21"/>
  <c r="D167" i="21" s="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I165" i="2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C165" i="21"/>
  <c r="D165" i="21" s="1"/>
  <c r="E165" i="21" s="1"/>
  <c r="F165" i="21" s="1"/>
  <c r="G165" i="21" s="1"/>
  <c r="H165" i="21" s="1"/>
  <c r="G164" i="2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C164" i="21"/>
  <c r="D164" i="21" s="1"/>
  <c r="E164" i="21" s="1"/>
  <c r="F164" i="21" s="1"/>
  <c r="E163" i="2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C163" i="21"/>
  <c r="D163" i="21" s="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C162" i="21"/>
  <c r="L161" i="2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J161" i="21"/>
  <c r="K161" i="21" s="1"/>
  <c r="F161" i="21"/>
  <c r="G161" i="21" s="1"/>
  <c r="H161" i="21" s="1"/>
  <c r="I161" i="21" s="1"/>
  <c r="D161" i="21"/>
  <c r="E161" i="21" s="1"/>
  <c r="C161" i="21"/>
  <c r="H160" i="2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D160" i="21"/>
  <c r="E160" i="21" s="1"/>
  <c r="F160" i="21" s="1"/>
  <c r="G160" i="21" s="1"/>
  <c r="C160" i="21"/>
  <c r="F159" i="2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C159" i="21"/>
  <c r="D159" i="21" s="1"/>
  <c r="E159" i="21" s="1"/>
  <c r="C158" i="21"/>
  <c r="D158" i="21" s="1"/>
  <c r="E158" i="21" s="1"/>
  <c r="F158" i="21" s="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C157" i="21"/>
  <c r="D157" i="21" s="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L156" i="2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C156" i="21"/>
  <c r="D156" i="21" s="1"/>
  <c r="E156" i="21" s="1"/>
  <c r="F156" i="21" s="1"/>
  <c r="G156" i="21" s="1"/>
  <c r="H156" i="21" s="1"/>
  <c r="I156" i="21" s="1"/>
  <c r="J156" i="21" s="1"/>
  <c r="K156" i="21" s="1"/>
  <c r="C155" i="21"/>
  <c r="D155" i="21" s="1"/>
  <c r="E155" i="21" s="1"/>
  <c r="F155" i="21" s="1"/>
  <c r="G155" i="21" s="1"/>
  <c r="H155" i="21" s="1"/>
  <c r="I155" i="21" s="1"/>
  <c r="J155" i="21" s="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M154" i="2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D154" i="21"/>
  <c r="E154" i="21" s="1"/>
  <c r="F154" i="21" s="1"/>
  <c r="G154" i="21" s="1"/>
  <c r="H154" i="21" s="1"/>
  <c r="I154" i="21" s="1"/>
  <c r="J154" i="21" s="1"/>
  <c r="K154" i="21" s="1"/>
  <c r="L154" i="21" s="1"/>
  <c r="C154" i="21"/>
  <c r="L153" i="2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D153" i="21"/>
  <c r="E153" i="21" s="1"/>
  <c r="F153" i="21" s="1"/>
  <c r="G153" i="21" s="1"/>
  <c r="H153" i="21" s="1"/>
  <c r="I153" i="21" s="1"/>
  <c r="J153" i="21" s="1"/>
  <c r="K153" i="21" s="1"/>
  <c r="C153" i="21"/>
  <c r="C151" i="21"/>
  <c r="D151" i="21" s="1"/>
  <c r="E151" i="21" s="1"/>
  <c r="F151" i="21" s="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C150" i="21"/>
  <c r="D150" i="21" s="1"/>
  <c r="E150" i="21" s="1"/>
  <c r="F150" i="21" s="1"/>
  <c r="G150" i="21" s="1"/>
  <c r="H150" i="21" s="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S149" i="2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C149" i="21"/>
  <c r="D149" i="21" s="1"/>
  <c r="E149" i="21" s="1"/>
  <c r="F149" i="21" s="1"/>
  <c r="G149" i="21" s="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D148" i="21"/>
  <c r="E148" i="21" s="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C148" i="21"/>
  <c r="Z146" i="21"/>
  <c r="AA146" i="21" s="1"/>
  <c r="AB146" i="21" s="1"/>
  <c r="AC146" i="21" s="1"/>
  <c r="AD146" i="21" s="1"/>
  <c r="AE146" i="21" s="1"/>
  <c r="AF146" i="21" s="1"/>
  <c r="E146" i="21"/>
  <c r="F146" i="21" s="1"/>
  <c r="G146" i="21" s="1"/>
  <c r="H146" i="21" s="1"/>
  <c r="I146" i="21" s="1"/>
  <c r="J146" i="21" s="1"/>
  <c r="K146" i="21" s="1"/>
  <c r="L146" i="21" s="1"/>
  <c r="M146" i="21" s="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C146" i="21"/>
  <c r="D146" i="21" s="1"/>
  <c r="F145" i="21"/>
  <c r="G145" i="21" s="1"/>
  <c r="H145" i="21" s="1"/>
  <c r="I145" i="21" s="1"/>
  <c r="J145" i="21" s="1"/>
  <c r="K145" i="21" s="1"/>
  <c r="L145" i="21" s="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D145" i="21"/>
  <c r="E145" i="21" s="1"/>
  <c r="C145" i="21"/>
  <c r="D143" i="21"/>
  <c r="E143" i="21" s="1"/>
  <c r="F143" i="21" s="1"/>
  <c r="G143" i="21" s="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C143" i="21"/>
  <c r="C142" i="21"/>
  <c r="D142" i="21" s="1"/>
  <c r="E142" i="21" s="1"/>
  <c r="F142" i="21" s="1"/>
  <c r="G142" i="21" s="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F141" i="2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C141" i="21"/>
  <c r="D141" i="21" s="1"/>
  <c r="E141" i="21" s="1"/>
  <c r="AB140" i="21"/>
  <c r="AC140" i="21" s="1"/>
  <c r="AD140" i="21" s="1"/>
  <c r="AE140" i="21" s="1"/>
  <c r="AF140" i="21" s="1"/>
  <c r="E140" i="21"/>
  <c r="F140" i="21" s="1"/>
  <c r="G140" i="21" s="1"/>
  <c r="H140" i="21" s="1"/>
  <c r="I140" i="21" s="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D140" i="21"/>
  <c r="C140" i="21"/>
  <c r="R139" i="2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D139" i="21"/>
  <c r="E139" i="21" s="1"/>
  <c r="F139" i="21" s="1"/>
  <c r="G139" i="21" s="1"/>
  <c r="H139" i="21" s="1"/>
  <c r="I139" i="21" s="1"/>
  <c r="J139" i="21" s="1"/>
  <c r="K139" i="21" s="1"/>
  <c r="L139" i="21" s="1"/>
  <c r="M139" i="21" s="1"/>
  <c r="N139" i="21" s="1"/>
  <c r="O139" i="21" s="1"/>
  <c r="P139" i="21" s="1"/>
  <c r="Q139" i="21" s="1"/>
  <c r="C139" i="21"/>
  <c r="D138" i="21"/>
  <c r="E138" i="21" s="1"/>
  <c r="F138" i="21" s="1"/>
  <c r="G138" i="21" s="1"/>
  <c r="H138" i="21" s="1"/>
  <c r="I138" i="21" s="1"/>
  <c r="J138" i="21" s="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U138" i="21" s="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C138" i="21"/>
  <c r="C137" i="21"/>
  <c r="D137" i="21" s="1"/>
  <c r="E137" i="21" s="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D135" i="21"/>
  <c r="E135" i="21" s="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C135" i="21"/>
  <c r="C134" i="21"/>
  <c r="D134" i="21" s="1"/>
  <c r="E134" i="21" s="1"/>
  <c r="F134" i="21" s="1"/>
  <c r="G134" i="21" s="1"/>
  <c r="H134" i="21" s="1"/>
  <c r="I134" i="21" s="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C133" i="21"/>
  <c r="F132" i="21"/>
  <c r="G132" i="21" s="1"/>
  <c r="H132" i="21" s="1"/>
  <c r="I132" i="21" s="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C132" i="21"/>
  <c r="D132" i="21" s="1"/>
  <c r="E132" i="21" s="1"/>
  <c r="E131" i="2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D131" i="21"/>
  <c r="C131" i="21"/>
  <c r="D130" i="21"/>
  <c r="E130" i="21" s="1"/>
  <c r="F130" i="21" s="1"/>
  <c r="G130" i="21" s="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C130" i="21"/>
  <c r="D129" i="21"/>
  <c r="E129" i="21" s="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C129" i="21"/>
  <c r="F128" i="2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C128" i="21"/>
  <c r="D128" i="21" s="1"/>
  <c r="E128" i="21" s="1"/>
  <c r="D126" i="2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C126" i="21"/>
  <c r="G125" i="21"/>
  <c r="H125" i="21" s="1"/>
  <c r="I125" i="21" s="1"/>
  <c r="J125" i="21" s="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C125" i="21"/>
  <c r="D125" i="21" s="1"/>
  <c r="E125" i="21" s="1"/>
  <c r="F125" i="21" s="1"/>
  <c r="E124" i="2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C124" i="21"/>
  <c r="D124" i="21" s="1"/>
  <c r="C123" i="21"/>
  <c r="D123" i="21" s="1"/>
  <c r="E123" i="21" s="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E122" i="21"/>
  <c r="F122" i="21" s="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D122" i="21"/>
  <c r="C122" i="2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C121" i="21"/>
  <c r="J120" i="2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D120" i="21"/>
  <c r="E120" i="21" s="1"/>
  <c r="F120" i="21" s="1"/>
  <c r="G120" i="21" s="1"/>
  <c r="H120" i="21" s="1"/>
  <c r="I120" i="21" s="1"/>
  <c r="C120" i="21"/>
  <c r="F119" i="2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C119" i="21"/>
  <c r="D119" i="21" s="1"/>
  <c r="E119" i="21" s="1"/>
  <c r="D118" i="2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C118" i="21"/>
  <c r="C117" i="21"/>
  <c r="D117" i="21" s="1"/>
  <c r="E117" i="21" s="1"/>
  <c r="F117" i="21" s="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C116" i="21"/>
  <c r="D116" i="21" s="1"/>
  <c r="E116" i="21" s="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I115" i="2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C115" i="21"/>
  <c r="D115" i="21" s="1"/>
  <c r="E115" i="21" s="1"/>
  <c r="F115" i="21" s="1"/>
  <c r="G115" i="21" s="1"/>
  <c r="H115" i="21" s="1"/>
  <c r="G114" i="21"/>
  <c r="H114" i="21" s="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C114" i="21"/>
  <c r="D114" i="21" s="1"/>
  <c r="E114" i="21" s="1"/>
  <c r="F114" i="21" s="1"/>
  <c r="C113" i="21"/>
  <c r="D113" i="21" s="1"/>
  <c r="E113" i="21" s="1"/>
  <c r="F113" i="21" s="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C112" i="21"/>
  <c r="K111" i="2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J111" i="21"/>
  <c r="D111" i="21"/>
  <c r="E111" i="21" s="1"/>
  <c r="F111" i="21" s="1"/>
  <c r="G111" i="21" s="1"/>
  <c r="H111" i="21" s="1"/>
  <c r="C111" i="21"/>
  <c r="D110" i="21"/>
  <c r="E110" i="21" s="1"/>
  <c r="F110" i="21" s="1"/>
  <c r="G110" i="21" s="1"/>
  <c r="H110" i="21" s="1"/>
  <c r="I110" i="21" s="1"/>
  <c r="J110" i="21" s="1"/>
  <c r="K110" i="21" s="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C110" i="21"/>
  <c r="F109" i="2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D109" i="21"/>
  <c r="E109" i="21" s="1"/>
  <c r="C109" i="21"/>
  <c r="J107" i="2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D107" i="21"/>
  <c r="E107" i="21" s="1"/>
  <c r="F107" i="21" s="1"/>
  <c r="G107" i="21" s="1"/>
  <c r="H107" i="21" s="1"/>
  <c r="I107" i="21" s="1"/>
  <c r="C107" i="21"/>
  <c r="D106" i="21"/>
  <c r="E106" i="21" s="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C106" i="21"/>
  <c r="D104" i="2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C104" i="21"/>
  <c r="D103" i="21"/>
  <c r="E103" i="21" s="1"/>
  <c r="F103" i="21" s="1"/>
  <c r="G103" i="21" s="1"/>
  <c r="H103" i="21" s="1"/>
  <c r="I103" i="21" s="1"/>
  <c r="J103" i="21" s="1"/>
  <c r="K103" i="21" s="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C103" i="21"/>
  <c r="D102" i="21"/>
  <c r="E102" i="21" s="1"/>
  <c r="F102" i="21" s="1"/>
  <c r="G102" i="21" s="1"/>
  <c r="H102" i="21" s="1"/>
  <c r="I102" i="21" s="1"/>
  <c r="J102" i="21" s="1"/>
  <c r="K102" i="21" s="1"/>
  <c r="L102" i="21" s="1"/>
  <c r="M102" i="21" s="1"/>
  <c r="N102" i="21" s="1"/>
  <c r="O102" i="21" s="1"/>
  <c r="P102" i="21" s="1"/>
  <c r="Q102" i="21" s="1"/>
  <c r="R102" i="21" s="1"/>
  <c r="S102" i="21" s="1"/>
  <c r="T102" i="21" s="1"/>
  <c r="U102" i="21" s="1"/>
  <c r="V102" i="21" s="1"/>
  <c r="W102" i="21" s="1"/>
  <c r="X102" i="21" s="1"/>
  <c r="Y102" i="21" s="1"/>
  <c r="Z102" i="21" s="1"/>
  <c r="AA102" i="21" s="1"/>
  <c r="AB102" i="21" s="1"/>
  <c r="AC102" i="21" s="1"/>
  <c r="AD102" i="21" s="1"/>
  <c r="AE102" i="21" s="1"/>
  <c r="AF102" i="21" s="1"/>
  <c r="C102" i="21"/>
  <c r="F101" i="21"/>
  <c r="G101" i="21" s="1"/>
  <c r="H101" i="21" s="1"/>
  <c r="I101" i="21" s="1"/>
  <c r="J101" i="21" s="1"/>
  <c r="K101" i="21" s="1"/>
  <c r="L101" i="21" s="1"/>
  <c r="M101" i="21" s="1"/>
  <c r="N101" i="21" s="1"/>
  <c r="O101" i="21" s="1"/>
  <c r="P101" i="21" s="1"/>
  <c r="Q101" i="21" s="1"/>
  <c r="R101" i="21" s="1"/>
  <c r="S101" i="21" s="1"/>
  <c r="T101" i="21" s="1"/>
  <c r="U101" i="21" s="1"/>
  <c r="V101" i="21" s="1"/>
  <c r="W101" i="21" s="1"/>
  <c r="X101" i="21" s="1"/>
  <c r="Y101" i="21" s="1"/>
  <c r="Z101" i="21" s="1"/>
  <c r="AA101" i="21" s="1"/>
  <c r="AB101" i="21" s="1"/>
  <c r="AC101" i="21" s="1"/>
  <c r="AD101" i="21" s="1"/>
  <c r="AE101" i="21" s="1"/>
  <c r="AF101" i="21" s="1"/>
  <c r="D101" i="21"/>
  <c r="E101" i="21" s="1"/>
  <c r="C101" i="21"/>
  <c r="D100" i="21"/>
  <c r="C100" i="21"/>
  <c r="C99" i="21"/>
  <c r="C189" i="21" s="1"/>
  <c r="AH96" i="21"/>
  <c r="AI96" i="21" s="1"/>
  <c r="AH95" i="21"/>
  <c r="AI95" i="21" s="1"/>
  <c r="AH94" i="21"/>
  <c r="AI94" i="21" s="1"/>
  <c r="AH93" i="21"/>
  <c r="AI93" i="21" s="1"/>
  <c r="AH92" i="21"/>
  <c r="AI92" i="21" s="1"/>
  <c r="B91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3" i="21"/>
  <c r="AH83" i="21"/>
  <c r="AI82" i="21"/>
  <c r="AH82" i="21"/>
  <c r="AG80" i="21"/>
  <c r="AI79" i="21"/>
  <c r="AH79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L80" i="21" s="1"/>
  <c r="K77" i="21"/>
  <c r="J77" i="21"/>
  <c r="I77" i="21"/>
  <c r="H77" i="21"/>
  <c r="G77" i="21"/>
  <c r="F77" i="21"/>
  <c r="E77" i="21"/>
  <c r="D77" i="21"/>
  <c r="C77" i="21"/>
  <c r="B77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I80" i="21" s="1"/>
  <c r="H74" i="21"/>
  <c r="G74" i="21"/>
  <c r="F74" i="21"/>
  <c r="F80" i="21" s="1"/>
  <c r="E74" i="21"/>
  <c r="D74" i="21"/>
  <c r="D80" i="21" s="1"/>
  <c r="C74" i="21"/>
  <c r="B74" i="21"/>
  <c r="AI72" i="21"/>
  <c r="AH72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H70" i="21" s="1"/>
  <c r="AI69" i="21"/>
  <c r="AH69" i="21"/>
  <c r="AI68" i="21"/>
  <c r="AH68" i="21"/>
  <c r="AI67" i="21"/>
  <c r="AH67" i="21"/>
  <c r="AG66" i="21"/>
  <c r="AF66" i="21"/>
  <c r="AE66" i="21"/>
  <c r="AD66" i="21"/>
  <c r="AC66" i="21"/>
  <c r="AB66" i="21"/>
  <c r="AB5" i="21" s="1"/>
  <c r="AA66" i="21"/>
  <c r="AA5" i="21" s="1"/>
  <c r="Z66" i="21"/>
  <c r="Z5" i="21" s="1"/>
  <c r="Y66" i="21"/>
  <c r="X66" i="21"/>
  <c r="W66" i="21"/>
  <c r="W5" i="21" s="1"/>
  <c r="V66" i="21"/>
  <c r="V5" i="21" s="1"/>
  <c r="U66" i="21"/>
  <c r="U5" i="21" s="1"/>
  <c r="T66" i="21"/>
  <c r="S66" i="21"/>
  <c r="S5" i="21" s="1"/>
  <c r="R66" i="21"/>
  <c r="R5" i="21" s="1"/>
  <c r="Q66" i="21"/>
  <c r="P66" i="21"/>
  <c r="P5" i="21" s="1"/>
  <c r="O66" i="21"/>
  <c r="N66" i="21"/>
  <c r="M66" i="21"/>
  <c r="L66" i="21"/>
  <c r="L5" i="21" s="1"/>
  <c r="K66" i="21"/>
  <c r="K5" i="21" s="1"/>
  <c r="J66" i="21"/>
  <c r="J5" i="21" s="1"/>
  <c r="I66" i="21"/>
  <c r="H66" i="21"/>
  <c r="H5" i="21" s="1"/>
  <c r="G66" i="21"/>
  <c r="G5" i="21" s="1"/>
  <c r="F66" i="21"/>
  <c r="F5" i="21" s="1"/>
  <c r="E66" i="21"/>
  <c r="D66" i="21"/>
  <c r="D5" i="21" s="1"/>
  <c r="C66" i="21"/>
  <c r="C5" i="21" s="1"/>
  <c r="B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G54" i="21"/>
  <c r="AG73" i="21" s="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E54" i="21"/>
  <c r="D54" i="21"/>
  <c r="C54" i="21"/>
  <c r="B54" i="21"/>
  <c r="AI53" i="21"/>
  <c r="AH53" i="21"/>
  <c r="AI52" i="21"/>
  <c r="AH52" i="21"/>
  <c r="AI51" i="21"/>
  <c r="AH51" i="21"/>
  <c r="Y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G49" i="21"/>
  <c r="AG50" i="21" s="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AE5" i="21"/>
  <c r="AD5" i="21"/>
  <c r="AC5" i="21"/>
  <c r="Y5" i="21"/>
  <c r="X5" i="21"/>
  <c r="T5" i="21"/>
  <c r="Q5" i="21"/>
  <c r="O5" i="21"/>
  <c r="N5" i="21"/>
  <c r="M5" i="21"/>
  <c r="I5" i="21"/>
  <c r="E5" i="21"/>
  <c r="AG4" i="21"/>
  <c r="K4" i="21"/>
  <c r="B4" i="21"/>
  <c r="AG2" i="21"/>
  <c r="AF35" i="20"/>
  <c r="AE35" i="20"/>
  <c r="AD35" i="20"/>
  <c r="AC35" i="20"/>
  <c r="Y54" i="20"/>
  <c r="E4" i="21"/>
  <c r="B80" i="21" l="1"/>
  <c r="AF80" i="21"/>
  <c r="AE80" i="21"/>
  <c r="AD80" i="21"/>
  <c r="AC80" i="21"/>
  <c r="AB80" i="21"/>
  <c r="AA80" i="21"/>
  <c r="Y71" i="21"/>
  <c r="Z80" i="21"/>
  <c r="R73" i="21"/>
  <c r="Y80" i="21"/>
  <c r="Y73" i="21"/>
  <c r="X80" i="21"/>
  <c r="W80" i="21"/>
  <c r="V80" i="21"/>
  <c r="U80" i="21"/>
  <c r="T80" i="21"/>
  <c r="S80" i="21"/>
  <c r="R80" i="21"/>
  <c r="S73" i="21"/>
  <c r="AK211" i="21" s="1"/>
  <c r="Q80" i="21"/>
  <c r="Q71" i="21"/>
  <c r="Q73" i="21"/>
  <c r="P80" i="21"/>
  <c r="P73" i="21"/>
  <c r="P71" i="21"/>
  <c r="AH76" i="21"/>
  <c r="O80" i="21"/>
  <c r="O71" i="21"/>
  <c r="N80" i="21"/>
  <c r="AI75" i="21"/>
  <c r="N71" i="21"/>
  <c r="M80" i="21"/>
  <c r="M73" i="21"/>
  <c r="AE211" i="21" s="1"/>
  <c r="M71" i="21"/>
  <c r="L71" i="21"/>
  <c r="L73" i="21"/>
  <c r="K80" i="21"/>
  <c r="K73" i="21"/>
  <c r="J80" i="21"/>
  <c r="J73" i="21"/>
  <c r="AH75" i="21"/>
  <c r="I71" i="21"/>
  <c r="I73" i="21"/>
  <c r="I7" i="21" s="1"/>
  <c r="H80" i="21"/>
  <c r="H71" i="21"/>
  <c r="H73" i="21"/>
  <c r="Z211" i="21" s="1"/>
  <c r="AI76" i="21"/>
  <c r="AI77" i="21"/>
  <c r="AH77" i="21"/>
  <c r="G80" i="21"/>
  <c r="G71" i="21"/>
  <c r="F71" i="21"/>
  <c r="E80" i="21"/>
  <c r="AI78" i="21"/>
  <c r="E73" i="21"/>
  <c r="W211" i="21" s="1"/>
  <c r="E71" i="21"/>
  <c r="AH66" i="21"/>
  <c r="C80" i="21"/>
  <c r="AH54" i="21"/>
  <c r="D71" i="21"/>
  <c r="D73" i="21"/>
  <c r="C73" i="21"/>
  <c r="U211" i="21" s="1"/>
  <c r="AH36" i="21"/>
  <c r="AI36" i="21"/>
  <c r="H4" i="21"/>
  <c r="AI211" i="21"/>
  <c r="Q7" i="21"/>
  <c r="Q81" i="21"/>
  <c r="AH80" i="21"/>
  <c r="AI80" i="21"/>
  <c r="D91" i="21"/>
  <c r="P81" i="21"/>
  <c r="AA211" i="21"/>
  <c r="AH211" i="21"/>
  <c r="P7" i="21"/>
  <c r="AQ211" i="21"/>
  <c r="Y81" i="21"/>
  <c r="Y7" i="21"/>
  <c r="AJ211" i="21"/>
  <c r="R7" i="21"/>
  <c r="AC211" i="21"/>
  <c r="K7" i="21"/>
  <c r="AB211" i="21"/>
  <c r="J7" i="21"/>
  <c r="AG3" i="21"/>
  <c r="AG6" i="21" s="1"/>
  <c r="AG71" i="21"/>
  <c r="AG81" i="21" s="1"/>
  <c r="AI54" i="21"/>
  <c r="D99" i="21"/>
  <c r="E100" i="21"/>
  <c r="AI66" i="21"/>
  <c r="AI70" i="21"/>
  <c r="B71" i="21"/>
  <c r="J71" i="21"/>
  <c r="J81" i="21" s="1"/>
  <c r="R71" i="21"/>
  <c r="R81" i="21" s="1"/>
  <c r="F73" i="21"/>
  <c r="N73" i="21"/>
  <c r="N81" i="21" s="1"/>
  <c r="C91" i="21"/>
  <c r="D112" i="21"/>
  <c r="E112" i="21" s="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C71" i="21"/>
  <c r="K71" i="21"/>
  <c r="S71" i="21"/>
  <c r="G73" i="21"/>
  <c r="O73" i="21"/>
  <c r="AH78" i="21"/>
  <c r="B5" i="21"/>
  <c r="AI74" i="21"/>
  <c r="D208" i="21"/>
  <c r="S208" i="21"/>
  <c r="AH74" i="21"/>
  <c r="E197" i="21"/>
  <c r="F191" i="21"/>
  <c r="F232" i="21"/>
  <c r="G196" i="21"/>
  <c r="C197" i="21"/>
  <c r="S81" i="21" l="1"/>
  <c r="S7" i="21"/>
  <c r="M7" i="21"/>
  <c r="M81" i="21"/>
  <c r="L81" i="21"/>
  <c r="AD211" i="21"/>
  <c r="L7" i="21"/>
  <c r="K81" i="21"/>
  <c r="H7" i="21"/>
  <c r="I81" i="21"/>
  <c r="H81" i="21"/>
  <c r="F81" i="21"/>
  <c r="G81" i="21"/>
  <c r="D81" i="21"/>
  <c r="E81" i="21"/>
  <c r="E7" i="21"/>
  <c r="C81" i="21"/>
  <c r="C7" i="21"/>
  <c r="V211" i="21"/>
  <c r="D7" i="21"/>
  <c r="X211" i="21"/>
  <c r="C206" i="21"/>
  <c r="B206" i="21"/>
  <c r="F7" i="21"/>
  <c r="E91" i="21"/>
  <c r="F100" i="21"/>
  <c r="G191" i="21"/>
  <c r="F197" i="21"/>
  <c r="AG211" i="21"/>
  <c r="O7" i="21"/>
  <c r="D189" i="21"/>
  <c r="E99" i="21"/>
  <c r="O81" i="21"/>
  <c r="Y211" i="21"/>
  <c r="G7" i="21"/>
  <c r="G232" i="21"/>
  <c r="H196" i="21"/>
  <c r="B73" i="21"/>
  <c r="AF211" i="21"/>
  <c r="N7" i="21"/>
  <c r="K6" i="21" l="1"/>
  <c r="H191" i="21"/>
  <c r="G197" i="21"/>
  <c r="G100" i="21"/>
  <c r="F91" i="21"/>
  <c r="E189" i="21"/>
  <c r="F99" i="21"/>
  <c r="T211" i="21"/>
  <c r="B7" i="21"/>
  <c r="B81" i="21"/>
  <c r="I196" i="21"/>
  <c r="H232" i="21"/>
  <c r="F189" i="21" l="1"/>
  <c r="G99" i="21"/>
  <c r="J196" i="21"/>
  <c r="I232" i="21"/>
  <c r="G91" i="21"/>
  <c r="H100" i="21"/>
  <c r="H197" i="21"/>
  <c r="I191" i="21"/>
  <c r="J191" i="21" l="1"/>
  <c r="I197" i="21"/>
  <c r="K196" i="21"/>
  <c r="J232" i="21"/>
  <c r="G189" i="21"/>
  <c r="H99" i="21"/>
  <c r="I100" i="21"/>
  <c r="H91" i="21"/>
  <c r="J100" i="21" l="1"/>
  <c r="I91" i="21"/>
  <c r="H189" i="21"/>
  <c r="I99" i="21"/>
  <c r="L196" i="21"/>
  <c r="K232" i="21"/>
  <c r="J197" i="21"/>
  <c r="K191" i="21"/>
  <c r="R35" i="20"/>
  <c r="M196" i="21" l="1"/>
  <c r="L232" i="21"/>
  <c r="I189" i="21"/>
  <c r="J99" i="21"/>
  <c r="K197" i="21"/>
  <c r="L191" i="21"/>
  <c r="K100" i="21"/>
  <c r="J91" i="21"/>
  <c r="M191" i="21" l="1"/>
  <c r="L197" i="21"/>
  <c r="J189" i="21"/>
  <c r="K99" i="21"/>
  <c r="K91" i="21"/>
  <c r="L100" i="21"/>
  <c r="N196" i="21"/>
  <c r="M232" i="21"/>
  <c r="Q35" i="20"/>
  <c r="P35" i="20"/>
  <c r="O35" i="20"/>
  <c r="N35" i="20"/>
  <c r="M35" i="20"/>
  <c r="AK37" i="20"/>
  <c r="AL36" i="19"/>
  <c r="AL36" i="20"/>
  <c r="AJ36" i="20"/>
  <c r="J35" i="20"/>
  <c r="I35" i="20"/>
  <c r="H35" i="20"/>
  <c r="G36" i="20"/>
  <c r="G35" i="20"/>
  <c r="F35" i="20"/>
  <c r="AK36" i="19"/>
  <c r="AJ36" i="19"/>
  <c r="E35" i="20"/>
  <c r="D35" i="20"/>
  <c r="AH97" i="20"/>
  <c r="AI97" i="20" s="1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AF234" i="20"/>
  <c r="AE234" i="20"/>
  <c r="AD234" i="20"/>
  <c r="AC234" i="20"/>
  <c r="AB234" i="20"/>
  <c r="AA234" i="20"/>
  <c r="Z234" i="20"/>
  <c r="Y234" i="20"/>
  <c r="X234" i="20"/>
  <c r="W234" i="20"/>
  <c r="V234" i="20"/>
  <c r="U234" i="20"/>
  <c r="T234" i="20"/>
  <c r="S234" i="20"/>
  <c r="R234" i="20"/>
  <c r="Q234" i="20"/>
  <c r="P234" i="20"/>
  <c r="O234" i="20"/>
  <c r="N234" i="20"/>
  <c r="M234" i="20"/>
  <c r="L234" i="20"/>
  <c r="K234" i="20"/>
  <c r="J234" i="20"/>
  <c r="I234" i="20"/>
  <c r="H234" i="20"/>
  <c r="G234" i="20"/>
  <c r="F234" i="20"/>
  <c r="E234" i="20"/>
  <c r="D234" i="20"/>
  <c r="C234" i="20"/>
  <c r="B234" i="20"/>
  <c r="A234" i="20"/>
  <c r="AF233" i="20"/>
  <c r="AE233" i="20"/>
  <c r="AD233" i="20"/>
  <c r="AC233" i="20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233" i="20"/>
  <c r="B232" i="20"/>
  <c r="S207" i="20"/>
  <c r="AG197" i="20"/>
  <c r="B197" i="20"/>
  <c r="C196" i="20"/>
  <c r="D196" i="20" s="1"/>
  <c r="D232" i="20" s="1"/>
  <c r="D195" i="20"/>
  <c r="E195" i="20" s="1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C195" i="20"/>
  <c r="D194" i="20"/>
  <c r="E194" i="20" s="1"/>
  <c r="F194" i="20" s="1"/>
  <c r="G194" i="20" s="1"/>
  <c r="H194" i="20" s="1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AD194" i="20" s="1"/>
  <c r="AE194" i="20" s="1"/>
  <c r="AF194" i="20" s="1"/>
  <c r="C194" i="20"/>
  <c r="C193" i="20"/>
  <c r="D193" i="20" s="1"/>
  <c r="E193" i="20" s="1"/>
  <c r="F193" i="20" s="1"/>
  <c r="G193" i="20" s="1"/>
  <c r="H193" i="20" s="1"/>
  <c r="I193" i="20" s="1"/>
  <c r="J193" i="20" s="1"/>
  <c r="K193" i="20" s="1"/>
  <c r="L193" i="20" s="1"/>
  <c r="M193" i="20" s="1"/>
  <c r="N193" i="20" s="1"/>
  <c r="O193" i="20" s="1"/>
  <c r="P193" i="20" s="1"/>
  <c r="Q193" i="20" s="1"/>
  <c r="R193" i="20" s="1"/>
  <c r="S193" i="20" s="1"/>
  <c r="T193" i="20" s="1"/>
  <c r="U193" i="20" s="1"/>
  <c r="V193" i="20" s="1"/>
  <c r="W193" i="20" s="1"/>
  <c r="X193" i="20" s="1"/>
  <c r="Y193" i="20" s="1"/>
  <c r="Z193" i="20" s="1"/>
  <c r="AA193" i="20" s="1"/>
  <c r="AB193" i="20" s="1"/>
  <c r="AC193" i="20" s="1"/>
  <c r="AD193" i="20" s="1"/>
  <c r="AE193" i="20" s="1"/>
  <c r="AF193" i="20" s="1"/>
  <c r="F192" i="20"/>
  <c r="G192" i="20" s="1"/>
  <c r="H192" i="20" s="1"/>
  <c r="I192" i="20" s="1"/>
  <c r="J192" i="20" s="1"/>
  <c r="K192" i="20" s="1"/>
  <c r="L192" i="20" s="1"/>
  <c r="M192" i="20" s="1"/>
  <c r="N192" i="20" s="1"/>
  <c r="O192" i="20" s="1"/>
  <c r="P192" i="20" s="1"/>
  <c r="Q192" i="20" s="1"/>
  <c r="R192" i="20" s="1"/>
  <c r="S192" i="20" s="1"/>
  <c r="T192" i="20" s="1"/>
  <c r="U192" i="20" s="1"/>
  <c r="V192" i="20" s="1"/>
  <c r="W192" i="20" s="1"/>
  <c r="X192" i="20" s="1"/>
  <c r="Y192" i="20" s="1"/>
  <c r="Z192" i="20" s="1"/>
  <c r="AA192" i="20" s="1"/>
  <c r="AB192" i="20" s="1"/>
  <c r="AC192" i="20" s="1"/>
  <c r="AD192" i="20" s="1"/>
  <c r="AE192" i="20" s="1"/>
  <c r="AF192" i="20" s="1"/>
  <c r="E192" i="20"/>
  <c r="C192" i="20"/>
  <c r="D192" i="20" s="1"/>
  <c r="C191" i="20"/>
  <c r="C197" i="20" s="1"/>
  <c r="AG189" i="20"/>
  <c r="B189" i="20"/>
  <c r="C188" i="20"/>
  <c r="D188" i="20" s="1"/>
  <c r="E188" i="20" s="1"/>
  <c r="F188" i="20" s="1"/>
  <c r="G188" i="20" s="1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AF187" i="20"/>
  <c r="C187" i="20"/>
  <c r="D187" i="20" s="1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U186" i="20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C186" i="20"/>
  <c r="D186" i="20" s="1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C185" i="20"/>
  <c r="D185" i="20" s="1"/>
  <c r="E185" i="20" s="1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D184" i="20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C184" i="20"/>
  <c r="G183" i="20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C183" i="20"/>
  <c r="D183" i="20" s="1"/>
  <c r="E183" i="20" s="1"/>
  <c r="F183" i="20" s="1"/>
  <c r="K182" i="20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E182" i="20"/>
  <c r="F182" i="20" s="1"/>
  <c r="G182" i="20" s="1"/>
  <c r="H182" i="20" s="1"/>
  <c r="I182" i="20" s="1"/>
  <c r="J182" i="20" s="1"/>
  <c r="C182" i="20"/>
  <c r="D182" i="20" s="1"/>
  <c r="I181" i="20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C181" i="20"/>
  <c r="D181" i="20" s="1"/>
  <c r="E181" i="20" s="1"/>
  <c r="F181" i="20" s="1"/>
  <c r="G181" i="20" s="1"/>
  <c r="H181" i="20" s="1"/>
  <c r="C180" i="20"/>
  <c r="D180" i="20" s="1"/>
  <c r="E180" i="20" s="1"/>
  <c r="F180" i="20" s="1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E179" i="20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C179" i="20"/>
  <c r="D179" i="20" s="1"/>
  <c r="G178" i="20"/>
  <c r="H178" i="20" s="1"/>
  <c r="I178" i="20" s="1"/>
  <c r="J178" i="20" s="1"/>
  <c r="K178" i="20" s="1"/>
  <c r="L178" i="20" s="1"/>
  <c r="M178" i="20" s="1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C178" i="20"/>
  <c r="D178" i="20" s="1"/>
  <c r="E178" i="20" s="1"/>
  <c r="F178" i="20" s="1"/>
  <c r="C177" i="20"/>
  <c r="D177" i="20" s="1"/>
  <c r="E177" i="20" s="1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F176" i="20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C176" i="20"/>
  <c r="D176" i="20" s="1"/>
  <c r="E176" i="20" s="1"/>
  <c r="W174" i="20"/>
  <c r="X174" i="20" s="1"/>
  <c r="Y174" i="20" s="1"/>
  <c r="Z174" i="20" s="1"/>
  <c r="AA174" i="20" s="1"/>
  <c r="AB174" i="20" s="1"/>
  <c r="AC174" i="20" s="1"/>
  <c r="AD174" i="20" s="1"/>
  <c r="AE174" i="20" s="1"/>
  <c r="AF174" i="20" s="1"/>
  <c r="I174" i="20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D174" i="20"/>
  <c r="E174" i="20" s="1"/>
  <c r="F174" i="20" s="1"/>
  <c r="G174" i="20" s="1"/>
  <c r="H174" i="20" s="1"/>
  <c r="C174" i="20"/>
  <c r="C173" i="20"/>
  <c r="D173" i="20" s="1"/>
  <c r="E173" i="20" s="1"/>
  <c r="F173" i="20" s="1"/>
  <c r="G173" i="20" s="1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T172" i="20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H172" i="20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D172" i="20"/>
  <c r="E172" i="20" s="1"/>
  <c r="F172" i="20" s="1"/>
  <c r="G172" i="20" s="1"/>
  <c r="C172" i="20"/>
  <c r="M171" i="20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C171" i="20"/>
  <c r="D171" i="20" s="1"/>
  <c r="E171" i="20" s="1"/>
  <c r="F171" i="20" s="1"/>
  <c r="G171" i="20" s="1"/>
  <c r="H171" i="20" s="1"/>
  <c r="I171" i="20" s="1"/>
  <c r="J171" i="20" s="1"/>
  <c r="K171" i="20" s="1"/>
  <c r="L171" i="20" s="1"/>
  <c r="D170" i="20"/>
  <c r="E170" i="20" s="1"/>
  <c r="F170" i="20" s="1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C170" i="20"/>
  <c r="C169" i="20"/>
  <c r="D169" i="20" s="1"/>
  <c r="E169" i="20" s="1"/>
  <c r="F169" i="20" s="1"/>
  <c r="G169" i="20" s="1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C168" i="20"/>
  <c r="D168" i="20" s="1"/>
  <c r="E168" i="20" s="1"/>
  <c r="F168" i="20" s="1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Q167" i="20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E167" i="20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C167" i="20"/>
  <c r="D167" i="20" s="1"/>
  <c r="K165" i="20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C165" i="20"/>
  <c r="D165" i="20" s="1"/>
  <c r="E165" i="20" s="1"/>
  <c r="F165" i="20" s="1"/>
  <c r="G165" i="20" s="1"/>
  <c r="H165" i="20" s="1"/>
  <c r="I165" i="20" s="1"/>
  <c r="J165" i="20" s="1"/>
  <c r="J164" i="20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D164" i="20"/>
  <c r="E164" i="20" s="1"/>
  <c r="F164" i="20" s="1"/>
  <c r="G164" i="20" s="1"/>
  <c r="H164" i="20" s="1"/>
  <c r="I164" i="20" s="1"/>
  <c r="C164" i="20"/>
  <c r="L163" i="20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G163" i="20"/>
  <c r="H163" i="20" s="1"/>
  <c r="I163" i="20" s="1"/>
  <c r="J163" i="20" s="1"/>
  <c r="K163" i="20" s="1"/>
  <c r="C163" i="20"/>
  <c r="D163" i="20" s="1"/>
  <c r="E163" i="20" s="1"/>
  <c r="F163" i="20" s="1"/>
  <c r="F162" i="20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C162" i="20"/>
  <c r="D162" i="20" s="1"/>
  <c r="E162" i="20" s="1"/>
  <c r="R161" i="20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E161" i="20"/>
  <c r="F161" i="20" s="1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C161" i="20"/>
  <c r="D161" i="20" s="1"/>
  <c r="I160" i="20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C160" i="20"/>
  <c r="D160" i="20" s="1"/>
  <c r="E160" i="20" s="1"/>
  <c r="F160" i="20" s="1"/>
  <c r="G160" i="20" s="1"/>
  <c r="H160" i="20" s="1"/>
  <c r="F159" i="20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D159" i="20"/>
  <c r="E159" i="20" s="1"/>
  <c r="C159" i="20"/>
  <c r="G158" i="20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D158" i="20"/>
  <c r="E158" i="20" s="1"/>
  <c r="F158" i="20" s="1"/>
  <c r="C158" i="20"/>
  <c r="F157" i="20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C157" i="20"/>
  <c r="D157" i="20" s="1"/>
  <c r="E157" i="20" s="1"/>
  <c r="D156" i="20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C156" i="20"/>
  <c r="V155" i="20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F155" i="20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D155" i="20"/>
  <c r="E155" i="20" s="1"/>
  <c r="C155" i="20"/>
  <c r="E154" i="20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D154" i="20"/>
  <c r="C154" i="20"/>
  <c r="U153" i="20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H153" i="20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C153" i="20"/>
  <c r="D153" i="20" s="1"/>
  <c r="E153" i="20" s="1"/>
  <c r="F153" i="20" s="1"/>
  <c r="G153" i="20" s="1"/>
  <c r="D151" i="20"/>
  <c r="E151" i="20" s="1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C151" i="20"/>
  <c r="S150" i="20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L150" i="20"/>
  <c r="M150" i="20" s="1"/>
  <c r="N150" i="20" s="1"/>
  <c r="O150" i="20" s="1"/>
  <c r="P150" i="20" s="1"/>
  <c r="Q150" i="20" s="1"/>
  <c r="R150" i="20" s="1"/>
  <c r="D150" i="20"/>
  <c r="E150" i="20" s="1"/>
  <c r="F150" i="20" s="1"/>
  <c r="G150" i="20" s="1"/>
  <c r="H150" i="20" s="1"/>
  <c r="I150" i="20" s="1"/>
  <c r="J150" i="20" s="1"/>
  <c r="K150" i="20" s="1"/>
  <c r="C150" i="20"/>
  <c r="H149" i="20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X149" i="20" s="1"/>
  <c r="Y149" i="20" s="1"/>
  <c r="Z149" i="20" s="1"/>
  <c r="AA149" i="20" s="1"/>
  <c r="AB149" i="20" s="1"/>
  <c r="AC149" i="20" s="1"/>
  <c r="AD149" i="20" s="1"/>
  <c r="AE149" i="20" s="1"/>
  <c r="AF149" i="20" s="1"/>
  <c r="C149" i="20"/>
  <c r="D149" i="20" s="1"/>
  <c r="E149" i="20" s="1"/>
  <c r="F149" i="20" s="1"/>
  <c r="G149" i="20" s="1"/>
  <c r="F148" i="20"/>
  <c r="G148" i="20" s="1"/>
  <c r="H148" i="20" s="1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C148" i="20"/>
  <c r="D148" i="20" s="1"/>
  <c r="E148" i="20" s="1"/>
  <c r="V146" i="20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D146" i="20"/>
  <c r="E146" i="20" s="1"/>
  <c r="F146" i="20" s="1"/>
  <c r="G146" i="20" s="1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C146" i="20"/>
  <c r="D145" i="20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C145" i="20"/>
  <c r="H143" i="20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C143" i="20"/>
  <c r="D143" i="20" s="1"/>
  <c r="E143" i="20" s="1"/>
  <c r="F143" i="20" s="1"/>
  <c r="G143" i="20" s="1"/>
  <c r="G142" i="20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C142" i="20"/>
  <c r="D142" i="20" s="1"/>
  <c r="E142" i="20" s="1"/>
  <c r="F142" i="20" s="1"/>
  <c r="E141" i="20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D141" i="20"/>
  <c r="C141" i="20"/>
  <c r="R140" i="20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C140" i="20"/>
  <c r="R139" i="20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P139" i="20"/>
  <c r="Q139" i="20" s="1"/>
  <c r="C139" i="20"/>
  <c r="D139" i="20" s="1"/>
  <c r="E139" i="20" s="1"/>
  <c r="F139" i="20" s="1"/>
  <c r="G139" i="20" s="1"/>
  <c r="H139" i="20" s="1"/>
  <c r="I139" i="20" s="1"/>
  <c r="J139" i="20" s="1"/>
  <c r="K139" i="20" s="1"/>
  <c r="L139" i="20" s="1"/>
  <c r="M139" i="20" s="1"/>
  <c r="N139" i="20" s="1"/>
  <c r="O139" i="20" s="1"/>
  <c r="C138" i="20"/>
  <c r="D138" i="20" s="1"/>
  <c r="E138" i="20" s="1"/>
  <c r="F138" i="20" s="1"/>
  <c r="G138" i="20" s="1"/>
  <c r="H138" i="20" s="1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Q137" i="20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M137" i="20"/>
  <c r="N137" i="20" s="1"/>
  <c r="O137" i="20" s="1"/>
  <c r="P137" i="20" s="1"/>
  <c r="D137" i="20"/>
  <c r="E137" i="20" s="1"/>
  <c r="F137" i="20" s="1"/>
  <c r="G137" i="20" s="1"/>
  <c r="H137" i="20" s="1"/>
  <c r="I137" i="20" s="1"/>
  <c r="J137" i="20" s="1"/>
  <c r="K137" i="20" s="1"/>
  <c r="L137" i="20" s="1"/>
  <c r="C137" i="20"/>
  <c r="L135" i="20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C135" i="20"/>
  <c r="D135" i="20" s="1"/>
  <c r="E135" i="20" s="1"/>
  <c r="F135" i="20" s="1"/>
  <c r="G135" i="20" s="1"/>
  <c r="H135" i="20" s="1"/>
  <c r="I135" i="20" s="1"/>
  <c r="J135" i="20" s="1"/>
  <c r="K135" i="20" s="1"/>
  <c r="E134" i="20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D134" i="20"/>
  <c r="C134" i="20"/>
  <c r="C133" i="20"/>
  <c r="D133" i="20" s="1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I132" i="20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D132" i="20"/>
  <c r="E132" i="20" s="1"/>
  <c r="F132" i="20" s="1"/>
  <c r="G132" i="20" s="1"/>
  <c r="H132" i="20" s="1"/>
  <c r="C132" i="20"/>
  <c r="F131" i="20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D131" i="20"/>
  <c r="E131" i="20" s="1"/>
  <c r="C131" i="20"/>
  <c r="F130" i="20"/>
  <c r="G130" i="20" s="1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C130" i="20"/>
  <c r="D130" i="20" s="1"/>
  <c r="E130" i="20" s="1"/>
  <c r="K129" i="20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C129" i="20"/>
  <c r="D129" i="20" s="1"/>
  <c r="E129" i="20" s="1"/>
  <c r="F129" i="20" s="1"/>
  <c r="G129" i="20" s="1"/>
  <c r="H129" i="20" s="1"/>
  <c r="I129" i="20" s="1"/>
  <c r="J129" i="20" s="1"/>
  <c r="L128" i="20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E128" i="20"/>
  <c r="F128" i="20" s="1"/>
  <c r="G128" i="20" s="1"/>
  <c r="H128" i="20" s="1"/>
  <c r="I128" i="20" s="1"/>
  <c r="J128" i="20" s="1"/>
  <c r="K128" i="20" s="1"/>
  <c r="D128" i="20"/>
  <c r="C128" i="20"/>
  <c r="D126" i="20"/>
  <c r="E126" i="20" s="1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C126" i="20"/>
  <c r="C125" i="20"/>
  <c r="D125" i="20" s="1"/>
  <c r="E125" i="20" s="1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K124" i="20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D124" i="20"/>
  <c r="E124" i="20" s="1"/>
  <c r="F124" i="20" s="1"/>
  <c r="G124" i="20" s="1"/>
  <c r="H124" i="20" s="1"/>
  <c r="I124" i="20" s="1"/>
  <c r="J124" i="20" s="1"/>
  <c r="C124" i="20"/>
  <c r="G123" i="20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E123" i="20"/>
  <c r="F123" i="20" s="1"/>
  <c r="D123" i="20"/>
  <c r="C123" i="20"/>
  <c r="C122" i="20"/>
  <c r="D122" i="20" s="1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K121" i="20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C121" i="20"/>
  <c r="D121" i="20" s="1"/>
  <c r="E121" i="20" s="1"/>
  <c r="F121" i="20" s="1"/>
  <c r="G121" i="20" s="1"/>
  <c r="H121" i="20" s="1"/>
  <c r="I121" i="20" s="1"/>
  <c r="J121" i="20" s="1"/>
  <c r="L120" i="20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I120" i="20"/>
  <c r="J120" i="20" s="1"/>
  <c r="K120" i="20" s="1"/>
  <c r="F120" i="20"/>
  <c r="G120" i="20" s="1"/>
  <c r="H120" i="20" s="1"/>
  <c r="D120" i="20"/>
  <c r="E120" i="20" s="1"/>
  <c r="C120" i="20"/>
  <c r="H119" i="20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G119" i="20"/>
  <c r="D119" i="20"/>
  <c r="E119" i="20" s="1"/>
  <c r="F119" i="20" s="1"/>
  <c r="C119" i="20"/>
  <c r="C118" i="20"/>
  <c r="D118" i="20" s="1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L117" i="20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C117" i="20"/>
  <c r="D117" i="20" s="1"/>
  <c r="E117" i="20" s="1"/>
  <c r="F117" i="20" s="1"/>
  <c r="G117" i="20" s="1"/>
  <c r="H117" i="20" s="1"/>
  <c r="I117" i="20" s="1"/>
  <c r="J117" i="20" s="1"/>
  <c r="K117" i="20" s="1"/>
  <c r="C116" i="20"/>
  <c r="D116" i="20" s="1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L115" i="20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D115" i="20"/>
  <c r="E115" i="20" s="1"/>
  <c r="F115" i="20" s="1"/>
  <c r="G115" i="20" s="1"/>
  <c r="H115" i="20" s="1"/>
  <c r="I115" i="20" s="1"/>
  <c r="J115" i="20" s="1"/>
  <c r="K115" i="20" s="1"/>
  <c r="C115" i="20"/>
  <c r="C114" i="20"/>
  <c r="D114" i="20" s="1"/>
  <c r="E114" i="20" s="1"/>
  <c r="F114" i="20" s="1"/>
  <c r="G114" i="20" s="1"/>
  <c r="H114" i="20" s="1"/>
  <c r="I114" i="20" s="1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D113" i="20"/>
  <c r="E113" i="20" s="1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C113" i="20"/>
  <c r="C112" i="20"/>
  <c r="D112" i="20" s="1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P111" i="20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J111" i="20"/>
  <c r="K111" i="20" s="1"/>
  <c r="L111" i="20" s="1"/>
  <c r="M111" i="20" s="1"/>
  <c r="N111" i="20" s="1"/>
  <c r="O111" i="20" s="1"/>
  <c r="D111" i="20"/>
  <c r="E111" i="20" s="1"/>
  <c r="F111" i="20" s="1"/>
  <c r="G111" i="20" s="1"/>
  <c r="H111" i="20" s="1"/>
  <c r="C111" i="20"/>
  <c r="C110" i="20"/>
  <c r="D110" i="20" s="1"/>
  <c r="E110" i="20" s="1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E109" i="20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D109" i="20"/>
  <c r="C109" i="20"/>
  <c r="H107" i="20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C107" i="20"/>
  <c r="D107" i="20" s="1"/>
  <c r="E107" i="20" s="1"/>
  <c r="F107" i="20" s="1"/>
  <c r="G107" i="20" s="1"/>
  <c r="D106" i="20"/>
  <c r="C106" i="20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C104" i="20"/>
  <c r="C103" i="20"/>
  <c r="D103" i="20" s="1"/>
  <c r="E103" i="20" s="1"/>
  <c r="F103" i="20" s="1"/>
  <c r="G103" i="20" s="1"/>
  <c r="H103" i="20" s="1"/>
  <c r="I103" i="20" s="1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I102" i="20"/>
  <c r="J102" i="20" s="1"/>
  <c r="K102" i="20" s="1"/>
  <c r="L102" i="20" s="1"/>
  <c r="M102" i="20" s="1"/>
  <c r="N102" i="20" s="1"/>
  <c r="O102" i="20" s="1"/>
  <c r="P102" i="20" s="1"/>
  <c r="Q102" i="20" s="1"/>
  <c r="R102" i="20" s="1"/>
  <c r="S102" i="20" s="1"/>
  <c r="T102" i="20" s="1"/>
  <c r="U102" i="20" s="1"/>
  <c r="V102" i="20" s="1"/>
  <c r="W102" i="20" s="1"/>
  <c r="X102" i="20" s="1"/>
  <c r="Y102" i="20" s="1"/>
  <c r="Z102" i="20" s="1"/>
  <c r="AA102" i="20" s="1"/>
  <c r="AB102" i="20" s="1"/>
  <c r="AC102" i="20" s="1"/>
  <c r="AD102" i="20" s="1"/>
  <c r="AE102" i="20" s="1"/>
  <c r="AF102" i="20" s="1"/>
  <c r="E102" i="20"/>
  <c r="F102" i="20" s="1"/>
  <c r="G102" i="20" s="1"/>
  <c r="H102" i="20" s="1"/>
  <c r="C102" i="20"/>
  <c r="D102" i="20" s="1"/>
  <c r="C101" i="20"/>
  <c r="D101" i="20" s="1"/>
  <c r="E101" i="20" s="1"/>
  <c r="F101" i="20" s="1"/>
  <c r="G101" i="20" s="1"/>
  <c r="H101" i="20" s="1"/>
  <c r="I101" i="20" s="1"/>
  <c r="J101" i="20" s="1"/>
  <c r="K101" i="20" s="1"/>
  <c r="L101" i="20" s="1"/>
  <c r="M101" i="20" s="1"/>
  <c r="N101" i="20" s="1"/>
  <c r="O101" i="20" s="1"/>
  <c r="P101" i="20" s="1"/>
  <c r="Q101" i="20" s="1"/>
  <c r="R101" i="20" s="1"/>
  <c r="S101" i="20" s="1"/>
  <c r="T101" i="20" s="1"/>
  <c r="U101" i="20" s="1"/>
  <c r="V101" i="20" s="1"/>
  <c r="W101" i="20" s="1"/>
  <c r="X101" i="20" s="1"/>
  <c r="Y101" i="20" s="1"/>
  <c r="Z101" i="20" s="1"/>
  <c r="AA101" i="20" s="1"/>
  <c r="AB101" i="20" s="1"/>
  <c r="AC101" i="20" s="1"/>
  <c r="AD101" i="20" s="1"/>
  <c r="AE101" i="20" s="1"/>
  <c r="AF101" i="20" s="1"/>
  <c r="E100" i="20"/>
  <c r="D100" i="20"/>
  <c r="C100" i="20"/>
  <c r="C99" i="20"/>
  <c r="AH96" i="20"/>
  <c r="AI96" i="20" s="1"/>
  <c r="AH95" i="20"/>
  <c r="AI95" i="20" s="1"/>
  <c r="AH94" i="20"/>
  <c r="AI94" i="20" s="1"/>
  <c r="AH93" i="20"/>
  <c r="AI93" i="20" s="1"/>
  <c r="AH92" i="20"/>
  <c r="AI92" i="20" s="1"/>
  <c r="C91" i="20"/>
  <c r="B91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G80" i="20"/>
  <c r="AI79" i="20"/>
  <c r="AH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J80" i="20" s="1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T80" i="20" s="1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AF74" i="20"/>
  <c r="AE74" i="20"/>
  <c r="AD74" i="20"/>
  <c r="AC74" i="20"/>
  <c r="AC80" i="20" s="1"/>
  <c r="AB74" i="20"/>
  <c r="AA74" i="20"/>
  <c r="Z74" i="20"/>
  <c r="Y74" i="20"/>
  <c r="X74" i="20"/>
  <c r="W74" i="20"/>
  <c r="V74" i="20"/>
  <c r="V80" i="20" s="1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I80" i="20" s="1"/>
  <c r="H74" i="20"/>
  <c r="G74" i="20"/>
  <c r="F74" i="20"/>
  <c r="E74" i="20"/>
  <c r="D74" i="20"/>
  <c r="C74" i="20"/>
  <c r="B74" i="20"/>
  <c r="AI72" i="20"/>
  <c r="AH72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I69" i="20"/>
  <c r="AH69" i="20"/>
  <c r="AI68" i="20"/>
  <c r="AH68" i="20"/>
  <c r="AI67" i="20"/>
  <c r="AH67" i="20"/>
  <c r="AG66" i="20"/>
  <c r="AG71" i="20" s="1"/>
  <c r="AF66" i="20"/>
  <c r="AE66" i="20"/>
  <c r="AE5" i="20" s="1"/>
  <c r="AD66" i="20"/>
  <c r="AC66" i="20"/>
  <c r="AC5" i="20" s="1"/>
  <c r="AB66" i="20"/>
  <c r="AA66" i="20"/>
  <c r="Z66" i="20"/>
  <c r="Y66" i="20"/>
  <c r="Y5" i="20" s="1"/>
  <c r="X66" i="20"/>
  <c r="X5" i="20" s="1"/>
  <c r="W66" i="20"/>
  <c r="W5" i="20" s="1"/>
  <c r="V66" i="20"/>
  <c r="U66" i="20"/>
  <c r="T66" i="20"/>
  <c r="S66" i="20"/>
  <c r="R66" i="20"/>
  <c r="R5" i="20" s="1"/>
  <c r="Q66" i="20"/>
  <c r="Q5" i="20" s="1"/>
  <c r="P66" i="20"/>
  <c r="P5" i="20" s="1"/>
  <c r="O66" i="20"/>
  <c r="O5" i="20" s="1"/>
  <c r="N66" i="20"/>
  <c r="M66" i="20"/>
  <c r="M5" i="20" s="1"/>
  <c r="L66" i="20"/>
  <c r="L5" i="20" s="1"/>
  <c r="K66" i="20"/>
  <c r="J66" i="20"/>
  <c r="J5" i="20" s="1"/>
  <c r="I66" i="20"/>
  <c r="I5" i="20" s="1"/>
  <c r="H66" i="20"/>
  <c r="G66" i="20"/>
  <c r="G5" i="20" s="1"/>
  <c r="F66" i="20"/>
  <c r="E66" i="20"/>
  <c r="D66" i="20"/>
  <c r="D5" i="20" s="1"/>
  <c r="C66" i="20"/>
  <c r="C5" i="20" s="1"/>
  <c r="B66" i="20"/>
  <c r="B5" i="20" s="1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G54" i="20"/>
  <c r="AF54" i="20"/>
  <c r="AE54" i="20"/>
  <c r="AD54" i="20"/>
  <c r="AC54" i="20"/>
  <c r="AB54" i="20"/>
  <c r="AA54" i="20"/>
  <c r="Z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I53" i="20"/>
  <c r="AH53" i="20"/>
  <c r="AI52" i="20"/>
  <c r="AH52" i="20"/>
  <c r="AI51" i="20"/>
  <c r="AH51" i="20"/>
  <c r="AG50" i="20"/>
  <c r="AG3" i="20" s="1"/>
  <c r="Y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G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F36" i="20"/>
  <c r="E36" i="20"/>
  <c r="D36" i="20"/>
  <c r="C36" i="20"/>
  <c r="B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F5" i="20"/>
  <c r="AB5" i="20"/>
  <c r="Z5" i="20"/>
  <c r="U5" i="20"/>
  <c r="T5" i="20"/>
  <c r="H5" i="20"/>
  <c r="AG4" i="20"/>
  <c r="K4" i="20"/>
  <c r="B4" i="20"/>
  <c r="AG2" i="20"/>
  <c r="AG6" i="20" s="1"/>
  <c r="X54" i="19"/>
  <c r="R35" i="19"/>
  <c r="E4" i="20"/>
  <c r="N232" i="21" l="1"/>
  <c r="O196" i="21"/>
  <c r="L91" i="21"/>
  <c r="M100" i="21"/>
  <c r="K189" i="21"/>
  <c r="L99" i="21"/>
  <c r="M197" i="21"/>
  <c r="N191" i="21"/>
  <c r="AF80" i="20"/>
  <c r="AE80" i="20"/>
  <c r="AD80" i="20"/>
  <c r="AB80" i="20"/>
  <c r="AA80" i="20"/>
  <c r="Y80" i="20"/>
  <c r="Y71" i="20"/>
  <c r="Z80" i="20"/>
  <c r="X80" i="20"/>
  <c r="W80" i="20"/>
  <c r="U80" i="20"/>
  <c r="S80" i="20"/>
  <c r="S71" i="20"/>
  <c r="R73" i="20"/>
  <c r="AJ211" i="20" s="1"/>
  <c r="R80" i="20"/>
  <c r="R71" i="20"/>
  <c r="Q80" i="20"/>
  <c r="Q71" i="20"/>
  <c r="P80" i="20"/>
  <c r="AI75" i="20"/>
  <c r="P73" i="20"/>
  <c r="AH211" i="20" s="1"/>
  <c r="P71" i="20"/>
  <c r="P81" i="20" s="1"/>
  <c r="O80" i="20"/>
  <c r="O71" i="20"/>
  <c r="O73" i="20"/>
  <c r="N80" i="20"/>
  <c r="M80" i="20"/>
  <c r="M71" i="20"/>
  <c r="L80" i="20"/>
  <c r="L71" i="20"/>
  <c r="K80" i="20"/>
  <c r="K73" i="20"/>
  <c r="AC211" i="20" s="1"/>
  <c r="J73" i="20"/>
  <c r="J71" i="20"/>
  <c r="I71" i="20"/>
  <c r="H80" i="20"/>
  <c r="H73" i="20"/>
  <c r="Z211" i="20" s="1"/>
  <c r="H71" i="20"/>
  <c r="G80" i="20"/>
  <c r="G71" i="20"/>
  <c r="G73" i="20"/>
  <c r="Y211" i="20" s="1"/>
  <c r="F80" i="20"/>
  <c r="E80" i="20"/>
  <c r="AI77" i="20"/>
  <c r="AI54" i="20"/>
  <c r="E71" i="20"/>
  <c r="D80" i="20"/>
  <c r="D71" i="20"/>
  <c r="C80" i="20"/>
  <c r="C71" i="20"/>
  <c r="AH76" i="20"/>
  <c r="B80" i="20"/>
  <c r="AH78" i="20"/>
  <c r="B71" i="20"/>
  <c r="B73" i="20" s="1"/>
  <c r="B81" i="20" s="1"/>
  <c r="H4" i="20"/>
  <c r="R81" i="20"/>
  <c r="AH80" i="20"/>
  <c r="L73" i="20"/>
  <c r="L81" i="20" s="1"/>
  <c r="AA5" i="20"/>
  <c r="S5" i="20"/>
  <c r="F73" i="20"/>
  <c r="N73" i="20"/>
  <c r="C73" i="20"/>
  <c r="C81" i="20" s="1"/>
  <c r="S73" i="20"/>
  <c r="S81" i="20" s="1"/>
  <c r="AH74" i="20"/>
  <c r="F100" i="20"/>
  <c r="D73" i="20"/>
  <c r="D91" i="20"/>
  <c r="E106" i="20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K5" i="20"/>
  <c r="F71" i="20"/>
  <c r="F5" i="20"/>
  <c r="N71" i="20"/>
  <c r="N5" i="20"/>
  <c r="V5" i="20"/>
  <c r="AD5" i="20"/>
  <c r="O81" i="20"/>
  <c r="K71" i="20"/>
  <c r="E73" i="20"/>
  <c r="AI74" i="20"/>
  <c r="AH75" i="20"/>
  <c r="AI76" i="20"/>
  <c r="AH77" i="20"/>
  <c r="AI78" i="20"/>
  <c r="I73" i="20"/>
  <c r="Q73" i="20"/>
  <c r="Y73" i="20"/>
  <c r="Y81" i="20" s="1"/>
  <c r="AG73" i="20"/>
  <c r="AG81" i="20"/>
  <c r="AI80" i="20"/>
  <c r="E5" i="20"/>
  <c r="AI36" i="20"/>
  <c r="AH36" i="20"/>
  <c r="AH70" i="20"/>
  <c r="AI70" i="20"/>
  <c r="D208" i="20"/>
  <c r="S208" i="20"/>
  <c r="R7" i="20"/>
  <c r="AH66" i="20"/>
  <c r="AI66" i="20"/>
  <c r="M73" i="20"/>
  <c r="M81" i="20" s="1"/>
  <c r="AH54" i="20"/>
  <c r="C189" i="20"/>
  <c r="D99" i="20"/>
  <c r="D191" i="20"/>
  <c r="E196" i="20"/>
  <c r="C232" i="20"/>
  <c r="O191" i="21" l="1"/>
  <c r="N197" i="21"/>
  <c r="L189" i="21"/>
  <c r="M99" i="21"/>
  <c r="N100" i="21"/>
  <c r="M91" i="21"/>
  <c r="O232" i="21"/>
  <c r="P196" i="21"/>
  <c r="Q81" i="20"/>
  <c r="P7" i="20"/>
  <c r="AG211" i="20"/>
  <c r="O7" i="20"/>
  <c r="N81" i="20"/>
  <c r="J81" i="20"/>
  <c r="K81" i="20"/>
  <c r="K7" i="20"/>
  <c r="G7" i="20"/>
  <c r="I81" i="20"/>
  <c r="AB211" i="20"/>
  <c r="J7" i="20"/>
  <c r="H81" i="20"/>
  <c r="H7" i="20"/>
  <c r="G81" i="20"/>
  <c r="F81" i="20"/>
  <c r="E81" i="20"/>
  <c r="AQ211" i="20"/>
  <c r="Y7" i="20"/>
  <c r="U211" i="20"/>
  <c r="C7" i="20"/>
  <c r="D189" i="20"/>
  <c r="E99" i="20"/>
  <c r="V211" i="20"/>
  <c r="D7" i="20"/>
  <c r="AI211" i="20"/>
  <c r="Q7" i="20"/>
  <c r="AE211" i="20"/>
  <c r="M7" i="20"/>
  <c r="AA211" i="20"/>
  <c r="I7" i="20"/>
  <c r="G100" i="20"/>
  <c r="E232" i="20"/>
  <c r="F196" i="20"/>
  <c r="AF211" i="20"/>
  <c r="N7" i="20"/>
  <c r="AD211" i="20"/>
  <c r="L7" i="20"/>
  <c r="E191" i="20"/>
  <c r="D197" i="20"/>
  <c r="W211" i="20"/>
  <c r="E7" i="20"/>
  <c r="T211" i="20"/>
  <c r="B7" i="20"/>
  <c r="D81" i="20"/>
  <c r="AK211" i="20"/>
  <c r="S7" i="20"/>
  <c r="X211" i="20"/>
  <c r="C206" i="20"/>
  <c r="B206" i="20"/>
  <c r="F7" i="20"/>
  <c r="O100" i="21" l="1"/>
  <c r="N91" i="21"/>
  <c r="M189" i="21"/>
  <c r="N99" i="21"/>
  <c r="Q196" i="21"/>
  <c r="P232" i="21"/>
  <c r="P191" i="21"/>
  <c r="O197" i="21"/>
  <c r="F232" i="20"/>
  <c r="G196" i="20"/>
  <c r="E197" i="20"/>
  <c r="F191" i="20"/>
  <c r="E91" i="20"/>
  <c r="H100" i="20"/>
  <c r="K6" i="20"/>
  <c r="E189" i="20"/>
  <c r="F99" i="20"/>
  <c r="Q191" i="21" l="1"/>
  <c r="P197" i="21"/>
  <c r="R196" i="21"/>
  <c r="Q232" i="21"/>
  <c r="N189" i="21"/>
  <c r="O99" i="21"/>
  <c r="O91" i="21"/>
  <c r="P100" i="21"/>
  <c r="I100" i="20"/>
  <c r="G232" i="20"/>
  <c r="H196" i="20"/>
  <c r="F189" i="20"/>
  <c r="G99" i="20"/>
  <c r="G191" i="20"/>
  <c r="F197" i="20"/>
  <c r="F91" i="20"/>
  <c r="Q100" i="21" l="1"/>
  <c r="P91" i="21"/>
  <c r="R232" i="21"/>
  <c r="S196" i="21"/>
  <c r="O189" i="21"/>
  <c r="P99" i="21"/>
  <c r="R191" i="21"/>
  <c r="Q197" i="21"/>
  <c r="H232" i="20"/>
  <c r="I196" i="20"/>
  <c r="G189" i="20"/>
  <c r="H99" i="20"/>
  <c r="H191" i="20"/>
  <c r="G197" i="20"/>
  <c r="G91" i="20"/>
  <c r="J100" i="20"/>
  <c r="P189" i="21" l="1"/>
  <c r="Q99" i="21"/>
  <c r="R197" i="21"/>
  <c r="S191" i="21"/>
  <c r="T196" i="21"/>
  <c r="S232" i="21"/>
  <c r="R100" i="21"/>
  <c r="Q91" i="21"/>
  <c r="I191" i="20"/>
  <c r="H197" i="20"/>
  <c r="H91" i="20"/>
  <c r="H189" i="20"/>
  <c r="I99" i="20"/>
  <c r="J196" i="20"/>
  <c r="I232" i="20"/>
  <c r="K100" i="20"/>
  <c r="U196" i="21" l="1"/>
  <c r="T232" i="21"/>
  <c r="S100" i="21"/>
  <c r="R91" i="21"/>
  <c r="S197" i="21"/>
  <c r="T191" i="21"/>
  <c r="Q189" i="21"/>
  <c r="R99" i="21"/>
  <c r="I189" i="20"/>
  <c r="J99" i="20"/>
  <c r="L100" i="20"/>
  <c r="K196" i="20"/>
  <c r="J232" i="20"/>
  <c r="J191" i="20"/>
  <c r="I197" i="20"/>
  <c r="I91" i="20"/>
  <c r="T197" i="21" l="1"/>
  <c r="T49" i="21" s="1"/>
  <c r="U191" i="21"/>
  <c r="R189" i="21"/>
  <c r="S99" i="21"/>
  <c r="S91" i="21"/>
  <c r="T100" i="21"/>
  <c r="V196" i="21"/>
  <c r="U232" i="21"/>
  <c r="M100" i="20"/>
  <c r="J189" i="20"/>
  <c r="K99" i="20"/>
  <c r="J197" i="20"/>
  <c r="K191" i="20"/>
  <c r="J91" i="20"/>
  <c r="L196" i="20"/>
  <c r="K232" i="20"/>
  <c r="P35" i="19"/>
  <c r="AI56" i="18"/>
  <c r="O35" i="19"/>
  <c r="N35" i="19"/>
  <c r="M93" i="19"/>
  <c r="M35" i="19"/>
  <c r="V232" i="21" l="1"/>
  <c r="W196" i="21"/>
  <c r="S189" i="21"/>
  <c r="T99" i="21"/>
  <c r="U197" i="21"/>
  <c r="U49" i="21" s="1"/>
  <c r="U50" i="21" s="1"/>
  <c r="V191" i="21"/>
  <c r="U100" i="21"/>
  <c r="T91" i="21"/>
  <c r="T50" i="21"/>
  <c r="L232" i="20"/>
  <c r="M196" i="20"/>
  <c r="K189" i="20"/>
  <c r="L99" i="20"/>
  <c r="K197" i="20"/>
  <c r="L191" i="20"/>
  <c r="K91" i="20"/>
  <c r="N100" i="20"/>
  <c r="L93" i="19"/>
  <c r="L35" i="19"/>
  <c r="J93" i="19"/>
  <c r="I93" i="19"/>
  <c r="H93" i="19"/>
  <c r="G93" i="19"/>
  <c r="F93" i="19"/>
  <c r="E93" i="19"/>
  <c r="D93" i="19"/>
  <c r="AH97" i="19"/>
  <c r="AI97" i="19" s="1"/>
  <c r="B81" i="19"/>
  <c r="B73" i="19"/>
  <c r="B71" i="19"/>
  <c r="B66" i="19"/>
  <c r="B54" i="19"/>
  <c r="B50" i="19"/>
  <c r="B36" i="19"/>
  <c r="B91" i="19"/>
  <c r="B78" i="19"/>
  <c r="B77" i="19"/>
  <c r="B76" i="19"/>
  <c r="B75" i="19"/>
  <c r="B74" i="19"/>
  <c r="B70" i="19"/>
  <c r="B49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AF234" i="19"/>
  <c r="AE234" i="19"/>
  <c r="AD234" i="19"/>
  <c r="AC234" i="19"/>
  <c r="AB234" i="19"/>
  <c r="AA234" i="19"/>
  <c r="Z234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A234" i="19"/>
  <c r="AF233" i="19"/>
  <c r="AE233" i="19"/>
  <c r="AD233" i="19"/>
  <c r="AC233" i="19"/>
  <c r="AB233" i="19"/>
  <c r="AA233" i="19"/>
  <c r="Z233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A233" i="19"/>
  <c r="C232" i="19"/>
  <c r="B232" i="19"/>
  <c r="S207" i="19"/>
  <c r="AG197" i="19"/>
  <c r="B197" i="19"/>
  <c r="C196" i="19"/>
  <c r="D196" i="19" s="1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C195" i="19"/>
  <c r="D194" i="19"/>
  <c r="E194" i="19" s="1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T194" i="19" s="1"/>
  <c r="U194" i="19" s="1"/>
  <c r="V194" i="19" s="1"/>
  <c r="W194" i="19" s="1"/>
  <c r="X194" i="19" s="1"/>
  <c r="Y194" i="19" s="1"/>
  <c r="Z194" i="19" s="1"/>
  <c r="AA194" i="19" s="1"/>
  <c r="AB194" i="19" s="1"/>
  <c r="AC194" i="19" s="1"/>
  <c r="AD194" i="19" s="1"/>
  <c r="AE194" i="19" s="1"/>
  <c r="AF194" i="19" s="1"/>
  <c r="C194" i="19"/>
  <c r="C193" i="19"/>
  <c r="D193" i="19" s="1"/>
  <c r="E193" i="19" s="1"/>
  <c r="F193" i="19" s="1"/>
  <c r="G193" i="19" s="1"/>
  <c r="H193" i="19" s="1"/>
  <c r="I193" i="19" s="1"/>
  <c r="J193" i="19" s="1"/>
  <c r="K193" i="19" s="1"/>
  <c r="L193" i="19" s="1"/>
  <c r="M193" i="19" s="1"/>
  <c r="N193" i="19" s="1"/>
  <c r="O193" i="19" s="1"/>
  <c r="P193" i="19" s="1"/>
  <c r="Q193" i="19" s="1"/>
  <c r="R193" i="19" s="1"/>
  <c r="S193" i="19" s="1"/>
  <c r="T193" i="19" s="1"/>
  <c r="U193" i="19" s="1"/>
  <c r="V193" i="19" s="1"/>
  <c r="W193" i="19" s="1"/>
  <c r="X193" i="19" s="1"/>
  <c r="Y193" i="19" s="1"/>
  <c r="Z193" i="19" s="1"/>
  <c r="AA193" i="19" s="1"/>
  <c r="AB193" i="19" s="1"/>
  <c r="AC193" i="19" s="1"/>
  <c r="AD193" i="19" s="1"/>
  <c r="AE193" i="19" s="1"/>
  <c r="AF193" i="19" s="1"/>
  <c r="Q192" i="19"/>
  <c r="R192" i="19" s="1"/>
  <c r="S192" i="19" s="1"/>
  <c r="T192" i="19" s="1"/>
  <c r="U192" i="19" s="1"/>
  <c r="V192" i="19" s="1"/>
  <c r="W192" i="19" s="1"/>
  <c r="X192" i="19" s="1"/>
  <c r="Y192" i="19" s="1"/>
  <c r="Z192" i="19" s="1"/>
  <c r="AA192" i="19" s="1"/>
  <c r="AB192" i="19" s="1"/>
  <c r="AC192" i="19" s="1"/>
  <c r="AD192" i="19" s="1"/>
  <c r="AE192" i="19" s="1"/>
  <c r="AF192" i="19" s="1"/>
  <c r="F192" i="19"/>
  <c r="G192" i="19" s="1"/>
  <c r="H192" i="19" s="1"/>
  <c r="I192" i="19" s="1"/>
  <c r="J192" i="19" s="1"/>
  <c r="K192" i="19" s="1"/>
  <c r="L192" i="19" s="1"/>
  <c r="M192" i="19" s="1"/>
  <c r="N192" i="19" s="1"/>
  <c r="O192" i="19" s="1"/>
  <c r="P192" i="19" s="1"/>
  <c r="C192" i="19"/>
  <c r="D192" i="19" s="1"/>
  <c r="E192" i="19" s="1"/>
  <c r="E191" i="19"/>
  <c r="D191" i="19"/>
  <c r="D197" i="19" s="1"/>
  <c r="C191" i="19"/>
  <c r="AG189" i="19"/>
  <c r="B189" i="19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C188" i="19"/>
  <c r="C187" i="19"/>
  <c r="D187" i="19" s="1"/>
  <c r="E187" i="19" s="1"/>
  <c r="F187" i="19" s="1"/>
  <c r="G187" i="19" s="1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C186" i="19"/>
  <c r="D186" i="19" s="1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C185" i="19"/>
  <c r="D185" i="19" s="1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E184" i="19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D184" i="19"/>
  <c r="C184" i="19"/>
  <c r="C183" i="19"/>
  <c r="D183" i="19" s="1"/>
  <c r="E183" i="19" s="1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C182" i="19"/>
  <c r="D182" i="19" s="1"/>
  <c r="E182" i="19" s="1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C181" i="19"/>
  <c r="C180" i="19"/>
  <c r="D180" i="19" s="1"/>
  <c r="E180" i="19" s="1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C179" i="19"/>
  <c r="D179" i="19" s="1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F178" i="19"/>
  <c r="G178" i="19" s="1"/>
  <c r="H178" i="19" s="1"/>
  <c r="I178" i="19" s="1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Z178" i="19" s="1"/>
  <c r="AA178" i="19" s="1"/>
  <c r="AB178" i="19" s="1"/>
  <c r="AC178" i="19" s="1"/>
  <c r="AD178" i="19" s="1"/>
  <c r="AE178" i="19" s="1"/>
  <c r="AF178" i="19" s="1"/>
  <c r="C178" i="19"/>
  <c r="D178" i="19" s="1"/>
  <c r="E178" i="19" s="1"/>
  <c r="D177" i="19"/>
  <c r="E177" i="19" s="1"/>
  <c r="F177" i="19" s="1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C177" i="19"/>
  <c r="N176" i="19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C176" i="19"/>
  <c r="D176" i="19" s="1"/>
  <c r="E176" i="19" s="1"/>
  <c r="F176" i="19" s="1"/>
  <c r="G176" i="19" s="1"/>
  <c r="H176" i="19" s="1"/>
  <c r="I176" i="19" s="1"/>
  <c r="J176" i="19" s="1"/>
  <c r="K176" i="19" s="1"/>
  <c r="L176" i="19" s="1"/>
  <c r="M176" i="19" s="1"/>
  <c r="P174" i="19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D174" i="19"/>
  <c r="E174" i="19" s="1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C174" i="19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C173" i="19"/>
  <c r="Q172" i="19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C172" i="19"/>
  <c r="D172" i="19" s="1"/>
  <c r="E172" i="19" s="1"/>
  <c r="F172" i="19" s="1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E171" i="19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D171" i="19"/>
  <c r="C171" i="19"/>
  <c r="E170" i="19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C170" i="19"/>
  <c r="D170" i="19" s="1"/>
  <c r="M169" i="19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C169" i="19"/>
  <c r="D169" i="19" s="1"/>
  <c r="E169" i="19" s="1"/>
  <c r="F169" i="19" s="1"/>
  <c r="G169" i="19" s="1"/>
  <c r="H169" i="19" s="1"/>
  <c r="I169" i="19" s="1"/>
  <c r="J169" i="19" s="1"/>
  <c r="K169" i="19" s="1"/>
  <c r="L169" i="19" s="1"/>
  <c r="K168" i="19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D168" i="19"/>
  <c r="E168" i="19" s="1"/>
  <c r="F168" i="19" s="1"/>
  <c r="G168" i="19" s="1"/>
  <c r="H168" i="19" s="1"/>
  <c r="I168" i="19" s="1"/>
  <c r="J168" i="19" s="1"/>
  <c r="C168" i="19"/>
  <c r="C167" i="19"/>
  <c r="D167" i="19" s="1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K165" i="19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C165" i="19"/>
  <c r="D165" i="19" s="1"/>
  <c r="E165" i="19" s="1"/>
  <c r="F165" i="19" s="1"/>
  <c r="G165" i="19" s="1"/>
  <c r="H165" i="19" s="1"/>
  <c r="I165" i="19" s="1"/>
  <c r="J165" i="19" s="1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C164" i="19"/>
  <c r="C163" i="19"/>
  <c r="D163" i="19" s="1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M162" i="19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C162" i="19"/>
  <c r="D162" i="19" s="1"/>
  <c r="E162" i="19" s="1"/>
  <c r="F162" i="19" s="1"/>
  <c r="G162" i="19" s="1"/>
  <c r="H162" i="19" s="1"/>
  <c r="I162" i="19" s="1"/>
  <c r="J162" i="19" s="1"/>
  <c r="K162" i="19" s="1"/>
  <c r="L162" i="19" s="1"/>
  <c r="K161" i="19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C161" i="19"/>
  <c r="D161" i="19" s="1"/>
  <c r="E161" i="19" s="1"/>
  <c r="F161" i="19" s="1"/>
  <c r="G161" i="19" s="1"/>
  <c r="H161" i="19" s="1"/>
  <c r="I161" i="19" s="1"/>
  <c r="J161" i="19" s="1"/>
  <c r="Q160" i="19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E160" i="19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D160" i="19"/>
  <c r="C160" i="19"/>
  <c r="G159" i="19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C159" i="19"/>
  <c r="D159" i="19" s="1"/>
  <c r="E159" i="19" s="1"/>
  <c r="F159" i="19" s="1"/>
  <c r="E158" i="19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C158" i="19"/>
  <c r="D158" i="19" s="1"/>
  <c r="C157" i="19"/>
  <c r="D157" i="19" s="1"/>
  <c r="E157" i="19" s="1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I156" i="19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E156" i="19"/>
  <c r="F156" i="19" s="1"/>
  <c r="G156" i="19" s="1"/>
  <c r="H156" i="19" s="1"/>
  <c r="D156" i="19"/>
  <c r="C156" i="19"/>
  <c r="C155" i="19"/>
  <c r="D155" i="19" s="1"/>
  <c r="E155" i="19" s="1"/>
  <c r="F155" i="19" s="1"/>
  <c r="G155" i="19" s="1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C154" i="19"/>
  <c r="D154" i="19" s="1"/>
  <c r="E154" i="19" s="1"/>
  <c r="F154" i="19" s="1"/>
  <c r="G154" i="19" s="1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W153" i="19"/>
  <c r="X153" i="19" s="1"/>
  <c r="Y153" i="19" s="1"/>
  <c r="Z153" i="19" s="1"/>
  <c r="AA153" i="19" s="1"/>
  <c r="AB153" i="19" s="1"/>
  <c r="AC153" i="19" s="1"/>
  <c r="AD153" i="19" s="1"/>
  <c r="AE153" i="19" s="1"/>
  <c r="AF153" i="19" s="1"/>
  <c r="C153" i="19"/>
  <c r="D153" i="19" s="1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E151" i="19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D151" i="19"/>
  <c r="C151" i="19"/>
  <c r="K150" i="19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C150" i="19"/>
  <c r="D150" i="19" s="1"/>
  <c r="E150" i="19" s="1"/>
  <c r="F150" i="19" s="1"/>
  <c r="G150" i="19" s="1"/>
  <c r="H150" i="19" s="1"/>
  <c r="I150" i="19" s="1"/>
  <c r="J150" i="19" s="1"/>
  <c r="E149" i="19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C149" i="19"/>
  <c r="D149" i="19" s="1"/>
  <c r="C148" i="19"/>
  <c r="D148" i="19" s="1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Z146" i="19"/>
  <c r="AA146" i="19" s="1"/>
  <c r="AB146" i="19" s="1"/>
  <c r="AC146" i="19" s="1"/>
  <c r="AD146" i="19" s="1"/>
  <c r="AE146" i="19" s="1"/>
  <c r="AF146" i="19" s="1"/>
  <c r="K146" i="19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D146" i="19"/>
  <c r="E146" i="19" s="1"/>
  <c r="F146" i="19" s="1"/>
  <c r="G146" i="19" s="1"/>
  <c r="H146" i="19" s="1"/>
  <c r="I146" i="19" s="1"/>
  <c r="J146" i="19" s="1"/>
  <c r="C146" i="19"/>
  <c r="C145" i="19"/>
  <c r="D145" i="19" s="1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E143" i="19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C143" i="19"/>
  <c r="D143" i="19" s="1"/>
  <c r="S142" i="19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C142" i="19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C141" i="19"/>
  <c r="C140" i="19"/>
  <c r="D140" i="19" s="1"/>
  <c r="E140" i="19" s="1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E139" i="19"/>
  <c r="F139" i="19" s="1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C139" i="19"/>
  <c r="D139" i="19" s="1"/>
  <c r="L138" i="19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D138" i="19"/>
  <c r="E138" i="19" s="1"/>
  <c r="F138" i="19" s="1"/>
  <c r="G138" i="19" s="1"/>
  <c r="H138" i="19" s="1"/>
  <c r="I138" i="19" s="1"/>
  <c r="J138" i="19" s="1"/>
  <c r="K138" i="19" s="1"/>
  <c r="C138" i="19"/>
  <c r="S137" i="19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C137" i="19"/>
  <c r="D137" i="19" s="1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G135" i="19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C135" i="19"/>
  <c r="D135" i="19" s="1"/>
  <c r="E135" i="19" s="1"/>
  <c r="F135" i="19" s="1"/>
  <c r="Z134" i="19"/>
  <c r="AA134" i="19" s="1"/>
  <c r="AB134" i="19" s="1"/>
  <c r="AC134" i="19" s="1"/>
  <c r="AD134" i="19" s="1"/>
  <c r="AE134" i="19" s="1"/>
  <c r="AF134" i="19" s="1"/>
  <c r="E134" i="19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D134" i="19"/>
  <c r="C134" i="19"/>
  <c r="E133" i="19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C133" i="19"/>
  <c r="D133" i="19" s="1"/>
  <c r="N132" i="19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C132" i="19"/>
  <c r="D132" i="19" s="1"/>
  <c r="E132" i="19" s="1"/>
  <c r="F132" i="19" s="1"/>
  <c r="G132" i="19" s="1"/>
  <c r="H132" i="19" s="1"/>
  <c r="I132" i="19" s="1"/>
  <c r="J132" i="19" s="1"/>
  <c r="K132" i="19" s="1"/>
  <c r="L132" i="19" s="1"/>
  <c r="M132" i="19" s="1"/>
  <c r="Q131" i="19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C131" i="19"/>
  <c r="C130" i="19"/>
  <c r="D130" i="19" s="1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T129" i="19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D129" i="19"/>
  <c r="E129" i="19" s="1"/>
  <c r="F129" i="19" s="1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C129" i="19"/>
  <c r="F128" i="19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D128" i="19"/>
  <c r="E128" i="19" s="1"/>
  <c r="C128" i="19"/>
  <c r="S126" i="19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C126" i="19"/>
  <c r="T125" i="19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D125" i="19"/>
  <c r="E125" i="19" s="1"/>
  <c r="F125" i="19" s="1"/>
  <c r="G125" i="19" s="1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C125" i="19"/>
  <c r="C124" i="19"/>
  <c r="D124" i="19" s="1"/>
  <c r="E124" i="19" s="1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Q123" i="19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C123" i="19"/>
  <c r="D123" i="19" s="1"/>
  <c r="E123" i="19" s="1"/>
  <c r="F123" i="19" s="1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AE122" i="19"/>
  <c r="AF122" i="19" s="1"/>
  <c r="Q122" i="19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D122" i="19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C122" i="19"/>
  <c r="D121" i="19"/>
  <c r="E121" i="19" s="1"/>
  <c r="F121" i="19" s="1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C121" i="19"/>
  <c r="C120" i="19"/>
  <c r="D120" i="19" s="1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F119" i="19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D119" i="19"/>
  <c r="E119" i="19" s="1"/>
  <c r="C119" i="19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C118" i="19"/>
  <c r="O117" i="19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E117" i="19"/>
  <c r="F117" i="19" s="1"/>
  <c r="G117" i="19" s="1"/>
  <c r="H117" i="19" s="1"/>
  <c r="I117" i="19" s="1"/>
  <c r="J117" i="19" s="1"/>
  <c r="K117" i="19" s="1"/>
  <c r="L117" i="19" s="1"/>
  <c r="M117" i="19" s="1"/>
  <c r="N117" i="19" s="1"/>
  <c r="C117" i="19"/>
  <c r="D117" i="19" s="1"/>
  <c r="H116" i="19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C116" i="19"/>
  <c r="D116" i="19" s="1"/>
  <c r="E116" i="19" s="1"/>
  <c r="F116" i="19" s="1"/>
  <c r="G116" i="19" s="1"/>
  <c r="T115" i="19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K115" i="19"/>
  <c r="L115" i="19" s="1"/>
  <c r="M115" i="19" s="1"/>
  <c r="N115" i="19" s="1"/>
  <c r="O115" i="19" s="1"/>
  <c r="P115" i="19" s="1"/>
  <c r="Q115" i="19" s="1"/>
  <c r="R115" i="19" s="1"/>
  <c r="S115" i="19" s="1"/>
  <c r="C115" i="19"/>
  <c r="D115" i="19" s="1"/>
  <c r="E115" i="19" s="1"/>
  <c r="F115" i="19" s="1"/>
  <c r="G115" i="19" s="1"/>
  <c r="H115" i="19" s="1"/>
  <c r="I115" i="19" s="1"/>
  <c r="J115" i="19" s="1"/>
  <c r="M114" i="19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D114" i="19"/>
  <c r="E114" i="19" s="1"/>
  <c r="F114" i="19" s="1"/>
  <c r="G114" i="19" s="1"/>
  <c r="H114" i="19" s="1"/>
  <c r="I114" i="19" s="1"/>
  <c r="J114" i="19" s="1"/>
  <c r="K114" i="19" s="1"/>
  <c r="L114" i="19" s="1"/>
  <c r="C114" i="19"/>
  <c r="Y113" i="19"/>
  <c r="Z113" i="19" s="1"/>
  <c r="AA113" i="19" s="1"/>
  <c r="AB113" i="19" s="1"/>
  <c r="AC113" i="19" s="1"/>
  <c r="AD113" i="19" s="1"/>
  <c r="AE113" i="19" s="1"/>
  <c r="AF113" i="19" s="1"/>
  <c r="P113" i="19"/>
  <c r="Q113" i="19" s="1"/>
  <c r="R113" i="19" s="1"/>
  <c r="S113" i="19" s="1"/>
  <c r="T113" i="19" s="1"/>
  <c r="U113" i="19" s="1"/>
  <c r="V113" i="19" s="1"/>
  <c r="W113" i="19" s="1"/>
  <c r="X113" i="19" s="1"/>
  <c r="G113" i="19"/>
  <c r="H113" i="19" s="1"/>
  <c r="I113" i="19" s="1"/>
  <c r="J113" i="19" s="1"/>
  <c r="K113" i="19" s="1"/>
  <c r="L113" i="19" s="1"/>
  <c r="M113" i="19" s="1"/>
  <c r="N113" i="19" s="1"/>
  <c r="O113" i="19" s="1"/>
  <c r="D113" i="19"/>
  <c r="E113" i="19" s="1"/>
  <c r="F113" i="19" s="1"/>
  <c r="C113" i="19"/>
  <c r="C112" i="19"/>
  <c r="D112" i="19" s="1"/>
  <c r="E112" i="19" s="1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AD111" i="19"/>
  <c r="AE111" i="19" s="1"/>
  <c r="AF111" i="19" s="1"/>
  <c r="U111" i="19"/>
  <c r="V111" i="19" s="1"/>
  <c r="W111" i="19" s="1"/>
  <c r="X111" i="19" s="1"/>
  <c r="Y111" i="19" s="1"/>
  <c r="Z111" i="19" s="1"/>
  <c r="AA111" i="19" s="1"/>
  <c r="AB111" i="19" s="1"/>
  <c r="AC111" i="19" s="1"/>
  <c r="L111" i="19"/>
  <c r="M111" i="19" s="1"/>
  <c r="N111" i="19" s="1"/>
  <c r="O111" i="19" s="1"/>
  <c r="P111" i="19" s="1"/>
  <c r="Q111" i="19" s="1"/>
  <c r="R111" i="19" s="1"/>
  <c r="S111" i="19" s="1"/>
  <c r="T111" i="19" s="1"/>
  <c r="K111" i="19"/>
  <c r="J111" i="19"/>
  <c r="C111" i="19"/>
  <c r="D111" i="19" s="1"/>
  <c r="E111" i="19" s="1"/>
  <c r="F111" i="19" s="1"/>
  <c r="G111" i="19" s="1"/>
  <c r="H111" i="19" s="1"/>
  <c r="N110" i="19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H110" i="19"/>
  <c r="I110" i="19" s="1"/>
  <c r="J110" i="19" s="1"/>
  <c r="K110" i="19" s="1"/>
  <c r="L110" i="19" s="1"/>
  <c r="M110" i="19" s="1"/>
  <c r="E110" i="19"/>
  <c r="F110" i="19" s="1"/>
  <c r="G110" i="19" s="1"/>
  <c r="C110" i="19"/>
  <c r="D110" i="19" s="1"/>
  <c r="J109" i="19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H109" i="19"/>
  <c r="I109" i="19" s="1"/>
  <c r="C109" i="19"/>
  <c r="D109" i="19" s="1"/>
  <c r="E109" i="19" s="1"/>
  <c r="F109" i="19" s="1"/>
  <c r="G109" i="19" s="1"/>
  <c r="F107" i="19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D107" i="19"/>
  <c r="E107" i="19" s="1"/>
  <c r="C107" i="19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C106" i="19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C104" i="19"/>
  <c r="I103" i="19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H103" i="19"/>
  <c r="F103" i="19"/>
  <c r="G103" i="19" s="1"/>
  <c r="C103" i="19"/>
  <c r="D103" i="19" s="1"/>
  <c r="E103" i="19" s="1"/>
  <c r="E102" i="19"/>
  <c r="F102" i="19" s="1"/>
  <c r="G102" i="19" s="1"/>
  <c r="H102" i="19" s="1"/>
  <c r="I102" i="19" s="1"/>
  <c r="J102" i="19" s="1"/>
  <c r="K102" i="19" s="1"/>
  <c r="L102" i="19" s="1"/>
  <c r="M102" i="19" s="1"/>
  <c r="N102" i="19" s="1"/>
  <c r="O102" i="19" s="1"/>
  <c r="P102" i="19" s="1"/>
  <c r="Q102" i="19" s="1"/>
  <c r="R102" i="19" s="1"/>
  <c r="S102" i="19" s="1"/>
  <c r="T102" i="19" s="1"/>
  <c r="U102" i="19" s="1"/>
  <c r="V102" i="19" s="1"/>
  <c r="W102" i="19" s="1"/>
  <c r="X102" i="19" s="1"/>
  <c r="Y102" i="19" s="1"/>
  <c r="Z102" i="19" s="1"/>
  <c r="AA102" i="19" s="1"/>
  <c r="AB102" i="19" s="1"/>
  <c r="AC102" i="19" s="1"/>
  <c r="AD102" i="19" s="1"/>
  <c r="AE102" i="19" s="1"/>
  <c r="AF102" i="19" s="1"/>
  <c r="D102" i="19"/>
  <c r="C102" i="19"/>
  <c r="D101" i="19"/>
  <c r="E101" i="19" s="1"/>
  <c r="F101" i="19" s="1"/>
  <c r="G101" i="19" s="1"/>
  <c r="H101" i="19" s="1"/>
  <c r="I101" i="19" s="1"/>
  <c r="J101" i="19" s="1"/>
  <c r="K101" i="19" s="1"/>
  <c r="L101" i="19" s="1"/>
  <c r="M101" i="19" s="1"/>
  <c r="N101" i="19" s="1"/>
  <c r="O101" i="19" s="1"/>
  <c r="P101" i="19" s="1"/>
  <c r="Q101" i="19" s="1"/>
  <c r="R101" i="19" s="1"/>
  <c r="S101" i="19" s="1"/>
  <c r="T101" i="19" s="1"/>
  <c r="U101" i="19" s="1"/>
  <c r="V101" i="19" s="1"/>
  <c r="W101" i="19" s="1"/>
  <c r="X101" i="19" s="1"/>
  <c r="Y101" i="19" s="1"/>
  <c r="Z101" i="19" s="1"/>
  <c r="AA101" i="19" s="1"/>
  <c r="AB101" i="19" s="1"/>
  <c r="AC101" i="19" s="1"/>
  <c r="AD101" i="19" s="1"/>
  <c r="AE101" i="19" s="1"/>
  <c r="AF101" i="19" s="1"/>
  <c r="C101" i="19"/>
  <c r="D100" i="19"/>
  <c r="D91" i="19" s="1"/>
  <c r="C100" i="19"/>
  <c r="D99" i="19"/>
  <c r="C99" i="19"/>
  <c r="AH96" i="19"/>
  <c r="AI96" i="19" s="1"/>
  <c r="AH95" i="19"/>
  <c r="AI95" i="19" s="1"/>
  <c r="AH94" i="19"/>
  <c r="AI94" i="19" s="1"/>
  <c r="AH93" i="19"/>
  <c r="AI93" i="19" s="1"/>
  <c r="AH92" i="19"/>
  <c r="AI92" i="19" s="1"/>
  <c r="C91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G80" i="19"/>
  <c r="AI79" i="19"/>
  <c r="AH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G80" i="19" s="1"/>
  <c r="F76" i="19"/>
  <c r="E76" i="19"/>
  <c r="D76" i="19"/>
  <c r="C76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E80" i="19" s="1"/>
  <c r="D75" i="19"/>
  <c r="C75" i="19"/>
  <c r="AF74" i="19"/>
  <c r="AE74" i="19"/>
  <c r="AD74" i="19"/>
  <c r="AD80" i="19" s="1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P80" i="19" s="1"/>
  <c r="O74" i="19"/>
  <c r="N74" i="19"/>
  <c r="M74" i="19"/>
  <c r="L74" i="19"/>
  <c r="K74" i="19"/>
  <c r="J74" i="19"/>
  <c r="I74" i="19"/>
  <c r="H74" i="19"/>
  <c r="G74" i="19"/>
  <c r="F74" i="19"/>
  <c r="E74" i="19"/>
  <c r="D74" i="19"/>
  <c r="D80" i="19" s="1"/>
  <c r="C74" i="19"/>
  <c r="AI72" i="19"/>
  <c r="AH72" i="19"/>
  <c r="AG71" i="19"/>
  <c r="Y71" i="19"/>
  <c r="AG70" i="19"/>
  <c r="AG73" i="19" s="1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AI70" i="19" s="1"/>
  <c r="AH70" i="19"/>
  <c r="AI69" i="19"/>
  <c r="AH69" i="19"/>
  <c r="AI68" i="19"/>
  <c r="AH68" i="19"/>
  <c r="AI67" i="19"/>
  <c r="AH67" i="19"/>
  <c r="AG66" i="19"/>
  <c r="AF66" i="19"/>
  <c r="AE66" i="19"/>
  <c r="AD66" i="19"/>
  <c r="AC66" i="19"/>
  <c r="AB66" i="19"/>
  <c r="AB5" i="19" s="1"/>
  <c r="AA66" i="19"/>
  <c r="AA5" i="19" s="1"/>
  <c r="Z66" i="19"/>
  <c r="Z5" i="19" s="1"/>
  <c r="Y66" i="19"/>
  <c r="Y5" i="19" s="1"/>
  <c r="X66" i="19"/>
  <c r="X5" i="19" s="1"/>
  <c r="W66" i="19"/>
  <c r="W5" i="19" s="1"/>
  <c r="V66" i="19"/>
  <c r="U66" i="19"/>
  <c r="U5" i="19" s="1"/>
  <c r="T66" i="19"/>
  <c r="T5" i="19" s="1"/>
  <c r="S66" i="19"/>
  <c r="S5" i="19" s="1"/>
  <c r="R66" i="19"/>
  <c r="Q66" i="19"/>
  <c r="Q5" i="19" s="1"/>
  <c r="P66" i="19"/>
  <c r="O66" i="19"/>
  <c r="N66" i="19"/>
  <c r="M66" i="19"/>
  <c r="L66" i="19"/>
  <c r="L5" i="19" s="1"/>
  <c r="K66" i="19"/>
  <c r="K5" i="19" s="1"/>
  <c r="J66" i="19"/>
  <c r="J5" i="19" s="1"/>
  <c r="I66" i="19"/>
  <c r="I5" i="19" s="1"/>
  <c r="H66" i="19"/>
  <c r="G66" i="19"/>
  <c r="F66" i="19"/>
  <c r="E66" i="19"/>
  <c r="E5" i="19" s="1"/>
  <c r="D66" i="19"/>
  <c r="D5" i="19" s="1"/>
  <c r="C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G54" i="19"/>
  <c r="AG4" i="19" s="1"/>
  <c r="AF54" i="19"/>
  <c r="AE54" i="19"/>
  <c r="AD54" i="19"/>
  <c r="AC54" i="19"/>
  <c r="AB54" i="19"/>
  <c r="AA54" i="19"/>
  <c r="Z54" i="19"/>
  <c r="Y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AI53" i="19"/>
  <c r="AH53" i="19"/>
  <c r="AI52" i="19"/>
  <c r="AH52" i="19"/>
  <c r="AI51" i="19"/>
  <c r="AH51" i="19"/>
  <c r="AG50" i="19"/>
  <c r="AG3" i="19" s="1"/>
  <c r="Y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AG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F5" i="19"/>
  <c r="AE5" i="19"/>
  <c r="AD5" i="19"/>
  <c r="AC5" i="19"/>
  <c r="V5" i="19"/>
  <c r="R5" i="19"/>
  <c r="P5" i="19"/>
  <c r="O5" i="19"/>
  <c r="N5" i="19"/>
  <c r="M5" i="19"/>
  <c r="H5" i="19"/>
  <c r="G5" i="19"/>
  <c r="F5" i="19"/>
  <c r="B5" i="19"/>
  <c r="K4" i="19"/>
  <c r="B4" i="19"/>
  <c r="AG2" i="19"/>
  <c r="AD93" i="18"/>
  <c r="AC93" i="18"/>
  <c r="AB93" i="18"/>
  <c r="AA93" i="18"/>
  <c r="Z35" i="18"/>
  <c r="E4" i="19"/>
  <c r="U91" i="21" l="1"/>
  <c r="V100" i="21"/>
  <c r="W191" i="21"/>
  <c r="V197" i="21"/>
  <c r="V49" i="21" s="1"/>
  <c r="V50" i="21" s="1"/>
  <c r="U71" i="21"/>
  <c r="U73" i="21"/>
  <c r="T189" i="21"/>
  <c r="U99" i="21"/>
  <c r="T71" i="21"/>
  <c r="T73" i="21"/>
  <c r="W232" i="21"/>
  <c r="X196" i="21"/>
  <c r="L197" i="20"/>
  <c r="M191" i="20"/>
  <c r="L91" i="20"/>
  <c r="L189" i="20"/>
  <c r="M99" i="20"/>
  <c r="M232" i="20"/>
  <c r="N196" i="20"/>
  <c r="O100" i="20"/>
  <c r="AF80" i="19"/>
  <c r="AE80" i="19"/>
  <c r="AC80" i="19"/>
  <c r="AB80" i="19"/>
  <c r="AA80" i="19"/>
  <c r="Z80" i="19"/>
  <c r="Y80" i="19"/>
  <c r="Y73" i="19"/>
  <c r="X80" i="19"/>
  <c r="V80" i="19"/>
  <c r="W80" i="19"/>
  <c r="U80" i="19"/>
  <c r="T80" i="19"/>
  <c r="S80" i="19"/>
  <c r="R80" i="19"/>
  <c r="R71" i="19"/>
  <c r="R73" i="19"/>
  <c r="Q80" i="19"/>
  <c r="Q71" i="19"/>
  <c r="Q73" i="19"/>
  <c r="P73" i="19"/>
  <c r="O80" i="19"/>
  <c r="O71" i="19"/>
  <c r="N73" i="19"/>
  <c r="AF211" i="19" s="1"/>
  <c r="N80" i="19"/>
  <c r="N71" i="19"/>
  <c r="M80" i="19"/>
  <c r="M73" i="19"/>
  <c r="AE211" i="19" s="1"/>
  <c r="M71" i="19"/>
  <c r="L80" i="19"/>
  <c r="AI78" i="19"/>
  <c r="K80" i="19"/>
  <c r="J80" i="19"/>
  <c r="J71" i="19"/>
  <c r="J73" i="19"/>
  <c r="AB211" i="19" s="1"/>
  <c r="AI77" i="19"/>
  <c r="I80" i="19"/>
  <c r="I71" i="19"/>
  <c r="I73" i="19"/>
  <c r="AA211" i="19" s="1"/>
  <c r="H80" i="19"/>
  <c r="AH54" i="19"/>
  <c r="H73" i="19"/>
  <c r="Z211" i="19" s="1"/>
  <c r="G71" i="19"/>
  <c r="AH76" i="19"/>
  <c r="F80" i="19"/>
  <c r="AI76" i="19"/>
  <c r="AI54" i="19"/>
  <c r="F73" i="19"/>
  <c r="F7" i="19" s="1"/>
  <c r="F71" i="19"/>
  <c r="F81" i="19" s="1"/>
  <c r="AI66" i="19"/>
  <c r="AI75" i="19"/>
  <c r="E73" i="19"/>
  <c r="W211" i="19" s="1"/>
  <c r="E71" i="19"/>
  <c r="AH77" i="19"/>
  <c r="AH66" i="19"/>
  <c r="C80" i="19"/>
  <c r="B80" i="19"/>
  <c r="AI74" i="19"/>
  <c r="H4" i="19"/>
  <c r="R81" i="19"/>
  <c r="N81" i="19"/>
  <c r="AG6" i="19"/>
  <c r="M81" i="19"/>
  <c r="H7" i="19"/>
  <c r="AH211" i="19"/>
  <c r="P7" i="19"/>
  <c r="AI211" i="19"/>
  <c r="Q7" i="19"/>
  <c r="AQ211" i="19"/>
  <c r="Y7" i="19"/>
  <c r="AJ211" i="19"/>
  <c r="R7" i="19"/>
  <c r="D189" i="19"/>
  <c r="E99" i="19"/>
  <c r="S208" i="19"/>
  <c r="D208" i="19"/>
  <c r="AH36" i="19"/>
  <c r="C73" i="19"/>
  <c r="K73" i="19"/>
  <c r="S73" i="19"/>
  <c r="AH74" i="19"/>
  <c r="AI36" i="19"/>
  <c r="H71" i="19"/>
  <c r="H81" i="19" s="1"/>
  <c r="P71" i="19"/>
  <c r="P81" i="19" s="1"/>
  <c r="D73" i="19"/>
  <c r="L73" i="19"/>
  <c r="AH75" i="19"/>
  <c r="Q81" i="19"/>
  <c r="Y81" i="19"/>
  <c r="AG81" i="19"/>
  <c r="E100" i="19"/>
  <c r="C71" i="19"/>
  <c r="K71" i="19"/>
  <c r="S71" i="19"/>
  <c r="G73" i="19"/>
  <c r="G81" i="19" s="1"/>
  <c r="O73" i="19"/>
  <c r="O81" i="19" s="1"/>
  <c r="AH78" i="19"/>
  <c r="D71" i="19"/>
  <c r="L71" i="19"/>
  <c r="C5" i="19"/>
  <c r="C189" i="19"/>
  <c r="C197" i="19"/>
  <c r="D232" i="19"/>
  <c r="E196" i="19"/>
  <c r="E197" i="19"/>
  <c r="F191" i="19"/>
  <c r="X35" i="18"/>
  <c r="W35" i="18"/>
  <c r="U189" i="21" l="1"/>
  <c r="V99" i="21"/>
  <c r="Y196" i="21"/>
  <c r="X232" i="21"/>
  <c r="U81" i="21"/>
  <c r="V73" i="21"/>
  <c r="V71" i="21"/>
  <c r="X191" i="21"/>
  <c r="W197" i="21"/>
  <c r="W49" i="21" s="1"/>
  <c r="AM211" i="21"/>
  <c r="U7" i="21"/>
  <c r="AL211" i="21"/>
  <c r="T7" i="21"/>
  <c r="W100" i="21"/>
  <c r="V91" i="21"/>
  <c r="T81" i="21"/>
  <c r="P100" i="20"/>
  <c r="N232" i="20"/>
  <c r="O196" i="20"/>
  <c r="M189" i="20"/>
  <c r="N99" i="20"/>
  <c r="M197" i="20"/>
  <c r="N191" i="20"/>
  <c r="M91" i="20"/>
  <c r="S81" i="19"/>
  <c r="N7" i="19"/>
  <c r="M7" i="19"/>
  <c r="L81" i="19"/>
  <c r="K81" i="19"/>
  <c r="E81" i="19"/>
  <c r="J81" i="19"/>
  <c r="J7" i="19"/>
  <c r="I7" i="19"/>
  <c r="I81" i="19"/>
  <c r="X211" i="19"/>
  <c r="C206" i="19"/>
  <c r="B206" i="19"/>
  <c r="E7" i="19"/>
  <c r="D81" i="19"/>
  <c r="E189" i="19"/>
  <c r="F99" i="19"/>
  <c r="T211" i="19"/>
  <c r="B7" i="19"/>
  <c r="Y211" i="19"/>
  <c r="G7" i="19"/>
  <c r="E91" i="19"/>
  <c r="F100" i="19"/>
  <c r="AK211" i="19"/>
  <c r="S7" i="19"/>
  <c r="AI80" i="19"/>
  <c r="AH80" i="19"/>
  <c r="AD211" i="19"/>
  <c r="L7" i="19"/>
  <c r="AC211" i="19"/>
  <c r="K7" i="19"/>
  <c r="V211" i="19"/>
  <c r="D7" i="19"/>
  <c r="U211" i="19"/>
  <c r="C7" i="19"/>
  <c r="AG211" i="19"/>
  <c r="O7" i="19"/>
  <c r="F197" i="19"/>
  <c r="G191" i="19"/>
  <c r="C81" i="19"/>
  <c r="E232" i="19"/>
  <c r="F196" i="19"/>
  <c r="S35" i="18"/>
  <c r="R35" i="18"/>
  <c r="Q35" i="18"/>
  <c r="V81" i="21" l="1"/>
  <c r="AN211" i="21"/>
  <c r="V7" i="21"/>
  <c r="W50" i="21"/>
  <c r="Z196" i="21"/>
  <c r="Y232" i="21"/>
  <c r="W91" i="21"/>
  <c r="X100" i="21"/>
  <c r="Y191" i="21"/>
  <c r="X197" i="21"/>
  <c r="X49" i="21" s="1"/>
  <c r="V189" i="21"/>
  <c r="W99" i="21"/>
  <c r="O191" i="20"/>
  <c r="N197" i="20"/>
  <c r="N91" i="20"/>
  <c r="O232" i="20"/>
  <c r="P196" i="20"/>
  <c r="N189" i="20"/>
  <c r="O99" i="20"/>
  <c r="Q100" i="20"/>
  <c r="K6" i="19"/>
  <c r="F189" i="19"/>
  <c r="G99" i="19"/>
  <c r="G100" i="19"/>
  <c r="F91" i="19"/>
  <c r="H191" i="19"/>
  <c r="G196" i="19"/>
  <c r="F232" i="19"/>
  <c r="P35" i="18"/>
  <c r="O35" i="18"/>
  <c r="AL13" i="18"/>
  <c r="AL19" i="18"/>
  <c r="AL20" i="18"/>
  <c r="AL21" i="18"/>
  <c r="AJ40" i="18"/>
  <c r="AL40" i="18" s="1"/>
  <c r="AJ39" i="18"/>
  <c r="AL39" i="18" s="1"/>
  <c r="AJ38" i="18"/>
  <c r="AL38" i="18" s="1"/>
  <c r="AJ37" i="18"/>
  <c r="AL37" i="18" s="1"/>
  <c r="AJ25" i="18"/>
  <c r="AL25" i="18" s="1"/>
  <c r="AJ24" i="18"/>
  <c r="AL24" i="18" s="1"/>
  <c r="AJ23" i="18"/>
  <c r="AL23" i="18" s="1"/>
  <c r="AJ22" i="18"/>
  <c r="AL22" i="18" s="1"/>
  <c r="AJ18" i="18"/>
  <c r="AL18" i="18" s="1"/>
  <c r="AJ17" i="18"/>
  <c r="AL17" i="18" s="1"/>
  <c r="AJ15" i="18"/>
  <c r="AL15" i="18" s="1"/>
  <c r="AJ16" i="18"/>
  <c r="AL16" i="18" s="1"/>
  <c r="AJ14" i="18"/>
  <c r="AL14" i="18" s="1"/>
  <c r="AJ12" i="18"/>
  <c r="AL12" i="18" s="1"/>
  <c r="AJ11" i="18"/>
  <c r="AL11" i="18" s="1"/>
  <c r="AH97" i="18"/>
  <c r="AI97" i="18" s="1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AF234" i="18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B232" i="18"/>
  <c r="S207" i="18"/>
  <c r="AG197" i="18"/>
  <c r="B197" i="18"/>
  <c r="B49" i="18" s="1"/>
  <c r="B50" i="18" s="1"/>
  <c r="D196" i="18"/>
  <c r="C196" i="18"/>
  <c r="C232" i="18" s="1"/>
  <c r="C195" i="18"/>
  <c r="D195" i="18" s="1"/>
  <c r="E195" i="18" s="1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C194" i="18"/>
  <c r="D194" i="18" s="1"/>
  <c r="E194" i="18" s="1"/>
  <c r="F194" i="18" s="1"/>
  <c r="G194" i="18" s="1"/>
  <c r="H194" i="18" s="1"/>
  <c r="I194" i="18" s="1"/>
  <c r="J194" i="18" s="1"/>
  <c r="K194" i="18" s="1"/>
  <c r="L194" i="18" s="1"/>
  <c r="M194" i="18" s="1"/>
  <c r="N194" i="18" s="1"/>
  <c r="O194" i="18" s="1"/>
  <c r="P194" i="18" s="1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C193" i="18"/>
  <c r="D193" i="18" s="1"/>
  <c r="E193" i="18" s="1"/>
  <c r="F193" i="18" s="1"/>
  <c r="G193" i="18" s="1"/>
  <c r="H193" i="18" s="1"/>
  <c r="I193" i="18" s="1"/>
  <c r="J193" i="18" s="1"/>
  <c r="K193" i="18" s="1"/>
  <c r="L193" i="18" s="1"/>
  <c r="M193" i="18" s="1"/>
  <c r="N193" i="18" s="1"/>
  <c r="O193" i="18" s="1"/>
  <c r="P193" i="18" s="1"/>
  <c r="Q193" i="18" s="1"/>
  <c r="R193" i="18" s="1"/>
  <c r="S193" i="18" s="1"/>
  <c r="T193" i="18" s="1"/>
  <c r="U193" i="18" s="1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C192" i="18"/>
  <c r="D192" i="18" s="1"/>
  <c r="E192" i="18" s="1"/>
  <c r="F192" i="18" s="1"/>
  <c r="G192" i="18" s="1"/>
  <c r="H192" i="18" s="1"/>
  <c r="I192" i="18" s="1"/>
  <c r="J192" i="18" s="1"/>
  <c r="K192" i="18" s="1"/>
  <c r="L192" i="18" s="1"/>
  <c r="M192" i="18" s="1"/>
  <c r="N192" i="18" s="1"/>
  <c r="O192" i="18" s="1"/>
  <c r="P192" i="18" s="1"/>
  <c r="Q192" i="18" s="1"/>
  <c r="R192" i="18" s="1"/>
  <c r="S192" i="18" s="1"/>
  <c r="T192" i="18" s="1"/>
  <c r="U192" i="18" s="1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C191" i="18"/>
  <c r="AG189" i="18"/>
  <c r="B189" i="18"/>
  <c r="E188" i="18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C188" i="18"/>
  <c r="D188" i="18" s="1"/>
  <c r="C187" i="18"/>
  <c r="D187" i="18" s="1"/>
  <c r="E187" i="18" s="1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Q186" i="18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C186" i="18"/>
  <c r="D186" i="18" s="1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C185" i="18"/>
  <c r="D185" i="18" s="1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O184" i="18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C184" i="18"/>
  <c r="D184" i="18" s="1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C183" i="18"/>
  <c r="D183" i="18" s="1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C182" i="18"/>
  <c r="D182" i="18" s="1"/>
  <c r="E182" i="18" s="1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C181" i="18"/>
  <c r="D181" i="18" s="1"/>
  <c r="E181" i="18" s="1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C180" i="18"/>
  <c r="D180" i="18" s="1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C179" i="18"/>
  <c r="D179" i="18" s="1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C178" i="18"/>
  <c r="D178" i="18" s="1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C177" i="18"/>
  <c r="D177" i="18" s="1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C176" i="18"/>
  <c r="D176" i="18" s="1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D174" i="18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C174" i="18"/>
  <c r="C173" i="18"/>
  <c r="D173" i="18" s="1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C172" i="18"/>
  <c r="D172" i="18" s="1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F171" i="18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C171" i="18"/>
  <c r="D171" i="18" s="1"/>
  <c r="E171" i="18" s="1"/>
  <c r="C170" i="18"/>
  <c r="D170" i="18" s="1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J169" i="18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C169" i="18"/>
  <c r="D169" i="18" s="1"/>
  <c r="E169" i="18" s="1"/>
  <c r="F169" i="18" s="1"/>
  <c r="G169" i="18" s="1"/>
  <c r="H169" i="18" s="1"/>
  <c r="I169" i="18" s="1"/>
  <c r="C168" i="18"/>
  <c r="D168" i="18" s="1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7" i="18"/>
  <c r="C165" i="18"/>
  <c r="D165" i="18" s="1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J164" i="18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C164" i="18"/>
  <c r="D164" i="18" s="1"/>
  <c r="E164" i="18" s="1"/>
  <c r="F164" i="18" s="1"/>
  <c r="G164" i="18" s="1"/>
  <c r="H164" i="18" s="1"/>
  <c r="I164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3" i="18"/>
  <c r="C162" i="18"/>
  <c r="D162" i="18" s="1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M161" i="18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D161" i="18"/>
  <c r="E161" i="18" s="1"/>
  <c r="F161" i="18" s="1"/>
  <c r="G161" i="18" s="1"/>
  <c r="H161" i="18" s="1"/>
  <c r="I161" i="18" s="1"/>
  <c r="J161" i="18" s="1"/>
  <c r="K161" i="18" s="1"/>
  <c r="L161" i="18" s="1"/>
  <c r="C161" i="18"/>
  <c r="C160" i="18"/>
  <c r="D160" i="18" s="1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C159" i="18"/>
  <c r="D159" i="18" s="1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G158" i="18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C158" i="18"/>
  <c r="D158" i="18" s="1"/>
  <c r="E158" i="18" s="1"/>
  <c r="F158" i="18" s="1"/>
  <c r="C157" i="18"/>
  <c r="D157" i="18" s="1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C156" i="18"/>
  <c r="D156" i="18" s="1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C154" i="18"/>
  <c r="D154" i="18" s="1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3" i="18"/>
  <c r="D153" i="18" s="1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D151" i="18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C151" i="18"/>
  <c r="C150" i="18"/>
  <c r="D150" i="18" s="1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E149" i="18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9" i="18"/>
  <c r="D149" i="18" s="1"/>
  <c r="E148" i="18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C148" i="18"/>
  <c r="D148" i="18" s="1"/>
  <c r="C146" i="18"/>
  <c r="D146" i="18" s="1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E145" i="18"/>
  <c r="F145" i="18" s="1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C145" i="18"/>
  <c r="D145" i="18" s="1"/>
  <c r="C143" i="18"/>
  <c r="D143" i="18" s="1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2" i="18"/>
  <c r="D142" i="18" s="1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I141" i="18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C141" i="18"/>
  <c r="D141" i="18" s="1"/>
  <c r="E141" i="18" s="1"/>
  <c r="F141" i="18" s="1"/>
  <c r="G141" i="18" s="1"/>
  <c r="H141" i="18" s="1"/>
  <c r="C140" i="18"/>
  <c r="D140" i="18" s="1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C139" i="18"/>
  <c r="D139" i="18" s="1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C138" i="18"/>
  <c r="D138" i="18" s="1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C137" i="18"/>
  <c r="D137" i="18" s="1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C135" i="18"/>
  <c r="D135" i="18" s="1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4" i="18"/>
  <c r="D134" i="18" s="1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D133" i="18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C133" i="18"/>
  <c r="C132" i="18"/>
  <c r="D132" i="18" s="1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H131" i="18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C131" i="18"/>
  <c r="D131" i="18" s="1"/>
  <c r="E131" i="18" s="1"/>
  <c r="F131" i="18" s="1"/>
  <c r="G131" i="18" s="1"/>
  <c r="C130" i="18"/>
  <c r="D130" i="18" s="1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C129" i="18"/>
  <c r="D129" i="18" s="1"/>
  <c r="E129" i="18" s="1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C128" i="18"/>
  <c r="D128" i="18" s="1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C126" i="18"/>
  <c r="D126" i="18" s="1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5" i="18"/>
  <c r="D125" i="18" s="1"/>
  <c r="E125" i="18" s="1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C124" i="18"/>
  <c r="D124" i="18" s="1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C123" i="18"/>
  <c r="D123" i="18" s="1"/>
  <c r="C122" i="18"/>
  <c r="D122" i="18" s="1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D121" i="18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1" i="18"/>
  <c r="D120" i="18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C120" i="18"/>
  <c r="C119" i="18"/>
  <c r="D119" i="18" s="1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C118" i="18"/>
  <c r="O117" i="18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C116" i="18"/>
  <c r="D116" i="18" s="1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S115" i="18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C115" i="18"/>
  <c r="D115" i="18" s="1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C114" i="18"/>
  <c r="D114" i="18" s="1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3" i="18"/>
  <c r="D113" i="18" s="1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D112" i="18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C112" i="18"/>
  <c r="J111" i="18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C111" i="18"/>
  <c r="D111" i="18" s="1"/>
  <c r="E111" i="18" s="1"/>
  <c r="F111" i="18" s="1"/>
  <c r="G111" i="18" s="1"/>
  <c r="H111" i="18" s="1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C109" i="18"/>
  <c r="D109" i="18" s="1"/>
  <c r="E109" i="18" s="1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C107" i="18"/>
  <c r="D107" i="18" s="1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C106" i="18"/>
  <c r="D106" i="18" s="1"/>
  <c r="E106" i="18" s="1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C104" i="18"/>
  <c r="D104" i="18" s="1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C103" i="18"/>
  <c r="D103" i="18" s="1"/>
  <c r="E103" i="18" s="1"/>
  <c r="F103" i="18" s="1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D102" i="18"/>
  <c r="E102" i="18" s="1"/>
  <c r="F102" i="18" s="1"/>
  <c r="G102" i="18" s="1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C102" i="18"/>
  <c r="D101" i="18"/>
  <c r="E101" i="18" s="1"/>
  <c r="F101" i="18" s="1"/>
  <c r="G101" i="18" s="1"/>
  <c r="H101" i="18" s="1"/>
  <c r="I101" i="18" s="1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C101" i="18"/>
  <c r="C100" i="18"/>
  <c r="D100" i="18" s="1"/>
  <c r="E100" i="18" s="1"/>
  <c r="F100" i="18" s="1"/>
  <c r="C99" i="18"/>
  <c r="AH96" i="18"/>
  <c r="AI96" i="18" s="1"/>
  <c r="AH95" i="18"/>
  <c r="AI95" i="18" s="1"/>
  <c r="AH94" i="18"/>
  <c r="AI94" i="18" s="1"/>
  <c r="AH93" i="18"/>
  <c r="AI93" i="18" s="1"/>
  <c r="AH92" i="18"/>
  <c r="AI92" i="18" s="1"/>
  <c r="B91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G80" i="18"/>
  <c r="AI79" i="18"/>
  <c r="AH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AI72" i="18"/>
  <c r="AH72" i="18"/>
  <c r="AG70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B70" i="18"/>
  <c r="AI69" i="18"/>
  <c r="AH69" i="18"/>
  <c r="AI68" i="18"/>
  <c r="AH68" i="18"/>
  <c r="AI67" i="18"/>
  <c r="AH67" i="18"/>
  <c r="AG66" i="18"/>
  <c r="AF66" i="18"/>
  <c r="AE66" i="18"/>
  <c r="AE5" i="18" s="1"/>
  <c r="AD66" i="18"/>
  <c r="AD5" i="18" s="1"/>
  <c r="AC66" i="18"/>
  <c r="AC5" i="18" s="1"/>
  <c r="AB66" i="18"/>
  <c r="AA66" i="18"/>
  <c r="Z66" i="18"/>
  <c r="Z5" i="18" s="1"/>
  <c r="Y66" i="18"/>
  <c r="Y5" i="18" s="1"/>
  <c r="X66" i="18"/>
  <c r="W66" i="18"/>
  <c r="W5" i="18" s="1"/>
  <c r="V66" i="18"/>
  <c r="V5" i="18" s="1"/>
  <c r="U66" i="18"/>
  <c r="U5" i="18" s="1"/>
  <c r="T66" i="18"/>
  <c r="T5" i="18" s="1"/>
  <c r="S66" i="18"/>
  <c r="S5" i="18" s="1"/>
  <c r="R66" i="18"/>
  <c r="Q66" i="18"/>
  <c r="Q5" i="18" s="1"/>
  <c r="P66" i="18"/>
  <c r="O66" i="18"/>
  <c r="N66" i="18"/>
  <c r="N5" i="18" s="1"/>
  <c r="M66" i="18"/>
  <c r="M5" i="18" s="1"/>
  <c r="L66" i="18"/>
  <c r="L5" i="18" s="1"/>
  <c r="K66" i="18"/>
  <c r="K5" i="18" s="1"/>
  <c r="J66" i="18"/>
  <c r="J5" i="18" s="1"/>
  <c r="I66" i="18"/>
  <c r="I5" i="18" s="1"/>
  <c r="H66" i="18"/>
  <c r="G66" i="18"/>
  <c r="G5" i="18" s="1"/>
  <c r="F66" i="18"/>
  <c r="F5" i="18" s="1"/>
  <c r="E66" i="18"/>
  <c r="E5" i="18" s="1"/>
  <c r="D66" i="18"/>
  <c r="D5" i="18" s="1"/>
  <c r="C66" i="18"/>
  <c r="C5" i="18" s="1"/>
  <c r="B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H56" i="18"/>
  <c r="AI55" i="18"/>
  <c r="AH55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AI53" i="18"/>
  <c r="AH53" i="18"/>
  <c r="AI52" i="18"/>
  <c r="AH52" i="18"/>
  <c r="AI51" i="18"/>
  <c r="AH51" i="18"/>
  <c r="Y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AG49" i="18"/>
  <c r="AG50" i="18" s="1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G36" i="18"/>
  <c r="AG2" i="18" s="1"/>
  <c r="AG6" i="18" s="1"/>
  <c r="AF36" i="18"/>
  <c r="AE36" i="18"/>
  <c r="AD36" i="18"/>
  <c r="AC36" i="18"/>
  <c r="AB36" i="18"/>
  <c r="AA36" i="18"/>
  <c r="Z36" i="18"/>
  <c r="Y36" i="18"/>
  <c r="Y71" i="18" s="1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B5" i="18"/>
  <c r="AA5" i="18"/>
  <c r="R5" i="18"/>
  <c r="B5" i="18"/>
  <c r="AG4" i="18"/>
  <c r="K4" i="18"/>
  <c r="B4" i="18"/>
  <c r="AG3" i="18"/>
  <c r="Z93" i="17"/>
  <c r="X93" i="17"/>
  <c r="W93" i="17"/>
  <c r="V93" i="17"/>
  <c r="T93" i="17"/>
  <c r="S93" i="17"/>
  <c r="R93" i="17"/>
  <c r="Q35" i="17"/>
  <c r="O35" i="17"/>
  <c r="N35" i="17"/>
  <c r="M35" i="17"/>
  <c r="L35" i="17"/>
  <c r="B81" i="17"/>
  <c r="K35" i="17"/>
  <c r="J35" i="17"/>
  <c r="I35" i="17"/>
  <c r="H35" i="17"/>
  <c r="G35" i="17"/>
  <c r="F35" i="17"/>
  <c r="E35" i="17"/>
  <c r="D35" i="17"/>
  <c r="E4" i="18"/>
  <c r="W189" i="21" l="1"/>
  <c r="X99" i="21"/>
  <c r="AA196" i="21"/>
  <c r="Z232" i="21"/>
  <c r="X50" i="21"/>
  <c r="Z191" i="21"/>
  <c r="Y197" i="21"/>
  <c r="Y100" i="21"/>
  <c r="X91" i="21"/>
  <c r="W73" i="21"/>
  <c r="W71" i="21"/>
  <c r="O189" i="20"/>
  <c r="P99" i="20"/>
  <c r="P232" i="20"/>
  <c r="Q196" i="20"/>
  <c r="R100" i="20"/>
  <c r="P191" i="20"/>
  <c r="O197" i="20"/>
  <c r="O91" i="20"/>
  <c r="H100" i="19"/>
  <c r="G91" i="19"/>
  <c r="G189" i="19"/>
  <c r="H99" i="19"/>
  <c r="G232" i="19"/>
  <c r="H196" i="19"/>
  <c r="G197" i="19"/>
  <c r="I191" i="19"/>
  <c r="AF80" i="18"/>
  <c r="Y80" i="18"/>
  <c r="AA80" i="18"/>
  <c r="C91" i="18"/>
  <c r="L73" i="18"/>
  <c r="I80" i="18"/>
  <c r="AE80" i="18"/>
  <c r="C197" i="18"/>
  <c r="AB80" i="18"/>
  <c r="X80" i="18"/>
  <c r="W80" i="18"/>
  <c r="T80" i="18"/>
  <c r="S80" i="18"/>
  <c r="R73" i="18"/>
  <c r="AJ211" i="18" s="1"/>
  <c r="R71" i="18"/>
  <c r="Q80" i="18"/>
  <c r="Q71" i="18"/>
  <c r="P80" i="18"/>
  <c r="O80" i="18"/>
  <c r="M73" i="18"/>
  <c r="M7" i="18" s="1"/>
  <c r="M71" i="18"/>
  <c r="AE211" i="18"/>
  <c r="L80" i="18"/>
  <c r="K80" i="18"/>
  <c r="J73" i="18"/>
  <c r="AB211" i="18" s="1"/>
  <c r="J71" i="18"/>
  <c r="I71" i="18"/>
  <c r="H80" i="18"/>
  <c r="AL42" i="18"/>
  <c r="H73" i="18"/>
  <c r="H7" i="18" s="1"/>
  <c r="AL27" i="18"/>
  <c r="AL28" i="18" s="1"/>
  <c r="AI78" i="18"/>
  <c r="G80" i="18"/>
  <c r="AI77" i="18"/>
  <c r="AI54" i="18"/>
  <c r="E73" i="18"/>
  <c r="W211" i="18" s="1"/>
  <c r="E71" i="18"/>
  <c r="D73" i="18"/>
  <c r="V211" i="18" s="1"/>
  <c r="C80" i="18"/>
  <c r="B71" i="18"/>
  <c r="B73" i="18" s="1"/>
  <c r="B7" i="18" s="1"/>
  <c r="H4" i="18"/>
  <c r="O71" i="18"/>
  <c r="AG71" i="18"/>
  <c r="H5" i="18"/>
  <c r="H71" i="18"/>
  <c r="P5" i="18"/>
  <c r="P71" i="18"/>
  <c r="X5" i="18"/>
  <c r="AF5" i="18"/>
  <c r="AH70" i="18"/>
  <c r="D71" i="18"/>
  <c r="Y73" i="18"/>
  <c r="Y81" i="18" s="1"/>
  <c r="E80" i="18"/>
  <c r="M80" i="18"/>
  <c r="M81" i="18" s="1"/>
  <c r="U80" i="18"/>
  <c r="AC80" i="18"/>
  <c r="I73" i="18"/>
  <c r="F80" i="18"/>
  <c r="N80" i="18"/>
  <c r="V80" i="18"/>
  <c r="AD80" i="18"/>
  <c r="AH78" i="18"/>
  <c r="G100" i="18"/>
  <c r="G71" i="18"/>
  <c r="C189" i="18"/>
  <c r="AH36" i="18"/>
  <c r="F71" i="18"/>
  <c r="AI36" i="18"/>
  <c r="AH54" i="18"/>
  <c r="C71" i="18"/>
  <c r="K71" i="18"/>
  <c r="S71" i="18"/>
  <c r="L71" i="18"/>
  <c r="L81" i="18" s="1"/>
  <c r="AG73" i="18"/>
  <c r="AI76" i="18"/>
  <c r="D99" i="18"/>
  <c r="O5" i="18"/>
  <c r="AD211" i="18"/>
  <c r="L7" i="18"/>
  <c r="F73" i="18"/>
  <c r="N73" i="18"/>
  <c r="P73" i="18"/>
  <c r="AI75" i="18"/>
  <c r="G73" i="18"/>
  <c r="O73" i="18"/>
  <c r="N71" i="18"/>
  <c r="Q73" i="18"/>
  <c r="AI74" i="18"/>
  <c r="J80" i="18"/>
  <c r="R80" i="18"/>
  <c r="Z80" i="18"/>
  <c r="AH76" i="18"/>
  <c r="D80" i="18"/>
  <c r="D91" i="18"/>
  <c r="S208" i="18"/>
  <c r="D208" i="18"/>
  <c r="C73" i="18"/>
  <c r="K73" i="18"/>
  <c r="S73" i="18"/>
  <c r="AH74" i="18"/>
  <c r="B80" i="18"/>
  <c r="AH66" i="18"/>
  <c r="AH75" i="18"/>
  <c r="AI66" i="18"/>
  <c r="AI70" i="18"/>
  <c r="AH77" i="18"/>
  <c r="D232" i="18"/>
  <c r="E196" i="18"/>
  <c r="D191" i="18"/>
  <c r="X73" i="21" l="1"/>
  <c r="X71" i="21"/>
  <c r="Z197" i="21"/>
  <c r="Z49" i="21" s="1"/>
  <c r="AA191" i="21"/>
  <c r="W81" i="21"/>
  <c r="AO211" i="21"/>
  <c r="W7" i="21"/>
  <c r="AB196" i="21"/>
  <c r="AA232" i="21"/>
  <c r="X189" i="21"/>
  <c r="Y99" i="21"/>
  <c r="Z100" i="21"/>
  <c r="Y91" i="21"/>
  <c r="Q191" i="20"/>
  <c r="P197" i="20"/>
  <c r="P91" i="20"/>
  <c r="S100" i="20"/>
  <c r="R196" i="20"/>
  <c r="Q232" i="20"/>
  <c r="P189" i="20"/>
  <c r="Q99" i="20"/>
  <c r="H232" i="19"/>
  <c r="I196" i="19"/>
  <c r="H189" i="19"/>
  <c r="I99" i="19"/>
  <c r="J191" i="19"/>
  <c r="I197" i="19"/>
  <c r="H197" i="19"/>
  <c r="I100" i="19"/>
  <c r="H91" i="19"/>
  <c r="R81" i="18"/>
  <c r="E81" i="18"/>
  <c r="H81" i="18"/>
  <c r="E7" i="18"/>
  <c r="Q81" i="18"/>
  <c r="R7" i="18"/>
  <c r="D7" i="18"/>
  <c r="S81" i="18"/>
  <c r="J7" i="18"/>
  <c r="P81" i="18"/>
  <c r="N81" i="18"/>
  <c r="O81" i="18"/>
  <c r="J81" i="18"/>
  <c r="K81" i="18"/>
  <c r="Z211" i="18"/>
  <c r="AL44" i="18"/>
  <c r="T211" i="18"/>
  <c r="F81" i="18"/>
  <c r="G81" i="18"/>
  <c r="H100" i="18"/>
  <c r="X211" i="18"/>
  <c r="C206" i="18"/>
  <c r="B206" i="18"/>
  <c r="F7" i="18"/>
  <c r="AA211" i="18"/>
  <c r="I7" i="18"/>
  <c r="AK211" i="18"/>
  <c r="S7" i="18"/>
  <c r="AG211" i="18"/>
  <c r="O7" i="18"/>
  <c r="AG81" i="18"/>
  <c r="AC211" i="18"/>
  <c r="K7" i="18"/>
  <c r="Y211" i="18"/>
  <c r="G7" i="18"/>
  <c r="AH211" i="18"/>
  <c r="P7" i="18"/>
  <c r="C81" i="18"/>
  <c r="AI80" i="18"/>
  <c r="AH80" i="18"/>
  <c r="U211" i="18"/>
  <c r="C7" i="18"/>
  <c r="D197" i="18"/>
  <c r="E191" i="18"/>
  <c r="E232" i="18"/>
  <c r="F196" i="18"/>
  <c r="D81" i="18"/>
  <c r="AI211" i="18"/>
  <c r="Q7" i="18"/>
  <c r="AF211" i="18"/>
  <c r="N7" i="18"/>
  <c r="D189" i="18"/>
  <c r="E99" i="18"/>
  <c r="B81" i="18"/>
  <c r="I81" i="18"/>
  <c r="AQ211" i="18"/>
  <c r="Y7" i="18"/>
  <c r="X81" i="21" l="1"/>
  <c r="AA100" i="21"/>
  <c r="Z91" i="21"/>
  <c r="Y189" i="21"/>
  <c r="Z99" i="21"/>
  <c r="AC196" i="21"/>
  <c r="AB232" i="21"/>
  <c r="AA197" i="21"/>
  <c r="AA49" i="21" s="1"/>
  <c r="AA50" i="21" s="1"/>
  <c r="AB191" i="21"/>
  <c r="Z50" i="21"/>
  <c r="AP211" i="21"/>
  <c r="X7" i="21"/>
  <c r="R232" i="20"/>
  <c r="S196" i="20"/>
  <c r="T100" i="20"/>
  <c r="Q189" i="20"/>
  <c r="R99" i="20"/>
  <c r="R191" i="20"/>
  <c r="Q197" i="20"/>
  <c r="Q91" i="20"/>
  <c r="J100" i="19"/>
  <c r="I91" i="19"/>
  <c r="K191" i="19"/>
  <c r="I189" i="19"/>
  <c r="J99" i="19"/>
  <c r="J196" i="19"/>
  <c r="I232" i="19"/>
  <c r="F191" i="18"/>
  <c r="E197" i="18"/>
  <c r="E91" i="18"/>
  <c r="E189" i="18"/>
  <c r="F99" i="18"/>
  <c r="G196" i="18"/>
  <c r="F232" i="18"/>
  <c r="I100" i="18"/>
  <c r="K6" i="18"/>
  <c r="AA71" i="21" l="1"/>
  <c r="AA73" i="21"/>
  <c r="AD196" i="21"/>
  <c r="AC232" i="21"/>
  <c r="Z189" i="21"/>
  <c r="AA99" i="21"/>
  <c r="AC191" i="21"/>
  <c r="AB197" i="21"/>
  <c r="AB49" i="21" s="1"/>
  <c r="AB50" i="21" s="1"/>
  <c r="Z71" i="21"/>
  <c r="Z73" i="21"/>
  <c r="AA91" i="21"/>
  <c r="AB100" i="21"/>
  <c r="U100" i="20"/>
  <c r="T196" i="20"/>
  <c r="S232" i="20"/>
  <c r="R197" i="20"/>
  <c r="S191" i="20"/>
  <c r="R91" i="20"/>
  <c r="R189" i="20"/>
  <c r="S99" i="20"/>
  <c r="L191" i="19"/>
  <c r="J232" i="19"/>
  <c r="K196" i="19"/>
  <c r="J189" i="19"/>
  <c r="K99" i="19"/>
  <c r="J197" i="19"/>
  <c r="J91" i="19"/>
  <c r="K100" i="19"/>
  <c r="G99" i="18"/>
  <c r="F189" i="18"/>
  <c r="J100" i="18"/>
  <c r="F197" i="18"/>
  <c r="G191" i="18"/>
  <c r="F91" i="18"/>
  <c r="G232" i="18"/>
  <c r="H196" i="18"/>
  <c r="AC197" i="21" l="1"/>
  <c r="AC49" i="21" s="1"/>
  <c r="AC50" i="21" s="1"/>
  <c r="AD191" i="21"/>
  <c r="AB71" i="21"/>
  <c r="AB73" i="21"/>
  <c r="AC100" i="21"/>
  <c r="AB91" i="21"/>
  <c r="AR211" i="21"/>
  <c r="Z7" i="21"/>
  <c r="AS211" i="21"/>
  <c r="AA7" i="21"/>
  <c r="AA189" i="21"/>
  <c r="AB99" i="21"/>
  <c r="AD232" i="21"/>
  <c r="AE196" i="21"/>
  <c r="Z81" i="21"/>
  <c r="AA81" i="21"/>
  <c r="S197" i="20"/>
  <c r="T191" i="20"/>
  <c r="S91" i="20"/>
  <c r="U196" i="20"/>
  <c r="T232" i="20"/>
  <c r="S189" i="20"/>
  <c r="T99" i="20"/>
  <c r="V100" i="20"/>
  <c r="K189" i="19"/>
  <c r="L99" i="19"/>
  <c r="M191" i="19"/>
  <c r="L196" i="19"/>
  <c r="K232" i="19"/>
  <c r="K91" i="19"/>
  <c r="L100" i="19"/>
  <c r="K197" i="19"/>
  <c r="H191" i="18"/>
  <c r="G197" i="18"/>
  <c r="G91" i="18"/>
  <c r="K100" i="18"/>
  <c r="H232" i="18"/>
  <c r="I196" i="18"/>
  <c r="G189" i="18"/>
  <c r="H99" i="18"/>
  <c r="AH97" i="17"/>
  <c r="AI97" i="17" s="1"/>
  <c r="C93" i="17"/>
  <c r="C35" i="17"/>
  <c r="B93" i="17"/>
  <c r="B35" i="17"/>
  <c r="B91" i="17"/>
  <c r="B78" i="17"/>
  <c r="B77" i="17"/>
  <c r="B80" i="17" s="1"/>
  <c r="B76" i="17"/>
  <c r="B75" i="17"/>
  <c r="B74" i="17"/>
  <c r="B70" i="17"/>
  <c r="B66" i="17"/>
  <c r="B54" i="17"/>
  <c r="B49" i="17"/>
  <c r="B50" i="17" s="1"/>
  <c r="B36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AF234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A234" i="17"/>
  <c r="AF233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A233" i="17"/>
  <c r="B232" i="17"/>
  <c r="S207" i="17"/>
  <c r="AG197" i="17"/>
  <c r="B197" i="17"/>
  <c r="C196" i="17"/>
  <c r="D196" i="17" s="1"/>
  <c r="C195" i="17"/>
  <c r="D195" i="17" s="1"/>
  <c r="E195" i="17" s="1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F194" i="17"/>
  <c r="G194" i="17" s="1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X194" i="17" s="1"/>
  <c r="Y194" i="17" s="1"/>
  <c r="Z194" i="17" s="1"/>
  <c r="AA194" i="17" s="1"/>
  <c r="AB194" i="17" s="1"/>
  <c r="AC194" i="17" s="1"/>
  <c r="AD194" i="17" s="1"/>
  <c r="AE194" i="17" s="1"/>
  <c r="AF194" i="17" s="1"/>
  <c r="D194" i="17"/>
  <c r="E194" i="17" s="1"/>
  <c r="C194" i="17"/>
  <c r="G193" i="17"/>
  <c r="H193" i="17" s="1"/>
  <c r="I193" i="17" s="1"/>
  <c r="J193" i="17" s="1"/>
  <c r="K193" i="17" s="1"/>
  <c r="L193" i="17" s="1"/>
  <c r="M193" i="17" s="1"/>
  <c r="N193" i="17" s="1"/>
  <c r="O193" i="17" s="1"/>
  <c r="P193" i="17" s="1"/>
  <c r="Q193" i="17" s="1"/>
  <c r="R193" i="17" s="1"/>
  <c r="S193" i="17" s="1"/>
  <c r="T193" i="17" s="1"/>
  <c r="U193" i="17" s="1"/>
  <c r="V193" i="17" s="1"/>
  <c r="W193" i="17" s="1"/>
  <c r="X193" i="17" s="1"/>
  <c r="Y193" i="17" s="1"/>
  <c r="Z193" i="17" s="1"/>
  <c r="AA193" i="17" s="1"/>
  <c r="AB193" i="17" s="1"/>
  <c r="AC193" i="17" s="1"/>
  <c r="AD193" i="17" s="1"/>
  <c r="AE193" i="17" s="1"/>
  <c r="AF193" i="17" s="1"/>
  <c r="D193" i="17"/>
  <c r="E193" i="17" s="1"/>
  <c r="F193" i="17" s="1"/>
  <c r="C193" i="17"/>
  <c r="E192" i="17"/>
  <c r="F192" i="17" s="1"/>
  <c r="G192" i="17" s="1"/>
  <c r="H192" i="17" s="1"/>
  <c r="I192" i="17" s="1"/>
  <c r="J192" i="17" s="1"/>
  <c r="K192" i="17" s="1"/>
  <c r="L192" i="17" s="1"/>
  <c r="M192" i="17" s="1"/>
  <c r="N192" i="17" s="1"/>
  <c r="O192" i="17" s="1"/>
  <c r="P192" i="17" s="1"/>
  <c r="Q192" i="17" s="1"/>
  <c r="R192" i="17" s="1"/>
  <c r="S192" i="17" s="1"/>
  <c r="T192" i="17" s="1"/>
  <c r="U192" i="17" s="1"/>
  <c r="V192" i="17" s="1"/>
  <c r="W192" i="17" s="1"/>
  <c r="X192" i="17" s="1"/>
  <c r="Y192" i="17" s="1"/>
  <c r="Z192" i="17" s="1"/>
  <c r="AA192" i="17" s="1"/>
  <c r="AB192" i="17" s="1"/>
  <c r="AC192" i="17" s="1"/>
  <c r="AD192" i="17" s="1"/>
  <c r="AE192" i="17" s="1"/>
  <c r="AF192" i="17" s="1"/>
  <c r="C192" i="17"/>
  <c r="D192" i="17" s="1"/>
  <c r="D191" i="17"/>
  <c r="C191" i="17"/>
  <c r="AG189" i="17"/>
  <c r="B189" i="17"/>
  <c r="C188" i="17"/>
  <c r="D188" i="17" s="1"/>
  <c r="E188" i="17" s="1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E187" i="17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D187" i="17"/>
  <c r="C187" i="17"/>
  <c r="D186" i="17"/>
  <c r="E186" i="17" s="1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C186" i="17"/>
  <c r="E185" i="17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C185" i="17"/>
  <c r="D185" i="17" s="1"/>
  <c r="F184" i="17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D184" i="17"/>
  <c r="E184" i="17" s="1"/>
  <c r="C184" i="17"/>
  <c r="D183" i="17"/>
  <c r="E183" i="17" s="1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C183" i="17"/>
  <c r="D182" i="17"/>
  <c r="E182" i="17" s="1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C182" i="17"/>
  <c r="D181" i="17"/>
  <c r="E181" i="17" s="1"/>
  <c r="F181" i="17" s="1"/>
  <c r="G181" i="17" s="1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C181" i="17"/>
  <c r="C180" i="17"/>
  <c r="D180" i="17" s="1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D179" i="17"/>
  <c r="E179" i="17" s="1"/>
  <c r="F179" i="17" s="1"/>
  <c r="G179" i="17" s="1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C179" i="17"/>
  <c r="W178" i="17"/>
  <c r="X178" i="17" s="1"/>
  <c r="Y178" i="17" s="1"/>
  <c r="Z178" i="17" s="1"/>
  <c r="AA178" i="17" s="1"/>
  <c r="AB178" i="17" s="1"/>
  <c r="AC178" i="17" s="1"/>
  <c r="AD178" i="17" s="1"/>
  <c r="AE178" i="17" s="1"/>
  <c r="AF178" i="17" s="1"/>
  <c r="J178" i="17"/>
  <c r="K178" i="17" s="1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E178" i="17"/>
  <c r="F178" i="17" s="1"/>
  <c r="G178" i="17" s="1"/>
  <c r="H178" i="17" s="1"/>
  <c r="I178" i="17" s="1"/>
  <c r="D178" i="17"/>
  <c r="C178" i="17"/>
  <c r="F177" i="17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C177" i="17"/>
  <c r="D177" i="17" s="1"/>
  <c r="E177" i="17" s="1"/>
  <c r="D176" i="17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C176" i="17"/>
  <c r="P174" i="17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D174" i="17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C174" i="17"/>
  <c r="C173" i="17"/>
  <c r="D173" i="17" s="1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I172" i="17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C172" i="17"/>
  <c r="D172" i="17" s="1"/>
  <c r="E172" i="17" s="1"/>
  <c r="F172" i="17" s="1"/>
  <c r="G172" i="17" s="1"/>
  <c r="H172" i="17" s="1"/>
  <c r="C171" i="17"/>
  <c r="D171" i="17" s="1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C170" i="17"/>
  <c r="D170" i="17" s="1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Y169" i="17"/>
  <c r="Z169" i="17" s="1"/>
  <c r="AA169" i="17" s="1"/>
  <c r="AB169" i="17" s="1"/>
  <c r="AC169" i="17" s="1"/>
  <c r="AD169" i="17" s="1"/>
  <c r="AE169" i="17" s="1"/>
  <c r="AF169" i="17" s="1"/>
  <c r="C169" i="17"/>
  <c r="D169" i="17" s="1"/>
  <c r="E169" i="17" s="1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K168" i="17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C168" i="17"/>
  <c r="D168" i="17" s="1"/>
  <c r="E168" i="17" s="1"/>
  <c r="F168" i="17" s="1"/>
  <c r="G168" i="17" s="1"/>
  <c r="H168" i="17" s="1"/>
  <c r="I168" i="17" s="1"/>
  <c r="J168" i="17" s="1"/>
  <c r="I167" i="17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F167" i="17"/>
  <c r="G167" i="17" s="1"/>
  <c r="H167" i="17" s="1"/>
  <c r="E167" i="17"/>
  <c r="C167" i="17"/>
  <c r="D167" i="17" s="1"/>
  <c r="Y165" i="17"/>
  <c r="Z165" i="17" s="1"/>
  <c r="AA165" i="17" s="1"/>
  <c r="AB165" i="17" s="1"/>
  <c r="AC165" i="17" s="1"/>
  <c r="AD165" i="17" s="1"/>
  <c r="AE165" i="17" s="1"/>
  <c r="AF165" i="17" s="1"/>
  <c r="D165" i="17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C165" i="17"/>
  <c r="F164" i="17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E164" i="17"/>
  <c r="C164" i="17"/>
  <c r="D164" i="17" s="1"/>
  <c r="E163" i="17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D163" i="17"/>
  <c r="C163" i="17"/>
  <c r="D162" i="17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C162" i="17"/>
  <c r="P161" i="17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C161" i="17"/>
  <c r="D161" i="17" s="1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J160" i="17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E160" i="17"/>
  <c r="F160" i="17" s="1"/>
  <c r="G160" i="17" s="1"/>
  <c r="H160" i="17" s="1"/>
  <c r="I160" i="17" s="1"/>
  <c r="C160" i="17"/>
  <c r="D160" i="17" s="1"/>
  <c r="D159" i="17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C159" i="17"/>
  <c r="R158" i="17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C158" i="17"/>
  <c r="D158" i="17" s="1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P157" i="17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C157" i="17"/>
  <c r="F156" i="17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C156" i="17"/>
  <c r="D156" i="17" s="1"/>
  <c r="E156" i="17" s="1"/>
  <c r="E155" i="17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D155" i="17"/>
  <c r="C155" i="17"/>
  <c r="J154" i="17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C154" i="17"/>
  <c r="D154" i="17" s="1"/>
  <c r="E154" i="17" s="1"/>
  <c r="F154" i="17" s="1"/>
  <c r="G154" i="17" s="1"/>
  <c r="H154" i="17" s="1"/>
  <c r="I154" i="17" s="1"/>
  <c r="H153" i="17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D153" i="17"/>
  <c r="E153" i="17" s="1"/>
  <c r="F153" i="17" s="1"/>
  <c r="G153" i="17" s="1"/>
  <c r="C153" i="17"/>
  <c r="F151" i="17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C151" i="17"/>
  <c r="D151" i="17" s="1"/>
  <c r="E151" i="17" s="1"/>
  <c r="M150" i="17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E150" i="17"/>
  <c r="F150" i="17" s="1"/>
  <c r="G150" i="17" s="1"/>
  <c r="H150" i="17" s="1"/>
  <c r="I150" i="17" s="1"/>
  <c r="J150" i="17" s="1"/>
  <c r="K150" i="17" s="1"/>
  <c r="L150" i="17" s="1"/>
  <c r="D150" i="17"/>
  <c r="C150" i="17"/>
  <c r="J149" i="17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C149" i="17"/>
  <c r="D149" i="17" s="1"/>
  <c r="E149" i="17" s="1"/>
  <c r="F149" i="17" s="1"/>
  <c r="G149" i="17" s="1"/>
  <c r="H149" i="17" s="1"/>
  <c r="I149" i="17" s="1"/>
  <c r="P148" i="17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H148" i="17"/>
  <c r="I148" i="17" s="1"/>
  <c r="J148" i="17" s="1"/>
  <c r="K148" i="17" s="1"/>
  <c r="L148" i="17" s="1"/>
  <c r="M148" i="17" s="1"/>
  <c r="N148" i="17" s="1"/>
  <c r="O148" i="17" s="1"/>
  <c r="D148" i="17"/>
  <c r="E148" i="17" s="1"/>
  <c r="F148" i="17" s="1"/>
  <c r="G148" i="17" s="1"/>
  <c r="C148" i="17"/>
  <c r="C146" i="17"/>
  <c r="D146" i="17" s="1"/>
  <c r="E146" i="17" s="1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M145" i="17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D145" i="17"/>
  <c r="E145" i="17" s="1"/>
  <c r="F145" i="17" s="1"/>
  <c r="G145" i="17" s="1"/>
  <c r="H145" i="17" s="1"/>
  <c r="I145" i="17" s="1"/>
  <c r="J145" i="17" s="1"/>
  <c r="K145" i="17" s="1"/>
  <c r="L145" i="17" s="1"/>
  <c r="C145" i="17"/>
  <c r="C143" i="17"/>
  <c r="D143" i="17" s="1"/>
  <c r="E143" i="17" s="1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H142" i="17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D142" i="17"/>
  <c r="E142" i="17" s="1"/>
  <c r="F142" i="17" s="1"/>
  <c r="G142" i="17" s="1"/>
  <c r="C142" i="17"/>
  <c r="E141" i="17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C141" i="17"/>
  <c r="D141" i="17" s="1"/>
  <c r="C140" i="17"/>
  <c r="D140" i="17" s="1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W139" i="17"/>
  <c r="X139" i="17" s="1"/>
  <c r="Y139" i="17" s="1"/>
  <c r="Z139" i="17" s="1"/>
  <c r="AA139" i="17" s="1"/>
  <c r="AB139" i="17" s="1"/>
  <c r="AC139" i="17" s="1"/>
  <c r="AD139" i="17" s="1"/>
  <c r="AE139" i="17" s="1"/>
  <c r="AF139" i="17" s="1"/>
  <c r="E139" i="17"/>
  <c r="F139" i="17" s="1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D139" i="17"/>
  <c r="C139" i="17"/>
  <c r="H138" i="17"/>
  <c r="I138" i="17" s="1"/>
  <c r="J138" i="17" s="1"/>
  <c r="K138" i="17" s="1"/>
  <c r="L138" i="17" s="1"/>
  <c r="M138" i="17" s="1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C138" i="17"/>
  <c r="D138" i="17" s="1"/>
  <c r="E138" i="17" s="1"/>
  <c r="F138" i="17" s="1"/>
  <c r="G138" i="17" s="1"/>
  <c r="S137" i="17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C137" i="17"/>
  <c r="D137" i="17" s="1"/>
  <c r="E137" i="17" s="1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Q135" i="17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C135" i="17"/>
  <c r="C134" i="17"/>
  <c r="D134" i="17" s="1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C133" i="17"/>
  <c r="D133" i="17" s="1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Q132" i="17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E132" i="17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D132" i="17"/>
  <c r="C132" i="17"/>
  <c r="G131" i="17"/>
  <c r="H131" i="17" s="1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C131" i="17"/>
  <c r="D131" i="17" s="1"/>
  <c r="E131" i="17" s="1"/>
  <c r="F131" i="17" s="1"/>
  <c r="U130" i="17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E130" i="17"/>
  <c r="F130" i="17" s="1"/>
  <c r="G130" i="17" s="1"/>
  <c r="H130" i="17" s="1"/>
  <c r="I130" i="17" s="1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C130" i="17"/>
  <c r="D130" i="17" s="1"/>
  <c r="G129" i="17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C129" i="17"/>
  <c r="D129" i="17" s="1"/>
  <c r="E129" i="17" s="1"/>
  <c r="F129" i="17" s="1"/>
  <c r="E128" i="17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D128" i="17"/>
  <c r="C128" i="17"/>
  <c r="AA126" i="17"/>
  <c r="AB126" i="17" s="1"/>
  <c r="AC126" i="17" s="1"/>
  <c r="AD126" i="17" s="1"/>
  <c r="AE126" i="17" s="1"/>
  <c r="AF126" i="17" s="1"/>
  <c r="C126" i="17"/>
  <c r="D126" i="17" s="1"/>
  <c r="E126" i="17" s="1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Y125" i="17"/>
  <c r="Z125" i="17" s="1"/>
  <c r="AA125" i="17" s="1"/>
  <c r="AB125" i="17" s="1"/>
  <c r="AC125" i="17" s="1"/>
  <c r="AD125" i="17" s="1"/>
  <c r="AE125" i="17" s="1"/>
  <c r="AF125" i="17" s="1"/>
  <c r="C125" i="17"/>
  <c r="D125" i="17" s="1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F124" i="17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C124" i="17"/>
  <c r="D124" i="17" s="1"/>
  <c r="E124" i="17" s="1"/>
  <c r="M123" i="17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D123" i="17"/>
  <c r="E123" i="17" s="1"/>
  <c r="F123" i="17" s="1"/>
  <c r="G123" i="17" s="1"/>
  <c r="H123" i="17" s="1"/>
  <c r="I123" i="17" s="1"/>
  <c r="J123" i="17" s="1"/>
  <c r="K123" i="17" s="1"/>
  <c r="L123" i="17" s="1"/>
  <c r="C123" i="17"/>
  <c r="Z122" i="17"/>
  <c r="AA122" i="17" s="1"/>
  <c r="AB122" i="17" s="1"/>
  <c r="AC122" i="17" s="1"/>
  <c r="AD122" i="17" s="1"/>
  <c r="AE122" i="17" s="1"/>
  <c r="AF122" i="17" s="1"/>
  <c r="C122" i="17"/>
  <c r="D122" i="17" s="1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E121" i="17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C121" i="17"/>
  <c r="D121" i="17" s="1"/>
  <c r="AE120" i="17"/>
  <c r="AF120" i="17" s="1"/>
  <c r="O120" i="17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D120" i="17"/>
  <c r="E120" i="17" s="1"/>
  <c r="F120" i="17" s="1"/>
  <c r="G120" i="17" s="1"/>
  <c r="H120" i="17" s="1"/>
  <c r="I120" i="17" s="1"/>
  <c r="J120" i="17" s="1"/>
  <c r="K120" i="17" s="1"/>
  <c r="L120" i="17" s="1"/>
  <c r="M120" i="17" s="1"/>
  <c r="N120" i="17" s="1"/>
  <c r="C120" i="17"/>
  <c r="E119" i="17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D119" i="17"/>
  <c r="C119" i="17"/>
  <c r="D118" i="17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C118" i="17"/>
  <c r="G117" i="17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C117" i="17"/>
  <c r="D117" i="17" s="1"/>
  <c r="E117" i="17" s="1"/>
  <c r="F117" i="17" s="1"/>
  <c r="I116" i="17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C116" i="17"/>
  <c r="D116" i="17" s="1"/>
  <c r="E116" i="17" s="1"/>
  <c r="F116" i="17" s="1"/>
  <c r="G116" i="17" s="1"/>
  <c r="H116" i="17" s="1"/>
  <c r="C115" i="17"/>
  <c r="D115" i="17" s="1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H114" i="17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E114" i="17"/>
  <c r="F114" i="17" s="1"/>
  <c r="G114" i="17" s="1"/>
  <c r="D114" i="17"/>
  <c r="C114" i="17"/>
  <c r="H113" i="17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C113" i="17"/>
  <c r="D113" i="17" s="1"/>
  <c r="E113" i="17" s="1"/>
  <c r="F113" i="17" s="1"/>
  <c r="G113" i="17" s="1"/>
  <c r="C112" i="17"/>
  <c r="D112" i="17" s="1"/>
  <c r="E112" i="17" s="1"/>
  <c r="J111" i="17"/>
  <c r="K111" i="17" s="1"/>
  <c r="L111" i="17" s="1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H111" i="17"/>
  <c r="D111" i="17"/>
  <c r="E111" i="17" s="1"/>
  <c r="F111" i="17" s="1"/>
  <c r="G111" i="17" s="1"/>
  <c r="C111" i="17"/>
  <c r="G110" i="17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F110" i="17"/>
  <c r="C110" i="17"/>
  <c r="D110" i="17" s="1"/>
  <c r="E110" i="17" s="1"/>
  <c r="D109" i="17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C109" i="17"/>
  <c r="C107" i="17"/>
  <c r="D107" i="17" s="1"/>
  <c r="E107" i="17" s="1"/>
  <c r="F107" i="17" s="1"/>
  <c r="G107" i="17" s="1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G106" i="17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D106" i="17"/>
  <c r="E106" i="17" s="1"/>
  <c r="F106" i="17" s="1"/>
  <c r="C106" i="17"/>
  <c r="F104" i="17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E104" i="17"/>
  <c r="C104" i="17"/>
  <c r="D104" i="17" s="1"/>
  <c r="E103" i="17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D103" i="17"/>
  <c r="C103" i="17"/>
  <c r="C102" i="17"/>
  <c r="D102" i="17" s="1"/>
  <c r="E102" i="17" s="1"/>
  <c r="F102" i="17" s="1"/>
  <c r="G102" i="17" s="1"/>
  <c r="H102" i="17" s="1"/>
  <c r="I102" i="17" s="1"/>
  <c r="J102" i="17" s="1"/>
  <c r="K102" i="17" s="1"/>
  <c r="L102" i="17" s="1"/>
  <c r="M102" i="17" s="1"/>
  <c r="N102" i="17" s="1"/>
  <c r="O102" i="17" s="1"/>
  <c r="P102" i="17" s="1"/>
  <c r="Q102" i="17" s="1"/>
  <c r="R102" i="17" s="1"/>
  <c r="S102" i="17" s="1"/>
  <c r="T102" i="17" s="1"/>
  <c r="U102" i="17" s="1"/>
  <c r="V102" i="17" s="1"/>
  <c r="W102" i="17" s="1"/>
  <c r="X102" i="17" s="1"/>
  <c r="Y102" i="17" s="1"/>
  <c r="Z102" i="17" s="1"/>
  <c r="AA102" i="17" s="1"/>
  <c r="AB102" i="17" s="1"/>
  <c r="AC102" i="17" s="1"/>
  <c r="AD102" i="17" s="1"/>
  <c r="AE102" i="17" s="1"/>
  <c r="AF102" i="17" s="1"/>
  <c r="H101" i="17"/>
  <c r="I101" i="17" s="1"/>
  <c r="J101" i="17" s="1"/>
  <c r="K101" i="17" s="1"/>
  <c r="L101" i="17" s="1"/>
  <c r="M101" i="17" s="1"/>
  <c r="N101" i="17" s="1"/>
  <c r="O101" i="17" s="1"/>
  <c r="P101" i="17" s="1"/>
  <c r="Q101" i="17" s="1"/>
  <c r="R101" i="17" s="1"/>
  <c r="S101" i="17" s="1"/>
  <c r="T101" i="17" s="1"/>
  <c r="U101" i="17" s="1"/>
  <c r="V101" i="17" s="1"/>
  <c r="W101" i="17" s="1"/>
  <c r="X101" i="17" s="1"/>
  <c r="Y101" i="17" s="1"/>
  <c r="Z101" i="17" s="1"/>
  <c r="AA101" i="17" s="1"/>
  <c r="AB101" i="17" s="1"/>
  <c r="AC101" i="17" s="1"/>
  <c r="AD101" i="17" s="1"/>
  <c r="AE101" i="17" s="1"/>
  <c r="AF101" i="17" s="1"/>
  <c r="G101" i="17"/>
  <c r="D101" i="17"/>
  <c r="E101" i="17" s="1"/>
  <c r="F101" i="17" s="1"/>
  <c r="C101" i="17"/>
  <c r="G100" i="17"/>
  <c r="F100" i="17"/>
  <c r="E100" i="17"/>
  <c r="C100" i="17"/>
  <c r="D100" i="17" s="1"/>
  <c r="C99" i="17"/>
  <c r="C189" i="17" s="1"/>
  <c r="AH96" i="17"/>
  <c r="AI96" i="17" s="1"/>
  <c r="AH95" i="17"/>
  <c r="AI95" i="17" s="1"/>
  <c r="AH94" i="17"/>
  <c r="AI94" i="17" s="1"/>
  <c r="AH93" i="17"/>
  <c r="AI93" i="17" s="1"/>
  <c r="AH92" i="17"/>
  <c r="AI92" i="17" s="1"/>
  <c r="C91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G80" i="17"/>
  <c r="H80" i="17"/>
  <c r="AI79" i="17"/>
  <c r="AH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F76" i="17"/>
  <c r="AE76" i="17"/>
  <c r="AD76" i="17"/>
  <c r="AC76" i="17"/>
  <c r="AB76" i="17"/>
  <c r="AA76" i="17"/>
  <c r="Z76" i="17"/>
  <c r="Y76" i="17"/>
  <c r="X76" i="17"/>
  <c r="X80" i="17" s="1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F74" i="17"/>
  <c r="AE74" i="17"/>
  <c r="AD74" i="17"/>
  <c r="AD80" i="17" s="1"/>
  <c r="AC74" i="17"/>
  <c r="AB74" i="17"/>
  <c r="AA74" i="17"/>
  <c r="Z74" i="17"/>
  <c r="Y74" i="17"/>
  <c r="X74" i="17"/>
  <c r="W74" i="17"/>
  <c r="V74" i="17"/>
  <c r="V80" i="17" s="1"/>
  <c r="U74" i="17"/>
  <c r="T74" i="17"/>
  <c r="S74" i="17"/>
  <c r="S80" i="17" s="1"/>
  <c r="R74" i="17"/>
  <c r="Q74" i="17"/>
  <c r="P74" i="17"/>
  <c r="O74" i="17"/>
  <c r="O80" i="17" s="1"/>
  <c r="N74" i="17"/>
  <c r="N80" i="17" s="1"/>
  <c r="M74" i="17"/>
  <c r="M80" i="17" s="1"/>
  <c r="L74" i="17"/>
  <c r="K74" i="17"/>
  <c r="J74" i="17"/>
  <c r="I74" i="17"/>
  <c r="H74" i="17"/>
  <c r="G74" i="17"/>
  <c r="F74" i="17"/>
  <c r="E74" i="17"/>
  <c r="D74" i="17"/>
  <c r="C74" i="17"/>
  <c r="AI72" i="17"/>
  <c r="AH72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I70" i="17" s="1"/>
  <c r="AH70" i="17"/>
  <c r="AI69" i="17"/>
  <c r="AH69" i="17"/>
  <c r="AI68" i="17"/>
  <c r="AH68" i="17"/>
  <c r="AI67" i="17"/>
  <c r="AH67" i="17"/>
  <c r="AG66" i="17"/>
  <c r="AF66" i="17"/>
  <c r="AF5" i="17" s="1"/>
  <c r="AE66" i="17"/>
  <c r="AE5" i="17" s="1"/>
  <c r="AD66" i="17"/>
  <c r="AD5" i="17" s="1"/>
  <c r="AC66" i="17"/>
  <c r="AB66" i="17"/>
  <c r="AB5" i="17" s="1"/>
  <c r="AA66" i="17"/>
  <c r="Z66" i="17"/>
  <c r="Z5" i="17" s="1"/>
  <c r="Y66" i="17"/>
  <c r="X66" i="17"/>
  <c r="X5" i="17" s="1"/>
  <c r="W66" i="17"/>
  <c r="W5" i="17" s="1"/>
  <c r="V66" i="17"/>
  <c r="U66" i="17"/>
  <c r="T66" i="17"/>
  <c r="S66" i="17"/>
  <c r="R66" i="17"/>
  <c r="Q66" i="17"/>
  <c r="P66" i="17"/>
  <c r="P5" i="17" s="1"/>
  <c r="O66" i="17"/>
  <c r="O5" i="17" s="1"/>
  <c r="N66" i="17"/>
  <c r="N5" i="17" s="1"/>
  <c r="M66" i="17"/>
  <c r="L66" i="17"/>
  <c r="K66" i="17"/>
  <c r="J66" i="17"/>
  <c r="I66" i="17"/>
  <c r="I5" i="17" s="1"/>
  <c r="H66" i="17"/>
  <c r="H5" i="17" s="1"/>
  <c r="G66" i="17"/>
  <c r="G5" i="17" s="1"/>
  <c r="F66" i="17"/>
  <c r="F5" i="17" s="1"/>
  <c r="E66" i="17"/>
  <c r="E5" i="17" s="1"/>
  <c r="D66" i="17"/>
  <c r="C66" i="17"/>
  <c r="C5" i="17" s="1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AI53" i="17"/>
  <c r="AH53" i="17"/>
  <c r="AI52" i="17"/>
  <c r="AH52" i="17"/>
  <c r="AI51" i="17"/>
  <c r="AH51" i="17"/>
  <c r="Y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G49" i="17"/>
  <c r="AG50" i="17" s="1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R73" i="17" s="1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C5" i="17"/>
  <c r="AA5" i="17"/>
  <c r="Y5" i="17"/>
  <c r="U5" i="17"/>
  <c r="T5" i="17"/>
  <c r="S5" i="17"/>
  <c r="R5" i="17"/>
  <c r="Q5" i="17"/>
  <c r="M5" i="17"/>
  <c r="L5" i="17"/>
  <c r="K5" i="17"/>
  <c r="J5" i="17"/>
  <c r="D5" i="17"/>
  <c r="B5" i="17"/>
  <c r="AG4" i="17"/>
  <c r="K4" i="17"/>
  <c r="B4" i="17"/>
  <c r="AG2" i="17"/>
  <c r="AF93" i="16"/>
  <c r="AE93" i="16"/>
  <c r="AE35" i="16"/>
  <c r="AD93" i="16"/>
  <c r="AD35" i="16"/>
  <c r="AC93" i="16"/>
  <c r="AC35" i="16"/>
  <c r="AB35" i="16"/>
  <c r="AA35" i="16"/>
  <c r="Y93" i="16"/>
  <c r="X93" i="16"/>
  <c r="W93" i="16"/>
  <c r="V93" i="16"/>
  <c r="U93" i="16"/>
  <c r="E4" i="17"/>
  <c r="AD100" i="21" l="1"/>
  <c r="AC91" i="21"/>
  <c r="AB189" i="21"/>
  <c r="AC99" i="21"/>
  <c r="AT211" i="21"/>
  <c r="AB7" i="21"/>
  <c r="AB81" i="21"/>
  <c r="AE191" i="21"/>
  <c r="AD197" i="21"/>
  <c r="AD49" i="21" s="1"/>
  <c r="AD50" i="21" s="1"/>
  <c r="AE232" i="21"/>
  <c r="AF196" i="21"/>
  <c r="AF232" i="21" s="1"/>
  <c r="AC71" i="21"/>
  <c r="AC73" i="21"/>
  <c r="T189" i="20"/>
  <c r="U99" i="20"/>
  <c r="W100" i="20"/>
  <c r="V196" i="20"/>
  <c r="U232" i="20"/>
  <c r="U191" i="20"/>
  <c r="T197" i="20"/>
  <c r="T49" i="20" s="1"/>
  <c r="T91" i="20"/>
  <c r="M100" i="19"/>
  <c r="L91" i="19"/>
  <c r="L232" i="19"/>
  <c r="M196" i="19"/>
  <c r="M197" i="19"/>
  <c r="N191" i="19"/>
  <c r="L197" i="19"/>
  <c r="L189" i="19"/>
  <c r="M99" i="19"/>
  <c r="J196" i="18"/>
  <c r="I232" i="18"/>
  <c r="L100" i="18"/>
  <c r="H189" i="18"/>
  <c r="I99" i="18"/>
  <c r="I191" i="18"/>
  <c r="H197" i="18"/>
  <c r="H91" i="18"/>
  <c r="AF80" i="17"/>
  <c r="AE80" i="17"/>
  <c r="AC80" i="17"/>
  <c r="AB80" i="17"/>
  <c r="AA80" i="17"/>
  <c r="Z80" i="17"/>
  <c r="Y80" i="17"/>
  <c r="Y71" i="17"/>
  <c r="Y73" i="17"/>
  <c r="W80" i="17"/>
  <c r="U80" i="17"/>
  <c r="T80" i="17"/>
  <c r="S71" i="17"/>
  <c r="R80" i="17"/>
  <c r="AJ211" i="17"/>
  <c r="R7" i="17"/>
  <c r="R71" i="17"/>
  <c r="R81" i="17" s="1"/>
  <c r="AI76" i="17"/>
  <c r="Q80" i="17"/>
  <c r="Q71" i="17"/>
  <c r="Q73" i="17"/>
  <c r="P80" i="17"/>
  <c r="P73" i="17"/>
  <c r="P7" i="17" s="1"/>
  <c r="O73" i="17"/>
  <c r="N73" i="17"/>
  <c r="AF211" i="17" s="1"/>
  <c r="M71" i="17"/>
  <c r="M73" i="17"/>
  <c r="AI75" i="17"/>
  <c r="L80" i="17"/>
  <c r="L73" i="17"/>
  <c r="L71" i="17"/>
  <c r="K80" i="17"/>
  <c r="K71" i="17"/>
  <c r="J73" i="17"/>
  <c r="J80" i="17"/>
  <c r="AB211" i="17"/>
  <c r="J7" i="17"/>
  <c r="J71" i="17"/>
  <c r="J81" i="17" s="1"/>
  <c r="I80" i="17"/>
  <c r="I71" i="17"/>
  <c r="I73" i="17"/>
  <c r="H73" i="17"/>
  <c r="AI74" i="17"/>
  <c r="AI78" i="17"/>
  <c r="G80" i="17"/>
  <c r="AH76" i="17"/>
  <c r="G73" i="17"/>
  <c r="Y211" i="17" s="1"/>
  <c r="AI77" i="17"/>
  <c r="F80" i="17"/>
  <c r="AH54" i="17"/>
  <c r="F73" i="17"/>
  <c r="X211" i="17" s="1"/>
  <c r="E73" i="17"/>
  <c r="W211" i="17" s="1"/>
  <c r="E80" i="17"/>
  <c r="E71" i="17"/>
  <c r="D73" i="17"/>
  <c r="AI54" i="17"/>
  <c r="AI36" i="17"/>
  <c r="D71" i="17"/>
  <c r="C80" i="17"/>
  <c r="C71" i="17"/>
  <c r="B73" i="17"/>
  <c r="B71" i="17"/>
  <c r="H4" i="17"/>
  <c r="AG211" i="17"/>
  <c r="O7" i="17"/>
  <c r="V211" i="17"/>
  <c r="D7" i="17"/>
  <c r="Z211" i="17"/>
  <c r="H7" i="17"/>
  <c r="AD211" i="17"/>
  <c r="L7" i="17"/>
  <c r="F112" i="17"/>
  <c r="AG71" i="17"/>
  <c r="AG81" i="17" s="1"/>
  <c r="AG3" i="17"/>
  <c r="AG6" i="17" s="1"/>
  <c r="AG73" i="17"/>
  <c r="L81" i="17"/>
  <c r="H100" i="17"/>
  <c r="S208" i="17"/>
  <c r="D208" i="17"/>
  <c r="AH36" i="17"/>
  <c r="G71" i="17"/>
  <c r="G81" i="17" s="1"/>
  <c r="O71" i="17"/>
  <c r="C73" i="17"/>
  <c r="K73" i="17"/>
  <c r="S73" i="17"/>
  <c r="AH74" i="17"/>
  <c r="D99" i="17"/>
  <c r="F71" i="17"/>
  <c r="N71" i="17"/>
  <c r="V5" i="17"/>
  <c r="AH66" i="17"/>
  <c r="H71" i="17"/>
  <c r="H81" i="17" s="1"/>
  <c r="P71" i="17"/>
  <c r="AH75" i="17"/>
  <c r="D80" i="17"/>
  <c r="AH77" i="17"/>
  <c r="D91" i="17"/>
  <c r="AI66" i="17"/>
  <c r="AH78" i="17"/>
  <c r="C197" i="17"/>
  <c r="D197" i="17"/>
  <c r="E191" i="17"/>
  <c r="E196" i="17"/>
  <c r="D232" i="17"/>
  <c r="C232" i="17"/>
  <c r="S93" i="16"/>
  <c r="R93" i="16"/>
  <c r="S35" i="16"/>
  <c r="R35" i="16"/>
  <c r="Q35" i="16"/>
  <c r="P35" i="16"/>
  <c r="O35" i="16"/>
  <c r="N35" i="16"/>
  <c r="B91" i="16"/>
  <c r="AH97" i="16"/>
  <c r="AI97" i="16" s="1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AF234" i="16"/>
  <c r="AE234" i="16"/>
  <c r="AD234" i="16"/>
  <c r="AC234" i="16"/>
  <c r="AB234" i="16"/>
  <c r="AA234" i="16"/>
  <c r="Z234" i="16"/>
  <c r="Y234" i="16"/>
  <c r="X234" i="16"/>
  <c r="W234" i="16"/>
  <c r="V234" i="16"/>
  <c r="U234" i="16"/>
  <c r="T234" i="16"/>
  <c r="S234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B234" i="16"/>
  <c r="A234" i="16"/>
  <c r="AF233" i="16"/>
  <c r="AE233" i="16"/>
  <c r="AD233" i="16"/>
  <c r="AC233" i="16"/>
  <c r="AB233" i="16"/>
  <c r="AA233" i="16"/>
  <c r="Z233" i="16"/>
  <c r="Y233" i="16"/>
  <c r="X233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B233" i="16"/>
  <c r="A233" i="16"/>
  <c r="B232" i="16"/>
  <c r="S207" i="16"/>
  <c r="AG197" i="16"/>
  <c r="B197" i="16"/>
  <c r="C196" i="16"/>
  <c r="D196" i="16" s="1"/>
  <c r="D195" i="16"/>
  <c r="E195" i="16" s="1"/>
  <c r="F195" i="16" s="1"/>
  <c r="G195" i="16" s="1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C195" i="16"/>
  <c r="D194" i="16"/>
  <c r="E194" i="16" s="1"/>
  <c r="F194" i="16" s="1"/>
  <c r="G194" i="16" s="1"/>
  <c r="H194" i="16" s="1"/>
  <c r="I194" i="16" s="1"/>
  <c r="J194" i="16" s="1"/>
  <c r="K194" i="16" s="1"/>
  <c r="L194" i="16" s="1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C194" i="16"/>
  <c r="C193" i="16"/>
  <c r="D193" i="16" s="1"/>
  <c r="E193" i="16" s="1"/>
  <c r="F193" i="16" s="1"/>
  <c r="G193" i="16" s="1"/>
  <c r="H193" i="16" s="1"/>
  <c r="I193" i="16" s="1"/>
  <c r="J193" i="16" s="1"/>
  <c r="K193" i="16" s="1"/>
  <c r="L193" i="16" s="1"/>
  <c r="M193" i="16" s="1"/>
  <c r="N193" i="16" s="1"/>
  <c r="O193" i="16" s="1"/>
  <c r="P193" i="16" s="1"/>
  <c r="Q193" i="16" s="1"/>
  <c r="R193" i="16" s="1"/>
  <c r="S193" i="16" s="1"/>
  <c r="T193" i="16" s="1"/>
  <c r="U193" i="16" s="1"/>
  <c r="V193" i="16" s="1"/>
  <c r="W193" i="16" s="1"/>
  <c r="X193" i="16" s="1"/>
  <c r="Y193" i="16" s="1"/>
  <c r="Z193" i="16" s="1"/>
  <c r="AA193" i="16" s="1"/>
  <c r="AB193" i="16" s="1"/>
  <c r="AC193" i="16" s="1"/>
  <c r="AD193" i="16" s="1"/>
  <c r="AE193" i="16" s="1"/>
  <c r="AF193" i="16" s="1"/>
  <c r="AA192" i="16"/>
  <c r="AB192" i="16" s="1"/>
  <c r="AC192" i="16" s="1"/>
  <c r="AD192" i="16" s="1"/>
  <c r="AE192" i="16" s="1"/>
  <c r="AF192" i="16" s="1"/>
  <c r="C192" i="16"/>
  <c r="D192" i="16" s="1"/>
  <c r="E192" i="16" s="1"/>
  <c r="F192" i="16" s="1"/>
  <c r="G192" i="16" s="1"/>
  <c r="H192" i="16" s="1"/>
  <c r="I192" i="16" s="1"/>
  <c r="J192" i="16" s="1"/>
  <c r="K192" i="16" s="1"/>
  <c r="L192" i="16" s="1"/>
  <c r="M192" i="16" s="1"/>
  <c r="N192" i="16" s="1"/>
  <c r="O192" i="16" s="1"/>
  <c r="P192" i="16" s="1"/>
  <c r="Q192" i="16" s="1"/>
  <c r="R192" i="16" s="1"/>
  <c r="S192" i="16" s="1"/>
  <c r="T192" i="16" s="1"/>
  <c r="U192" i="16" s="1"/>
  <c r="V192" i="16" s="1"/>
  <c r="W192" i="16" s="1"/>
  <c r="X192" i="16" s="1"/>
  <c r="Y192" i="16" s="1"/>
  <c r="Z192" i="16" s="1"/>
  <c r="D191" i="16"/>
  <c r="E191" i="16" s="1"/>
  <c r="C191" i="16"/>
  <c r="AG189" i="16"/>
  <c r="B189" i="16"/>
  <c r="D188" i="16"/>
  <c r="E188" i="16" s="1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C188" i="16"/>
  <c r="C187" i="16"/>
  <c r="D187" i="16" s="1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D186" i="16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C186" i="16"/>
  <c r="D185" i="16"/>
  <c r="E185" i="16" s="1"/>
  <c r="F185" i="16" s="1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C185" i="16"/>
  <c r="C184" i="16"/>
  <c r="D184" i="16" s="1"/>
  <c r="E184" i="16" s="1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E183" i="16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C183" i="16"/>
  <c r="D183" i="16" s="1"/>
  <c r="C182" i="16"/>
  <c r="D182" i="16" s="1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G181" i="16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C181" i="16"/>
  <c r="D181" i="16" s="1"/>
  <c r="E181" i="16" s="1"/>
  <c r="F181" i="16" s="1"/>
  <c r="H180" i="16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C180" i="16"/>
  <c r="D180" i="16" s="1"/>
  <c r="E180" i="16" s="1"/>
  <c r="F180" i="16" s="1"/>
  <c r="G180" i="16" s="1"/>
  <c r="C179" i="16"/>
  <c r="D179" i="16" s="1"/>
  <c r="E179" i="16" s="1"/>
  <c r="F179" i="16" s="1"/>
  <c r="G179" i="16" s="1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F178" i="16"/>
  <c r="G178" i="16" s="1"/>
  <c r="H178" i="16" s="1"/>
  <c r="I178" i="16" s="1"/>
  <c r="J178" i="16" s="1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D178" i="16"/>
  <c r="E178" i="16" s="1"/>
  <c r="C178" i="16"/>
  <c r="C177" i="16"/>
  <c r="D177" i="16" s="1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C176" i="16"/>
  <c r="D176" i="16" s="1"/>
  <c r="E176" i="16" s="1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C174" i="16"/>
  <c r="D174" i="16" s="1"/>
  <c r="E174" i="16" s="1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C173" i="16"/>
  <c r="D173" i="16" s="1"/>
  <c r="E173" i="16" s="1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C172" i="16"/>
  <c r="D172" i="16" s="1"/>
  <c r="E172" i="16" s="1"/>
  <c r="F172" i="16" s="1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C171" i="16"/>
  <c r="D171" i="16" s="1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C170" i="16"/>
  <c r="D170" i="16" s="1"/>
  <c r="E170" i="16" s="1"/>
  <c r="F170" i="16" s="1"/>
  <c r="G170" i="16" s="1"/>
  <c r="H170" i="16" s="1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C169" i="16"/>
  <c r="D169" i="16" s="1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C168" i="16"/>
  <c r="D168" i="16" s="1"/>
  <c r="E168" i="16" s="1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C167" i="16"/>
  <c r="D167" i="16" s="1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H165" i="16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C165" i="16"/>
  <c r="D165" i="16" s="1"/>
  <c r="E165" i="16" s="1"/>
  <c r="F165" i="16" s="1"/>
  <c r="G165" i="16" s="1"/>
  <c r="C164" i="16"/>
  <c r="D164" i="16" s="1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H162" i="16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C162" i="16"/>
  <c r="D162" i="16" s="1"/>
  <c r="E162" i="16" s="1"/>
  <c r="F162" i="16" s="1"/>
  <c r="G162" i="16" s="1"/>
  <c r="C161" i="16"/>
  <c r="D161" i="16" s="1"/>
  <c r="E161" i="16" s="1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C160" i="16"/>
  <c r="D160" i="16" s="1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D159" i="16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C159" i="16"/>
  <c r="C158" i="16"/>
  <c r="D158" i="16" s="1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F157" i="16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C157" i="16"/>
  <c r="D157" i="16" s="1"/>
  <c r="E157" i="16" s="1"/>
  <c r="D156" i="16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C156" i="16"/>
  <c r="C155" i="16"/>
  <c r="D155" i="16" s="1"/>
  <c r="E155" i="16" s="1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D154" i="16"/>
  <c r="E154" i="16" s="1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C154" i="16"/>
  <c r="C153" i="16"/>
  <c r="D153" i="16" s="1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D151" i="16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C151" i="16"/>
  <c r="C150" i="16"/>
  <c r="D150" i="16" s="1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C149" i="16"/>
  <c r="D149" i="16" s="1"/>
  <c r="E149" i="16" s="1"/>
  <c r="F149" i="16" s="1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C148" i="16"/>
  <c r="D148" i="16" s="1"/>
  <c r="E148" i="16" s="1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E146" i="16"/>
  <c r="F146" i="16" s="1"/>
  <c r="G146" i="16" s="1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C146" i="16"/>
  <c r="D146" i="16" s="1"/>
  <c r="AA145" i="16"/>
  <c r="AB145" i="16" s="1"/>
  <c r="AC145" i="16" s="1"/>
  <c r="AD145" i="16" s="1"/>
  <c r="AE145" i="16" s="1"/>
  <c r="AF145" i="16" s="1"/>
  <c r="C145" i="16"/>
  <c r="D145" i="16" s="1"/>
  <c r="E145" i="16" s="1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E143" i="16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D143" i="16"/>
  <c r="C143" i="16"/>
  <c r="O142" i="16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C142" i="16"/>
  <c r="D142" i="16" s="1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C141" i="16"/>
  <c r="D141" i="16" s="1"/>
  <c r="E141" i="16" s="1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C140" i="16"/>
  <c r="D140" i="16" s="1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C139" i="16"/>
  <c r="D139" i="16" s="1"/>
  <c r="E139" i="16" s="1"/>
  <c r="F139" i="16" s="1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C138" i="16"/>
  <c r="D138" i="16" s="1"/>
  <c r="E138" i="16" s="1"/>
  <c r="F138" i="16" s="1"/>
  <c r="G138" i="16" s="1"/>
  <c r="H138" i="16" s="1"/>
  <c r="I138" i="16" s="1"/>
  <c r="J138" i="16" s="1"/>
  <c r="K138" i="16" s="1"/>
  <c r="L138" i="16" s="1"/>
  <c r="M138" i="16" s="1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C137" i="16"/>
  <c r="D137" i="16" s="1"/>
  <c r="E137" i="16" s="1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J135" i="16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C135" i="16"/>
  <c r="D135" i="16" s="1"/>
  <c r="E135" i="16" s="1"/>
  <c r="F135" i="16" s="1"/>
  <c r="G135" i="16" s="1"/>
  <c r="H135" i="16" s="1"/>
  <c r="I135" i="16" s="1"/>
  <c r="D134" i="16"/>
  <c r="E134" i="16" s="1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C134" i="16"/>
  <c r="C133" i="16"/>
  <c r="D133" i="16" s="1"/>
  <c r="E133" i="16" s="1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D132" i="16"/>
  <c r="E132" i="16" s="1"/>
  <c r="F132" i="16" s="1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C132" i="16"/>
  <c r="G131" i="16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C131" i="16"/>
  <c r="D131" i="16" s="1"/>
  <c r="E131" i="16" s="1"/>
  <c r="F131" i="16" s="1"/>
  <c r="C130" i="16"/>
  <c r="D130" i="16" s="1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I129" i="16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D129" i="16"/>
  <c r="E129" i="16" s="1"/>
  <c r="F129" i="16" s="1"/>
  <c r="G129" i="16" s="1"/>
  <c r="H129" i="16" s="1"/>
  <c r="C129" i="16"/>
  <c r="C128" i="16"/>
  <c r="D128" i="16" s="1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C126" i="16"/>
  <c r="D126" i="16" s="1"/>
  <c r="E126" i="16" s="1"/>
  <c r="F126" i="16" s="1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E125" i="16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C125" i="16"/>
  <c r="D125" i="16" s="1"/>
  <c r="G124" i="16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C124" i="16"/>
  <c r="D124" i="16" s="1"/>
  <c r="E124" i="16" s="1"/>
  <c r="F124" i="16" s="1"/>
  <c r="E123" i="16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C123" i="16"/>
  <c r="D123" i="16" s="1"/>
  <c r="C122" i="16"/>
  <c r="D122" i="16" s="1"/>
  <c r="E122" i="16" s="1"/>
  <c r="F122" i="16" s="1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C121" i="16"/>
  <c r="D121" i="16" s="1"/>
  <c r="E121" i="16" s="1"/>
  <c r="F121" i="16" s="1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C120" i="16"/>
  <c r="D120" i="16" s="1"/>
  <c r="E120" i="16" s="1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C119" i="16"/>
  <c r="D119" i="16" s="1"/>
  <c r="E119" i="16" s="1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E117" i="16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C117" i="16"/>
  <c r="D117" i="16" s="1"/>
  <c r="C116" i="16"/>
  <c r="D116" i="16" s="1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C115" i="16"/>
  <c r="D115" i="16" s="1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C114" i="16"/>
  <c r="D114" i="16" s="1"/>
  <c r="E114" i="16" s="1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C113" i="16"/>
  <c r="D113" i="16" s="1"/>
  <c r="E113" i="16" s="1"/>
  <c r="F113" i="16" s="1"/>
  <c r="G113" i="16" s="1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C112" i="16"/>
  <c r="D112" i="16" s="1"/>
  <c r="E112" i="16" s="1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K111" i="16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J111" i="16"/>
  <c r="D111" i="16"/>
  <c r="E111" i="16" s="1"/>
  <c r="F111" i="16" s="1"/>
  <c r="G111" i="16" s="1"/>
  <c r="H111" i="16" s="1"/>
  <c r="C111" i="16"/>
  <c r="D110" i="16"/>
  <c r="E110" i="16" s="1"/>
  <c r="F110" i="16" s="1"/>
  <c r="G110" i="16" s="1"/>
  <c r="H110" i="16" s="1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C110" i="16"/>
  <c r="D109" i="16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C109" i="16"/>
  <c r="C107" i="16"/>
  <c r="D107" i="16" s="1"/>
  <c r="E107" i="16" s="1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C106" i="16"/>
  <c r="D106" i="16" s="1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D104" i="16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C104" i="16"/>
  <c r="C103" i="16"/>
  <c r="D103" i="16" s="1"/>
  <c r="E103" i="16" s="1"/>
  <c r="F103" i="16" s="1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C102" i="16"/>
  <c r="D102" i="16" s="1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C101" i="16"/>
  <c r="D101" i="16" s="1"/>
  <c r="E101" i="16" s="1"/>
  <c r="F101" i="16" s="1"/>
  <c r="G101" i="16" s="1"/>
  <c r="H101" i="16" s="1"/>
  <c r="I101" i="16" s="1"/>
  <c r="J101" i="16" s="1"/>
  <c r="K101" i="16" s="1"/>
  <c r="L101" i="16" s="1"/>
  <c r="M101" i="16" s="1"/>
  <c r="N101" i="16" s="1"/>
  <c r="O101" i="16" s="1"/>
  <c r="P101" i="16" s="1"/>
  <c r="Q101" i="16" s="1"/>
  <c r="R101" i="16" s="1"/>
  <c r="S101" i="16" s="1"/>
  <c r="T101" i="16" s="1"/>
  <c r="U101" i="16" s="1"/>
  <c r="V101" i="16" s="1"/>
  <c r="W101" i="16" s="1"/>
  <c r="X101" i="16" s="1"/>
  <c r="Y101" i="16" s="1"/>
  <c r="Z101" i="16" s="1"/>
  <c r="AA101" i="16" s="1"/>
  <c r="AB101" i="16" s="1"/>
  <c r="AC101" i="16" s="1"/>
  <c r="AD101" i="16" s="1"/>
  <c r="AE101" i="16" s="1"/>
  <c r="AF101" i="16" s="1"/>
  <c r="D100" i="16"/>
  <c r="E100" i="16" s="1"/>
  <c r="F100" i="16" s="1"/>
  <c r="C100" i="16"/>
  <c r="C91" i="16" s="1"/>
  <c r="C99" i="16"/>
  <c r="D99" i="16" s="1"/>
  <c r="AH96" i="16"/>
  <c r="AI96" i="16" s="1"/>
  <c r="AH95" i="16"/>
  <c r="AI95" i="16" s="1"/>
  <c r="AH94" i="16"/>
  <c r="AI94" i="16" s="1"/>
  <c r="AH93" i="16"/>
  <c r="AI93" i="16" s="1"/>
  <c r="AH92" i="16"/>
  <c r="AI92" i="16" s="1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G80" i="16"/>
  <c r="AI79" i="16"/>
  <c r="AH79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AF75" i="16"/>
  <c r="AE75" i="16"/>
  <c r="AD75" i="16"/>
  <c r="AC75" i="16"/>
  <c r="AB75" i="16"/>
  <c r="AA75" i="16"/>
  <c r="Z75" i="16"/>
  <c r="Z80" i="16" s="1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AI72" i="16"/>
  <c r="AH72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I69" i="16"/>
  <c r="AH69" i="16"/>
  <c r="AI68" i="16"/>
  <c r="AH68" i="16"/>
  <c r="AI67" i="16"/>
  <c r="AH67" i="16"/>
  <c r="AG66" i="16"/>
  <c r="AF66" i="16"/>
  <c r="AE66" i="16"/>
  <c r="AE5" i="16" s="1"/>
  <c r="AD66" i="16"/>
  <c r="AD5" i="16" s="1"/>
  <c r="AC66" i="16"/>
  <c r="AC5" i="16" s="1"/>
  <c r="AB66" i="16"/>
  <c r="AB5" i="16" s="1"/>
  <c r="AA66" i="16"/>
  <c r="AA5" i="16" s="1"/>
  <c r="Z66" i="16"/>
  <c r="Y66" i="16"/>
  <c r="X66" i="16"/>
  <c r="W66" i="16"/>
  <c r="W5" i="16" s="1"/>
  <c r="V66" i="16"/>
  <c r="V5" i="16" s="1"/>
  <c r="U66" i="16"/>
  <c r="U5" i="16" s="1"/>
  <c r="T66" i="16"/>
  <c r="T5" i="16" s="1"/>
  <c r="S66" i="16"/>
  <c r="S5" i="16" s="1"/>
  <c r="R66" i="16"/>
  <c r="R5" i="16" s="1"/>
  <c r="Q66" i="16"/>
  <c r="P66" i="16"/>
  <c r="O66" i="16"/>
  <c r="O5" i="16" s="1"/>
  <c r="N66" i="16"/>
  <c r="M66" i="16"/>
  <c r="M5" i="16" s="1"/>
  <c r="L66" i="16"/>
  <c r="L5" i="16" s="1"/>
  <c r="K66" i="16"/>
  <c r="K5" i="16" s="1"/>
  <c r="J66" i="16"/>
  <c r="J5" i="16" s="1"/>
  <c r="I66" i="16"/>
  <c r="H66" i="16"/>
  <c r="G66" i="16"/>
  <c r="G5" i="16" s="1"/>
  <c r="F66" i="16"/>
  <c r="F5" i="16" s="1"/>
  <c r="E66" i="16"/>
  <c r="E5" i="16" s="1"/>
  <c r="D66" i="16"/>
  <c r="D5" i="16" s="1"/>
  <c r="C66" i="16"/>
  <c r="B66" i="16"/>
  <c r="B5" i="16" s="1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G54" i="16"/>
  <c r="AG4" i="16" s="1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I53" i="16"/>
  <c r="AH53" i="16"/>
  <c r="AI52" i="16"/>
  <c r="AH52" i="16"/>
  <c r="AI51" i="16"/>
  <c r="AH51" i="16"/>
  <c r="Y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G49" i="16"/>
  <c r="AG50" i="16" s="1"/>
  <c r="AG3" i="16" s="1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Z5" i="16"/>
  <c r="N5" i="16"/>
  <c r="C5" i="16"/>
  <c r="K4" i="16"/>
  <c r="B4" i="16"/>
  <c r="AG2" i="16"/>
  <c r="AG6" i="16" s="1"/>
  <c r="AF93" i="15"/>
  <c r="AE93" i="15"/>
  <c r="AE35" i="15"/>
  <c r="AD35" i="15"/>
  <c r="AC35" i="15"/>
  <c r="AB35" i="15"/>
  <c r="AA35" i="15"/>
  <c r="U35" i="15"/>
  <c r="T35" i="15"/>
  <c r="R35" i="15"/>
  <c r="Q93" i="15"/>
  <c r="P93" i="15"/>
  <c r="P35" i="15"/>
  <c r="E4" i="16"/>
  <c r="AU211" i="21" l="1"/>
  <c r="AC7" i="21"/>
  <c r="AC81" i="21"/>
  <c r="AC189" i="21"/>
  <c r="AD99" i="21"/>
  <c r="AD73" i="21"/>
  <c r="AD71" i="21"/>
  <c r="AF191" i="21"/>
  <c r="AF197" i="21" s="1"/>
  <c r="AF49" i="21" s="1"/>
  <c r="AE197" i="21"/>
  <c r="AE49" i="21" s="1"/>
  <c r="AE50" i="21" s="1"/>
  <c r="AE100" i="21"/>
  <c r="AD91" i="21"/>
  <c r="T50" i="20"/>
  <c r="U197" i="20"/>
  <c r="U49" i="20" s="1"/>
  <c r="U50" i="20" s="1"/>
  <c r="V191" i="20"/>
  <c r="U91" i="20"/>
  <c r="V232" i="20"/>
  <c r="W196" i="20"/>
  <c r="X100" i="20"/>
  <c r="U189" i="20"/>
  <c r="V99" i="20"/>
  <c r="O191" i="19"/>
  <c r="M232" i="19"/>
  <c r="N196" i="19"/>
  <c r="M189" i="19"/>
  <c r="N99" i="19"/>
  <c r="M91" i="19"/>
  <c r="N100" i="19"/>
  <c r="I197" i="18"/>
  <c r="J191" i="18"/>
  <c r="I91" i="18"/>
  <c r="I189" i="18"/>
  <c r="J99" i="18"/>
  <c r="M100" i="18"/>
  <c r="K196" i="18"/>
  <c r="J232" i="18"/>
  <c r="Y81" i="17"/>
  <c r="AQ211" i="17"/>
  <c r="Y7" i="17"/>
  <c r="P81" i="17"/>
  <c r="AH211" i="17"/>
  <c r="AI211" i="17"/>
  <c r="Q7" i="17"/>
  <c r="Q81" i="17"/>
  <c r="O81" i="17"/>
  <c r="N81" i="17"/>
  <c r="N7" i="17"/>
  <c r="AE211" i="17"/>
  <c r="M7" i="17"/>
  <c r="M81" i="17"/>
  <c r="I81" i="17"/>
  <c r="AA211" i="17"/>
  <c r="I7" i="17"/>
  <c r="C81" i="17"/>
  <c r="D81" i="17"/>
  <c r="G7" i="17"/>
  <c r="F7" i="17"/>
  <c r="E81" i="17"/>
  <c r="E7" i="17"/>
  <c r="F191" i="17"/>
  <c r="E197" i="17"/>
  <c r="AC211" i="17"/>
  <c r="K7" i="17"/>
  <c r="C206" i="17"/>
  <c r="K81" i="17"/>
  <c r="U211" i="17"/>
  <c r="C7" i="17"/>
  <c r="I100" i="17"/>
  <c r="F81" i="17"/>
  <c r="D189" i="17"/>
  <c r="E99" i="17"/>
  <c r="E91" i="17"/>
  <c r="AI80" i="17"/>
  <c r="AH80" i="17"/>
  <c r="T211" i="17"/>
  <c r="B7" i="17"/>
  <c r="G112" i="17"/>
  <c r="F91" i="17"/>
  <c r="F196" i="17"/>
  <c r="E232" i="17"/>
  <c r="AK211" i="17"/>
  <c r="S7" i="17"/>
  <c r="B206" i="17"/>
  <c r="S81" i="17"/>
  <c r="C71" i="16"/>
  <c r="C197" i="16"/>
  <c r="X80" i="16"/>
  <c r="D91" i="16"/>
  <c r="AE80" i="16"/>
  <c r="AF80" i="16"/>
  <c r="AA80" i="16"/>
  <c r="Y80" i="16"/>
  <c r="D73" i="16"/>
  <c r="W80" i="16"/>
  <c r="S71" i="16"/>
  <c r="S80" i="16"/>
  <c r="R80" i="16"/>
  <c r="R73" i="16"/>
  <c r="Q80" i="16"/>
  <c r="P80" i="16"/>
  <c r="P73" i="16"/>
  <c r="O80" i="16"/>
  <c r="N71" i="16"/>
  <c r="M71" i="16"/>
  <c r="M73" i="16"/>
  <c r="L73" i="16"/>
  <c r="AD211" i="16" s="1"/>
  <c r="L71" i="16"/>
  <c r="L7" i="16"/>
  <c r="K80" i="16"/>
  <c r="K71" i="16"/>
  <c r="J80" i="16"/>
  <c r="J73" i="16"/>
  <c r="AB211" i="16" s="1"/>
  <c r="I80" i="16"/>
  <c r="AH74" i="16"/>
  <c r="H80" i="16"/>
  <c r="H73" i="16"/>
  <c r="H7" i="16" s="1"/>
  <c r="G80" i="16"/>
  <c r="E71" i="16"/>
  <c r="D71" i="16"/>
  <c r="F71" i="16"/>
  <c r="E73" i="16"/>
  <c r="E7" i="16" s="1"/>
  <c r="C80" i="16"/>
  <c r="AH75" i="16"/>
  <c r="B80" i="16"/>
  <c r="AI78" i="16"/>
  <c r="V211" i="16"/>
  <c r="D7" i="16"/>
  <c r="AH36" i="16"/>
  <c r="H4" i="16"/>
  <c r="AJ211" i="16"/>
  <c r="R7" i="16"/>
  <c r="Z211" i="16"/>
  <c r="AH211" i="16"/>
  <c r="P7" i="16"/>
  <c r="H5" i="16"/>
  <c r="H71" i="16"/>
  <c r="P5" i="16"/>
  <c r="P71" i="16"/>
  <c r="P81" i="16" s="1"/>
  <c r="X5" i="16"/>
  <c r="AF5" i="16"/>
  <c r="K73" i="16"/>
  <c r="D80" i="16"/>
  <c r="L80" i="16"/>
  <c r="L81" i="16" s="1"/>
  <c r="T80" i="16"/>
  <c r="AB80" i="16"/>
  <c r="G100" i="16"/>
  <c r="Y73" i="16"/>
  <c r="Q5" i="16"/>
  <c r="Q71" i="16"/>
  <c r="Y5" i="16"/>
  <c r="Y71" i="16"/>
  <c r="AG71" i="16"/>
  <c r="E80" i="16"/>
  <c r="M80" i="16"/>
  <c r="M81" i="16" s="1"/>
  <c r="U80" i="16"/>
  <c r="AC80" i="16"/>
  <c r="O71" i="16"/>
  <c r="S208" i="16"/>
  <c r="D208" i="16"/>
  <c r="AE211" i="16"/>
  <c r="M7" i="16"/>
  <c r="G71" i="16"/>
  <c r="C73" i="16"/>
  <c r="Q73" i="16"/>
  <c r="AG73" i="16"/>
  <c r="AH78" i="16"/>
  <c r="AI36" i="16"/>
  <c r="R71" i="16"/>
  <c r="R81" i="16" s="1"/>
  <c r="N80" i="16"/>
  <c r="AD80" i="16"/>
  <c r="AI54" i="16"/>
  <c r="F73" i="16"/>
  <c r="N73" i="16"/>
  <c r="AI77" i="16"/>
  <c r="B71" i="16"/>
  <c r="V80" i="16"/>
  <c r="G73" i="16"/>
  <c r="AI76" i="16"/>
  <c r="I5" i="16"/>
  <c r="I71" i="16"/>
  <c r="J71" i="16"/>
  <c r="F80" i="16"/>
  <c r="O73" i="16"/>
  <c r="S73" i="16"/>
  <c r="I73" i="16"/>
  <c r="AI74" i="16"/>
  <c r="AI75" i="16"/>
  <c r="AH76" i="16"/>
  <c r="C189" i="16"/>
  <c r="D189" i="16"/>
  <c r="AH70" i="16"/>
  <c r="E99" i="16"/>
  <c r="AH54" i="16"/>
  <c r="AH66" i="16"/>
  <c r="AI66" i="16"/>
  <c r="AI70" i="16"/>
  <c r="AH77" i="16"/>
  <c r="F191" i="16"/>
  <c r="D232" i="16"/>
  <c r="E196" i="16"/>
  <c r="C232" i="16"/>
  <c r="D197" i="16"/>
  <c r="AD81" i="21" l="1"/>
  <c r="AD189" i="21"/>
  <c r="AE99" i="21"/>
  <c r="AV211" i="21"/>
  <c r="AD7" i="21"/>
  <c r="AE91" i="21"/>
  <c r="AF100" i="21"/>
  <c r="AF91" i="21" s="1"/>
  <c r="AE71" i="21"/>
  <c r="AE73" i="21"/>
  <c r="AF50" i="21"/>
  <c r="AI49" i="21"/>
  <c r="AH49" i="21"/>
  <c r="V197" i="20"/>
  <c r="V49" i="20" s="1"/>
  <c r="V50" i="20" s="1"/>
  <c r="W191" i="20"/>
  <c r="V91" i="20"/>
  <c r="V189" i="20"/>
  <c r="W99" i="20"/>
  <c r="U73" i="20"/>
  <c r="U71" i="20"/>
  <c r="W232" i="20"/>
  <c r="X196" i="20"/>
  <c r="T71" i="20"/>
  <c r="T73" i="20"/>
  <c r="Y100" i="20"/>
  <c r="O100" i="19"/>
  <c r="N91" i="19"/>
  <c r="N232" i="19"/>
  <c r="O196" i="19"/>
  <c r="N189" i="19"/>
  <c r="O99" i="19"/>
  <c r="P191" i="19"/>
  <c r="O197" i="19"/>
  <c r="N197" i="19"/>
  <c r="N100" i="18"/>
  <c r="K232" i="18"/>
  <c r="L196" i="18"/>
  <c r="J189" i="18"/>
  <c r="K99" i="18"/>
  <c r="K191" i="18"/>
  <c r="J197" i="18"/>
  <c r="J91" i="18"/>
  <c r="K6" i="17"/>
  <c r="F232" i="17"/>
  <c r="G196" i="17"/>
  <c r="E189" i="17"/>
  <c r="F99" i="17"/>
  <c r="J100" i="17"/>
  <c r="G191" i="17"/>
  <c r="F197" i="17"/>
  <c r="H112" i="17"/>
  <c r="G91" i="17"/>
  <c r="Y81" i="16"/>
  <c r="AG81" i="16"/>
  <c r="H81" i="16"/>
  <c r="J81" i="16"/>
  <c r="N81" i="16"/>
  <c r="I81" i="16"/>
  <c r="D81" i="16"/>
  <c r="Q81" i="16"/>
  <c r="K81" i="16"/>
  <c r="J7" i="16"/>
  <c r="W211" i="16"/>
  <c r="E81" i="16"/>
  <c r="F81" i="16"/>
  <c r="AH80" i="16"/>
  <c r="AI80" i="16"/>
  <c r="U211" i="16"/>
  <c r="C7" i="16"/>
  <c r="Y211" i="16"/>
  <c r="G7" i="16"/>
  <c r="H100" i="16"/>
  <c r="C81" i="16"/>
  <c r="G81" i="16"/>
  <c r="E232" i="16"/>
  <c r="F196" i="16"/>
  <c r="AK211" i="16"/>
  <c r="S7" i="16"/>
  <c r="X211" i="16"/>
  <c r="C206" i="16"/>
  <c r="B206" i="16"/>
  <c r="F7" i="16"/>
  <c r="AG211" i="16"/>
  <c r="O7" i="16"/>
  <c r="B73" i="16"/>
  <c r="E197" i="16"/>
  <c r="E189" i="16"/>
  <c r="F99" i="16"/>
  <c r="E91" i="16"/>
  <c r="AF211" i="16"/>
  <c r="N7" i="16"/>
  <c r="G191" i="16"/>
  <c r="F197" i="16"/>
  <c r="AA211" i="16"/>
  <c r="I7" i="16"/>
  <c r="O81" i="16"/>
  <c r="S81" i="16"/>
  <c r="AQ211" i="16"/>
  <c r="Y7" i="16"/>
  <c r="AC211" i="16"/>
  <c r="K7" i="16"/>
  <c r="AI211" i="16"/>
  <c r="Q7" i="16"/>
  <c r="AE81" i="21" l="1"/>
  <c r="AH91" i="21"/>
  <c r="AI91" i="21"/>
  <c r="AF73" i="21"/>
  <c r="AF71" i="21"/>
  <c r="AI50" i="21"/>
  <c r="AH50" i="21"/>
  <c r="AE189" i="21"/>
  <c r="AF99" i="21"/>
  <c r="AF189" i="21" s="1"/>
  <c r="AW211" i="21"/>
  <c r="AE7" i="21"/>
  <c r="U81" i="20"/>
  <c r="Z100" i="20"/>
  <c r="AM211" i="20"/>
  <c r="U7" i="20"/>
  <c r="AL211" i="20"/>
  <c r="T7" i="20"/>
  <c r="W189" i="20"/>
  <c r="X99" i="20"/>
  <c r="X232" i="20"/>
  <c r="Y196" i="20"/>
  <c r="X191" i="20"/>
  <c r="W197" i="20"/>
  <c r="W49" i="20" s="1"/>
  <c r="W91" i="20"/>
  <c r="T81" i="20"/>
  <c r="V73" i="20"/>
  <c r="V71" i="20"/>
  <c r="O232" i="19"/>
  <c r="P196" i="19"/>
  <c r="O189" i="19"/>
  <c r="P99" i="19"/>
  <c r="P197" i="19"/>
  <c r="Q191" i="19"/>
  <c r="P100" i="19"/>
  <c r="O91" i="19"/>
  <c r="K189" i="18"/>
  <c r="L99" i="18"/>
  <c r="L232" i="18"/>
  <c r="M196" i="18"/>
  <c r="K197" i="18"/>
  <c r="L191" i="18"/>
  <c r="K91" i="18"/>
  <c r="O100" i="18"/>
  <c r="F189" i="17"/>
  <c r="G99" i="17"/>
  <c r="I112" i="17"/>
  <c r="H91" i="17"/>
  <c r="G232" i="17"/>
  <c r="H196" i="17"/>
  <c r="G197" i="17"/>
  <c r="H191" i="17"/>
  <c r="K100" i="17"/>
  <c r="K6" i="16"/>
  <c r="T211" i="16"/>
  <c r="B7" i="16"/>
  <c r="I100" i="16"/>
  <c r="F232" i="16"/>
  <c r="G196" i="16"/>
  <c r="G197" i="16" s="1"/>
  <c r="F91" i="16"/>
  <c r="H191" i="16"/>
  <c r="F189" i="16"/>
  <c r="G99" i="16"/>
  <c r="B81" i="16"/>
  <c r="O35" i="15"/>
  <c r="N35" i="15"/>
  <c r="M35" i="15"/>
  <c r="L35" i="15"/>
  <c r="K35" i="15"/>
  <c r="J35" i="15"/>
  <c r="I35" i="15"/>
  <c r="H36" i="15"/>
  <c r="H35" i="15"/>
  <c r="AF81" i="21" l="1"/>
  <c r="AI71" i="21"/>
  <c r="AH71" i="21"/>
  <c r="AX211" i="21"/>
  <c r="AF7" i="21"/>
  <c r="A7" i="21" s="1"/>
  <c r="AH73" i="21"/>
  <c r="AI73" i="21"/>
  <c r="V81" i="20"/>
  <c r="X197" i="20"/>
  <c r="X49" i="20" s="1"/>
  <c r="X50" i="20" s="1"/>
  <c r="Y191" i="20"/>
  <c r="X91" i="20"/>
  <c r="Z196" i="20"/>
  <c r="Y232" i="20"/>
  <c r="AN211" i="20"/>
  <c r="V7" i="20"/>
  <c r="X189" i="20"/>
  <c r="Y99" i="20"/>
  <c r="W50" i="20"/>
  <c r="AA100" i="20"/>
  <c r="Q100" i="19"/>
  <c r="P91" i="19"/>
  <c r="R191" i="19"/>
  <c r="P189" i="19"/>
  <c r="Q99" i="19"/>
  <c r="P232" i="19"/>
  <c r="Q196" i="19"/>
  <c r="P100" i="18"/>
  <c r="L197" i="18"/>
  <c r="M191" i="18"/>
  <c r="L91" i="18"/>
  <c r="M232" i="18"/>
  <c r="N196" i="18"/>
  <c r="L189" i="18"/>
  <c r="M99" i="18"/>
  <c r="I196" i="17"/>
  <c r="H232" i="17"/>
  <c r="J112" i="17"/>
  <c r="I91" i="17"/>
  <c r="G189" i="17"/>
  <c r="H99" i="17"/>
  <c r="L100" i="17"/>
  <c r="H197" i="17"/>
  <c r="I191" i="17"/>
  <c r="G189" i="16"/>
  <c r="H99" i="16"/>
  <c r="J100" i="16"/>
  <c r="G232" i="16"/>
  <c r="H196" i="16"/>
  <c r="G91" i="16"/>
  <c r="I191" i="16"/>
  <c r="G35" i="15"/>
  <c r="F35" i="15"/>
  <c r="E35" i="15"/>
  <c r="D66" i="15"/>
  <c r="AB36" i="14"/>
  <c r="AB49" i="14"/>
  <c r="AB50" i="14"/>
  <c r="AB54" i="14"/>
  <c r="AB66" i="14"/>
  <c r="AB71" i="14" s="1"/>
  <c r="AB70" i="14"/>
  <c r="D35" i="15"/>
  <c r="AH97" i="15"/>
  <c r="AI97" i="15" s="1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AF234" i="15"/>
  <c r="AE234" i="15"/>
  <c r="AD234" i="15"/>
  <c r="AC234" i="15"/>
  <c r="AB234" i="15"/>
  <c r="AA234" i="15"/>
  <c r="Z234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AF233" i="15"/>
  <c r="AE233" i="15"/>
  <c r="AD233" i="15"/>
  <c r="AC233" i="15"/>
  <c r="AB233" i="15"/>
  <c r="AA233" i="15"/>
  <c r="Z233" i="15"/>
  <c r="Y233" i="15"/>
  <c r="X233" i="15"/>
  <c r="W233" i="15"/>
  <c r="V233" i="15"/>
  <c r="U233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B232" i="15"/>
  <c r="S207" i="15"/>
  <c r="AG197" i="15"/>
  <c r="B197" i="15"/>
  <c r="C196" i="15"/>
  <c r="C232" i="15" s="1"/>
  <c r="G195" i="15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E195" i="15"/>
  <c r="F195" i="15" s="1"/>
  <c r="D195" i="15"/>
  <c r="C195" i="15"/>
  <c r="U194" i="15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C194" i="15"/>
  <c r="D194" i="15" s="1"/>
  <c r="E194" i="15" s="1"/>
  <c r="F194" i="15" s="1"/>
  <c r="G194" i="15" s="1"/>
  <c r="H194" i="15" s="1"/>
  <c r="I194" i="15" s="1"/>
  <c r="J194" i="15" s="1"/>
  <c r="K194" i="15" s="1"/>
  <c r="L194" i="15" s="1"/>
  <c r="M194" i="15" s="1"/>
  <c r="N194" i="15" s="1"/>
  <c r="O194" i="15" s="1"/>
  <c r="P194" i="15" s="1"/>
  <c r="Q194" i="15" s="1"/>
  <c r="R194" i="15" s="1"/>
  <c r="S194" i="15" s="1"/>
  <c r="T194" i="15" s="1"/>
  <c r="C193" i="15"/>
  <c r="D193" i="15" s="1"/>
  <c r="E193" i="15" s="1"/>
  <c r="F193" i="15" s="1"/>
  <c r="G193" i="15" s="1"/>
  <c r="H193" i="15" s="1"/>
  <c r="I193" i="15" s="1"/>
  <c r="J193" i="15" s="1"/>
  <c r="K193" i="15" s="1"/>
  <c r="L193" i="15" s="1"/>
  <c r="M193" i="15" s="1"/>
  <c r="N193" i="15" s="1"/>
  <c r="O193" i="15" s="1"/>
  <c r="P193" i="15" s="1"/>
  <c r="Q193" i="15" s="1"/>
  <c r="R193" i="15" s="1"/>
  <c r="S193" i="15" s="1"/>
  <c r="T193" i="15" s="1"/>
  <c r="U193" i="15" s="1"/>
  <c r="V193" i="15" s="1"/>
  <c r="W193" i="15" s="1"/>
  <c r="X193" i="15" s="1"/>
  <c r="Y193" i="15" s="1"/>
  <c r="Z193" i="15" s="1"/>
  <c r="AA193" i="15" s="1"/>
  <c r="AB193" i="15" s="1"/>
  <c r="AC193" i="15" s="1"/>
  <c r="AD193" i="15" s="1"/>
  <c r="AE193" i="15" s="1"/>
  <c r="AF193" i="15" s="1"/>
  <c r="C192" i="15"/>
  <c r="D192" i="15" s="1"/>
  <c r="F191" i="15"/>
  <c r="E191" i="15"/>
  <c r="D191" i="15"/>
  <c r="C191" i="15"/>
  <c r="AG189" i="15"/>
  <c r="B189" i="15"/>
  <c r="AC188" i="15"/>
  <c r="AD188" i="15" s="1"/>
  <c r="AE188" i="15" s="1"/>
  <c r="AF188" i="15" s="1"/>
  <c r="C188" i="15"/>
  <c r="D188" i="15" s="1"/>
  <c r="E188" i="15" s="1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E187" i="15"/>
  <c r="F187" i="15" s="1"/>
  <c r="G187" i="15" s="1"/>
  <c r="H187" i="15" s="1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C187" i="15"/>
  <c r="D187" i="15" s="1"/>
  <c r="C186" i="15"/>
  <c r="D186" i="15" s="1"/>
  <c r="E186" i="15" s="1"/>
  <c r="F186" i="15" s="1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V185" i="15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S185" i="15"/>
  <c r="T185" i="15" s="1"/>
  <c r="U185" i="15" s="1"/>
  <c r="I185" i="15"/>
  <c r="J185" i="15" s="1"/>
  <c r="K185" i="15" s="1"/>
  <c r="L185" i="15" s="1"/>
  <c r="M185" i="15" s="1"/>
  <c r="N185" i="15" s="1"/>
  <c r="O185" i="15" s="1"/>
  <c r="P185" i="15" s="1"/>
  <c r="Q185" i="15" s="1"/>
  <c r="R185" i="15" s="1"/>
  <c r="D185" i="15"/>
  <c r="E185" i="15" s="1"/>
  <c r="F185" i="15" s="1"/>
  <c r="G185" i="15" s="1"/>
  <c r="H185" i="15" s="1"/>
  <c r="C185" i="15"/>
  <c r="C184" i="15"/>
  <c r="D184" i="15" s="1"/>
  <c r="E184" i="15" s="1"/>
  <c r="F184" i="15" s="1"/>
  <c r="G184" i="15" s="1"/>
  <c r="H184" i="15" s="1"/>
  <c r="I184" i="15" s="1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I183" i="15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F183" i="15"/>
  <c r="G183" i="15" s="1"/>
  <c r="H183" i="15" s="1"/>
  <c r="E183" i="15"/>
  <c r="C183" i="15"/>
  <c r="D183" i="15" s="1"/>
  <c r="AD182" i="15"/>
  <c r="AE182" i="15" s="1"/>
  <c r="AF182" i="15" s="1"/>
  <c r="Q182" i="15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G182" i="15"/>
  <c r="H182" i="15" s="1"/>
  <c r="I182" i="15" s="1"/>
  <c r="J182" i="15" s="1"/>
  <c r="K182" i="15" s="1"/>
  <c r="L182" i="15" s="1"/>
  <c r="M182" i="15" s="1"/>
  <c r="N182" i="15" s="1"/>
  <c r="O182" i="15" s="1"/>
  <c r="P182" i="15" s="1"/>
  <c r="C182" i="15"/>
  <c r="D182" i="15" s="1"/>
  <c r="E182" i="15" s="1"/>
  <c r="F182" i="15" s="1"/>
  <c r="W181" i="15"/>
  <c r="X181" i="15" s="1"/>
  <c r="Y181" i="15" s="1"/>
  <c r="Z181" i="15" s="1"/>
  <c r="AA181" i="15" s="1"/>
  <c r="AB181" i="15" s="1"/>
  <c r="AC181" i="15" s="1"/>
  <c r="AD181" i="15" s="1"/>
  <c r="AE181" i="15" s="1"/>
  <c r="AF181" i="15" s="1"/>
  <c r="E181" i="15"/>
  <c r="F181" i="15" s="1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D181" i="15"/>
  <c r="C181" i="15"/>
  <c r="C180" i="15"/>
  <c r="D180" i="15" s="1"/>
  <c r="E180" i="15" s="1"/>
  <c r="F180" i="15" s="1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F179" i="15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C179" i="15"/>
  <c r="D179" i="15" s="1"/>
  <c r="E179" i="15" s="1"/>
  <c r="M178" i="15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D178" i="15"/>
  <c r="E178" i="15" s="1"/>
  <c r="F178" i="15" s="1"/>
  <c r="G178" i="15" s="1"/>
  <c r="H178" i="15" s="1"/>
  <c r="I178" i="15" s="1"/>
  <c r="J178" i="15" s="1"/>
  <c r="K178" i="15" s="1"/>
  <c r="L178" i="15" s="1"/>
  <c r="C178" i="15"/>
  <c r="L177" i="15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K177" i="15"/>
  <c r="F177" i="15"/>
  <c r="G177" i="15" s="1"/>
  <c r="H177" i="15" s="1"/>
  <c r="I177" i="15" s="1"/>
  <c r="J177" i="15" s="1"/>
  <c r="C177" i="15"/>
  <c r="D177" i="15" s="1"/>
  <c r="E177" i="15" s="1"/>
  <c r="G176" i="15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C176" i="15"/>
  <c r="D176" i="15" s="1"/>
  <c r="E176" i="15" s="1"/>
  <c r="F176" i="15" s="1"/>
  <c r="F174" i="15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E174" i="15"/>
  <c r="C174" i="15"/>
  <c r="D174" i="15" s="1"/>
  <c r="S173" i="15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D173" i="15"/>
  <c r="E173" i="15" s="1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C173" i="15"/>
  <c r="E172" i="15"/>
  <c r="F172" i="15" s="1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D172" i="15"/>
  <c r="C172" i="15"/>
  <c r="P171" i="15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C171" i="15"/>
  <c r="D171" i="15" s="1"/>
  <c r="E171" i="15" s="1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AD170" i="15"/>
  <c r="AE170" i="15" s="1"/>
  <c r="AF170" i="15" s="1"/>
  <c r="E170" i="15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C170" i="15"/>
  <c r="D170" i="15" s="1"/>
  <c r="T169" i="15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C169" i="15"/>
  <c r="D169" i="15" s="1"/>
  <c r="E169" i="15" s="1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G168" i="15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F168" i="15"/>
  <c r="E168" i="15"/>
  <c r="D168" i="15"/>
  <c r="C168" i="15"/>
  <c r="C167" i="15"/>
  <c r="D167" i="15" s="1"/>
  <c r="E167" i="15" s="1"/>
  <c r="F167" i="15" s="1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E165" i="15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D165" i="15"/>
  <c r="C165" i="15"/>
  <c r="C164" i="15"/>
  <c r="D164" i="15" s="1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E163" i="15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C163" i="15"/>
  <c r="D163" i="15" s="1"/>
  <c r="G162" i="15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C162" i="15"/>
  <c r="D162" i="15" s="1"/>
  <c r="E162" i="15" s="1"/>
  <c r="F162" i="15" s="1"/>
  <c r="E161" i="15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C161" i="15"/>
  <c r="D161" i="15" s="1"/>
  <c r="D160" i="15"/>
  <c r="E160" i="15" s="1"/>
  <c r="F160" i="15" s="1"/>
  <c r="G160" i="15" s="1"/>
  <c r="H160" i="15" s="1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C160" i="15"/>
  <c r="C159" i="15"/>
  <c r="D159" i="15" s="1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S158" i="15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O158" i="15"/>
  <c r="P158" i="15" s="1"/>
  <c r="Q158" i="15" s="1"/>
  <c r="R158" i="15" s="1"/>
  <c r="C158" i="15"/>
  <c r="D158" i="15" s="1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C157" i="15"/>
  <c r="D157" i="15" s="1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C156" i="15"/>
  <c r="D156" i="15" s="1"/>
  <c r="E156" i="15" s="1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E155" i="15"/>
  <c r="F155" i="15" s="1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C155" i="15"/>
  <c r="D155" i="15" s="1"/>
  <c r="E154" i="15"/>
  <c r="F154" i="15" s="1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C154" i="15"/>
  <c r="D154" i="15" s="1"/>
  <c r="I153" i="15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C153" i="15"/>
  <c r="D153" i="15" s="1"/>
  <c r="E153" i="15" s="1"/>
  <c r="F153" i="15" s="1"/>
  <c r="G153" i="15" s="1"/>
  <c r="H153" i="15" s="1"/>
  <c r="C151" i="15"/>
  <c r="D151" i="15" s="1"/>
  <c r="E151" i="15" s="1"/>
  <c r="F151" i="15" s="1"/>
  <c r="G151" i="15" s="1"/>
  <c r="H151" i="15" s="1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C150" i="15"/>
  <c r="D150" i="15" s="1"/>
  <c r="E150" i="15" s="1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G149" i="15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F149" i="15"/>
  <c r="E149" i="15"/>
  <c r="D149" i="15"/>
  <c r="C149" i="15"/>
  <c r="H148" i="15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D148" i="15"/>
  <c r="E148" i="15" s="1"/>
  <c r="F148" i="15" s="1"/>
  <c r="G148" i="15" s="1"/>
  <c r="C148" i="15"/>
  <c r="G146" i="15"/>
  <c r="H146" i="15" s="1"/>
  <c r="I146" i="15" s="1"/>
  <c r="J146" i="15" s="1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F146" i="15"/>
  <c r="C146" i="15"/>
  <c r="D146" i="15" s="1"/>
  <c r="E146" i="15" s="1"/>
  <c r="F145" i="15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E145" i="15"/>
  <c r="D145" i="15"/>
  <c r="C145" i="15"/>
  <c r="F143" i="15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D143" i="15"/>
  <c r="E143" i="15" s="1"/>
  <c r="C143" i="15"/>
  <c r="P142" i="15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I142" i="15"/>
  <c r="J142" i="15" s="1"/>
  <c r="K142" i="15" s="1"/>
  <c r="L142" i="15" s="1"/>
  <c r="M142" i="15" s="1"/>
  <c r="N142" i="15" s="1"/>
  <c r="O142" i="15" s="1"/>
  <c r="D142" i="15"/>
  <c r="E142" i="15" s="1"/>
  <c r="F142" i="15" s="1"/>
  <c r="G142" i="15" s="1"/>
  <c r="H142" i="15" s="1"/>
  <c r="C142" i="15"/>
  <c r="F141" i="15"/>
  <c r="G141" i="15" s="1"/>
  <c r="H141" i="15" s="1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C141" i="15"/>
  <c r="D141" i="15" s="1"/>
  <c r="E141" i="15" s="1"/>
  <c r="V140" i="15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U140" i="15"/>
  <c r="E140" i="15"/>
  <c r="F140" i="15" s="1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D140" i="15"/>
  <c r="C140" i="15"/>
  <c r="Z139" i="15"/>
  <c r="AA139" i="15" s="1"/>
  <c r="AB139" i="15" s="1"/>
  <c r="AC139" i="15" s="1"/>
  <c r="AD139" i="15" s="1"/>
  <c r="AE139" i="15" s="1"/>
  <c r="AF139" i="15" s="1"/>
  <c r="D139" i="15"/>
  <c r="E139" i="15" s="1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C139" i="15"/>
  <c r="AB138" i="15"/>
  <c r="AC138" i="15" s="1"/>
  <c r="AD138" i="15" s="1"/>
  <c r="AE138" i="15" s="1"/>
  <c r="AF138" i="15" s="1"/>
  <c r="H138" i="15"/>
  <c r="I138" i="15" s="1"/>
  <c r="J138" i="15" s="1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D138" i="15"/>
  <c r="E138" i="15" s="1"/>
  <c r="F138" i="15" s="1"/>
  <c r="G138" i="15" s="1"/>
  <c r="C138" i="15"/>
  <c r="G137" i="15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C137" i="15"/>
  <c r="D137" i="15" s="1"/>
  <c r="E137" i="15" s="1"/>
  <c r="F137" i="15" s="1"/>
  <c r="AC135" i="15"/>
  <c r="AD135" i="15" s="1"/>
  <c r="AE135" i="15" s="1"/>
  <c r="AF135" i="15" s="1"/>
  <c r="F135" i="15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D135" i="15"/>
  <c r="E135" i="15" s="1"/>
  <c r="C135" i="15"/>
  <c r="C134" i="15"/>
  <c r="D134" i="15" s="1"/>
  <c r="E134" i="15" s="1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J133" i="15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D133" i="15"/>
  <c r="E133" i="15" s="1"/>
  <c r="F133" i="15" s="1"/>
  <c r="G133" i="15" s="1"/>
  <c r="H133" i="15" s="1"/>
  <c r="I133" i="15" s="1"/>
  <c r="C133" i="15"/>
  <c r="C132" i="15"/>
  <c r="D132" i="15" s="1"/>
  <c r="E132" i="15" s="1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H131" i="15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D131" i="15"/>
  <c r="E131" i="15" s="1"/>
  <c r="F131" i="15" s="1"/>
  <c r="G131" i="15" s="1"/>
  <c r="C131" i="15"/>
  <c r="C130" i="15"/>
  <c r="D130" i="15" s="1"/>
  <c r="E130" i="15" s="1"/>
  <c r="F130" i="15" s="1"/>
  <c r="G130" i="15" s="1"/>
  <c r="H130" i="15" s="1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T129" i="15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R129" i="15"/>
  <c r="S129" i="15" s="1"/>
  <c r="D129" i="15"/>
  <c r="E129" i="15" s="1"/>
  <c r="F129" i="15" s="1"/>
  <c r="G129" i="15" s="1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C129" i="15"/>
  <c r="C128" i="15"/>
  <c r="D128" i="15" s="1"/>
  <c r="E128" i="15" s="1"/>
  <c r="F128" i="15" s="1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D126" i="15"/>
  <c r="E126" i="15" s="1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C126" i="15"/>
  <c r="W125" i="15"/>
  <c r="X125" i="15" s="1"/>
  <c r="Y125" i="15" s="1"/>
  <c r="Z125" i="15" s="1"/>
  <c r="AA125" i="15" s="1"/>
  <c r="AB125" i="15" s="1"/>
  <c r="AC125" i="15" s="1"/>
  <c r="AD125" i="15" s="1"/>
  <c r="AE125" i="15" s="1"/>
  <c r="AF125" i="15" s="1"/>
  <c r="I125" i="15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C125" i="15"/>
  <c r="D125" i="15" s="1"/>
  <c r="E125" i="15" s="1"/>
  <c r="F125" i="15" s="1"/>
  <c r="G125" i="15" s="1"/>
  <c r="H125" i="15" s="1"/>
  <c r="J124" i="15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C124" i="15"/>
  <c r="D124" i="15" s="1"/>
  <c r="E124" i="15" s="1"/>
  <c r="F124" i="15" s="1"/>
  <c r="G124" i="15" s="1"/>
  <c r="H124" i="15" s="1"/>
  <c r="I124" i="15" s="1"/>
  <c r="C123" i="15"/>
  <c r="D123" i="15" s="1"/>
  <c r="E123" i="15" s="1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C122" i="15"/>
  <c r="D122" i="15" s="1"/>
  <c r="E122" i="15" s="1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U121" i="15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L121" i="15"/>
  <c r="M121" i="15" s="1"/>
  <c r="N121" i="15" s="1"/>
  <c r="O121" i="15" s="1"/>
  <c r="P121" i="15" s="1"/>
  <c r="Q121" i="15" s="1"/>
  <c r="R121" i="15" s="1"/>
  <c r="S121" i="15" s="1"/>
  <c r="T121" i="15" s="1"/>
  <c r="F121" i="15"/>
  <c r="G121" i="15" s="1"/>
  <c r="H121" i="15" s="1"/>
  <c r="I121" i="15" s="1"/>
  <c r="J121" i="15" s="1"/>
  <c r="K121" i="15" s="1"/>
  <c r="E121" i="15"/>
  <c r="D121" i="15"/>
  <c r="C121" i="15"/>
  <c r="T120" i="15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K120" i="15"/>
  <c r="L120" i="15" s="1"/>
  <c r="M120" i="15" s="1"/>
  <c r="N120" i="15" s="1"/>
  <c r="O120" i="15" s="1"/>
  <c r="P120" i="15" s="1"/>
  <c r="Q120" i="15" s="1"/>
  <c r="R120" i="15" s="1"/>
  <c r="S120" i="15" s="1"/>
  <c r="G120" i="15"/>
  <c r="H120" i="15" s="1"/>
  <c r="I120" i="15" s="1"/>
  <c r="J120" i="15" s="1"/>
  <c r="D120" i="15"/>
  <c r="E120" i="15" s="1"/>
  <c r="F120" i="15" s="1"/>
  <c r="C120" i="15"/>
  <c r="I119" i="15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E119" i="15"/>
  <c r="F119" i="15" s="1"/>
  <c r="G119" i="15" s="1"/>
  <c r="H119" i="15" s="1"/>
  <c r="C119" i="15"/>
  <c r="D119" i="15" s="1"/>
  <c r="C118" i="15"/>
  <c r="D118" i="15" s="1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D117" i="15"/>
  <c r="E117" i="15" s="1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C117" i="15"/>
  <c r="D116" i="15"/>
  <c r="E116" i="15" s="1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C116" i="15"/>
  <c r="C115" i="15"/>
  <c r="D115" i="15" s="1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F114" i="15"/>
  <c r="G114" i="15" s="1"/>
  <c r="H114" i="15" s="1"/>
  <c r="I114" i="15" s="1"/>
  <c r="J114" i="15" s="1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E114" i="15"/>
  <c r="C114" i="15"/>
  <c r="D114" i="15" s="1"/>
  <c r="M113" i="15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F113" i="15"/>
  <c r="G113" i="15" s="1"/>
  <c r="H113" i="15" s="1"/>
  <c r="I113" i="15" s="1"/>
  <c r="J113" i="15" s="1"/>
  <c r="K113" i="15" s="1"/>
  <c r="L113" i="15" s="1"/>
  <c r="D113" i="15"/>
  <c r="E113" i="15" s="1"/>
  <c r="C113" i="15"/>
  <c r="C112" i="15"/>
  <c r="C91" i="15" s="1"/>
  <c r="R111" i="15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P111" i="15"/>
  <c r="Q111" i="15" s="1"/>
  <c r="O111" i="15"/>
  <c r="K111" i="15"/>
  <c r="L111" i="15" s="1"/>
  <c r="M111" i="15" s="1"/>
  <c r="N111" i="15" s="1"/>
  <c r="J111" i="15"/>
  <c r="F111" i="15"/>
  <c r="G111" i="15" s="1"/>
  <c r="H111" i="15" s="1"/>
  <c r="E111" i="15"/>
  <c r="D111" i="15"/>
  <c r="C111" i="15"/>
  <c r="L110" i="15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J110" i="15"/>
  <c r="K110" i="15" s="1"/>
  <c r="H110" i="15"/>
  <c r="I110" i="15" s="1"/>
  <c r="C110" i="15"/>
  <c r="D110" i="15" s="1"/>
  <c r="E110" i="15" s="1"/>
  <c r="F110" i="15" s="1"/>
  <c r="G110" i="15" s="1"/>
  <c r="E109" i="15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C109" i="15"/>
  <c r="D109" i="15" s="1"/>
  <c r="F107" i="15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D107" i="15"/>
  <c r="E107" i="15" s="1"/>
  <c r="C107" i="15"/>
  <c r="H106" i="15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G106" i="15"/>
  <c r="D106" i="15"/>
  <c r="E106" i="15" s="1"/>
  <c r="F106" i="15" s="1"/>
  <c r="C106" i="15"/>
  <c r="E104" i="15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D104" i="15"/>
  <c r="C104" i="15"/>
  <c r="E103" i="15"/>
  <c r="F103" i="15" s="1"/>
  <c r="G103" i="15" s="1"/>
  <c r="H103" i="15" s="1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C103" i="15"/>
  <c r="D103" i="15" s="1"/>
  <c r="C102" i="15"/>
  <c r="D102" i="15" s="1"/>
  <c r="E102" i="15" s="1"/>
  <c r="F102" i="15" s="1"/>
  <c r="G102" i="15" s="1"/>
  <c r="H102" i="15" s="1"/>
  <c r="I102" i="15" s="1"/>
  <c r="J102" i="15" s="1"/>
  <c r="K102" i="15" s="1"/>
  <c r="L102" i="15" s="1"/>
  <c r="M102" i="15" s="1"/>
  <c r="N102" i="15" s="1"/>
  <c r="O102" i="15" s="1"/>
  <c r="P102" i="15" s="1"/>
  <c r="Q102" i="15" s="1"/>
  <c r="R102" i="15" s="1"/>
  <c r="S102" i="15" s="1"/>
  <c r="T102" i="15" s="1"/>
  <c r="U102" i="15" s="1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F101" i="15"/>
  <c r="G101" i="15" s="1"/>
  <c r="H101" i="15" s="1"/>
  <c r="I101" i="15" s="1"/>
  <c r="J101" i="15" s="1"/>
  <c r="K101" i="15" s="1"/>
  <c r="L101" i="15" s="1"/>
  <c r="M101" i="15" s="1"/>
  <c r="N101" i="15" s="1"/>
  <c r="O101" i="15" s="1"/>
  <c r="P101" i="15" s="1"/>
  <c r="Q101" i="15" s="1"/>
  <c r="R101" i="15" s="1"/>
  <c r="S101" i="15" s="1"/>
  <c r="T101" i="15" s="1"/>
  <c r="U101" i="15" s="1"/>
  <c r="V101" i="15" s="1"/>
  <c r="W101" i="15" s="1"/>
  <c r="X101" i="15" s="1"/>
  <c r="Y101" i="15" s="1"/>
  <c r="Z101" i="15" s="1"/>
  <c r="AA101" i="15" s="1"/>
  <c r="AB101" i="15" s="1"/>
  <c r="AC101" i="15" s="1"/>
  <c r="AD101" i="15" s="1"/>
  <c r="AE101" i="15" s="1"/>
  <c r="AF101" i="15" s="1"/>
  <c r="C101" i="15"/>
  <c r="D101" i="15" s="1"/>
  <c r="E101" i="15" s="1"/>
  <c r="D100" i="15"/>
  <c r="E100" i="15" s="1"/>
  <c r="C100" i="15"/>
  <c r="C99" i="15"/>
  <c r="AH96" i="15"/>
  <c r="AI96" i="15" s="1"/>
  <c r="AH95" i="15"/>
  <c r="AI95" i="15" s="1"/>
  <c r="AH94" i="15"/>
  <c r="AI94" i="15" s="1"/>
  <c r="AH93" i="15"/>
  <c r="AI93" i="15" s="1"/>
  <c r="AH92" i="15"/>
  <c r="AI92" i="15" s="1"/>
  <c r="B91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G80" i="15"/>
  <c r="AI79" i="15"/>
  <c r="AH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I72" i="15"/>
  <c r="AH72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AI70" i="15" s="1"/>
  <c r="B70" i="15"/>
  <c r="AH70" i="15" s="1"/>
  <c r="AI69" i="15"/>
  <c r="AH69" i="15"/>
  <c r="AI68" i="15"/>
  <c r="AH68" i="15"/>
  <c r="AI67" i="15"/>
  <c r="AH67" i="15"/>
  <c r="AG66" i="15"/>
  <c r="AG71" i="15" s="1"/>
  <c r="AF66" i="15"/>
  <c r="AE66" i="15"/>
  <c r="AD66" i="15"/>
  <c r="AD5" i="15" s="1"/>
  <c r="AC66" i="15"/>
  <c r="AC5" i="15" s="1"/>
  <c r="AB66" i="15"/>
  <c r="AB5" i="15" s="1"/>
  <c r="AA66" i="15"/>
  <c r="AA5" i="15" s="1"/>
  <c r="Z66" i="15"/>
  <c r="Z5" i="15" s="1"/>
  <c r="Y66" i="15"/>
  <c r="X66" i="15"/>
  <c r="X5" i="15" s="1"/>
  <c r="W66" i="15"/>
  <c r="W5" i="15" s="1"/>
  <c r="V66" i="15"/>
  <c r="U66" i="15"/>
  <c r="U5" i="15" s="1"/>
  <c r="T66" i="15"/>
  <c r="T5" i="15" s="1"/>
  <c r="S66" i="15"/>
  <c r="S5" i="15" s="1"/>
  <c r="R66" i="15"/>
  <c r="R5" i="15" s="1"/>
  <c r="Q66" i="15"/>
  <c r="Q5" i="15" s="1"/>
  <c r="P66" i="15"/>
  <c r="P5" i="15" s="1"/>
  <c r="O66" i="15"/>
  <c r="O5" i="15" s="1"/>
  <c r="N66" i="15"/>
  <c r="N5" i="15" s="1"/>
  <c r="M66" i="15"/>
  <c r="M5" i="15" s="1"/>
  <c r="L66" i="15"/>
  <c r="L5" i="15" s="1"/>
  <c r="K66" i="15"/>
  <c r="K5" i="15" s="1"/>
  <c r="J66" i="15"/>
  <c r="J5" i="15" s="1"/>
  <c r="I66" i="15"/>
  <c r="I5" i="15" s="1"/>
  <c r="H66" i="15"/>
  <c r="H5" i="15" s="1"/>
  <c r="G66" i="15"/>
  <c r="F66" i="15"/>
  <c r="F5" i="15" s="1"/>
  <c r="E66" i="15"/>
  <c r="C66" i="15"/>
  <c r="C5" i="15" s="1"/>
  <c r="B66" i="15"/>
  <c r="B5" i="15" s="1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G54" i="15"/>
  <c r="AG4" i="15" s="1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I53" i="15"/>
  <c r="AH53" i="15"/>
  <c r="AI52" i="15"/>
  <c r="AH52" i="15"/>
  <c r="AI51" i="15"/>
  <c r="AH51" i="15"/>
  <c r="AG50" i="15"/>
  <c r="AG3" i="15" s="1"/>
  <c r="Y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G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G36" i="15"/>
  <c r="AG2" i="15" s="1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G36" i="15"/>
  <c r="F36" i="15"/>
  <c r="E36" i="15"/>
  <c r="D36" i="15"/>
  <c r="C36" i="15"/>
  <c r="B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E5" i="15"/>
  <c r="V5" i="15"/>
  <c r="G5" i="15"/>
  <c r="E5" i="15"/>
  <c r="D5" i="15"/>
  <c r="K4" i="15"/>
  <c r="B4" i="15"/>
  <c r="E4" i="15"/>
  <c r="AH81" i="21" l="1"/>
  <c r="AI81" i="21"/>
  <c r="W73" i="20"/>
  <c r="W71" i="20"/>
  <c r="Z232" i="20"/>
  <c r="AA196" i="20"/>
  <c r="Y189" i="20"/>
  <c r="Z99" i="20"/>
  <c r="Z191" i="20"/>
  <c r="Y197" i="20"/>
  <c r="Y91" i="20"/>
  <c r="AB100" i="20"/>
  <c r="X73" i="20"/>
  <c r="X71" i="20"/>
  <c r="R196" i="19"/>
  <c r="Q232" i="19"/>
  <c r="Q189" i="19"/>
  <c r="R99" i="19"/>
  <c r="Q197" i="19"/>
  <c r="S191" i="19"/>
  <c r="R197" i="19"/>
  <c r="R100" i="19"/>
  <c r="Q91" i="19"/>
  <c r="O196" i="18"/>
  <c r="N232" i="18"/>
  <c r="N191" i="18"/>
  <c r="M197" i="18"/>
  <c r="M91" i="18"/>
  <c r="M189" i="18"/>
  <c r="N99" i="18"/>
  <c r="Q100" i="18"/>
  <c r="M100" i="17"/>
  <c r="H189" i="17"/>
  <c r="I99" i="17"/>
  <c r="K112" i="17"/>
  <c r="I197" i="17"/>
  <c r="J191" i="17"/>
  <c r="I232" i="17"/>
  <c r="J196" i="17"/>
  <c r="H232" i="16"/>
  <c r="I196" i="16"/>
  <c r="H91" i="16"/>
  <c r="K100" i="16"/>
  <c r="H189" i="16"/>
  <c r="I99" i="16"/>
  <c r="J191" i="16"/>
  <c r="H197" i="16"/>
  <c r="AF80" i="15"/>
  <c r="AC80" i="15"/>
  <c r="AB80" i="15"/>
  <c r="AA80" i="15"/>
  <c r="Z80" i="15"/>
  <c r="Y80" i="15"/>
  <c r="Y73" i="15"/>
  <c r="AQ211" i="15" s="1"/>
  <c r="Y71" i="15"/>
  <c r="X80" i="15"/>
  <c r="U80" i="15"/>
  <c r="T80" i="15"/>
  <c r="S80" i="15"/>
  <c r="S73" i="15"/>
  <c r="AK211" i="15" s="1"/>
  <c r="R80" i="15"/>
  <c r="R73" i="15"/>
  <c r="R7" i="15" s="1"/>
  <c r="R71" i="15"/>
  <c r="Q80" i="15"/>
  <c r="Q73" i="15"/>
  <c r="P80" i="15"/>
  <c r="P73" i="15"/>
  <c r="P71" i="15"/>
  <c r="O71" i="15"/>
  <c r="O73" i="15"/>
  <c r="O7" i="15" s="1"/>
  <c r="N71" i="15"/>
  <c r="N73" i="15"/>
  <c r="M80" i="15"/>
  <c r="M73" i="15"/>
  <c r="M7" i="15" s="1"/>
  <c r="M71" i="15"/>
  <c r="L80" i="15"/>
  <c r="L71" i="15"/>
  <c r="L73" i="15"/>
  <c r="L81" i="15" s="1"/>
  <c r="K80" i="15"/>
  <c r="K73" i="15"/>
  <c r="AC211" i="15" s="1"/>
  <c r="J80" i="15"/>
  <c r="J73" i="15"/>
  <c r="AB211" i="15" s="1"/>
  <c r="J71" i="15"/>
  <c r="I80" i="15"/>
  <c r="I73" i="15"/>
  <c r="AA211" i="15" s="1"/>
  <c r="H80" i="15"/>
  <c r="H73" i="15"/>
  <c r="Z211" i="15" s="1"/>
  <c r="H71" i="15"/>
  <c r="G71" i="15"/>
  <c r="G73" i="15"/>
  <c r="F71" i="15"/>
  <c r="F73" i="15"/>
  <c r="F7" i="15" s="1"/>
  <c r="E80" i="15"/>
  <c r="E73" i="15"/>
  <c r="W211" i="15" s="1"/>
  <c r="E71" i="15"/>
  <c r="E81" i="15" s="1"/>
  <c r="AI76" i="15"/>
  <c r="D80" i="15"/>
  <c r="D71" i="15"/>
  <c r="D73" i="15"/>
  <c r="V211" i="15" s="1"/>
  <c r="C73" i="15"/>
  <c r="U211" i="15" s="1"/>
  <c r="AH77" i="15"/>
  <c r="AI77" i="15"/>
  <c r="AI75" i="15"/>
  <c r="C80" i="15"/>
  <c r="AH54" i="15"/>
  <c r="AH36" i="15"/>
  <c r="AH76" i="15"/>
  <c r="B80" i="15"/>
  <c r="AI54" i="15"/>
  <c r="B71" i="15"/>
  <c r="B73" i="15" s="1"/>
  <c r="H4" i="15"/>
  <c r="Y7" i="15"/>
  <c r="AG81" i="15"/>
  <c r="AG6" i="15"/>
  <c r="X211" i="15"/>
  <c r="AJ211" i="15"/>
  <c r="AF211" i="15"/>
  <c r="N7" i="15"/>
  <c r="D7" i="15"/>
  <c r="AD211" i="15"/>
  <c r="L7" i="15"/>
  <c r="AH211" i="15"/>
  <c r="P7" i="15"/>
  <c r="Q7" i="15"/>
  <c r="AG211" i="15"/>
  <c r="F100" i="15"/>
  <c r="AI36" i="15"/>
  <c r="AH66" i="15"/>
  <c r="AI74" i="15"/>
  <c r="AH75" i="15"/>
  <c r="Y81" i="15"/>
  <c r="S208" i="15"/>
  <c r="D208" i="15"/>
  <c r="C7" i="15"/>
  <c r="AH74" i="15"/>
  <c r="Q71" i="15"/>
  <c r="D81" i="15"/>
  <c r="C71" i="15"/>
  <c r="K71" i="15"/>
  <c r="S71" i="15"/>
  <c r="S81" i="15" s="1"/>
  <c r="F80" i="15"/>
  <c r="N80" i="15"/>
  <c r="V80" i="15"/>
  <c r="AD80" i="15"/>
  <c r="AI78" i="15"/>
  <c r="AH78" i="15"/>
  <c r="D112" i="15"/>
  <c r="AI66" i="15"/>
  <c r="I71" i="15"/>
  <c r="Y5" i="15"/>
  <c r="AG73" i="15"/>
  <c r="G80" i="15"/>
  <c r="O80" i="15"/>
  <c r="W80" i="15"/>
  <c r="AE80" i="15"/>
  <c r="C189" i="15"/>
  <c r="D99" i="15"/>
  <c r="C197" i="15"/>
  <c r="G191" i="15"/>
  <c r="E192" i="15"/>
  <c r="F192" i="15" s="1"/>
  <c r="G192" i="15" s="1"/>
  <c r="H192" i="15" s="1"/>
  <c r="I192" i="15" s="1"/>
  <c r="J192" i="15" s="1"/>
  <c r="K192" i="15" s="1"/>
  <c r="L192" i="15" s="1"/>
  <c r="M192" i="15" s="1"/>
  <c r="N192" i="15" s="1"/>
  <c r="O192" i="15" s="1"/>
  <c r="P192" i="15" s="1"/>
  <c r="Q192" i="15" s="1"/>
  <c r="R192" i="15" s="1"/>
  <c r="S192" i="15" s="1"/>
  <c r="T192" i="15" s="1"/>
  <c r="U192" i="15" s="1"/>
  <c r="V192" i="15" s="1"/>
  <c r="W192" i="15" s="1"/>
  <c r="X192" i="15" s="1"/>
  <c r="Y192" i="15" s="1"/>
  <c r="Z192" i="15" s="1"/>
  <c r="AA192" i="15" s="1"/>
  <c r="AB192" i="15" s="1"/>
  <c r="AC192" i="15" s="1"/>
  <c r="AD192" i="15" s="1"/>
  <c r="AE192" i="15" s="1"/>
  <c r="AF192" i="15" s="1"/>
  <c r="D196" i="15"/>
  <c r="D197" i="15" s="1"/>
  <c r="AA35" i="14"/>
  <c r="X81" i="20" l="1"/>
  <c r="AP211" i="20"/>
  <c r="X7" i="20"/>
  <c r="AB196" i="20"/>
  <c r="AA232" i="20"/>
  <c r="AC100" i="20"/>
  <c r="W81" i="20"/>
  <c r="Z197" i="20"/>
  <c r="Z49" i="20" s="1"/>
  <c r="AA191" i="20"/>
  <c r="Z91" i="20"/>
  <c r="AO211" i="20"/>
  <c r="W7" i="20"/>
  <c r="Z189" i="20"/>
  <c r="AA99" i="20"/>
  <c r="S100" i="19"/>
  <c r="R91" i="19"/>
  <c r="R189" i="19"/>
  <c r="S99" i="19"/>
  <c r="T191" i="19"/>
  <c r="R232" i="19"/>
  <c r="S196" i="19"/>
  <c r="R100" i="18"/>
  <c r="N189" i="18"/>
  <c r="O99" i="18"/>
  <c r="N197" i="18"/>
  <c r="O191" i="18"/>
  <c r="N91" i="18"/>
  <c r="O232" i="18"/>
  <c r="P196" i="18"/>
  <c r="J197" i="17"/>
  <c r="K191" i="17"/>
  <c r="J91" i="17"/>
  <c r="L112" i="17"/>
  <c r="K91" i="17"/>
  <c r="I189" i="17"/>
  <c r="J99" i="17"/>
  <c r="J232" i="17"/>
  <c r="K196" i="17"/>
  <c r="N100" i="17"/>
  <c r="I189" i="16"/>
  <c r="J99" i="16"/>
  <c r="J196" i="16"/>
  <c r="I232" i="16"/>
  <c r="I91" i="16"/>
  <c r="L100" i="16"/>
  <c r="J197" i="16"/>
  <c r="K191" i="16"/>
  <c r="I197" i="16"/>
  <c r="O81" i="15"/>
  <c r="N81" i="15"/>
  <c r="S7" i="15"/>
  <c r="R81" i="15"/>
  <c r="Q81" i="15"/>
  <c r="AI211" i="15"/>
  <c r="P81" i="15"/>
  <c r="K81" i="15"/>
  <c r="I7" i="15"/>
  <c r="AE211" i="15"/>
  <c r="M81" i="15"/>
  <c r="K7" i="15"/>
  <c r="J7" i="15"/>
  <c r="J81" i="15"/>
  <c r="G81" i="15"/>
  <c r="I81" i="15"/>
  <c r="H7" i="15"/>
  <c r="H81" i="15"/>
  <c r="C206" i="15"/>
  <c r="Y211" i="15"/>
  <c r="G7" i="15"/>
  <c r="B206" i="15"/>
  <c r="E7" i="15"/>
  <c r="AI80" i="15"/>
  <c r="B81" i="15"/>
  <c r="E112" i="15"/>
  <c r="D91" i="15"/>
  <c r="C81" i="15"/>
  <c r="F81" i="15"/>
  <c r="G100" i="15"/>
  <c r="H191" i="15"/>
  <c r="AH80" i="15"/>
  <c r="D232" i="15"/>
  <c r="E196" i="15"/>
  <c r="D189" i="15"/>
  <c r="E99" i="15"/>
  <c r="T211" i="15"/>
  <c r="B7" i="15"/>
  <c r="X35" i="14"/>
  <c r="W35" i="14"/>
  <c r="V35" i="14"/>
  <c r="U35" i="14"/>
  <c r="T35" i="14"/>
  <c r="S35" i="14"/>
  <c r="R35" i="14"/>
  <c r="Q93" i="14"/>
  <c r="Q35" i="14"/>
  <c r="P35" i="14"/>
  <c r="O35" i="14"/>
  <c r="N35" i="14"/>
  <c r="M36" i="14"/>
  <c r="M35" i="14"/>
  <c r="K93" i="14"/>
  <c r="J93" i="14"/>
  <c r="B56" i="14"/>
  <c r="I93" i="14"/>
  <c r="H93" i="14"/>
  <c r="G93" i="14"/>
  <c r="F93" i="14"/>
  <c r="E93" i="14"/>
  <c r="D93" i="14"/>
  <c r="AH97" i="14"/>
  <c r="AI97" i="14" s="1"/>
  <c r="B91" i="14"/>
  <c r="B36" i="14"/>
  <c r="B50" i="14"/>
  <c r="B54" i="14"/>
  <c r="B70" i="14"/>
  <c r="B71" i="14"/>
  <c r="B74" i="14"/>
  <c r="B76" i="14"/>
  <c r="B77" i="14"/>
  <c r="B78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AF234" i="14"/>
  <c r="AE234" i="14"/>
  <c r="AD234" i="14"/>
  <c r="AC234" i="14"/>
  <c r="AB234" i="14"/>
  <c r="AA234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A234" i="14"/>
  <c r="AF233" i="14"/>
  <c r="AE233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A233" i="14"/>
  <c r="D232" i="14"/>
  <c r="C232" i="14"/>
  <c r="B232" i="14"/>
  <c r="S207" i="14"/>
  <c r="AG197" i="14"/>
  <c r="B197" i="14"/>
  <c r="C196" i="14"/>
  <c r="D196" i="14" s="1"/>
  <c r="E196" i="14" s="1"/>
  <c r="E232" i="14" s="1"/>
  <c r="E195" i="14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D195" i="14"/>
  <c r="C195" i="14"/>
  <c r="D194" i="14"/>
  <c r="E194" i="14" s="1"/>
  <c r="F194" i="14" s="1"/>
  <c r="G194" i="14" s="1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U194" i="14" s="1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C194" i="14"/>
  <c r="X193" i="14"/>
  <c r="Y193" i="14" s="1"/>
  <c r="Z193" i="14" s="1"/>
  <c r="AA193" i="14" s="1"/>
  <c r="AB193" i="14" s="1"/>
  <c r="AC193" i="14" s="1"/>
  <c r="AD193" i="14" s="1"/>
  <c r="AE193" i="14" s="1"/>
  <c r="AF193" i="14" s="1"/>
  <c r="C193" i="14"/>
  <c r="D193" i="14" s="1"/>
  <c r="E193" i="14" s="1"/>
  <c r="F193" i="14" s="1"/>
  <c r="G193" i="14" s="1"/>
  <c r="H193" i="14" s="1"/>
  <c r="I193" i="14" s="1"/>
  <c r="J193" i="14" s="1"/>
  <c r="K193" i="14" s="1"/>
  <c r="L193" i="14" s="1"/>
  <c r="M193" i="14" s="1"/>
  <c r="N193" i="14" s="1"/>
  <c r="O193" i="14" s="1"/>
  <c r="P193" i="14" s="1"/>
  <c r="Q193" i="14" s="1"/>
  <c r="R193" i="14" s="1"/>
  <c r="S193" i="14" s="1"/>
  <c r="T193" i="14" s="1"/>
  <c r="U193" i="14" s="1"/>
  <c r="V193" i="14" s="1"/>
  <c r="W193" i="14" s="1"/>
  <c r="H192" i="14"/>
  <c r="I192" i="14" s="1"/>
  <c r="J192" i="14" s="1"/>
  <c r="K192" i="14" s="1"/>
  <c r="L192" i="14" s="1"/>
  <c r="M192" i="14" s="1"/>
  <c r="N192" i="14" s="1"/>
  <c r="O192" i="14" s="1"/>
  <c r="P192" i="14" s="1"/>
  <c r="Q192" i="14" s="1"/>
  <c r="R192" i="14" s="1"/>
  <c r="S192" i="14" s="1"/>
  <c r="T192" i="14" s="1"/>
  <c r="U192" i="14" s="1"/>
  <c r="V192" i="14" s="1"/>
  <c r="W192" i="14" s="1"/>
  <c r="X192" i="14" s="1"/>
  <c r="Y192" i="14" s="1"/>
  <c r="Z192" i="14" s="1"/>
  <c r="AA192" i="14" s="1"/>
  <c r="AB192" i="14" s="1"/>
  <c r="AC192" i="14" s="1"/>
  <c r="AD192" i="14" s="1"/>
  <c r="AE192" i="14" s="1"/>
  <c r="AF192" i="14" s="1"/>
  <c r="G192" i="14"/>
  <c r="C192" i="14"/>
  <c r="D192" i="14" s="1"/>
  <c r="E192" i="14" s="1"/>
  <c r="F192" i="14" s="1"/>
  <c r="D191" i="14"/>
  <c r="C191" i="14"/>
  <c r="AG189" i="14"/>
  <c r="B189" i="14"/>
  <c r="Q188" i="14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D188" i="14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C188" i="14"/>
  <c r="E187" i="14"/>
  <c r="F187" i="14" s="1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C187" i="14"/>
  <c r="D187" i="14" s="1"/>
  <c r="X186" i="14"/>
  <c r="Y186" i="14" s="1"/>
  <c r="Z186" i="14" s="1"/>
  <c r="AA186" i="14" s="1"/>
  <c r="AB186" i="14" s="1"/>
  <c r="AC186" i="14" s="1"/>
  <c r="AD186" i="14" s="1"/>
  <c r="AE186" i="14" s="1"/>
  <c r="AF186" i="14" s="1"/>
  <c r="C186" i="14"/>
  <c r="D186" i="14" s="1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AC185" i="14"/>
  <c r="AD185" i="14" s="1"/>
  <c r="AE185" i="14" s="1"/>
  <c r="AF185" i="14" s="1"/>
  <c r="C185" i="14"/>
  <c r="D185" i="14" s="1"/>
  <c r="E185" i="14" s="1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G184" i="14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D184" i="14"/>
  <c r="E184" i="14" s="1"/>
  <c r="F184" i="14" s="1"/>
  <c r="C184" i="14"/>
  <c r="O183" i="14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H183" i="14"/>
  <c r="I183" i="14" s="1"/>
  <c r="J183" i="14" s="1"/>
  <c r="K183" i="14" s="1"/>
  <c r="L183" i="14" s="1"/>
  <c r="M183" i="14" s="1"/>
  <c r="N183" i="14" s="1"/>
  <c r="G183" i="14"/>
  <c r="E183" i="14"/>
  <c r="F183" i="14" s="1"/>
  <c r="C183" i="14"/>
  <c r="D183" i="14" s="1"/>
  <c r="D182" i="14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C182" i="14"/>
  <c r="Z181" i="14"/>
  <c r="AA181" i="14" s="1"/>
  <c r="AB181" i="14" s="1"/>
  <c r="AC181" i="14" s="1"/>
  <c r="AD181" i="14" s="1"/>
  <c r="AE181" i="14" s="1"/>
  <c r="AF181" i="14" s="1"/>
  <c r="E181" i="14"/>
  <c r="F181" i="14" s="1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D181" i="14"/>
  <c r="C181" i="14"/>
  <c r="C180" i="14"/>
  <c r="D180" i="14" s="1"/>
  <c r="E180" i="14" s="1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AD179" i="14"/>
  <c r="AE179" i="14" s="1"/>
  <c r="AF179" i="14" s="1"/>
  <c r="C179" i="14"/>
  <c r="D179" i="14" s="1"/>
  <c r="E179" i="14" s="1"/>
  <c r="F179" i="14" s="1"/>
  <c r="G179" i="14" s="1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F178" i="14"/>
  <c r="K178" i="14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H178" i="14"/>
  <c r="I178" i="14" s="1"/>
  <c r="J178" i="14" s="1"/>
  <c r="C178" i="14"/>
  <c r="D178" i="14" s="1"/>
  <c r="E178" i="14" s="1"/>
  <c r="F178" i="14" s="1"/>
  <c r="G178" i="14" s="1"/>
  <c r="D177" i="14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C177" i="14"/>
  <c r="C176" i="14"/>
  <c r="D176" i="14" s="1"/>
  <c r="E176" i="14" s="1"/>
  <c r="F176" i="14" s="1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O174" i="14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E174" i="14"/>
  <c r="F174" i="14" s="1"/>
  <c r="G174" i="14" s="1"/>
  <c r="H174" i="14" s="1"/>
  <c r="I174" i="14" s="1"/>
  <c r="J174" i="14" s="1"/>
  <c r="K174" i="14" s="1"/>
  <c r="L174" i="14" s="1"/>
  <c r="M174" i="14" s="1"/>
  <c r="N174" i="14" s="1"/>
  <c r="D174" i="14"/>
  <c r="C174" i="14"/>
  <c r="M173" i="14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C173" i="14"/>
  <c r="D173" i="14" s="1"/>
  <c r="E173" i="14" s="1"/>
  <c r="F173" i="14" s="1"/>
  <c r="G173" i="14" s="1"/>
  <c r="H173" i="14" s="1"/>
  <c r="I173" i="14" s="1"/>
  <c r="J173" i="14" s="1"/>
  <c r="K173" i="14" s="1"/>
  <c r="L173" i="14" s="1"/>
  <c r="G172" i="14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C172" i="14"/>
  <c r="D172" i="14" s="1"/>
  <c r="E172" i="14" s="1"/>
  <c r="F172" i="14" s="1"/>
  <c r="G171" i="14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E171" i="14"/>
  <c r="F171" i="14" s="1"/>
  <c r="C171" i="14"/>
  <c r="D171" i="14" s="1"/>
  <c r="C170" i="14"/>
  <c r="D170" i="14" s="1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N169" i="14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K169" i="14"/>
  <c r="L169" i="14" s="1"/>
  <c r="M169" i="14" s="1"/>
  <c r="C169" i="14"/>
  <c r="D169" i="14" s="1"/>
  <c r="E169" i="14" s="1"/>
  <c r="F169" i="14" s="1"/>
  <c r="G169" i="14" s="1"/>
  <c r="H169" i="14" s="1"/>
  <c r="I169" i="14" s="1"/>
  <c r="J169" i="14" s="1"/>
  <c r="U168" i="14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C168" i="14"/>
  <c r="D168" i="14" s="1"/>
  <c r="E168" i="14" s="1"/>
  <c r="F168" i="14" s="1"/>
  <c r="G168" i="14" s="1"/>
  <c r="H168" i="14" s="1"/>
  <c r="I168" i="14" s="1"/>
  <c r="J168" i="14" s="1"/>
  <c r="K168" i="14" s="1"/>
  <c r="L168" i="14" s="1"/>
  <c r="M168" i="14" s="1"/>
  <c r="N168" i="14" s="1"/>
  <c r="O168" i="14" s="1"/>
  <c r="P168" i="14" s="1"/>
  <c r="Q168" i="14" s="1"/>
  <c r="R168" i="14" s="1"/>
  <c r="S168" i="14" s="1"/>
  <c r="T168" i="14" s="1"/>
  <c r="F167" i="14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E167" i="14"/>
  <c r="D167" i="14"/>
  <c r="C167" i="14"/>
  <c r="I165" i="14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C165" i="14"/>
  <c r="D165" i="14" s="1"/>
  <c r="E165" i="14" s="1"/>
  <c r="F165" i="14" s="1"/>
  <c r="G165" i="14" s="1"/>
  <c r="H165" i="14" s="1"/>
  <c r="F164" i="14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C164" i="14"/>
  <c r="D164" i="14" s="1"/>
  <c r="E164" i="14" s="1"/>
  <c r="G163" i="14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F163" i="14"/>
  <c r="E163" i="14"/>
  <c r="D163" i="14"/>
  <c r="C163" i="14"/>
  <c r="AC162" i="14"/>
  <c r="AD162" i="14" s="1"/>
  <c r="AE162" i="14" s="1"/>
  <c r="AF162" i="14" s="1"/>
  <c r="R162" i="14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C162" i="14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C161" i="14"/>
  <c r="C160" i="14"/>
  <c r="D160" i="14" s="1"/>
  <c r="E160" i="14" s="1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F159" i="14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E159" i="14"/>
  <c r="D159" i="14"/>
  <c r="C159" i="14"/>
  <c r="E158" i="14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D158" i="14"/>
  <c r="C158" i="14"/>
  <c r="E157" i="14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C157" i="14"/>
  <c r="D157" i="14" s="1"/>
  <c r="C156" i="14"/>
  <c r="D156" i="14" s="1"/>
  <c r="E156" i="14" s="1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W155" i="14"/>
  <c r="X155" i="14" s="1"/>
  <c r="Y155" i="14" s="1"/>
  <c r="Z155" i="14" s="1"/>
  <c r="AA155" i="14" s="1"/>
  <c r="AB155" i="14" s="1"/>
  <c r="AC155" i="14" s="1"/>
  <c r="AD155" i="14" s="1"/>
  <c r="AE155" i="14" s="1"/>
  <c r="AF155" i="14" s="1"/>
  <c r="M155" i="14"/>
  <c r="N155" i="14" s="1"/>
  <c r="O155" i="14" s="1"/>
  <c r="P155" i="14" s="1"/>
  <c r="Q155" i="14" s="1"/>
  <c r="R155" i="14" s="1"/>
  <c r="S155" i="14" s="1"/>
  <c r="T155" i="14" s="1"/>
  <c r="U155" i="14" s="1"/>
  <c r="V155" i="14" s="1"/>
  <c r="E155" i="14"/>
  <c r="F155" i="14" s="1"/>
  <c r="G155" i="14" s="1"/>
  <c r="H155" i="14" s="1"/>
  <c r="I155" i="14" s="1"/>
  <c r="J155" i="14" s="1"/>
  <c r="K155" i="14" s="1"/>
  <c r="L155" i="14" s="1"/>
  <c r="D155" i="14"/>
  <c r="C155" i="14"/>
  <c r="D154" i="14"/>
  <c r="E154" i="14" s="1"/>
  <c r="F154" i="14" s="1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C154" i="14"/>
  <c r="N153" i="14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F153" i="14"/>
  <c r="G153" i="14" s="1"/>
  <c r="H153" i="14" s="1"/>
  <c r="I153" i="14" s="1"/>
  <c r="J153" i="14" s="1"/>
  <c r="K153" i="14" s="1"/>
  <c r="L153" i="14" s="1"/>
  <c r="M153" i="14" s="1"/>
  <c r="D153" i="14"/>
  <c r="E153" i="14" s="1"/>
  <c r="C153" i="14"/>
  <c r="T151" i="14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L151" i="14"/>
  <c r="M151" i="14" s="1"/>
  <c r="N151" i="14" s="1"/>
  <c r="O151" i="14" s="1"/>
  <c r="P151" i="14" s="1"/>
  <c r="Q151" i="14" s="1"/>
  <c r="R151" i="14" s="1"/>
  <c r="S151" i="14" s="1"/>
  <c r="D151" i="14"/>
  <c r="E151" i="14" s="1"/>
  <c r="F151" i="14" s="1"/>
  <c r="G151" i="14" s="1"/>
  <c r="H151" i="14" s="1"/>
  <c r="I151" i="14" s="1"/>
  <c r="J151" i="14" s="1"/>
  <c r="K151" i="14" s="1"/>
  <c r="C151" i="14"/>
  <c r="D150" i="14"/>
  <c r="E150" i="14" s="1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C150" i="14"/>
  <c r="H149" i="14"/>
  <c r="I149" i="14" s="1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C149" i="14"/>
  <c r="D149" i="14" s="1"/>
  <c r="E149" i="14" s="1"/>
  <c r="F149" i="14" s="1"/>
  <c r="G149" i="14" s="1"/>
  <c r="H148" i="14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F148" i="14"/>
  <c r="G148" i="14" s="1"/>
  <c r="D148" i="14"/>
  <c r="E148" i="14" s="1"/>
  <c r="C148" i="14"/>
  <c r="D146" i="14"/>
  <c r="E146" i="14" s="1"/>
  <c r="F146" i="14" s="1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C146" i="14"/>
  <c r="D145" i="14"/>
  <c r="E145" i="14" s="1"/>
  <c r="F145" i="14" s="1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C145" i="14"/>
  <c r="H143" i="14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C143" i="14"/>
  <c r="D143" i="14" s="1"/>
  <c r="E143" i="14" s="1"/>
  <c r="F143" i="14" s="1"/>
  <c r="G143" i="14" s="1"/>
  <c r="H142" i="14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F142" i="14"/>
  <c r="G142" i="14" s="1"/>
  <c r="D142" i="14"/>
  <c r="E142" i="14" s="1"/>
  <c r="C142" i="14"/>
  <c r="T141" i="14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F141" i="14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D141" i="14"/>
  <c r="E141" i="14" s="1"/>
  <c r="C141" i="14"/>
  <c r="R140" i="14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J140" i="14"/>
  <c r="K140" i="14" s="1"/>
  <c r="L140" i="14" s="1"/>
  <c r="M140" i="14" s="1"/>
  <c r="N140" i="14" s="1"/>
  <c r="O140" i="14" s="1"/>
  <c r="P140" i="14" s="1"/>
  <c r="Q140" i="14" s="1"/>
  <c r="H140" i="14"/>
  <c r="I140" i="14" s="1"/>
  <c r="D140" i="14"/>
  <c r="E140" i="14" s="1"/>
  <c r="F140" i="14" s="1"/>
  <c r="G140" i="14" s="1"/>
  <c r="C140" i="14"/>
  <c r="H139" i="14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F139" i="14"/>
  <c r="G139" i="14" s="1"/>
  <c r="C139" i="14"/>
  <c r="D139" i="14" s="1"/>
  <c r="E139" i="14" s="1"/>
  <c r="C138" i="14"/>
  <c r="D138" i="14" s="1"/>
  <c r="E138" i="14" s="1"/>
  <c r="F138" i="14" s="1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T137" i="14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C137" i="14"/>
  <c r="P135" i="14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C135" i="14"/>
  <c r="D135" i="14" s="1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I134" i="14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F134" i="14"/>
  <c r="G134" i="14" s="1"/>
  <c r="H134" i="14" s="1"/>
  <c r="E134" i="14"/>
  <c r="C134" i="14"/>
  <c r="D134" i="14" s="1"/>
  <c r="C133" i="14"/>
  <c r="D133" i="14" s="1"/>
  <c r="E133" i="14" s="1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AC132" i="14"/>
  <c r="AD132" i="14" s="1"/>
  <c r="AE132" i="14" s="1"/>
  <c r="AF132" i="14" s="1"/>
  <c r="G132" i="14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D132" i="14"/>
  <c r="E132" i="14" s="1"/>
  <c r="F132" i="14" s="1"/>
  <c r="C132" i="14"/>
  <c r="J131" i="14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E131" i="14"/>
  <c r="F131" i="14" s="1"/>
  <c r="G131" i="14" s="1"/>
  <c r="H131" i="14" s="1"/>
  <c r="I131" i="14" s="1"/>
  <c r="D131" i="14"/>
  <c r="C131" i="14"/>
  <c r="C130" i="14"/>
  <c r="D130" i="14" s="1"/>
  <c r="E130" i="14" s="1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AF130" i="14" s="1"/>
  <c r="C129" i="14"/>
  <c r="D129" i="14" s="1"/>
  <c r="E129" i="14" s="1"/>
  <c r="F129" i="14" s="1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F128" i="14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D128" i="14"/>
  <c r="E128" i="14" s="1"/>
  <c r="C128" i="14"/>
  <c r="J126" i="14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D126" i="14"/>
  <c r="E126" i="14" s="1"/>
  <c r="F126" i="14" s="1"/>
  <c r="G126" i="14" s="1"/>
  <c r="H126" i="14" s="1"/>
  <c r="I126" i="14" s="1"/>
  <c r="C126" i="14"/>
  <c r="H125" i="14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C125" i="14"/>
  <c r="D125" i="14" s="1"/>
  <c r="E125" i="14" s="1"/>
  <c r="F125" i="14" s="1"/>
  <c r="G125" i="14" s="1"/>
  <c r="C124" i="14"/>
  <c r="D124" i="14" s="1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F123" i="14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D123" i="14"/>
  <c r="E123" i="14" s="1"/>
  <c r="C123" i="14"/>
  <c r="D122" i="14"/>
  <c r="E122" i="14" s="1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C122" i="14"/>
  <c r="H121" i="14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C121" i="14"/>
  <c r="D121" i="14" s="1"/>
  <c r="E121" i="14" s="1"/>
  <c r="F121" i="14" s="1"/>
  <c r="G121" i="14" s="1"/>
  <c r="F120" i="14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C120" i="14"/>
  <c r="D120" i="14" s="1"/>
  <c r="E120" i="14" s="1"/>
  <c r="L119" i="14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E119" i="14"/>
  <c r="F119" i="14" s="1"/>
  <c r="G119" i="14" s="1"/>
  <c r="H119" i="14" s="1"/>
  <c r="I119" i="14" s="1"/>
  <c r="J119" i="14" s="1"/>
  <c r="K119" i="14" s="1"/>
  <c r="D119" i="14"/>
  <c r="C119" i="14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C118" i="14"/>
  <c r="C117" i="14"/>
  <c r="D117" i="14" s="1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C116" i="14"/>
  <c r="D116" i="14" s="1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E115" i="14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D115" i="14"/>
  <c r="C115" i="14"/>
  <c r="K114" i="14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C114" i="14"/>
  <c r="D114" i="14" s="1"/>
  <c r="E114" i="14" s="1"/>
  <c r="F114" i="14" s="1"/>
  <c r="G114" i="14" s="1"/>
  <c r="H114" i="14" s="1"/>
  <c r="I114" i="14" s="1"/>
  <c r="J114" i="14" s="1"/>
  <c r="C113" i="14"/>
  <c r="D113" i="14" s="1"/>
  <c r="E113" i="14" s="1"/>
  <c r="F113" i="14" s="1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I112" i="14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C112" i="14"/>
  <c r="D112" i="14" s="1"/>
  <c r="E112" i="14" s="1"/>
  <c r="F112" i="14" s="1"/>
  <c r="G112" i="14" s="1"/>
  <c r="H112" i="14" s="1"/>
  <c r="M111" i="14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K111" i="14"/>
  <c r="L111" i="14" s="1"/>
  <c r="J111" i="14"/>
  <c r="C111" i="14"/>
  <c r="D111" i="14" s="1"/>
  <c r="E111" i="14" s="1"/>
  <c r="F111" i="14" s="1"/>
  <c r="G111" i="14" s="1"/>
  <c r="H111" i="14" s="1"/>
  <c r="H110" i="14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C110" i="14"/>
  <c r="D110" i="14" s="1"/>
  <c r="E110" i="14" s="1"/>
  <c r="F110" i="14" s="1"/>
  <c r="G110" i="14" s="1"/>
  <c r="I109" i="14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F109" i="14"/>
  <c r="G109" i="14" s="1"/>
  <c r="H109" i="14" s="1"/>
  <c r="C109" i="14"/>
  <c r="D109" i="14" s="1"/>
  <c r="E109" i="14" s="1"/>
  <c r="F107" i="14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E107" i="14"/>
  <c r="D107" i="14"/>
  <c r="C107" i="14"/>
  <c r="D106" i="14"/>
  <c r="E106" i="14" s="1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C106" i="14"/>
  <c r="C104" i="14"/>
  <c r="D104" i="14" s="1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F103" i="14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C103" i="14"/>
  <c r="D103" i="14" s="1"/>
  <c r="E103" i="14" s="1"/>
  <c r="G102" i="14"/>
  <c r="H102" i="14" s="1"/>
  <c r="I102" i="14" s="1"/>
  <c r="J102" i="14" s="1"/>
  <c r="K102" i="14" s="1"/>
  <c r="L102" i="14" s="1"/>
  <c r="M102" i="14" s="1"/>
  <c r="N102" i="14" s="1"/>
  <c r="O102" i="14" s="1"/>
  <c r="P102" i="14" s="1"/>
  <c r="Q102" i="14" s="1"/>
  <c r="R102" i="14" s="1"/>
  <c r="S102" i="14" s="1"/>
  <c r="T102" i="14" s="1"/>
  <c r="U102" i="14" s="1"/>
  <c r="V102" i="14" s="1"/>
  <c r="W102" i="14" s="1"/>
  <c r="X102" i="14" s="1"/>
  <c r="Y102" i="14" s="1"/>
  <c r="Z102" i="14" s="1"/>
  <c r="AA102" i="14" s="1"/>
  <c r="AB102" i="14" s="1"/>
  <c r="AC102" i="14" s="1"/>
  <c r="AD102" i="14" s="1"/>
  <c r="AE102" i="14" s="1"/>
  <c r="AF102" i="14" s="1"/>
  <c r="D102" i="14"/>
  <c r="E102" i="14" s="1"/>
  <c r="F102" i="14" s="1"/>
  <c r="C102" i="14"/>
  <c r="J101" i="14"/>
  <c r="K101" i="14" s="1"/>
  <c r="L101" i="14" s="1"/>
  <c r="M101" i="14" s="1"/>
  <c r="N101" i="14" s="1"/>
  <c r="O101" i="14" s="1"/>
  <c r="P101" i="14" s="1"/>
  <c r="Q101" i="14" s="1"/>
  <c r="R101" i="14" s="1"/>
  <c r="S101" i="14" s="1"/>
  <c r="T101" i="14" s="1"/>
  <c r="U101" i="14" s="1"/>
  <c r="V101" i="14" s="1"/>
  <c r="W101" i="14" s="1"/>
  <c r="X101" i="14" s="1"/>
  <c r="Y101" i="14" s="1"/>
  <c r="Z101" i="14" s="1"/>
  <c r="AA101" i="14" s="1"/>
  <c r="AB101" i="14" s="1"/>
  <c r="AC101" i="14" s="1"/>
  <c r="AD101" i="14" s="1"/>
  <c r="AE101" i="14" s="1"/>
  <c r="AF101" i="14" s="1"/>
  <c r="E101" i="14"/>
  <c r="F101" i="14" s="1"/>
  <c r="G101" i="14" s="1"/>
  <c r="H101" i="14" s="1"/>
  <c r="I101" i="14" s="1"/>
  <c r="D101" i="14"/>
  <c r="C101" i="14"/>
  <c r="C100" i="14"/>
  <c r="D100" i="14" s="1"/>
  <c r="C99" i="14"/>
  <c r="AH96" i="14"/>
  <c r="AI96" i="14" s="1"/>
  <c r="AH95" i="14"/>
  <c r="AI95" i="14" s="1"/>
  <c r="AH94" i="14"/>
  <c r="AI94" i="14" s="1"/>
  <c r="AH93" i="14"/>
  <c r="AI93" i="14" s="1"/>
  <c r="AH92" i="14"/>
  <c r="AI92" i="14" s="1"/>
  <c r="C91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G80" i="14"/>
  <c r="AI79" i="14"/>
  <c r="AH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T80" i="14" s="1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T211" i="14"/>
  <c r="AI72" i="14"/>
  <c r="AH72" i="14"/>
  <c r="AG70" i="14"/>
  <c r="AF70" i="14"/>
  <c r="AE70" i="14"/>
  <c r="AD70" i="14"/>
  <c r="AC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AI70" i="14" s="1"/>
  <c r="AI69" i="14"/>
  <c r="AH69" i="14"/>
  <c r="AI68" i="14"/>
  <c r="AH68" i="14"/>
  <c r="AI67" i="14"/>
  <c r="AH67" i="14"/>
  <c r="AG66" i="14"/>
  <c r="AF66" i="14"/>
  <c r="AE66" i="14"/>
  <c r="AE5" i="14" s="1"/>
  <c r="AD66" i="14"/>
  <c r="AC66" i="14"/>
  <c r="AA66" i="14"/>
  <c r="AA5" i="14" s="1"/>
  <c r="Z66" i="14"/>
  <c r="Y66" i="14"/>
  <c r="X66" i="14"/>
  <c r="W66" i="14"/>
  <c r="W5" i="14" s="1"/>
  <c r="V66" i="14"/>
  <c r="U66" i="14"/>
  <c r="T66" i="14"/>
  <c r="T5" i="14" s="1"/>
  <c r="S66" i="14"/>
  <c r="S5" i="14" s="1"/>
  <c r="R66" i="14"/>
  <c r="Q66" i="14"/>
  <c r="Q5" i="14" s="1"/>
  <c r="P66" i="14"/>
  <c r="O66" i="14"/>
  <c r="N66" i="14"/>
  <c r="M66" i="14"/>
  <c r="L66" i="14"/>
  <c r="L5" i="14" s="1"/>
  <c r="K66" i="14"/>
  <c r="K5" i="14" s="1"/>
  <c r="J66" i="14"/>
  <c r="J5" i="14" s="1"/>
  <c r="I66" i="14"/>
  <c r="I5" i="14" s="1"/>
  <c r="H66" i="14"/>
  <c r="G66" i="14"/>
  <c r="G5" i="14" s="1"/>
  <c r="F66" i="14"/>
  <c r="E66" i="14"/>
  <c r="D66" i="14"/>
  <c r="D5" i="14" s="1"/>
  <c r="C66" i="14"/>
  <c r="C5" i="14" s="1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5" i="14"/>
  <c r="AH55" i="14"/>
  <c r="AG54" i="14"/>
  <c r="AF54" i="14"/>
  <c r="AE54" i="14"/>
  <c r="AD54" i="14"/>
  <c r="AC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AI53" i="14"/>
  <c r="AH53" i="14"/>
  <c r="AI52" i="14"/>
  <c r="AH52" i="14"/>
  <c r="AI51" i="14"/>
  <c r="AH51" i="14"/>
  <c r="Y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AG49" i="14"/>
  <c r="AG50" i="14" s="1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G36" i="14"/>
  <c r="AG2" i="14" s="1"/>
  <c r="AG6" i="14" s="1"/>
  <c r="AF36" i="14"/>
  <c r="AE36" i="14"/>
  <c r="AD36" i="14"/>
  <c r="AC36" i="14"/>
  <c r="AA36" i="14"/>
  <c r="Z36" i="14"/>
  <c r="Y36" i="14"/>
  <c r="X36" i="14"/>
  <c r="W36" i="14"/>
  <c r="V36" i="14"/>
  <c r="U36" i="14"/>
  <c r="T36" i="14"/>
  <c r="S36" i="14"/>
  <c r="R36" i="14"/>
  <c r="Q36" i="14"/>
  <c r="Q73" i="14" s="1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B7" i="14"/>
  <c r="AB5" i="14"/>
  <c r="Z5" i="14"/>
  <c r="Y5" i="14"/>
  <c r="B5" i="14"/>
  <c r="AG4" i="14"/>
  <c r="K4" i="14"/>
  <c r="B4" i="14"/>
  <c r="AG3" i="14"/>
  <c r="AD93" i="13"/>
  <c r="AC93" i="13"/>
  <c r="AB93" i="13"/>
  <c r="X35" i="13"/>
  <c r="W35" i="13"/>
  <c r="V35" i="13"/>
  <c r="U35" i="13"/>
  <c r="T35" i="13"/>
  <c r="S35" i="13"/>
  <c r="R35" i="13"/>
  <c r="AH25" i="5"/>
  <c r="AI25" i="5"/>
  <c r="AH25" i="6"/>
  <c r="AI25" i="6"/>
  <c r="AH25" i="13"/>
  <c r="AI25" i="13"/>
  <c r="N93" i="13"/>
  <c r="L35" i="13"/>
  <c r="B71" i="13"/>
  <c r="AH97" i="13"/>
  <c r="AI97" i="13" s="1"/>
  <c r="B49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B232" i="13"/>
  <c r="S207" i="13"/>
  <c r="AG197" i="13"/>
  <c r="B197" i="13"/>
  <c r="C196" i="13"/>
  <c r="D196" i="13" s="1"/>
  <c r="C195" i="13"/>
  <c r="D195" i="13" s="1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C194" i="13"/>
  <c r="D194" i="13" s="1"/>
  <c r="E194" i="13" s="1"/>
  <c r="F194" i="13" s="1"/>
  <c r="G194" i="13" s="1"/>
  <c r="H194" i="13" s="1"/>
  <c r="I194" i="13" s="1"/>
  <c r="J194" i="13" s="1"/>
  <c r="K194" i="13" s="1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E193" i="13"/>
  <c r="F193" i="13" s="1"/>
  <c r="G193" i="13" s="1"/>
  <c r="H193" i="13" s="1"/>
  <c r="I193" i="13" s="1"/>
  <c r="J193" i="13" s="1"/>
  <c r="K193" i="13" s="1"/>
  <c r="L193" i="13" s="1"/>
  <c r="M193" i="13" s="1"/>
  <c r="N193" i="13" s="1"/>
  <c r="O193" i="13" s="1"/>
  <c r="P193" i="13" s="1"/>
  <c r="Q193" i="13" s="1"/>
  <c r="R193" i="13" s="1"/>
  <c r="S193" i="13" s="1"/>
  <c r="T193" i="13" s="1"/>
  <c r="U193" i="13" s="1"/>
  <c r="V193" i="13" s="1"/>
  <c r="W193" i="13" s="1"/>
  <c r="X193" i="13" s="1"/>
  <c r="Y193" i="13" s="1"/>
  <c r="Z193" i="13" s="1"/>
  <c r="AA193" i="13" s="1"/>
  <c r="AB193" i="13" s="1"/>
  <c r="AC193" i="13" s="1"/>
  <c r="AD193" i="13" s="1"/>
  <c r="AE193" i="13" s="1"/>
  <c r="AF193" i="13" s="1"/>
  <c r="D193" i="13"/>
  <c r="C193" i="13"/>
  <c r="C192" i="13"/>
  <c r="D192" i="13" s="1"/>
  <c r="E192" i="13" s="1"/>
  <c r="F192" i="13" s="1"/>
  <c r="G192" i="13" s="1"/>
  <c r="H192" i="13" s="1"/>
  <c r="I192" i="13" s="1"/>
  <c r="J192" i="13" s="1"/>
  <c r="K192" i="13" s="1"/>
  <c r="L192" i="13" s="1"/>
  <c r="M192" i="13" s="1"/>
  <c r="N192" i="13" s="1"/>
  <c r="O192" i="13" s="1"/>
  <c r="P192" i="13" s="1"/>
  <c r="Q192" i="13" s="1"/>
  <c r="R192" i="13" s="1"/>
  <c r="S192" i="13" s="1"/>
  <c r="T192" i="13" s="1"/>
  <c r="U192" i="13" s="1"/>
  <c r="V192" i="13" s="1"/>
  <c r="W192" i="13" s="1"/>
  <c r="X192" i="13" s="1"/>
  <c r="Y192" i="13" s="1"/>
  <c r="Z192" i="13" s="1"/>
  <c r="AA192" i="13" s="1"/>
  <c r="AB192" i="13" s="1"/>
  <c r="AC192" i="13" s="1"/>
  <c r="AD192" i="13" s="1"/>
  <c r="AE192" i="13" s="1"/>
  <c r="AF192" i="13" s="1"/>
  <c r="D191" i="13"/>
  <c r="C191" i="13"/>
  <c r="C197" i="13" s="1"/>
  <c r="AG189" i="13"/>
  <c r="B189" i="13"/>
  <c r="L188" i="13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C188" i="13"/>
  <c r="D188" i="13" s="1"/>
  <c r="E188" i="13" s="1"/>
  <c r="F188" i="13" s="1"/>
  <c r="G188" i="13" s="1"/>
  <c r="H188" i="13" s="1"/>
  <c r="I188" i="13" s="1"/>
  <c r="J188" i="13" s="1"/>
  <c r="K188" i="13" s="1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C187" i="13"/>
  <c r="S186" i="13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F186" i="13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D186" i="13"/>
  <c r="E186" i="13" s="1"/>
  <c r="C186" i="13"/>
  <c r="C185" i="13"/>
  <c r="D185" i="13" s="1"/>
  <c r="E185" i="13" s="1"/>
  <c r="F185" i="13" s="1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I184" i="13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D184" i="13"/>
  <c r="E184" i="13" s="1"/>
  <c r="F184" i="13" s="1"/>
  <c r="G184" i="13" s="1"/>
  <c r="H184" i="13" s="1"/>
  <c r="C184" i="13"/>
  <c r="H183" i="13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F183" i="13"/>
  <c r="G183" i="13" s="1"/>
  <c r="E183" i="13"/>
  <c r="D183" i="13"/>
  <c r="C183" i="13"/>
  <c r="L182" i="13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C182" i="13"/>
  <c r="D182" i="13" s="1"/>
  <c r="E182" i="13" s="1"/>
  <c r="F182" i="13" s="1"/>
  <c r="G182" i="13" s="1"/>
  <c r="H182" i="13" s="1"/>
  <c r="I182" i="13" s="1"/>
  <c r="J182" i="13" s="1"/>
  <c r="K182" i="13" s="1"/>
  <c r="E181" i="13"/>
  <c r="F181" i="13" s="1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C181" i="13"/>
  <c r="D181" i="13" s="1"/>
  <c r="C180" i="13"/>
  <c r="D180" i="13" s="1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D179" i="13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C179" i="13"/>
  <c r="L178" i="13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C178" i="13"/>
  <c r="D178" i="13" s="1"/>
  <c r="E178" i="13" s="1"/>
  <c r="F178" i="13" s="1"/>
  <c r="G178" i="13" s="1"/>
  <c r="H178" i="13" s="1"/>
  <c r="I178" i="13" s="1"/>
  <c r="J178" i="13" s="1"/>
  <c r="K178" i="13" s="1"/>
  <c r="K177" i="13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C177" i="13"/>
  <c r="D177" i="13" s="1"/>
  <c r="E177" i="13" s="1"/>
  <c r="F177" i="13" s="1"/>
  <c r="G177" i="13" s="1"/>
  <c r="H177" i="13" s="1"/>
  <c r="I177" i="13" s="1"/>
  <c r="J177" i="13" s="1"/>
  <c r="I176" i="13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D176" i="13"/>
  <c r="E176" i="13" s="1"/>
  <c r="F176" i="13" s="1"/>
  <c r="G176" i="13" s="1"/>
  <c r="H176" i="13" s="1"/>
  <c r="C176" i="13"/>
  <c r="D174" i="13"/>
  <c r="E174" i="13" s="1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C174" i="13"/>
  <c r="AD173" i="13"/>
  <c r="AE173" i="13" s="1"/>
  <c r="AF173" i="13" s="1"/>
  <c r="K173" i="13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C173" i="13"/>
  <c r="D173" i="13" s="1"/>
  <c r="E173" i="13" s="1"/>
  <c r="F173" i="13" s="1"/>
  <c r="G173" i="13" s="1"/>
  <c r="H173" i="13" s="1"/>
  <c r="I173" i="13" s="1"/>
  <c r="J173" i="13" s="1"/>
  <c r="C172" i="13"/>
  <c r="D172" i="13" s="1"/>
  <c r="E172" i="13" s="1"/>
  <c r="F172" i="13" s="1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C171" i="13"/>
  <c r="D171" i="13" s="1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C170" i="13"/>
  <c r="D170" i="13" s="1"/>
  <c r="E170" i="13" s="1"/>
  <c r="F170" i="13" s="1"/>
  <c r="G170" i="13" s="1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C169" i="13"/>
  <c r="D169" i="13" s="1"/>
  <c r="E169" i="13" s="1"/>
  <c r="F169" i="13" s="1"/>
  <c r="G169" i="13" s="1"/>
  <c r="H169" i="13" s="1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W168" i="13"/>
  <c r="X168" i="13" s="1"/>
  <c r="Y168" i="13" s="1"/>
  <c r="Z168" i="13" s="1"/>
  <c r="AA168" i="13" s="1"/>
  <c r="AB168" i="13" s="1"/>
  <c r="AC168" i="13" s="1"/>
  <c r="AD168" i="13" s="1"/>
  <c r="AE168" i="13" s="1"/>
  <c r="AF168" i="13" s="1"/>
  <c r="G168" i="13"/>
  <c r="H168" i="13" s="1"/>
  <c r="I168" i="13" s="1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U168" i="13" s="1"/>
  <c r="V168" i="13" s="1"/>
  <c r="C168" i="13"/>
  <c r="D168" i="13" s="1"/>
  <c r="E168" i="13" s="1"/>
  <c r="F168" i="13" s="1"/>
  <c r="C167" i="13"/>
  <c r="D167" i="13" s="1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D165" i="13"/>
  <c r="E165" i="13" s="1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C165" i="13"/>
  <c r="C164" i="13"/>
  <c r="D164" i="13" s="1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AE163" i="13"/>
  <c r="AF163" i="13" s="1"/>
  <c r="H163" i="13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E163" i="13"/>
  <c r="F163" i="13" s="1"/>
  <c r="G163" i="13" s="1"/>
  <c r="C163" i="13"/>
  <c r="D163" i="13" s="1"/>
  <c r="E162" i="13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C162" i="13"/>
  <c r="D162" i="13" s="1"/>
  <c r="K161" i="13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C161" i="13"/>
  <c r="D161" i="13" s="1"/>
  <c r="E161" i="13" s="1"/>
  <c r="F161" i="13" s="1"/>
  <c r="G161" i="13" s="1"/>
  <c r="H161" i="13" s="1"/>
  <c r="I161" i="13" s="1"/>
  <c r="J161" i="13" s="1"/>
  <c r="H160" i="13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D160" i="13"/>
  <c r="E160" i="13" s="1"/>
  <c r="F160" i="13" s="1"/>
  <c r="G160" i="13" s="1"/>
  <c r="C160" i="13"/>
  <c r="D159" i="13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C159" i="13"/>
  <c r="H158" i="13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D158" i="13"/>
  <c r="E158" i="13" s="1"/>
  <c r="F158" i="13" s="1"/>
  <c r="G158" i="13" s="1"/>
  <c r="C158" i="13"/>
  <c r="F157" i="13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D157" i="13"/>
  <c r="E157" i="13" s="1"/>
  <c r="C157" i="13"/>
  <c r="P156" i="13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D156" i="13"/>
  <c r="E156" i="13" s="1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C156" i="13"/>
  <c r="N155" i="13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F155" i="13"/>
  <c r="G155" i="13" s="1"/>
  <c r="H155" i="13" s="1"/>
  <c r="I155" i="13" s="1"/>
  <c r="J155" i="13" s="1"/>
  <c r="K155" i="13" s="1"/>
  <c r="L155" i="13" s="1"/>
  <c r="M155" i="13" s="1"/>
  <c r="D155" i="13"/>
  <c r="E155" i="13" s="1"/>
  <c r="C155" i="13"/>
  <c r="L154" i="13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H154" i="13"/>
  <c r="I154" i="13" s="1"/>
  <c r="J154" i="13" s="1"/>
  <c r="K154" i="13" s="1"/>
  <c r="D154" i="13"/>
  <c r="E154" i="13" s="1"/>
  <c r="F154" i="13" s="1"/>
  <c r="G154" i="13" s="1"/>
  <c r="C154" i="13"/>
  <c r="D153" i="13"/>
  <c r="E153" i="13" s="1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C153" i="13"/>
  <c r="H151" i="13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F151" i="13"/>
  <c r="G151" i="13" s="1"/>
  <c r="D151" i="13"/>
  <c r="E151" i="13" s="1"/>
  <c r="C151" i="13"/>
  <c r="Z150" i="13"/>
  <c r="AA150" i="13" s="1"/>
  <c r="AB150" i="13" s="1"/>
  <c r="AC150" i="13" s="1"/>
  <c r="AD150" i="13" s="1"/>
  <c r="AE150" i="13" s="1"/>
  <c r="AF150" i="13" s="1"/>
  <c r="R150" i="13"/>
  <c r="S150" i="13" s="1"/>
  <c r="T150" i="13" s="1"/>
  <c r="U150" i="13" s="1"/>
  <c r="V150" i="13" s="1"/>
  <c r="W150" i="13" s="1"/>
  <c r="X150" i="13" s="1"/>
  <c r="Y150" i="13" s="1"/>
  <c r="D150" i="13"/>
  <c r="E150" i="13" s="1"/>
  <c r="F150" i="13" s="1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C150" i="13"/>
  <c r="J149" i="13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H149" i="13"/>
  <c r="I149" i="13" s="1"/>
  <c r="D149" i="13"/>
  <c r="E149" i="13" s="1"/>
  <c r="F149" i="13" s="1"/>
  <c r="G149" i="13" s="1"/>
  <c r="C149" i="13"/>
  <c r="F148" i="13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D148" i="13"/>
  <c r="E148" i="13" s="1"/>
  <c r="C148" i="13"/>
  <c r="N146" i="13"/>
  <c r="O146" i="13" s="1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F146" i="13"/>
  <c r="G146" i="13" s="1"/>
  <c r="H146" i="13" s="1"/>
  <c r="I146" i="13" s="1"/>
  <c r="J146" i="13" s="1"/>
  <c r="K146" i="13" s="1"/>
  <c r="L146" i="13" s="1"/>
  <c r="M146" i="13" s="1"/>
  <c r="D146" i="13"/>
  <c r="E146" i="13" s="1"/>
  <c r="C146" i="13"/>
  <c r="D145" i="13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C145" i="13"/>
  <c r="L143" i="13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H143" i="13"/>
  <c r="I143" i="13" s="1"/>
  <c r="J143" i="13" s="1"/>
  <c r="K143" i="13" s="1"/>
  <c r="D143" i="13"/>
  <c r="E143" i="13" s="1"/>
  <c r="F143" i="13" s="1"/>
  <c r="G143" i="13" s="1"/>
  <c r="C143" i="13"/>
  <c r="F142" i="13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D142" i="13"/>
  <c r="E142" i="13" s="1"/>
  <c r="C142" i="13"/>
  <c r="H141" i="13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F141" i="13"/>
  <c r="G141" i="13" s="1"/>
  <c r="D141" i="13"/>
  <c r="E141" i="13" s="1"/>
  <c r="C141" i="13"/>
  <c r="F140" i="13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D140" i="13"/>
  <c r="E140" i="13" s="1"/>
  <c r="C140" i="13"/>
  <c r="J139" i="13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F139" i="13"/>
  <c r="G139" i="13" s="1"/>
  <c r="H139" i="13" s="1"/>
  <c r="I139" i="13" s="1"/>
  <c r="D139" i="13"/>
  <c r="E139" i="13" s="1"/>
  <c r="C139" i="13"/>
  <c r="J138" i="13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D138" i="13"/>
  <c r="E138" i="13" s="1"/>
  <c r="F138" i="13" s="1"/>
  <c r="G138" i="13" s="1"/>
  <c r="H138" i="13" s="1"/>
  <c r="I138" i="13" s="1"/>
  <c r="C138" i="13"/>
  <c r="G137" i="13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E137" i="13"/>
  <c r="F137" i="13" s="1"/>
  <c r="D137" i="13"/>
  <c r="C137" i="13"/>
  <c r="D135" i="13"/>
  <c r="E135" i="13" s="1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C135" i="13"/>
  <c r="D134" i="13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C134" i="13"/>
  <c r="N133" i="13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D133" i="13"/>
  <c r="E133" i="13" s="1"/>
  <c r="F133" i="13" s="1"/>
  <c r="G133" i="13" s="1"/>
  <c r="H133" i="13" s="1"/>
  <c r="I133" i="13" s="1"/>
  <c r="J133" i="13" s="1"/>
  <c r="K133" i="13" s="1"/>
  <c r="L133" i="13" s="1"/>
  <c r="M133" i="13" s="1"/>
  <c r="C133" i="13"/>
  <c r="J132" i="13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F132" i="13"/>
  <c r="G132" i="13" s="1"/>
  <c r="H132" i="13" s="1"/>
  <c r="I132" i="13" s="1"/>
  <c r="D132" i="13"/>
  <c r="E132" i="13" s="1"/>
  <c r="C132" i="13"/>
  <c r="J131" i="13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C131" i="13"/>
  <c r="D131" i="13" s="1"/>
  <c r="E131" i="13" s="1"/>
  <c r="F131" i="13" s="1"/>
  <c r="G131" i="13" s="1"/>
  <c r="H131" i="13" s="1"/>
  <c r="I131" i="13" s="1"/>
  <c r="K130" i="13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C130" i="13"/>
  <c r="D130" i="13" s="1"/>
  <c r="E130" i="13" s="1"/>
  <c r="F130" i="13" s="1"/>
  <c r="G130" i="13" s="1"/>
  <c r="H130" i="13" s="1"/>
  <c r="I130" i="13" s="1"/>
  <c r="J130" i="13" s="1"/>
  <c r="L129" i="13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E129" i="13"/>
  <c r="F129" i="13" s="1"/>
  <c r="G129" i="13" s="1"/>
  <c r="H129" i="13" s="1"/>
  <c r="I129" i="13" s="1"/>
  <c r="J129" i="13" s="1"/>
  <c r="K129" i="13" s="1"/>
  <c r="D129" i="13"/>
  <c r="C129" i="13"/>
  <c r="F128" i="13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D128" i="13"/>
  <c r="E128" i="13" s="1"/>
  <c r="C128" i="13"/>
  <c r="E126" i="13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D126" i="13"/>
  <c r="C126" i="13"/>
  <c r="E125" i="13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C125" i="13"/>
  <c r="D125" i="13" s="1"/>
  <c r="F124" i="13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C124" i="13"/>
  <c r="D124" i="13" s="1"/>
  <c r="E124" i="13" s="1"/>
  <c r="D123" i="13"/>
  <c r="E123" i="13" s="1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C123" i="13"/>
  <c r="G122" i="13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D122" i="13"/>
  <c r="E122" i="13" s="1"/>
  <c r="F122" i="13" s="1"/>
  <c r="C122" i="13"/>
  <c r="C121" i="13"/>
  <c r="D121" i="13" s="1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H120" i="13"/>
  <c r="I120" i="13" s="1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F120" i="13"/>
  <c r="G120" i="13" s="1"/>
  <c r="D120" i="13"/>
  <c r="E120" i="13" s="1"/>
  <c r="C120" i="13"/>
  <c r="F119" i="13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D119" i="13"/>
  <c r="E119" i="13" s="1"/>
  <c r="C119" i="13"/>
  <c r="F118" i="13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E118" i="13"/>
  <c r="D118" i="13"/>
  <c r="C118" i="13"/>
  <c r="F117" i="13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D117" i="13"/>
  <c r="E117" i="13" s="1"/>
  <c r="C117" i="13"/>
  <c r="D116" i="13"/>
  <c r="E116" i="13" s="1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C116" i="13"/>
  <c r="E115" i="13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D115" i="13"/>
  <c r="C115" i="13"/>
  <c r="C114" i="13"/>
  <c r="D114" i="13" s="1"/>
  <c r="E114" i="13" s="1"/>
  <c r="F114" i="13" s="1"/>
  <c r="G114" i="13" s="1"/>
  <c r="H114" i="13" s="1"/>
  <c r="I114" i="13" s="1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F113" i="13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D113" i="13"/>
  <c r="E113" i="13" s="1"/>
  <c r="C113" i="13"/>
  <c r="F112" i="13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D112" i="13"/>
  <c r="E112" i="13" s="1"/>
  <c r="C112" i="13"/>
  <c r="L111" i="13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J111" i="13"/>
  <c r="K111" i="13" s="1"/>
  <c r="C111" i="13"/>
  <c r="D111" i="13" s="1"/>
  <c r="E111" i="13" s="1"/>
  <c r="F111" i="13" s="1"/>
  <c r="G111" i="13" s="1"/>
  <c r="H111" i="13" s="1"/>
  <c r="C110" i="13"/>
  <c r="D110" i="13" s="1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D109" i="13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C109" i="13"/>
  <c r="E107" i="13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C107" i="13"/>
  <c r="D107" i="13" s="1"/>
  <c r="C106" i="13"/>
  <c r="D106" i="13" s="1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C104" i="13"/>
  <c r="D104" i="13" s="1"/>
  <c r="E104" i="13" s="1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C103" i="13"/>
  <c r="D103" i="13" s="1"/>
  <c r="E103" i="13" s="1"/>
  <c r="F103" i="13" s="1"/>
  <c r="G103" i="13" s="1"/>
  <c r="H103" i="13" s="1"/>
  <c r="I103" i="13" s="1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C102" i="13"/>
  <c r="D102" i="13" s="1"/>
  <c r="E102" i="13" s="1"/>
  <c r="F102" i="13" s="1"/>
  <c r="G102" i="13" s="1"/>
  <c r="H102" i="13" s="1"/>
  <c r="I102" i="13" s="1"/>
  <c r="J102" i="13" s="1"/>
  <c r="K102" i="13" s="1"/>
  <c r="L102" i="13" s="1"/>
  <c r="M102" i="13" s="1"/>
  <c r="N102" i="13" s="1"/>
  <c r="O102" i="13" s="1"/>
  <c r="P102" i="13" s="1"/>
  <c r="Q102" i="13" s="1"/>
  <c r="R102" i="13" s="1"/>
  <c r="S102" i="13" s="1"/>
  <c r="T102" i="13" s="1"/>
  <c r="U102" i="13" s="1"/>
  <c r="V102" i="13" s="1"/>
  <c r="W102" i="13" s="1"/>
  <c r="X102" i="13" s="1"/>
  <c r="Y102" i="13" s="1"/>
  <c r="Z102" i="13" s="1"/>
  <c r="AA102" i="13" s="1"/>
  <c r="AB102" i="13" s="1"/>
  <c r="AC102" i="13" s="1"/>
  <c r="AD102" i="13" s="1"/>
  <c r="AE102" i="13" s="1"/>
  <c r="AF102" i="13" s="1"/>
  <c r="C101" i="13"/>
  <c r="D101" i="13" s="1"/>
  <c r="E101" i="13" s="1"/>
  <c r="F101" i="13" s="1"/>
  <c r="G101" i="13" s="1"/>
  <c r="H101" i="13" s="1"/>
  <c r="I101" i="13" s="1"/>
  <c r="J101" i="13" s="1"/>
  <c r="K101" i="13" s="1"/>
  <c r="L101" i="13" s="1"/>
  <c r="M101" i="13" s="1"/>
  <c r="N101" i="13" s="1"/>
  <c r="O101" i="13" s="1"/>
  <c r="P101" i="13" s="1"/>
  <c r="Q101" i="13" s="1"/>
  <c r="R101" i="13" s="1"/>
  <c r="S101" i="13" s="1"/>
  <c r="T101" i="13" s="1"/>
  <c r="U101" i="13" s="1"/>
  <c r="V101" i="13" s="1"/>
  <c r="W101" i="13" s="1"/>
  <c r="X101" i="13" s="1"/>
  <c r="Y101" i="13" s="1"/>
  <c r="Z101" i="13" s="1"/>
  <c r="AA101" i="13" s="1"/>
  <c r="AB101" i="13" s="1"/>
  <c r="AC101" i="13" s="1"/>
  <c r="AD101" i="13" s="1"/>
  <c r="AE101" i="13" s="1"/>
  <c r="AF101" i="13" s="1"/>
  <c r="C100" i="13"/>
  <c r="D100" i="13" s="1"/>
  <c r="C99" i="13"/>
  <c r="AH96" i="13"/>
  <c r="AI96" i="13" s="1"/>
  <c r="AH95" i="13"/>
  <c r="AI95" i="13" s="1"/>
  <c r="AH94" i="13"/>
  <c r="AI94" i="13" s="1"/>
  <c r="AH93" i="13"/>
  <c r="AI93" i="13" s="1"/>
  <c r="AH92" i="13"/>
  <c r="AI92" i="13" s="1"/>
  <c r="C91" i="13"/>
  <c r="B91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G80" i="13"/>
  <c r="AI79" i="13"/>
  <c r="AH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Q80" i="13" s="1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U80" i="13" s="1"/>
  <c r="T75" i="13"/>
  <c r="S75" i="13"/>
  <c r="S80" i="13" s="1"/>
  <c r="R75" i="13"/>
  <c r="Q75" i="13"/>
  <c r="P75" i="13"/>
  <c r="O75" i="13"/>
  <c r="N75" i="13"/>
  <c r="M75" i="13"/>
  <c r="M80" i="13" s="1"/>
  <c r="L75" i="13"/>
  <c r="K75" i="13"/>
  <c r="K80" i="13" s="1"/>
  <c r="J75" i="13"/>
  <c r="I75" i="13"/>
  <c r="I80" i="13" s="1"/>
  <c r="H75" i="13"/>
  <c r="G75" i="13"/>
  <c r="G80" i="13" s="1"/>
  <c r="F75" i="13"/>
  <c r="E75" i="13"/>
  <c r="D75" i="13"/>
  <c r="C75" i="13"/>
  <c r="B75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P80" i="13" s="1"/>
  <c r="O74" i="13"/>
  <c r="O80" i="13" s="1"/>
  <c r="N74" i="13"/>
  <c r="N80" i="13" s="1"/>
  <c r="M74" i="13"/>
  <c r="L74" i="13"/>
  <c r="K74" i="13"/>
  <c r="J74" i="13"/>
  <c r="I74" i="13"/>
  <c r="H74" i="13"/>
  <c r="H80" i="13" s="1"/>
  <c r="G74" i="13"/>
  <c r="F74" i="13"/>
  <c r="E74" i="13"/>
  <c r="D74" i="13"/>
  <c r="D80" i="13" s="1"/>
  <c r="C74" i="13"/>
  <c r="B74" i="13"/>
  <c r="AI72" i="13"/>
  <c r="AH72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I69" i="13"/>
  <c r="AH69" i="13"/>
  <c r="AI68" i="13"/>
  <c r="AH68" i="13"/>
  <c r="AI67" i="13"/>
  <c r="AH67" i="13"/>
  <c r="AG66" i="13"/>
  <c r="AF66" i="13"/>
  <c r="AE66" i="13"/>
  <c r="AE5" i="13" s="1"/>
  <c r="AD66" i="13"/>
  <c r="AC66" i="13"/>
  <c r="AB66" i="13"/>
  <c r="AA66" i="13"/>
  <c r="AA5" i="13" s="1"/>
  <c r="Z66" i="13"/>
  <c r="Z5" i="13" s="1"/>
  <c r="Y66" i="13"/>
  <c r="X66" i="13"/>
  <c r="W66" i="13"/>
  <c r="V66" i="13"/>
  <c r="U66" i="13"/>
  <c r="U5" i="13" s="1"/>
  <c r="T66" i="13"/>
  <c r="T5" i="13" s="1"/>
  <c r="S66" i="13"/>
  <c r="S5" i="13" s="1"/>
  <c r="R66" i="13"/>
  <c r="Q66" i="13"/>
  <c r="P66" i="13"/>
  <c r="P5" i="13" s="1"/>
  <c r="O66" i="13"/>
  <c r="O5" i="13" s="1"/>
  <c r="N66" i="13"/>
  <c r="M66" i="13"/>
  <c r="M5" i="13" s="1"/>
  <c r="L66" i="13"/>
  <c r="L5" i="13" s="1"/>
  <c r="K66" i="13"/>
  <c r="K5" i="13" s="1"/>
  <c r="J66" i="13"/>
  <c r="I66" i="13"/>
  <c r="I5" i="13" s="1"/>
  <c r="H66" i="13"/>
  <c r="G66" i="13"/>
  <c r="F66" i="13"/>
  <c r="E66" i="13"/>
  <c r="E5" i="13" s="1"/>
  <c r="D66" i="13"/>
  <c r="C66" i="13"/>
  <c r="C5" i="13" s="1"/>
  <c r="B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I53" i="13"/>
  <c r="AH53" i="13"/>
  <c r="AI52" i="13"/>
  <c r="AH52" i="13"/>
  <c r="AI51" i="13"/>
  <c r="AH51" i="13"/>
  <c r="Y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G49" i="13"/>
  <c r="AG50" i="13" s="1"/>
  <c r="AG3" i="13" s="1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G36" i="13"/>
  <c r="AG2" i="13" s="1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P73" i="13" s="1"/>
  <c r="AH211" i="13" s="1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F5" i="13"/>
  <c r="AC5" i="13"/>
  <c r="AB5" i="13"/>
  <c r="Y5" i="13"/>
  <c r="X5" i="13"/>
  <c r="W5" i="13"/>
  <c r="R5" i="13"/>
  <c r="Q5" i="13"/>
  <c r="J5" i="13"/>
  <c r="H5" i="13"/>
  <c r="G5" i="13"/>
  <c r="D5" i="13"/>
  <c r="AG4" i="13"/>
  <c r="K4" i="13"/>
  <c r="B4" i="13"/>
  <c r="Z93" i="12"/>
  <c r="X93" i="12"/>
  <c r="Y93" i="12"/>
  <c r="W93" i="12"/>
  <c r="V93" i="12"/>
  <c r="U35" i="12"/>
  <c r="T93" i="12"/>
  <c r="T35" i="12"/>
  <c r="S35" i="12"/>
  <c r="R35" i="12"/>
  <c r="E4" i="13"/>
  <c r="E4" i="14"/>
  <c r="AD100" i="20" l="1"/>
  <c r="AA197" i="20"/>
  <c r="AA49" i="20" s="1"/>
  <c r="AA50" i="20" s="1"/>
  <c r="AB191" i="20"/>
  <c r="AA91" i="20"/>
  <c r="AB232" i="20"/>
  <c r="AC196" i="20"/>
  <c r="AA189" i="20"/>
  <c r="AB99" i="20"/>
  <c r="Z50" i="20"/>
  <c r="T196" i="19"/>
  <c r="S232" i="19"/>
  <c r="U191" i="19"/>
  <c r="T197" i="19"/>
  <c r="T49" i="19" s="1"/>
  <c r="S197" i="19"/>
  <c r="S189" i="19"/>
  <c r="T99" i="19"/>
  <c r="S91" i="19"/>
  <c r="T100" i="19"/>
  <c r="P191" i="18"/>
  <c r="O197" i="18"/>
  <c r="O91" i="18"/>
  <c r="O189" i="18"/>
  <c r="P99" i="18"/>
  <c r="P232" i="18"/>
  <c r="Q196" i="18"/>
  <c r="S100" i="18"/>
  <c r="J189" i="17"/>
  <c r="K99" i="17"/>
  <c r="M112" i="17"/>
  <c r="O100" i="17"/>
  <c r="K197" i="17"/>
  <c r="L191" i="17"/>
  <c r="L196" i="17"/>
  <c r="K232" i="17"/>
  <c r="M100" i="16"/>
  <c r="J232" i="16"/>
  <c r="K196" i="16"/>
  <c r="K197" i="16" s="1"/>
  <c r="J91" i="16"/>
  <c r="J189" i="16"/>
  <c r="K99" i="16"/>
  <c r="L191" i="16"/>
  <c r="K6" i="15"/>
  <c r="F112" i="15"/>
  <c r="E91" i="15"/>
  <c r="E232" i="15"/>
  <c r="F196" i="15"/>
  <c r="E197" i="15"/>
  <c r="E189" i="15"/>
  <c r="F99" i="15"/>
  <c r="I191" i="15"/>
  <c r="H100" i="15"/>
  <c r="AE80" i="14"/>
  <c r="AD80" i="14"/>
  <c r="AB80" i="14"/>
  <c r="Y73" i="14"/>
  <c r="Y80" i="14"/>
  <c r="Y71" i="14"/>
  <c r="W80" i="14"/>
  <c r="V80" i="14"/>
  <c r="R73" i="14"/>
  <c r="AJ211" i="14" s="1"/>
  <c r="R5" i="14"/>
  <c r="R71" i="14"/>
  <c r="Q80" i="14"/>
  <c r="P73" i="14"/>
  <c r="AH211" i="14" s="1"/>
  <c r="O71" i="14"/>
  <c r="O80" i="14"/>
  <c r="O5" i="14"/>
  <c r="O73" i="14"/>
  <c r="AG211" i="14" s="1"/>
  <c r="N80" i="14"/>
  <c r="L80" i="14"/>
  <c r="L71" i="14"/>
  <c r="K71" i="14"/>
  <c r="AI77" i="14"/>
  <c r="J71" i="14"/>
  <c r="J73" i="14"/>
  <c r="I73" i="14"/>
  <c r="AA211" i="14" s="1"/>
  <c r="I80" i="14"/>
  <c r="I71" i="14"/>
  <c r="H73" i="14"/>
  <c r="Z211" i="14" s="1"/>
  <c r="G73" i="14"/>
  <c r="G80" i="14"/>
  <c r="AH76" i="14"/>
  <c r="G71" i="14"/>
  <c r="AI78" i="14"/>
  <c r="F80" i="14"/>
  <c r="E73" i="14"/>
  <c r="AI76" i="14"/>
  <c r="D80" i="14"/>
  <c r="D71" i="14"/>
  <c r="AI54" i="14"/>
  <c r="AI66" i="14"/>
  <c r="H4" i="14"/>
  <c r="Y211" i="14"/>
  <c r="G7" i="14"/>
  <c r="W211" i="14"/>
  <c r="E7" i="14"/>
  <c r="I7" i="14"/>
  <c r="AI211" i="14"/>
  <c r="Q7" i="14"/>
  <c r="AQ211" i="14"/>
  <c r="Y7" i="14"/>
  <c r="AG73" i="14"/>
  <c r="H71" i="14"/>
  <c r="P71" i="14"/>
  <c r="I81" i="14"/>
  <c r="Y81" i="14"/>
  <c r="AG71" i="14"/>
  <c r="AG81" i="14" s="1"/>
  <c r="AI74" i="14"/>
  <c r="J80" i="14"/>
  <c r="R80" i="14"/>
  <c r="R81" i="14" s="1"/>
  <c r="Z80" i="14"/>
  <c r="AI36" i="14"/>
  <c r="AH70" i="14"/>
  <c r="Q71" i="14"/>
  <c r="Q81" i="14" s="1"/>
  <c r="M73" i="14"/>
  <c r="C80" i="14"/>
  <c r="K80" i="14"/>
  <c r="S80" i="14"/>
  <c r="AA80" i="14"/>
  <c r="E100" i="14"/>
  <c r="D91" i="14"/>
  <c r="H7" i="14"/>
  <c r="AH66" i="14"/>
  <c r="C73" i="14"/>
  <c r="K73" i="14"/>
  <c r="S73" i="14"/>
  <c r="AH54" i="14"/>
  <c r="D73" i="14"/>
  <c r="L73" i="14"/>
  <c r="C71" i="14"/>
  <c r="S71" i="14"/>
  <c r="E80" i="14"/>
  <c r="M80" i="14"/>
  <c r="U80" i="14"/>
  <c r="AC80" i="14"/>
  <c r="E5" i="14"/>
  <c r="E71" i="14"/>
  <c r="U5" i="14"/>
  <c r="AC5" i="14"/>
  <c r="F73" i="14"/>
  <c r="M5" i="14"/>
  <c r="M71" i="14"/>
  <c r="N73" i="14"/>
  <c r="P7" i="14"/>
  <c r="F5" i="14"/>
  <c r="F71" i="14"/>
  <c r="N5" i="14"/>
  <c r="N71" i="14"/>
  <c r="V5" i="14"/>
  <c r="AD5" i="14"/>
  <c r="H80" i="14"/>
  <c r="P80" i="14"/>
  <c r="X80" i="14"/>
  <c r="AF80" i="14"/>
  <c r="AH78" i="14"/>
  <c r="H5" i="14"/>
  <c r="P5" i="14"/>
  <c r="X5" i="14"/>
  <c r="AF5" i="14"/>
  <c r="AH77" i="14"/>
  <c r="C189" i="14"/>
  <c r="S208" i="14"/>
  <c r="D208" i="14"/>
  <c r="AH36" i="14"/>
  <c r="AH74" i="14"/>
  <c r="D99" i="14"/>
  <c r="D197" i="14"/>
  <c r="E191" i="14"/>
  <c r="C197" i="14"/>
  <c r="F196" i="14"/>
  <c r="AF80" i="13"/>
  <c r="AE80" i="13"/>
  <c r="AD80" i="13"/>
  <c r="AC80" i="13"/>
  <c r="AB80" i="13"/>
  <c r="AA80" i="13"/>
  <c r="Z80" i="13"/>
  <c r="Y80" i="13"/>
  <c r="Y73" i="13"/>
  <c r="Y71" i="13"/>
  <c r="X80" i="13"/>
  <c r="W80" i="13"/>
  <c r="V80" i="13"/>
  <c r="T80" i="13"/>
  <c r="S73" i="13"/>
  <c r="R80" i="13"/>
  <c r="R71" i="13"/>
  <c r="Q71" i="13"/>
  <c r="Q73" i="13"/>
  <c r="P71" i="13"/>
  <c r="P81" i="13" s="1"/>
  <c r="O73" i="13"/>
  <c r="O71" i="13"/>
  <c r="N71" i="13"/>
  <c r="M73" i="13"/>
  <c r="M71" i="13"/>
  <c r="L80" i="13"/>
  <c r="L71" i="13"/>
  <c r="L73" i="13"/>
  <c r="L81" i="13" s="1"/>
  <c r="AI75" i="13"/>
  <c r="K73" i="13"/>
  <c r="J80" i="13"/>
  <c r="J71" i="13"/>
  <c r="I71" i="13"/>
  <c r="I73" i="13"/>
  <c r="I7" i="13" s="1"/>
  <c r="I81" i="13"/>
  <c r="AI74" i="13"/>
  <c r="H73" i="13"/>
  <c r="Z211" i="13" s="1"/>
  <c r="H71" i="13"/>
  <c r="G73" i="13"/>
  <c r="Y211" i="13" s="1"/>
  <c r="G71" i="13"/>
  <c r="F80" i="13"/>
  <c r="F71" i="13"/>
  <c r="E80" i="13"/>
  <c r="AH78" i="13"/>
  <c r="E71" i="13"/>
  <c r="E73" i="13"/>
  <c r="E81" i="13" s="1"/>
  <c r="AI77" i="13"/>
  <c r="D71" i="13"/>
  <c r="D73" i="13"/>
  <c r="D81" i="13" s="1"/>
  <c r="C80" i="13"/>
  <c r="AH76" i="13"/>
  <c r="AI66" i="13"/>
  <c r="AI54" i="13"/>
  <c r="C73" i="13"/>
  <c r="U211" i="13" s="1"/>
  <c r="AH36" i="13"/>
  <c r="B5" i="13"/>
  <c r="AH77" i="13"/>
  <c r="AI36" i="13"/>
  <c r="H4" i="13"/>
  <c r="E7" i="13"/>
  <c r="AE211" i="13"/>
  <c r="M7" i="13"/>
  <c r="E100" i="13"/>
  <c r="D91" i="13"/>
  <c r="M81" i="13"/>
  <c r="G7" i="13"/>
  <c r="AG211" i="13"/>
  <c r="O7" i="13"/>
  <c r="AQ211" i="13"/>
  <c r="Y7" i="13"/>
  <c r="V211" i="13"/>
  <c r="AA211" i="13"/>
  <c r="AI211" i="13"/>
  <c r="Q7" i="13"/>
  <c r="AG73" i="13"/>
  <c r="AG6" i="13"/>
  <c r="Y81" i="13"/>
  <c r="AG71" i="13"/>
  <c r="AC211" i="13"/>
  <c r="K7" i="13"/>
  <c r="AK211" i="13"/>
  <c r="S7" i="13"/>
  <c r="N5" i="13"/>
  <c r="AD5" i="13"/>
  <c r="F73" i="13"/>
  <c r="F81" i="13" s="1"/>
  <c r="AI78" i="13"/>
  <c r="F5" i="13"/>
  <c r="V5" i="13"/>
  <c r="N73" i="13"/>
  <c r="AI76" i="13"/>
  <c r="C71" i="13"/>
  <c r="K71" i="13"/>
  <c r="K81" i="13" s="1"/>
  <c r="S71" i="13"/>
  <c r="S81" i="13" s="1"/>
  <c r="R73" i="13"/>
  <c r="P7" i="13"/>
  <c r="J73" i="13"/>
  <c r="C189" i="13"/>
  <c r="AH74" i="13"/>
  <c r="B80" i="13"/>
  <c r="D99" i="13"/>
  <c r="AH54" i="13"/>
  <c r="AH66" i="13"/>
  <c r="AH70" i="13"/>
  <c r="AH75" i="13"/>
  <c r="S208" i="13"/>
  <c r="D208" i="13"/>
  <c r="AI70" i="13"/>
  <c r="D232" i="13"/>
  <c r="E196" i="13"/>
  <c r="D197" i="13"/>
  <c r="E191" i="13"/>
  <c r="C232" i="13"/>
  <c r="Q35" i="12"/>
  <c r="AC191" i="20" l="1"/>
  <c r="AB197" i="20"/>
  <c r="AB49" i="20" s="1"/>
  <c r="AB91" i="20"/>
  <c r="AA71" i="20"/>
  <c r="AA73" i="20"/>
  <c r="Z73" i="20"/>
  <c r="Z71" i="20"/>
  <c r="AB189" i="20"/>
  <c r="AC99" i="20"/>
  <c r="AE100" i="20"/>
  <c r="AC232" i="20"/>
  <c r="AD196" i="20"/>
  <c r="T189" i="19"/>
  <c r="U99" i="19"/>
  <c r="T50" i="19"/>
  <c r="U197" i="19"/>
  <c r="U49" i="19" s="1"/>
  <c r="U50" i="19" s="1"/>
  <c r="V191" i="19"/>
  <c r="T91" i="19"/>
  <c r="U100" i="19"/>
  <c r="T232" i="19"/>
  <c r="U196" i="19"/>
  <c r="R196" i="18"/>
  <c r="Q232" i="18"/>
  <c r="P189" i="18"/>
  <c r="Q99" i="18"/>
  <c r="T100" i="18"/>
  <c r="Q191" i="18"/>
  <c r="P197" i="18"/>
  <c r="P91" i="18"/>
  <c r="L197" i="17"/>
  <c r="M191" i="17"/>
  <c r="P100" i="17"/>
  <c r="L91" i="17"/>
  <c r="N112" i="17"/>
  <c r="M91" i="17"/>
  <c r="K189" i="17"/>
  <c r="L99" i="17"/>
  <c r="M196" i="17"/>
  <c r="L232" i="17"/>
  <c r="K189" i="16"/>
  <c r="L99" i="16"/>
  <c r="L196" i="16"/>
  <c r="L197" i="16" s="1"/>
  <c r="K232" i="16"/>
  <c r="K91" i="16"/>
  <c r="M191" i="16"/>
  <c r="N100" i="16"/>
  <c r="G196" i="15"/>
  <c r="F232" i="15"/>
  <c r="F197" i="15"/>
  <c r="G112" i="15"/>
  <c r="F91" i="15"/>
  <c r="I100" i="15"/>
  <c r="J191" i="15"/>
  <c r="F189" i="15"/>
  <c r="G99" i="15"/>
  <c r="R7" i="14"/>
  <c r="S81" i="14"/>
  <c r="P81" i="14"/>
  <c r="O81" i="14"/>
  <c r="O7" i="14"/>
  <c r="N81" i="14"/>
  <c r="L81" i="14"/>
  <c r="M81" i="14"/>
  <c r="K81" i="14"/>
  <c r="J81" i="14"/>
  <c r="AB211" i="14"/>
  <c r="J7" i="14"/>
  <c r="H81" i="14"/>
  <c r="G81" i="14"/>
  <c r="F81" i="14"/>
  <c r="E81" i="14"/>
  <c r="AK211" i="14"/>
  <c r="S7" i="14"/>
  <c r="AE211" i="14"/>
  <c r="M7" i="14"/>
  <c r="F232" i="14"/>
  <c r="G196" i="14"/>
  <c r="D81" i="14"/>
  <c r="AC211" i="14"/>
  <c r="K7" i="14"/>
  <c r="F100" i="14"/>
  <c r="E91" i="14"/>
  <c r="E197" i="14"/>
  <c r="F191" i="14"/>
  <c r="C81" i="14"/>
  <c r="U211" i="14"/>
  <c r="C7" i="14"/>
  <c r="D189" i="14"/>
  <c r="E99" i="14"/>
  <c r="X211" i="14"/>
  <c r="C206" i="14"/>
  <c r="B206" i="14"/>
  <c r="F7" i="14"/>
  <c r="AD211" i="14"/>
  <c r="L7" i="14"/>
  <c r="AF211" i="14"/>
  <c r="N7" i="14"/>
  <c r="V211" i="14"/>
  <c r="D7" i="14"/>
  <c r="N81" i="13"/>
  <c r="Q81" i="13"/>
  <c r="AG81" i="13"/>
  <c r="O81" i="13"/>
  <c r="AD211" i="13"/>
  <c r="L7" i="13"/>
  <c r="G81" i="13"/>
  <c r="H7" i="13"/>
  <c r="H81" i="13"/>
  <c r="W211" i="13"/>
  <c r="D7" i="13"/>
  <c r="C7" i="13"/>
  <c r="C81" i="13"/>
  <c r="AB211" i="13"/>
  <c r="J7" i="13"/>
  <c r="J81" i="13"/>
  <c r="AF211" i="13"/>
  <c r="N7" i="13"/>
  <c r="B73" i="13"/>
  <c r="B81" i="13" s="1"/>
  <c r="F191" i="13"/>
  <c r="E197" i="13"/>
  <c r="AJ211" i="13"/>
  <c r="R7" i="13"/>
  <c r="X211" i="13"/>
  <c r="C206" i="13"/>
  <c r="B206" i="13"/>
  <c r="F7" i="13"/>
  <c r="F100" i="13"/>
  <c r="E91" i="13"/>
  <c r="F196" i="13"/>
  <c r="E232" i="13"/>
  <c r="D189" i="13"/>
  <c r="E99" i="13"/>
  <c r="R81" i="13"/>
  <c r="AI80" i="13"/>
  <c r="AH80" i="13"/>
  <c r="P35" i="12"/>
  <c r="Z81" i="20" l="1"/>
  <c r="AR211" i="20"/>
  <c r="Z7" i="20"/>
  <c r="AA81" i="20"/>
  <c r="AC189" i="20"/>
  <c r="AD99" i="20"/>
  <c r="AD232" i="20"/>
  <c r="AE196" i="20"/>
  <c r="AS211" i="20"/>
  <c r="AA7" i="20"/>
  <c r="AB50" i="20"/>
  <c r="AC197" i="20"/>
  <c r="AC49" i="20" s="1"/>
  <c r="AC50" i="20" s="1"/>
  <c r="AD191" i="20"/>
  <c r="AC91" i="20"/>
  <c r="AF100" i="20"/>
  <c r="W191" i="19"/>
  <c r="T71" i="19"/>
  <c r="T73" i="19"/>
  <c r="U232" i="19"/>
  <c r="V196" i="19"/>
  <c r="U189" i="19"/>
  <c r="V99" i="19"/>
  <c r="U73" i="19"/>
  <c r="U71" i="19"/>
  <c r="V100" i="19"/>
  <c r="U91" i="19"/>
  <c r="U100" i="18"/>
  <c r="Q189" i="18"/>
  <c r="R99" i="18"/>
  <c r="Q197" i="18"/>
  <c r="R191" i="18"/>
  <c r="Q91" i="18"/>
  <c r="S196" i="18"/>
  <c r="R232" i="18"/>
  <c r="O112" i="17"/>
  <c r="N196" i="17"/>
  <c r="M232" i="17"/>
  <c r="M197" i="17"/>
  <c r="N191" i="17"/>
  <c r="Q100" i="17"/>
  <c r="L189" i="17"/>
  <c r="M99" i="17"/>
  <c r="O100" i="16"/>
  <c r="L232" i="16"/>
  <c r="M196" i="16"/>
  <c r="L91" i="16"/>
  <c r="N191" i="16"/>
  <c r="M197" i="16"/>
  <c r="L189" i="16"/>
  <c r="M99" i="16"/>
  <c r="M91" i="16"/>
  <c r="G189" i="15"/>
  <c r="H99" i="15"/>
  <c r="H112" i="15"/>
  <c r="G91" i="15"/>
  <c r="J100" i="15"/>
  <c r="K191" i="15"/>
  <c r="G232" i="15"/>
  <c r="H196" i="15"/>
  <c r="G197" i="15"/>
  <c r="K6" i="14"/>
  <c r="G100" i="14"/>
  <c r="F91" i="14"/>
  <c r="G191" i="14"/>
  <c r="F197" i="14"/>
  <c r="G232" i="14"/>
  <c r="H196" i="14"/>
  <c r="E189" i="14"/>
  <c r="F99" i="14"/>
  <c r="K6" i="13"/>
  <c r="G100" i="13"/>
  <c r="F91" i="13"/>
  <c r="G191" i="13"/>
  <c r="F197" i="13"/>
  <c r="F232" i="13"/>
  <c r="G196" i="13"/>
  <c r="E189" i="13"/>
  <c r="F99" i="13"/>
  <c r="T211" i="13"/>
  <c r="B7" i="13"/>
  <c r="AB71" i="20" l="1"/>
  <c r="AB73" i="20"/>
  <c r="AE232" i="20"/>
  <c r="AF196" i="20"/>
  <c r="AF232" i="20" s="1"/>
  <c r="AC73" i="20"/>
  <c r="AC71" i="20"/>
  <c r="AE191" i="20"/>
  <c r="AD197" i="20"/>
  <c r="AD49" i="20" s="1"/>
  <c r="AD50" i="20" s="1"/>
  <c r="AD91" i="20"/>
  <c r="AD189" i="20"/>
  <c r="AE99" i="20"/>
  <c r="U81" i="19"/>
  <c r="AL211" i="19"/>
  <c r="T7" i="19"/>
  <c r="AM211" i="19"/>
  <c r="U7" i="19"/>
  <c r="V189" i="19"/>
  <c r="W99" i="19"/>
  <c r="W100" i="19"/>
  <c r="V91" i="19"/>
  <c r="T81" i="19"/>
  <c r="X191" i="19"/>
  <c r="W196" i="19"/>
  <c r="V232" i="19"/>
  <c r="V197" i="19"/>
  <c r="V49" i="19" s="1"/>
  <c r="S232" i="18"/>
  <c r="T196" i="18"/>
  <c r="R189" i="18"/>
  <c r="S99" i="18"/>
  <c r="S191" i="18"/>
  <c r="R197" i="18"/>
  <c r="R91" i="18"/>
  <c r="V100" i="18"/>
  <c r="R100" i="17"/>
  <c r="O191" i="17"/>
  <c r="N197" i="17"/>
  <c r="N232" i="17"/>
  <c r="O196" i="17"/>
  <c r="O91" i="17" s="1"/>
  <c r="M189" i="17"/>
  <c r="N99" i="17"/>
  <c r="N91" i="17"/>
  <c r="P112" i="17"/>
  <c r="O191" i="16"/>
  <c r="M232" i="16"/>
  <c r="N196" i="16"/>
  <c r="N91" i="16"/>
  <c r="M189" i="16"/>
  <c r="N99" i="16"/>
  <c r="P100" i="16"/>
  <c r="H232" i="15"/>
  <c r="I196" i="15"/>
  <c r="H197" i="15"/>
  <c r="H189" i="15"/>
  <c r="I99" i="15"/>
  <c r="L191" i="15"/>
  <c r="K100" i="15"/>
  <c r="I112" i="15"/>
  <c r="H91" i="15"/>
  <c r="H232" i="14"/>
  <c r="I196" i="14"/>
  <c r="H191" i="14"/>
  <c r="G197" i="14"/>
  <c r="F189" i="14"/>
  <c r="G99" i="14"/>
  <c r="G91" i="14"/>
  <c r="H100" i="14"/>
  <c r="G232" i="13"/>
  <c r="H196" i="13"/>
  <c r="F189" i="13"/>
  <c r="G99" i="13"/>
  <c r="H191" i="13"/>
  <c r="G197" i="13"/>
  <c r="H100" i="13"/>
  <c r="G91" i="13"/>
  <c r="AC81" i="20" l="1"/>
  <c r="AE189" i="20"/>
  <c r="AF99" i="20"/>
  <c r="AF189" i="20" s="1"/>
  <c r="AU211" i="20"/>
  <c r="AC7" i="20"/>
  <c r="AT211" i="20"/>
  <c r="AB7" i="20"/>
  <c r="AF191" i="20"/>
  <c r="AE197" i="20"/>
  <c r="AE49" i="20" s="1"/>
  <c r="AE50" i="20" s="1"/>
  <c r="AE91" i="20"/>
  <c r="AD71" i="20"/>
  <c r="AD73" i="20"/>
  <c r="AB81" i="20"/>
  <c r="W232" i="19"/>
  <c r="X196" i="19"/>
  <c r="X197" i="19"/>
  <c r="X49" i="19" s="1"/>
  <c r="X50" i="19" s="1"/>
  <c r="Y191" i="19"/>
  <c r="W197" i="19"/>
  <c r="W49" i="19" s="1"/>
  <c r="W50" i="19" s="1"/>
  <c r="W189" i="19"/>
  <c r="X99" i="19"/>
  <c r="V50" i="19"/>
  <c r="X100" i="19"/>
  <c r="W91" i="19"/>
  <c r="S189" i="18"/>
  <c r="T99" i="18"/>
  <c r="W100" i="18"/>
  <c r="S197" i="18"/>
  <c r="T191" i="18"/>
  <c r="S91" i="18"/>
  <c r="T232" i="18"/>
  <c r="U196" i="18"/>
  <c r="N189" i="17"/>
  <c r="O99" i="17"/>
  <c r="P191" i="17"/>
  <c r="O197" i="17"/>
  <c r="O232" i="17"/>
  <c r="P196" i="17"/>
  <c r="Q112" i="17"/>
  <c r="P91" i="17"/>
  <c r="S100" i="17"/>
  <c r="Q100" i="16"/>
  <c r="N189" i="16"/>
  <c r="O99" i="16"/>
  <c r="N232" i="16"/>
  <c r="O196" i="16"/>
  <c r="N197" i="16"/>
  <c r="P191" i="16"/>
  <c r="M191" i="15"/>
  <c r="I189" i="15"/>
  <c r="J99" i="15"/>
  <c r="J112" i="15"/>
  <c r="I91" i="15"/>
  <c r="J196" i="15"/>
  <c r="I232" i="15"/>
  <c r="I197" i="15"/>
  <c r="L100" i="15"/>
  <c r="G189" i="14"/>
  <c r="H99" i="14"/>
  <c r="I191" i="14"/>
  <c r="H197" i="14"/>
  <c r="J196" i="14"/>
  <c r="I232" i="14"/>
  <c r="I100" i="14"/>
  <c r="H91" i="14"/>
  <c r="H91" i="13"/>
  <c r="I100" i="13"/>
  <c r="I191" i="13"/>
  <c r="H197" i="13"/>
  <c r="G189" i="13"/>
  <c r="H99" i="13"/>
  <c r="H232" i="13"/>
  <c r="I196" i="13"/>
  <c r="AD81" i="20" l="1"/>
  <c r="AV211" i="20"/>
  <c r="AD7" i="20"/>
  <c r="AE71" i="20"/>
  <c r="AE73" i="20"/>
  <c r="AF197" i="20"/>
  <c r="AF49" i="20" s="1"/>
  <c r="AF91" i="20"/>
  <c r="X91" i="19"/>
  <c r="Y100" i="19"/>
  <c r="W71" i="19"/>
  <c r="W73" i="19"/>
  <c r="V73" i="19"/>
  <c r="V71" i="19"/>
  <c r="X232" i="19"/>
  <c r="Y196" i="19"/>
  <c r="Z191" i="19"/>
  <c r="Y197" i="19"/>
  <c r="X73" i="19"/>
  <c r="X71" i="19"/>
  <c r="X81" i="19" s="1"/>
  <c r="X189" i="19"/>
  <c r="Y99" i="19"/>
  <c r="T197" i="18"/>
  <c r="T49" i="18" s="1"/>
  <c r="U191" i="18"/>
  <c r="T91" i="18"/>
  <c r="X100" i="18"/>
  <c r="T189" i="18"/>
  <c r="U99" i="18"/>
  <c r="U232" i="18"/>
  <c r="V196" i="18"/>
  <c r="R112" i="17"/>
  <c r="P197" i="17"/>
  <c r="Q191" i="17"/>
  <c r="Q196" i="17"/>
  <c r="P232" i="17"/>
  <c r="O189" i="17"/>
  <c r="P99" i="17"/>
  <c r="T100" i="17"/>
  <c r="O232" i="16"/>
  <c r="P196" i="16"/>
  <c r="O91" i="16"/>
  <c r="O189" i="16"/>
  <c r="P99" i="16"/>
  <c r="P197" i="16"/>
  <c r="Q191" i="16"/>
  <c r="O197" i="16"/>
  <c r="R100" i="16"/>
  <c r="M100" i="15"/>
  <c r="K196" i="15"/>
  <c r="J232" i="15"/>
  <c r="J197" i="15"/>
  <c r="K112" i="15"/>
  <c r="J91" i="15"/>
  <c r="N191" i="15"/>
  <c r="J189" i="15"/>
  <c r="K99" i="15"/>
  <c r="J100" i="14"/>
  <c r="I91" i="14"/>
  <c r="J232" i="14"/>
  <c r="K196" i="14"/>
  <c r="H189" i="14"/>
  <c r="I99" i="14"/>
  <c r="J191" i="14"/>
  <c r="I197" i="14"/>
  <c r="H189" i="13"/>
  <c r="I99" i="13"/>
  <c r="I197" i="13"/>
  <c r="J191" i="13"/>
  <c r="J196" i="13"/>
  <c r="I232" i="13"/>
  <c r="J100" i="13"/>
  <c r="I91" i="13"/>
  <c r="AE81" i="20" l="1"/>
  <c r="AF50" i="20"/>
  <c r="AI49" i="20"/>
  <c r="AH49" i="20"/>
  <c r="AI91" i="20"/>
  <c r="AH91" i="20"/>
  <c r="AW211" i="20"/>
  <c r="AE7" i="20"/>
  <c r="V81" i="19"/>
  <c r="AO211" i="19"/>
  <c r="W7" i="19"/>
  <c r="AP211" i="19"/>
  <c r="X7" i="19"/>
  <c r="W81" i="19"/>
  <c r="AN211" i="19"/>
  <c r="V7" i="19"/>
  <c r="Z196" i="19"/>
  <c r="Y232" i="19"/>
  <c r="Z100" i="19"/>
  <c r="Y91" i="19"/>
  <c r="Y189" i="19"/>
  <c r="Z99" i="19"/>
  <c r="AA191" i="19"/>
  <c r="U189" i="18"/>
  <c r="V99" i="18"/>
  <c r="Y100" i="18"/>
  <c r="V191" i="18"/>
  <c r="U197" i="18"/>
  <c r="U49" i="18" s="1"/>
  <c r="U50" i="18" s="1"/>
  <c r="U91" i="18"/>
  <c r="W196" i="18"/>
  <c r="V232" i="18"/>
  <c r="T50" i="18"/>
  <c r="R196" i="17"/>
  <c r="Q232" i="17"/>
  <c r="R191" i="17"/>
  <c r="Q197" i="17"/>
  <c r="P189" i="17"/>
  <c r="Q99" i="17"/>
  <c r="Q91" i="17"/>
  <c r="U100" i="17"/>
  <c r="S112" i="17"/>
  <c r="R91" i="17"/>
  <c r="R191" i="16"/>
  <c r="P232" i="16"/>
  <c r="Q196" i="16"/>
  <c r="S100" i="16"/>
  <c r="P189" i="16"/>
  <c r="Q99" i="16"/>
  <c r="P91" i="16"/>
  <c r="K189" i="15"/>
  <c r="L99" i="15"/>
  <c r="K232" i="15"/>
  <c r="L196" i="15"/>
  <c r="K197" i="15"/>
  <c r="N100" i="15"/>
  <c r="L112" i="15"/>
  <c r="K91" i="15"/>
  <c r="O191" i="15"/>
  <c r="J197" i="14"/>
  <c r="K191" i="14"/>
  <c r="L196" i="14"/>
  <c r="K232" i="14"/>
  <c r="I189" i="14"/>
  <c r="J99" i="14"/>
  <c r="J91" i="14"/>
  <c r="K100" i="14"/>
  <c r="J232" i="13"/>
  <c r="K196" i="13"/>
  <c r="J197" i="13"/>
  <c r="K191" i="13"/>
  <c r="K100" i="13"/>
  <c r="J91" i="13"/>
  <c r="I189" i="13"/>
  <c r="J99" i="13"/>
  <c r="AF73" i="20" l="1"/>
  <c r="AF71" i="20"/>
  <c r="AI50" i="20"/>
  <c r="AH50" i="20"/>
  <c r="Z232" i="19"/>
  <c r="AA196" i="19"/>
  <c r="AA100" i="19"/>
  <c r="Z91" i="19"/>
  <c r="Z197" i="19"/>
  <c r="Z49" i="19" s="1"/>
  <c r="AA197" i="19"/>
  <c r="AA49" i="19" s="1"/>
  <c r="AA50" i="19" s="1"/>
  <c r="AB191" i="19"/>
  <c r="Z189" i="19"/>
  <c r="AA99" i="19"/>
  <c r="W232" i="18"/>
  <c r="X196" i="18"/>
  <c r="V197" i="18"/>
  <c r="V49" i="18" s="1"/>
  <c r="W191" i="18"/>
  <c r="V91" i="18"/>
  <c r="Z100" i="18"/>
  <c r="T73" i="18"/>
  <c r="T71" i="18"/>
  <c r="V189" i="18"/>
  <c r="W99" i="18"/>
  <c r="U73" i="18"/>
  <c r="U71" i="18"/>
  <c r="Q189" i="17"/>
  <c r="R99" i="17"/>
  <c r="T112" i="17"/>
  <c r="S91" i="17"/>
  <c r="R197" i="17"/>
  <c r="S191" i="17"/>
  <c r="V100" i="17"/>
  <c r="R232" i="17"/>
  <c r="S196" i="17"/>
  <c r="T100" i="16"/>
  <c r="S191" i="16"/>
  <c r="Q189" i="16"/>
  <c r="R99" i="16"/>
  <c r="R196" i="16"/>
  <c r="Q232" i="16"/>
  <c r="Q91" i="16"/>
  <c r="Q197" i="16"/>
  <c r="M112" i="15"/>
  <c r="L91" i="15"/>
  <c r="O100" i="15"/>
  <c r="P191" i="15"/>
  <c r="L232" i="15"/>
  <c r="M196" i="15"/>
  <c r="L197" i="15"/>
  <c r="L189" i="15"/>
  <c r="M99" i="15"/>
  <c r="M196" i="14"/>
  <c r="L232" i="14"/>
  <c r="L100" i="14"/>
  <c r="K91" i="14"/>
  <c r="J189" i="14"/>
  <c r="K99" i="14"/>
  <c r="K197" i="14"/>
  <c r="L191" i="14"/>
  <c r="K91" i="13"/>
  <c r="L100" i="13"/>
  <c r="J189" i="13"/>
  <c r="K99" i="13"/>
  <c r="K197" i="13"/>
  <c r="L191" i="13"/>
  <c r="L196" i="13"/>
  <c r="K232" i="13"/>
  <c r="AF81" i="20" l="1"/>
  <c r="AH71" i="20"/>
  <c r="AI71" i="20"/>
  <c r="AX211" i="20"/>
  <c r="AF7" i="20"/>
  <c r="A7" i="20" s="1"/>
  <c r="AH73" i="20"/>
  <c r="AI73" i="20"/>
  <c r="AA71" i="19"/>
  <c r="AA73" i="19"/>
  <c r="AB100" i="19"/>
  <c r="AA91" i="19"/>
  <c r="AB197" i="19"/>
  <c r="AB49" i="19" s="1"/>
  <c r="AB50" i="19" s="1"/>
  <c r="AC191" i="19"/>
  <c r="Z50" i="19"/>
  <c r="AA189" i="19"/>
  <c r="AB99" i="19"/>
  <c r="AB196" i="19"/>
  <c r="AA232" i="19"/>
  <c r="U81" i="18"/>
  <c r="AM211" i="18"/>
  <c r="U7" i="18"/>
  <c r="V50" i="18"/>
  <c r="X191" i="18"/>
  <c r="W197" i="18"/>
  <c r="W49" i="18" s="1"/>
  <c r="W91" i="18"/>
  <c r="T81" i="18"/>
  <c r="X232" i="18"/>
  <c r="Y196" i="18"/>
  <c r="AA100" i="18"/>
  <c r="W189" i="18"/>
  <c r="X99" i="18"/>
  <c r="AL211" i="18"/>
  <c r="T7" i="18"/>
  <c r="U112" i="17"/>
  <c r="S232" i="17"/>
  <c r="T196" i="17"/>
  <c r="R189" i="17"/>
  <c r="S99" i="17"/>
  <c r="W100" i="17"/>
  <c r="S197" i="17"/>
  <c r="T191" i="17"/>
  <c r="R232" i="16"/>
  <c r="S196" i="16"/>
  <c r="R91" i="16"/>
  <c r="R189" i="16"/>
  <c r="S99" i="16"/>
  <c r="S197" i="16"/>
  <c r="T191" i="16"/>
  <c r="R197" i="16"/>
  <c r="U100" i="16"/>
  <c r="Q191" i="15"/>
  <c r="P100" i="15"/>
  <c r="M189" i="15"/>
  <c r="N99" i="15"/>
  <c r="M232" i="15"/>
  <c r="N196" i="15"/>
  <c r="M197" i="15"/>
  <c r="N112" i="15"/>
  <c r="M91" i="15"/>
  <c r="L197" i="14"/>
  <c r="M191" i="14"/>
  <c r="K189" i="14"/>
  <c r="L99" i="14"/>
  <c r="M100" i="14"/>
  <c r="L91" i="14"/>
  <c r="M232" i="14"/>
  <c r="N196" i="14"/>
  <c r="K189" i="13"/>
  <c r="L99" i="13"/>
  <c r="M196" i="13"/>
  <c r="L232" i="13"/>
  <c r="L197" i="13"/>
  <c r="M191" i="13"/>
  <c r="M100" i="13"/>
  <c r="L91" i="13"/>
  <c r="AI81" i="20" l="1"/>
  <c r="AH81" i="20"/>
  <c r="Z71" i="19"/>
  <c r="Z73" i="19"/>
  <c r="AB232" i="19"/>
  <c r="AC196" i="19"/>
  <c r="AC197" i="19" s="1"/>
  <c r="AC49" i="19" s="1"/>
  <c r="AC50" i="19" s="1"/>
  <c r="AB73" i="19"/>
  <c r="AB71" i="19"/>
  <c r="AB189" i="19"/>
  <c r="AC99" i="19"/>
  <c r="AC100" i="19"/>
  <c r="AB91" i="19"/>
  <c r="AD191" i="19"/>
  <c r="AS211" i="19"/>
  <c r="AA7" i="19"/>
  <c r="AA81" i="19"/>
  <c r="X189" i="18"/>
  <c r="Y99" i="18"/>
  <c r="Y191" i="18"/>
  <c r="X197" i="18"/>
  <c r="X49" i="18" s="1"/>
  <c r="X50" i="18" s="1"/>
  <c r="X91" i="18"/>
  <c r="W50" i="18"/>
  <c r="V73" i="18"/>
  <c r="V71" i="18"/>
  <c r="AB100" i="18"/>
  <c r="Z196" i="18"/>
  <c r="Y232" i="18"/>
  <c r="X100" i="17"/>
  <c r="S189" i="17"/>
  <c r="T99" i="17"/>
  <c r="T232" i="17"/>
  <c r="U196" i="17"/>
  <c r="T91" i="17"/>
  <c r="U191" i="17"/>
  <c r="T197" i="17"/>
  <c r="T49" i="17" s="1"/>
  <c r="V112" i="17"/>
  <c r="U91" i="17"/>
  <c r="U191" i="16"/>
  <c r="S189" i="16"/>
  <c r="T99" i="16"/>
  <c r="T196" i="16"/>
  <c r="S232" i="16"/>
  <c r="S91" i="16"/>
  <c r="T91" i="16"/>
  <c r="V100" i="16"/>
  <c r="N232" i="15"/>
  <c r="O196" i="15"/>
  <c r="N197" i="15"/>
  <c r="N189" i="15"/>
  <c r="O99" i="15"/>
  <c r="Q100" i="15"/>
  <c r="O112" i="15"/>
  <c r="N91" i="15"/>
  <c r="R191" i="15"/>
  <c r="N232" i="14"/>
  <c r="O196" i="14"/>
  <c r="M197" i="14"/>
  <c r="N191" i="14"/>
  <c r="N100" i="14"/>
  <c r="M91" i="14"/>
  <c r="L189" i="14"/>
  <c r="M99" i="14"/>
  <c r="N196" i="13"/>
  <c r="M232" i="13"/>
  <c r="N100" i="13"/>
  <c r="M91" i="13"/>
  <c r="L189" i="13"/>
  <c r="M99" i="13"/>
  <c r="M197" i="13"/>
  <c r="N191" i="13"/>
  <c r="AB81" i="19" l="1"/>
  <c r="AC73" i="19"/>
  <c r="AC71" i="19"/>
  <c r="AC81" i="19" s="1"/>
  <c r="AT211" i="19"/>
  <c r="AB7" i="19"/>
  <c r="AD100" i="19"/>
  <c r="AC91" i="19"/>
  <c r="AE191" i="19"/>
  <c r="AC189" i="19"/>
  <c r="AD99" i="19"/>
  <c r="AR211" i="19"/>
  <c r="Z7" i="19"/>
  <c r="AC232" i="19"/>
  <c r="AD196" i="19"/>
  <c r="AD197" i="19" s="1"/>
  <c r="AD49" i="19" s="1"/>
  <c r="AD50" i="19" s="1"/>
  <c r="Z81" i="19"/>
  <c r="AC100" i="18"/>
  <c r="X73" i="18"/>
  <c r="X71" i="18"/>
  <c r="W71" i="18"/>
  <c r="W73" i="18"/>
  <c r="V81" i="18"/>
  <c r="AN211" i="18"/>
  <c r="V7" i="18"/>
  <c r="Y197" i="18"/>
  <c r="Z191" i="18"/>
  <c r="Y91" i="18"/>
  <c r="AA196" i="18"/>
  <c r="Z232" i="18"/>
  <c r="Y189" i="18"/>
  <c r="Z99" i="18"/>
  <c r="V196" i="17"/>
  <c r="U232" i="17"/>
  <c r="T189" i="17"/>
  <c r="U99" i="17"/>
  <c r="U197" i="17"/>
  <c r="U49" i="17" s="1"/>
  <c r="U50" i="17" s="1"/>
  <c r="V191" i="17"/>
  <c r="W112" i="17"/>
  <c r="V91" i="17"/>
  <c r="Y100" i="17"/>
  <c r="T50" i="17"/>
  <c r="T189" i="16"/>
  <c r="U99" i="16"/>
  <c r="T232" i="16"/>
  <c r="U196" i="16"/>
  <c r="U197" i="16" s="1"/>
  <c r="U49" i="16" s="1"/>
  <c r="U50" i="16" s="1"/>
  <c r="T197" i="16"/>
  <c r="T49" i="16" s="1"/>
  <c r="W100" i="16"/>
  <c r="V191" i="16"/>
  <c r="O189" i="15"/>
  <c r="P99" i="15"/>
  <c r="S191" i="15"/>
  <c r="O232" i="15"/>
  <c r="P196" i="15"/>
  <c r="O197" i="15"/>
  <c r="P112" i="15"/>
  <c r="O91" i="15"/>
  <c r="R100" i="15"/>
  <c r="M189" i="14"/>
  <c r="N99" i="14"/>
  <c r="O100" i="14"/>
  <c r="N91" i="14"/>
  <c r="O191" i="14"/>
  <c r="N197" i="14"/>
  <c r="O232" i="14"/>
  <c r="P196" i="14"/>
  <c r="M189" i="13"/>
  <c r="N99" i="13"/>
  <c r="O191" i="13"/>
  <c r="N197" i="13"/>
  <c r="O100" i="13"/>
  <c r="N91" i="13"/>
  <c r="N232" i="13"/>
  <c r="O196" i="13"/>
  <c r="AD73" i="19" l="1"/>
  <c r="AD71" i="19"/>
  <c r="AD81" i="19" s="1"/>
  <c r="AD232" i="19"/>
  <c r="AE196" i="19"/>
  <c r="AE197" i="19" s="1"/>
  <c r="AE49" i="19" s="1"/>
  <c r="AE50" i="19" s="1"/>
  <c r="AE100" i="19"/>
  <c r="AD91" i="19"/>
  <c r="AD189" i="19"/>
  <c r="AE99" i="19"/>
  <c r="AF191" i="19"/>
  <c r="AU211" i="19"/>
  <c r="AC7" i="19"/>
  <c r="X81" i="18"/>
  <c r="AA191" i="18"/>
  <c r="Z197" i="18"/>
  <c r="Z49" i="18" s="1"/>
  <c r="Z91" i="18"/>
  <c r="AO211" i="18"/>
  <c r="W7" i="18"/>
  <c r="Z189" i="18"/>
  <c r="AA99" i="18"/>
  <c r="W81" i="18"/>
  <c r="AP211" i="18"/>
  <c r="X7" i="18"/>
  <c r="AA232" i="18"/>
  <c r="AB196" i="18"/>
  <c r="AD100" i="18"/>
  <c r="U189" i="17"/>
  <c r="V99" i="17"/>
  <c r="U71" i="17"/>
  <c r="U73" i="17"/>
  <c r="W191" i="17"/>
  <c r="V197" i="17"/>
  <c r="V49" i="17" s="1"/>
  <c r="V50" i="17" s="1"/>
  <c r="T71" i="17"/>
  <c r="T73" i="17"/>
  <c r="X112" i="17"/>
  <c r="W91" i="17"/>
  <c r="Z100" i="17"/>
  <c r="V232" i="17"/>
  <c r="W196" i="17"/>
  <c r="W191" i="16"/>
  <c r="X100" i="16"/>
  <c r="T50" i="16"/>
  <c r="U232" i="16"/>
  <c r="V196" i="16"/>
  <c r="V197" i="16" s="1"/>
  <c r="V49" i="16" s="1"/>
  <c r="V50" i="16" s="1"/>
  <c r="U91" i="16"/>
  <c r="U189" i="16"/>
  <c r="V99" i="16"/>
  <c r="U71" i="16"/>
  <c r="U73" i="16"/>
  <c r="P232" i="15"/>
  <c r="Q196" i="15"/>
  <c r="P197" i="15"/>
  <c r="T191" i="15"/>
  <c r="S100" i="15"/>
  <c r="P189" i="15"/>
  <c r="Q99" i="15"/>
  <c r="Q112" i="15"/>
  <c r="P91" i="15"/>
  <c r="P232" i="14"/>
  <c r="Q196" i="14"/>
  <c r="O91" i="14"/>
  <c r="P100" i="14"/>
  <c r="N189" i="14"/>
  <c r="O99" i="14"/>
  <c r="P191" i="14"/>
  <c r="O197" i="14"/>
  <c r="P100" i="13"/>
  <c r="O91" i="13"/>
  <c r="O232" i="13"/>
  <c r="P196" i="13"/>
  <c r="P191" i="13"/>
  <c r="O197" i="13"/>
  <c r="N189" i="13"/>
  <c r="O99" i="13"/>
  <c r="AE71" i="19" l="1"/>
  <c r="AE73" i="19"/>
  <c r="AE189" i="19"/>
  <c r="AF99" i="19"/>
  <c r="AE91" i="19"/>
  <c r="AF100" i="19"/>
  <c r="AF91" i="19" s="1"/>
  <c r="AE232" i="19"/>
  <c r="AF196" i="19"/>
  <c r="AF232" i="19" s="1"/>
  <c r="AV211" i="19"/>
  <c r="AD7" i="19"/>
  <c r="AB232" i="18"/>
  <c r="AC196" i="18"/>
  <c r="AA189" i="18"/>
  <c r="AB99" i="18"/>
  <c r="Z50" i="18"/>
  <c r="AE100" i="18"/>
  <c r="AA197" i="18"/>
  <c r="AA49" i="18" s="1"/>
  <c r="AA50" i="18" s="1"/>
  <c r="AB191" i="18"/>
  <c r="AA91" i="18"/>
  <c r="U81" i="17"/>
  <c r="AA100" i="17"/>
  <c r="T81" i="17"/>
  <c r="Y112" i="17"/>
  <c r="AM211" i="17"/>
  <c r="U7" i="17"/>
  <c r="V71" i="17"/>
  <c r="V73" i="17"/>
  <c r="W232" i="17"/>
  <c r="X196" i="17"/>
  <c r="V189" i="17"/>
  <c r="W99" i="17"/>
  <c r="W197" i="17"/>
  <c r="W49" i="17" s="1"/>
  <c r="W50" i="17" s="1"/>
  <c r="X191" i="17"/>
  <c r="AL211" i="17"/>
  <c r="T7" i="17"/>
  <c r="T73" i="16"/>
  <c r="T71" i="16"/>
  <c r="U81" i="16"/>
  <c r="AM211" i="16"/>
  <c r="U7" i="16"/>
  <c r="Y100" i="16"/>
  <c r="V189" i="16"/>
  <c r="W99" i="16"/>
  <c r="V71" i="16"/>
  <c r="V73" i="16"/>
  <c r="V232" i="16"/>
  <c r="W196" i="16"/>
  <c r="W197" i="16" s="1"/>
  <c r="W49" i="16" s="1"/>
  <c r="V91" i="16"/>
  <c r="X191" i="16"/>
  <c r="T100" i="15"/>
  <c r="U191" i="15"/>
  <c r="R196" i="15"/>
  <c r="Q232" i="15"/>
  <c r="Q197" i="15"/>
  <c r="R112" i="15"/>
  <c r="Q91" i="15"/>
  <c r="Q189" i="15"/>
  <c r="R99" i="15"/>
  <c r="O189" i="14"/>
  <c r="P99" i="14"/>
  <c r="R196" i="14"/>
  <c r="Q232" i="14"/>
  <c r="P197" i="14"/>
  <c r="Q191" i="14"/>
  <c r="Q100" i="14"/>
  <c r="P91" i="14"/>
  <c r="O189" i="13"/>
  <c r="P99" i="13"/>
  <c r="Q191" i="13"/>
  <c r="P197" i="13"/>
  <c r="P232" i="13"/>
  <c r="Q196" i="13"/>
  <c r="P91" i="13"/>
  <c r="Q100" i="13"/>
  <c r="AF189" i="19" l="1"/>
  <c r="AW211" i="19"/>
  <c r="AE7" i="19"/>
  <c r="AI91" i="19"/>
  <c r="AH91" i="19"/>
  <c r="AF197" i="19"/>
  <c r="AF49" i="19" s="1"/>
  <c r="AE81" i="19"/>
  <c r="Z73" i="18"/>
  <c r="Z71" i="18"/>
  <c r="AB197" i="18"/>
  <c r="AB49" i="18" s="1"/>
  <c r="AB50" i="18" s="1"/>
  <c r="AC191" i="18"/>
  <c r="AB91" i="18"/>
  <c r="AA71" i="18"/>
  <c r="AA73" i="18"/>
  <c r="AC232" i="18"/>
  <c r="AD196" i="18"/>
  <c r="AF100" i="18"/>
  <c r="AB189" i="18"/>
  <c r="AC99" i="18"/>
  <c r="X197" i="17"/>
  <c r="X49" i="17" s="1"/>
  <c r="Y191" i="17"/>
  <c r="V81" i="17"/>
  <c r="AN211" i="17"/>
  <c r="V7" i="17"/>
  <c r="W73" i="17"/>
  <c r="W71" i="17"/>
  <c r="W189" i="17"/>
  <c r="X99" i="17"/>
  <c r="X91" i="17"/>
  <c r="AB100" i="17"/>
  <c r="Y196" i="17"/>
  <c r="X232" i="17"/>
  <c r="Z112" i="17"/>
  <c r="Y91" i="17"/>
  <c r="W50" i="16"/>
  <c r="Z100" i="16"/>
  <c r="AN211" i="16"/>
  <c r="V7" i="16"/>
  <c r="W189" i="16"/>
  <c r="X99" i="16"/>
  <c r="V81" i="16"/>
  <c r="T81" i="16"/>
  <c r="W232" i="16"/>
  <c r="X196" i="16"/>
  <c r="X91" i="16" s="1"/>
  <c r="W91" i="16"/>
  <c r="Y191" i="16"/>
  <c r="AL211" i="16"/>
  <c r="T7" i="16"/>
  <c r="S196" i="15"/>
  <c r="R232" i="15"/>
  <c r="R197" i="15"/>
  <c r="R189" i="15"/>
  <c r="S99" i="15"/>
  <c r="S112" i="15"/>
  <c r="R91" i="15"/>
  <c r="V191" i="15"/>
  <c r="U100" i="15"/>
  <c r="R100" i="14"/>
  <c r="Q91" i="14"/>
  <c r="R232" i="14"/>
  <c r="S196" i="14"/>
  <c r="R191" i="14"/>
  <c r="Q197" i="14"/>
  <c r="P189" i="14"/>
  <c r="Q99" i="14"/>
  <c r="R100" i="13"/>
  <c r="Q91" i="13"/>
  <c r="R191" i="13"/>
  <c r="Q197" i="13"/>
  <c r="R196" i="13"/>
  <c r="Q232" i="13"/>
  <c r="P189" i="13"/>
  <c r="Q99" i="13"/>
  <c r="AF50" i="19" l="1"/>
  <c r="AI49" i="19"/>
  <c r="AH49" i="19"/>
  <c r="Z81" i="18"/>
  <c r="AS211" i="18"/>
  <c r="AA7" i="18"/>
  <c r="AA81" i="18"/>
  <c r="AD191" i="18"/>
  <c r="AC197" i="18"/>
  <c r="AC49" i="18" s="1"/>
  <c r="AC50" i="18" s="1"/>
  <c r="AC91" i="18"/>
  <c r="AB73" i="18"/>
  <c r="AB71" i="18"/>
  <c r="AC189" i="18"/>
  <c r="AD99" i="18"/>
  <c r="AE196" i="18"/>
  <c r="AD232" i="18"/>
  <c r="AR211" i="18"/>
  <c r="Z7" i="18"/>
  <c r="AC100" i="17"/>
  <c r="AA112" i="17"/>
  <c r="Z91" i="17"/>
  <c r="Y197" i="17"/>
  <c r="Z191" i="17"/>
  <c r="X189" i="17"/>
  <c r="Y99" i="17"/>
  <c r="W81" i="17"/>
  <c r="X50" i="17"/>
  <c r="Z196" i="17"/>
  <c r="Y232" i="17"/>
  <c r="AO211" i="17"/>
  <c r="W7" i="17"/>
  <c r="AA100" i="16"/>
  <c r="X232" i="16"/>
  <c r="Y196" i="16"/>
  <c r="Y197" i="16"/>
  <c r="Z191" i="16"/>
  <c r="X197" i="16"/>
  <c r="X49" i="16" s="1"/>
  <c r="X189" i="16"/>
  <c r="Y99" i="16"/>
  <c r="W73" i="16"/>
  <c r="W71" i="16"/>
  <c r="S189" i="15"/>
  <c r="T99" i="15"/>
  <c r="T112" i="15"/>
  <c r="S91" i="15"/>
  <c r="V100" i="15"/>
  <c r="W191" i="15"/>
  <c r="S232" i="15"/>
  <c r="T196" i="15"/>
  <c r="S197" i="15"/>
  <c r="Q189" i="14"/>
  <c r="R99" i="14"/>
  <c r="R197" i="14"/>
  <c r="S191" i="14"/>
  <c r="T196" i="14"/>
  <c r="S232" i="14"/>
  <c r="R91" i="14"/>
  <c r="S100" i="14"/>
  <c r="Q189" i="13"/>
  <c r="R99" i="13"/>
  <c r="R197" i="13"/>
  <c r="S191" i="13"/>
  <c r="R232" i="13"/>
  <c r="S196" i="13"/>
  <c r="S100" i="13"/>
  <c r="R91" i="13"/>
  <c r="AF73" i="19" l="1"/>
  <c r="AF71" i="19"/>
  <c r="AH50" i="19"/>
  <c r="AI50" i="19"/>
  <c r="AE232" i="18"/>
  <c r="AF196" i="18"/>
  <c r="AF232" i="18" s="1"/>
  <c r="AT211" i="18"/>
  <c r="AB7" i="18"/>
  <c r="AC73" i="18"/>
  <c r="AC71" i="18"/>
  <c r="AC81" i="18" s="1"/>
  <c r="AD197" i="18"/>
  <c r="AD49" i="18" s="1"/>
  <c r="AD50" i="18" s="1"/>
  <c r="AE191" i="18"/>
  <c r="AD91" i="18"/>
  <c r="AD189" i="18"/>
  <c r="AE99" i="18"/>
  <c r="AB81" i="18"/>
  <c r="AA196" i="17"/>
  <c r="Z232" i="17"/>
  <c r="Z197" i="17"/>
  <c r="Z49" i="17" s="1"/>
  <c r="AA191" i="17"/>
  <c r="AB112" i="17"/>
  <c r="AA91" i="17"/>
  <c r="Y189" i="17"/>
  <c r="Z99" i="17"/>
  <c r="X73" i="17"/>
  <c r="X71" i="17"/>
  <c r="AD100" i="17"/>
  <c r="W81" i="16"/>
  <c r="Y189" i="16"/>
  <c r="Z99" i="16"/>
  <c r="AO211" i="16"/>
  <c r="W7" i="16"/>
  <c r="X50" i="16"/>
  <c r="AB100" i="16"/>
  <c r="Z196" i="16"/>
  <c r="Z91" i="16" s="1"/>
  <c r="Y232" i="16"/>
  <c r="Y91" i="16"/>
  <c r="AA191" i="16"/>
  <c r="X191" i="15"/>
  <c r="W100" i="15"/>
  <c r="U112" i="15"/>
  <c r="T91" i="15"/>
  <c r="T232" i="15"/>
  <c r="U196" i="15"/>
  <c r="T197" i="15"/>
  <c r="T49" i="15" s="1"/>
  <c r="T189" i="15"/>
  <c r="U99" i="15"/>
  <c r="T100" i="14"/>
  <c r="S91" i="14"/>
  <c r="U196" i="14"/>
  <c r="T232" i="14"/>
  <c r="R189" i="14"/>
  <c r="S99" i="14"/>
  <c r="S197" i="14"/>
  <c r="T191" i="14"/>
  <c r="S232" i="13"/>
  <c r="T196" i="13"/>
  <c r="S197" i="13"/>
  <c r="T191" i="13"/>
  <c r="R189" i="13"/>
  <c r="S99" i="13"/>
  <c r="S91" i="13"/>
  <c r="T100" i="13"/>
  <c r="AF81" i="19" l="1"/>
  <c r="AH71" i="19"/>
  <c r="AI71" i="19"/>
  <c r="AX211" i="19"/>
  <c r="AF7" i="19"/>
  <c r="A7" i="19" s="1"/>
  <c r="AI73" i="19"/>
  <c r="AH73" i="19"/>
  <c r="AD73" i="18"/>
  <c r="AD71" i="18"/>
  <c r="AE189" i="18"/>
  <c r="AF99" i="18"/>
  <c r="AF189" i="18" s="1"/>
  <c r="AF191" i="18"/>
  <c r="AE197" i="18"/>
  <c r="AE49" i="18" s="1"/>
  <c r="AE50" i="18" s="1"/>
  <c r="AE91" i="18"/>
  <c r="AU211" i="18"/>
  <c r="AC7" i="18"/>
  <c r="AC112" i="17"/>
  <c r="AB91" i="17"/>
  <c r="Z50" i="17"/>
  <c r="X81" i="17"/>
  <c r="Z189" i="17"/>
  <c r="AA99" i="17"/>
  <c r="AA197" i="17"/>
  <c r="AA49" i="17" s="1"/>
  <c r="AA50" i="17" s="1"/>
  <c r="AB191" i="17"/>
  <c r="AE100" i="17"/>
  <c r="AP211" i="17"/>
  <c r="X7" i="17"/>
  <c r="AA232" i="17"/>
  <c r="AB196" i="17"/>
  <c r="Z189" i="16"/>
  <c r="AA99" i="16"/>
  <c r="Z232" i="16"/>
  <c r="AA196" i="16"/>
  <c r="AC100" i="16"/>
  <c r="AA197" i="16"/>
  <c r="AA49" i="16" s="1"/>
  <c r="AA50" i="16" s="1"/>
  <c r="AB191" i="16"/>
  <c r="Z197" i="16"/>
  <c r="Z49" i="16" s="1"/>
  <c r="X71" i="16"/>
  <c r="X73" i="16"/>
  <c r="U232" i="15"/>
  <c r="V196" i="15"/>
  <c r="U197" i="15"/>
  <c r="U49" i="15" s="1"/>
  <c r="U50" i="15" s="1"/>
  <c r="V112" i="15"/>
  <c r="U91" i="15"/>
  <c r="X100" i="15"/>
  <c r="U189" i="15"/>
  <c r="V99" i="15"/>
  <c r="T50" i="15"/>
  <c r="Y191" i="15"/>
  <c r="S189" i="14"/>
  <c r="T99" i="14"/>
  <c r="U232" i="14"/>
  <c r="V196" i="14"/>
  <c r="T197" i="14"/>
  <c r="T49" i="14" s="1"/>
  <c r="U191" i="14"/>
  <c r="U100" i="14"/>
  <c r="T91" i="14"/>
  <c r="U100" i="13"/>
  <c r="T91" i="13"/>
  <c r="S189" i="13"/>
  <c r="T99" i="13"/>
  <c r="T197" i="13"/>
  <c r="T49" i="13" s="1"/>
  <c r="U191" i="13"/>
  <c r="U196" i="13"/>
  <c r="T232" i="13"/>
  <c r="AI81" i="19" l="1"/>
  <c r="AH81" i="19"/>
  <c r="AD81" i="18"/>
  <c r="AE73" i="18"/>
  <c r="AE71" i="18"/>
  <c r="AF197" i="18"/>
  <c r="AF49" i="18" s="1"/>
  <c r="AF91" i="18"/>
  <c r="AV211" i="18"/>
  <c r="AD7" i="18"/>
  <c r="AF100" i="17"/>
  <c r="AB232" i="17"/>
  <c r="AC196" i="17"/>
  <c r="AC191" i="17"/>
  <c r="AB197" i="17"/>
  <c r="AB49" i="17" s="1"/>
  <c r="AB50" i="17" s="1"/>
  <c r="Z73" i="17"/>
  <c r="Z71" i="17"/>
  <c r="AA73" i="17"/>
  <c r="AA71" i="17"/>
  <c r="AA189" i="17"/>
  <c r="AB99" i="17"/>
  <c r="AD112" i="17"/>
  <c r="AC91" i="17"/>
  <c r="AA71" i="16"/>
  <c r="AA73" i="16"/>
  <c r="X81" i="16"/>
  <c r="AA189" i="16"/>
  <c r="AB99" i="16"/>
  <c r="AD100" i="16"/>
  <c r="AB196" i="16"/>
  <c r="AB197" i="16" s="1"/>
  <c r="AB49" i="16" s="1"/>
  <c r="AB50" i="16" s="1"/>
  <c r="AA232" i="16"/>
  <c r="AA91" i="16"/>
  <c r="AP211" i="16"/>
  <c r="X7" i="16"/>
  <c r="Z50" i="16"/>
  <c r="AC191" i="16"/>
  <c r="Y100" i="15"/>
  <c r="T73" i="15"/>
  <c r="T71" i="15"/>
  <c r="U73" i="15"/>
  <c r="U71" i="15"/>
  <c r="V232" i="15"/>
  <c r="W196" i="15"/>
  <c r="V197" i="15"/>
  <c r="V49" i="15" s="1"/>
  <c r="V50" i="15" s="1"/>
  <c r="Z191" i="15"/>
  <c r="W112" i="15"/>
  <c r="V91" i="15"/>
  <c r="V189" i="15"/>
  <c r="W99" i="15"/>
  <c r="U197" i="14"/>
  <c r="U49" i="14" s="1"/>
  <c r="U50" i="14" s="1"/>
  <c r="V191" i="14"/>
  <c r="V100" i="14"/>
  <c r="U91" i="14"/>
  <c r="T50" i="14"/>
  <c r="V232" i="14"/>
  <c r="W196" i="14"/>
  <c r="T189" i="14"/>
  <c r="U99" i="14"/>
  <c r="U197" i="13"/>
  <c r="U49" i="13" s="1"/>
  <c r="U50" i="13" s="1"/>
  <c r="V191" i="13"/>
  <c r="V196" i="13"/>
  <c r="U232" i="13"/>
  <c r="T50" i="13"/>
  <c r="T189" i="13"/>
  <c r="U99" i="13"/>
  <c r="V100" i="13"/>
  <c r="U91" i="13"/>
  <c r="AE81" i="18" l="1"/>
  <c r="AI91" i="18"/>
  <c r="AH91" i="18"/>
  <c r="AF50" i="18"/>
  <c r="AI49" i="18"/>
  <c r="AH49" i="18"/>
  <c r="AW211" i="18"/>
  <c r="AE7" i="18"/>
  <c r="AA81" i="17"/>
  <c r="Z81" i="17"/>
  <c r="AB71" i="17"/>
  <c r="AB73" i="17"/>
  <c r="AD191" i="17"/>
  <c r="AC197" i="17"/>
  <c r="AC49" i="17" s="1"/>
  <c r="AC50" i="17" s="1"/>
  <c r="AC232" i="17"/>
  <c r="AD196" i="17"/>
  <c r="AR211" i="17"/>
  <c r="Z7" i="17"/>
  <c r="AB189" i="17"/>
  <c r="AC99" i="17"/>
  <c r="AE112" i="17"/>
  <c r="AD91" i="17"/>
  <c r="AS211" i="17"/>
  <c r="AA7" i="17"/>
  <c r="AB189" i="16"/>
  <c r="AC99" i="16"/>
  <c r="AE100" i="16"/>
  <c r="AB73" i="16"/>
  <c r="AB71" i="16"/>
  <c r="AD191" i="16"/>
  <c r="AB232" i="16"/>
  <c r="AC196" i="16"/>
  <c r="AC197" i="16" s="1"/>
  <c r="AC49" i="16" s="1"/>
  <c r="AC50" i="16" s="1"/>
  <c r="AB91" i="16"/>
  <c r="AS211" i="16"/>
  <c r="AA7" i="16"/>
  <c r="Z73" i="16"/>
  <c r="Z71" i="16"/>
  <c r="AC91" i="16"/>
  <c r="AA81" i="16"/>
  <c r="U81" i="15"/>
  <c r="T81" i="15"/>
  <c r="AL211" i="15"/>
  <c r="T7" i="15"/>
  <c r="X112" i="15"/>
  <c r="W91" i="15"/>
  <c r="AA191" i="15"/>
  <c r="V71" i="15"/>
  <c r="V73" i="15"/>
  <c r="AM211" i="15"/>
  <c r="U7" i="15"/>
  <c r="W189" i="15"/>
  <c r="X99" i="15"/>
  <c r="W232" i="15"/>
  <c r="X196" i="15"/>
  <c r="W197" i="15"/>
  <c r="W49" i="15" s="1"/>
  <c r="Z100" i="15"/>
  <c r="T71" i="14"/>
  <c r="T73" i="14"/>
  <c r="W191" i="14"/>
  <c r="V197" i="14"/>
  <c r="V49" i="14" s="1"/>
  <c r="U189" i="14"/>
  <c r="V99" i="14"/>
  <c r="W100" i="14"/>
  <c r="V91" i="14"/>
  <c r="W232" i="14"/>
  <c r="X196" i="14"/>
  <c r="U73" i="14"/>
  <c r="U71" i="14"/>
  <c r="V232" i="13"/>
  <c r="W196" i="13"/>
  <c r="T71" i="13"/>
  <c r="T73" i="13"/>
  <c r="W100" i="13"/>
  <c r="V91" i="13"/>
  <c r="W191" i="13"/>
  <c r="V197" i="13"/>
  <c r="V49" i="13" s="1"/>
  <c r="U189" i="13"/>
  <c r="V99" i="13"/>
  <c r="U73" i="13"/>
  <c r="U71" i="13"/>
  <c r="U81" i="13" s="1"/>
  <c r="AF71" i="18" l="1"/>
  <c r="AF73" i="18"/>
  <c r="AI50" i="18"/>
  <c r="AH50" i="18"/>
  <c r="AC189" i="17"/>
  <c r="AD99" i="17"/>
  <c r="AE191" i="17"/>
  <c r="AD197" i="17"/>
  <c r="AD49" i="17" s="1"/>
  <c r="AD50" i="17" s="1"/>
  <c r="AD232" i="17"/>
  <c r="AE196" i="17"/>
  <c r="AT211" i="17"/>
  <c r="AB7" i="17"/>
  <c r="AF112" i="17"/>
  <c r="AC73" i="17"/>
  <c r="AC71" i="17"/>
  <c r="AC81" i="17" s="1"/>
  <c r="AB81" i="17"/>
  <c r="AB81" i="16"/>
  <c r="AE191" i="16"/>
  <c r="AC232" i="16"/>
  <c r="AD196" i="16"/>
  <c r="AF100" i="16"/>
  <c r="AT211" i="16"/>
  <c r="AB7" i="16"/>
  <c r="Z81" i="16"/>
  <c r="AR211" i="16"/>
  <c r="Z7" i="16"/>
  <c r="AC189" i="16"/>
  <c r="AD99" i="16"/>
  <c r="AC71" i="16"/>
  <c r="AC73" i="16"/>
  <c r="AD91" i="16"/>
  <c r="Y112" i="15"/>
  <c r="X91" i="15"/>
  <c r="V81" i="15"/>
  <c r="AA100" i="15"/>
  <c r="AN211" i="15"/>
  <c r="V7" i="15"/>
  <c r="W50" i="15"/>
  <c r="X232" i="15"/>
  <c r="Y196" i="15"/>
  <c r="X197" i="15"/>
  <c r="X49" i="15" s="1"/>
  <c r="X189" i="15"/>
  <c r="Y99" i="15"/>
  <c r="AB191" i="15"/>
  <c r="U81" i="14"/>
  <c r="AL211" i="14"/>
  <c r="T7" i="14"/>
  <c r="AM211" i="14"/>
  <c r="U7" i="14"/>
  <c r="V50" i="14"/>
  <c r="X191" i="14"/>
  <c r="W197" i="14"/>
  <c r="W49" i="14" s="1"/>
  <c r="W50" i="14" s="1"/>
  <c r="X232" i="14"/>
  <c r="Y196" i="14"/>
  <c r="V189" i="14"/>
  <c r="W99" i="14"/>
  <c r="W91" i="14"/>
  <c r="X100" i="14"/>
  <c r="T81" i="14"/>
  <c r="X100" i="13"/>
  <c r="W91" i="13"/>
  <c r="AL211" i="13"/>
  <c r="T7" i="13"/>
  <c r="T81" i="13"/>
  <c r="V50" i="13"/>
  <c r="W232" i="13"/>
  <c r="X196" i="13"/>
  <c r="AM211" i="13"/>
  <c r="U7" i="13"/>
  <c r="V189" i="13"/>
  <c r="W99" i="13"/>
  <c r="X191" i="13"/>
  <c r="W197" i="13"/>
  <c r="W49" i="13" s="1"/>
  <c r="W50" i="13" s="1"/>
  <c r="AX211" i="18" l="1"/>
  <c r="AF7" i="18"/>
  <c r="A7" i="18" s="1"/>
  <c r="AH73" i="18"/>
  <c r="AI73" i="18"/>
  <c r="AF81" i="18"/>
  <c r="AI71" i="18"/>
  <c r="AH71" i="18"/>
  <c r="AE232" i="17"/>
  <c r="AF196" i="17"/>
  <c r="AF232" i="17" s="1"/>
  <c r="AD71" i="17"/>
  <c r="AD73" i="17"/>
  <c r="AU211" i="17"/>
  <c r="AC7" i="17"/>
  <c r="AE197" i="17"/>
  <c r="AE49" i="17" s="1"/>
  <c r="AE50" i="17" s="1"/>
  <c r="AF191" i="17"/>
  <c r="AF197" i="17" s="1"/>
  <c r="AF49" i="17" s="1"/>
  <c r="AE91" i="17"/>
  <c r="AD189" i="17"/>
  <c r="AE99" i="17"/>
  <c r="AF91" i="17"/>
  <c r="AD232" i="16"/>
  <c r="AE196" i="16"/>
  <c r="AU211" i="16"/>
  <c r="AC7" i="16"/>
  <c r="AD197" i="16"/>
  <c r="AD49" i="16" s="1"/>
  <c r="AD50" i="16" s="1"/>
  <c r="AC81" i="16"/>
  <c r="AD189" i="16"/>
  <c r="AE99" i="16"/>
  <c r="AF191" i="16"/>
  <c r="AE197" i="16"/>
  <c r="AE49" i="16" s="1"/>
  <c r="AE50" i="16" s="1"/>
  <c r="Y189" i="15"/>
  <c r="Z99" i="15"/>
  <c r="AB100" i="15"/>
  <c r="X50" i="15"/>
  <c r="Z196" i="15"/>
  <c r="Y232" i="15"/>
  <c r="Y197" i="15"/>
  <c r="AC191" i="15"/>
  <c r="W71" i="15"/>
  <c r="W73" i="15"/>
  <c r="Z112" i="15"/>
  <c r="Y91" i="15"/>
  <c r="V71" i="14"/>
  <c r="V73" i="14"/>
  <c r="W73" i="14"/>
  <c r="W71" i="14"/>
  <c r="X197" i="14"/>
  <c r="X49" i="14" s="1"/>
  <c r="Y191" i="14"/>
  <c r="W189" i="14"/>
  <c r="X99" i="14"/>
  <c r="Z196" i="14"/>
  <c r="Y232" i="14"/>
  <c r="Y100" i="14"/>
  <c r="X91" i="14"/>
  <c r="X232" i="13"/>
  <c r="Y196" i="13"/>
  <c r="W73" i="13"/>
  <c r="W71" i="13"/>
  <c r="X197" i="13"/>
  <c r="X49" i="13" s="1"/>
  <c r="X50" i="13" s="1"/>
  <c r="Y191" i="13"/>
  <c r="W189" i="13"/>
  <c r="X99" i="13"/>
  <c r="V71" i="13"/>
  <c r="V73" i="13"/>
  <c r="X91" i="13"/>
  <c r="Y100" i="13"/>
  <c r="AI81" i="18" l="1"/>
  <c r="AH81" i="18"/>
  <c r="AF50" i="17"/>
  <c r="AH49" i="17"/>
  <c r="AI49" i="17"/>
  <c r="AV211" i="17"/>
  <c r="AD7" i="17"/>
  <c r="AE73" i="17"/>
  <c r="AE71" i="17"/>
  <c r="AD81" i="17"/>
  <c r="AI91" i="17"/>
  <c r="AH91" i="17"/>
  <c r="AE189" i="17"/>
  <c r="AF99" i="17"/>
  <c r="AF189" i="17" s="1"/>
  <c r="AE73" i="16"/>
  <c r="AE71" i="16"/>
  <c r="AE232" i="16"/>
  <c r="AF196" i="16"/>
  <c r="AF232" i="16" s="1"/>
  <c r="AE91" i="16"/>
  <c r="AD71" i="16"/>
  <c r="AD73" i="16"/>
  <c r="AF197" i="16"/>
  <c r="AF49" i="16" s="1"/>
  <c r="AE189" i="16"/>
  <c r="AF99" i="16"/>
  <c r="AF189" i="16" s="1"/>
  <c r="AF91" i="16"/>
  <c r="AA196" i="15"/>
  <c r="Z232" i="15"/>
  <c r="Z197" i="15"/>
  <c r="Z49" i="15" s="1"/>
  <c r="AO211" i="15"/>
  <c r="W7" i="15"/>
  <c r="X71" i="15"/>
  <c r="X73" i="15"/>
  <c r="Z189" i="15"/>
  <c r="AA99" i="15"/>
  <c r="W81" i="15"/>
  <c r="AC100" i="15"/>
  <c r="AA112" i="15"/>
  <c r="Z91" i="15"/>
  <c r="AD191" i="15"/>
  <c r="W81" i="14"/>
  <c r="Z100" i="14"/>
  <c r="Y91" i="14"/>
  <c r="AO211" i="14"/>
  <c r="W7" i="14"/>
  <c r="Z191" i="14"/>
  <c r="Y197" i="14"/>
  <c r="AN211" i="14"/>
  <c r="V7" i="14"/>
  <c r="Z232" i="14"/>
  <c r="AA196" i="14"/>
  <c r="X189" i="14"/>
  <c r="Y99" i="14"/>
  <c r="X50" i="14"/>
  <c r="V81" i="14"/>
  <c r="W81" i="13"/>
  <c r="V81" i="13"/>
  <c r="X189" i="13"/>
  <c r="Y99" i="13"/>
  <c r="AN211" i="13"/>
  <c r="V7" i="13"/>
  <c r="AO211" i="13"/>
  <c r="W7" i="13"/>
  <c r="Z100" i="13"/>
  <c r="Y91" i="13"/>
  <c r="Y197" i="13"/>
  <c r="Z191" i="13"/>
  <c r="Z196" i="13"/>
  <c r="Y232" i="13"/>
  <c r="X73" i="13"/>
  <c r="X71" i="13"/>
  <c r="AE81" i="17" l="1"/>
  <c r="AW211" i="17"/>
  <c r="AE7" i="17"/>
  <c r="AF73" i="17"/>
  <c r="AF71" i="17"/>
  <c r="AH50" i="17"/>
  <c r="AI50" i="17"/>
  <c r="AE81" i="16"/>
  <c r="AV211" i="16"/>
  <c r="AD7" i="16"/>
  <c r="AI91" i="16"/>
  <c r="AH91" i="16"/>
  <c r="AF50" i="16"/>
  <c r="AI49" i="16"/>
  <c r="AH49" i="16"/>
  <c r="AD81" i="16"/>
  <c r="AW211" i="16"/>
  <c r="AE7" i="16"/>
  <c r="X81" i="15"/>
  <c r="AB112" i="15"/>
  <c r="AA91" i="15"/>
  <c r="AD100" i="15"/>
  <c r="AE191" i="15"/>
  <c r="AA189" i="15"/>
  <c r="AB99" i="15"/>
  <c r="Z50" i="15"/>
  <c r="AP211" i="15"/>
  <c r="X7" i="15"/>
  <c r="AA232" i="15"/>
  <c r="AB196" i="15"/>
  <c r="AA197" i="15"/>
  <c r="AA49" i="15" s="1"/>
  <c r="AA50" i="15" s="1"/>
  <c r="X73" i="14"/>
  <c r="X71" i="14"/>
  <c r="Y189" i="14"/>
  <c r="Z99" i="14"/>
  <c r="Z197" i="14"/>
  <c r="Z49" i="14" s="1"/>
  <c r="AA191" i="14"/>
  <c r="AA232" i="14"/>
  <c r="AB196" i="14"/>
  <c r="Z91" i="14"/>
  <c r="AA100" i="14"/>
  <c r="X81" i="13"/>
  <c r="Y189" i="13"/>
  <c r="Z99" i="13"/>
  <c r="Z232" i="13"/>
  <c r="AA196" i="13"/>
  <c r="Z197" i="13"/>
  <c r="Z49" i="13" s="1"/>
  <c r="AA191" i="13"/>
  <c r="AA100" i="13"/>
  <c r="Z91" i="13"/>
  <c r="AP211" i="13"/>
  <c r="X7" i="13"/>
  <c r="AF81" i="17" l="1"/>
  <c r="AI71" i="17"/>
  <c r="AH71" i="17"/>
  <c r="AX211" i="17"/>
  <c r="AF7" i="17"/>
  <c r="A7" i="17" s="1"/>
  <c r="AI73" i="17"/>
  <c r="AH73" i="17"/>
  <c r="AF73" i="16"/>
  <c r="AF71" i="16"/>
  <c r="AI50" i="16"/>
  <c r="AH50" i="16"/>
  <c r="AB189" i="15"/>
  <c r="AC99" i="15"/>
  <c r="AF191" i="15"/>
  <c r="AE100" i="15"/>
  <c r="AA73" i="15"/>
  <c r="AA71" i="15"/>
  <c r="AB232" i="15"/>
  <c r="AC196" i="15"/>
  <c r="AB197" i="15"/>
  <c r="AB49" i="15" s="1"/>
  <c r="AB50" i="15" s="1"/>
  <c r="Z73" i="15"/>
  <c r="Z71" i="15"/>
  <c r="Z81" i="15" s="1"/>
  <c r="AC112" i="15"/>
  <c r="AB91" i="15"/>
  <c r="AA197" i="14"/>
  <c r="AA49" i="14" s="1"/>
  <c r="AA50" i="14" s="1"/>
  <c r="AB191" i="14"/>
  <c r="AB100" i="14"/>
  <c r="AA91" i="14"/>
  <c r="Z189" i="14"/>
  <c r="AA99" i="14"/>
  <c r="AC196" i="14"/>
  <c r="AB232" i="14"/>
  <c r="X81" i="14"/>
  <c r="Z50" i="14"/>
  <c r="AP211" i="14"/>
  <c r="X7" i="14"/>
  <c r="AA232" i="13"/>
  <c r="AB196" i="13"/>
  <c r="Z189" i="13"/>
  <c r="AA99" i="13"/>
  <c r="AB100" i="13"/>
  <c r="AA91" i="13"/>
  <c r="Z50" i="13"/>
  <c r="AA197" i="13"/>
  <c r="AA49" i="13" s="1"/>
  <c r="AA50" i="13" s="1"/>
  <c r="AB191" i="13"/>
  <c r="AI81" i="17" l="1"/>
  <c r="AH81" i="17"/>
  <c r="AF81" i="16"/>
  <c r="AI71" i="16"/>
  <c r="AH71" i="16"/>
  <c r="AX211" i="16"/>
  <c r="AF7" i="16"/>
  <c r="A7" i="16" s="1"/>
  <c r="AI73" i="16"/>
  <c r="AH73" i="16"/>
  <c r="AD112" i="15"/>
  <c r="AC91" i="15"/>
  <c r="AS211" i="15"/>
  <c r="AA7" i="15"/>
  <c r="AF100" i="15"/>
  <c r="AA81" i="15"/>
  <c r="AR211" i="15"/>
  <c r="Z7" i="15"/>
  <c r="AC232" i="15"/>
  <c r="AD196" i="15"/>
  <c r="AC197" i="15"/>
  <c r="AC49" i="15" s="1"/>
  <c r="AC50" i="15" s="1"/>
  <c r="AC189" i="15"/>
  <c r="AD99" i="15"/>
  <c r="AB73" i="15"/>
  <c r="AB71" i="15"/>
  <c r="AA189" i="14"/>
  <c r="AB99" i="14"/>
  <c r="Z73" i="14"/>
  <c r="Z71" i="14"/>
  <c r="Z81" i="14" s="1"/>
  <c r="AC100" i="14"/>
  <c r="AB91" i="14"/>
  <c r="AC232" i="14"/>
  <c r="AD196" i="14"/>
  <c r="AB197" i="14"/>
  <c r="AC191" i="14"/>
  <c r="AA73" i="14"/>
  <c r="AA71" i="14"/>
  <c r="AA81" i="14" s="1"/>
  <c r="AC100" i="13"/>
  <c r="AB91" i="13"/>
  <c r="AA189" i="13"/>
  <c r="AB99" i="13"/>
  <c r="AA73" i="13"/>
  <c r="AA71" i="13"/>
  <c r="AB232" i="13"/>
  <c r="AC196" i="13"/>
  <c r="Z73" i="13"/>
  <c r="Z71" i="13"/>
  <c r="AB197" i="13"/>
  <c r="AB49" i="13" s="1"/>
  <c r="AC191" i="13"/>
  <c r="AH81" i="16" l="1"/>
  <c r="AI81" i="16"/>
  <c r="AB81" i="15"/>
  <c r="AT211" i="15"/>
  <c r="AB7" i="15"/>
  <c r="AC71" i="15"/>
  <c r="AC73" i="15"/>
  <c r="AD232" i="15"/>
  <c r="AE196" i="15"/>
  <c r="AD197" i="15"/>
  <c r="AD49" i="15" s="1"/>
  <c r="AD50" i="15" s="1"/>
  <c r="AD189" i="15"/>
  <c r="AE99" i="15"/>
  <c r="AE112" i="15"/>
  <c r="AD91" i="15"/>
  <c r="AR211" i="14"/>
  <c r="Z7" i="14"/>
  <c r="AD100" i="14"/>
  <c r="AC91" i="14"/>
  <c r="AC197" i="14"/>
  <c r="AC49" i="14" s="1"/>
  <c r="AC50" i="14" s="1"/>
  <c r="AD191" i="14"/>
  <c r="AB189" i="14"/>
  <c r="AC99" i="14"/>
  <c r="AS211" i="14"/>
  <c r="AA7" i="14"/>
  <c r="AD232" i="14"/>
  <c r="AE196" i="14"/>
  <c r="AA81" i="13"/>
  <c r="AD191" i="13"/>
  <c r="AC197" i="13"/>
  <c r="AC49" i="13" s="1"/>
  <c r="AC50" i="13" s="1"/>
  <c r="AB50" i="13"/>
  <c r="AS211" i="13"/>
  <c r="AA7" i="13"/>
  <c r="AC232" i="13"/>
  <c r="AD196" i="13"/>
  <c r="AB189" i="13"/>
  <c r="AC99" i="13"/>
  <c r="Z81" i="13"/>
  <c r="AR211" i="13"/>
  <c r="Z7" i="13"/>
  <c r="AD100" i="13"/>
  <c r="AC91" i="13"/>
  <c r="AC81" i="15" l="1"/>
  <c r="AF112" i="15"/>
  <c r="AF91" i="15" s="1"/>
  <c r="AE91" i="15"/>
  <c r="AE189" i="15"/>
  <c r="AF99" i="15"/>
  <c r="AF189" i="15" s="1"/>
  <c r="AD71" i="15"/>
  <c r="AD73" i="15"/>
  <c r="AE232" i="15"/>
  <c r="AF196" i="15"/>
  <c r="AE197" i="15"/>
  <c r="AE49" i="15" s="1"/>
  <c r="AE50" i="15" s="1"/>
  <c r="AU211" i="15"/>
  <c r="AC7" i="15"/>
  <c r="AE232" i="14"/>
  <c r="AF196" i="14"/>
  <c r="AF232" i="14" s="1"/>
  <c r="AE191" i="14"/>
  <c r="AD197" i="14"/>
  <c r="AD49" i="14" s="1"/>
  <c r="AD50" i="14" s="1"/>
  <c r="AC73" i="14"/>
  <c r="AC71" i="14"/>
  <c r="AC81" i="14" s="1"/>
  <c r="AB73" i="14"/>
  <c r="AC189" i="14"/>
  <c r="AD99" i="14"/>
  <c r="AE100" i="14"/>
  <c r="AD91" i="14"/>
  <c r="AB71" i="13"/>
  <c r="AB73" i="13"/>
  <c r="AE100" i="13"/>
  <c r="AD91" i="13"/>
  <c r="AC189" i="13"/>
  <c r="AD99" i="13"/>
  <c r="AC73" i="13"/>
  <c r="AC71" i="13"/>
  <c r="AC81" i="13" s="1"/>
  <c r="AD232" i="13"/>
  <c r="AE196" i="13"/>
  <c r="AE191" i="13"/>
  <c r="AD197" i="13"/>
  <c r="AD49" i="13" s="1"/>
  <c r="AD50" i="13" s="1"/>
  <c r="AV211" i="15" l="1"/>
  <c r="AD7" i="15"/>
  <c r="AH91" i="15"/>
  <c r="AI91" i="15"/>
  <c r="AD81" i="15"/>
  <c r="AE71" i="15"/>
  <c r="AE73" i="15"/>
  <c r="AF232" i="15"/>
  <c r="AF197" i="15"/>
  <c r="AF49" i="15" s="1"/>
  <c r="AD73" i="14"/>
  <c r="AD71" i="14"/>
  <c r="AE91" i="14"/>
  <c r="AF100" i="14"/>
  <c r="AF91" i="14" s="1"/>
  <c r="AD189" i="14"/>
  <c r="AE99" i="14"/>
  <c r="AF191" i="14"/>
  <c r="AF197" i="14" s="1"/>
  <c r="AF49" i="14" s="1"/>
  <c r="AE197" i="14"/>
  <c r="AE49" i="14" s="1"/>
  <c r="AE50" i="14" s="1"/>
  <c r="AT211" i="14"/>
  <c r="AB7" i="14"/>
  <c r="AB81" i="14"/>
  <c r="AU211" i="14"/>
  <c r="AC7" i="14"/>
  <c r="AT211" i="13"/>
  <c r="AB7" i="13"/>
  <c r="AD73" i="13"/>
  <c r="AD71" i="13"/>
  <c r="AF100" i="13"/>
  <c r="AF91" i="13" s="1"/>
  <c r="AE91" i="13"/>
  <c r="AE232" i="13"/>
  <c r="AF196" i="13"/>
  <c r="AF232" i="13" s="1"/>
  <c r="AU211" i="13"/>
  <c r="AC7" i="13"/>
  <c r="AF191" i="13"/>
  <c r="AF197" i="13" s="1"/>
  <c r="AF49" i="13" s="1"/>
  <c r="AE197" i="13"/>
  <c r="AE49" i="13" s="1"/>
  <c r="AE50" i="13" s="1"/>
  <c r="AB81" i="13"/>
  <c r="AD189" i="13"/>
  <c r="AE99" i="13"/>
  <c r="AE81" i="15" l="1"/>
  <c r="AW211" i="15"/>
  <c r="AE7" i="15"/>
  <c r="AF50" i="15"/>
  <c r="AH49" i="15"/>
  <c r="AI49" i="15"/>
  <c r="AD81" i="14"/>
  <c r="AH91" i="14"/>
  <c r="AI91" i="14"/>
  <c r="AE73" i="14"/>
  <c r="AE71" i="14"/>
  <c r="AF50" i="14"/>
  <c r="AI49" i="14"/>
  <c r="AH49" i="14"/>
  <c r="AE189" i="14"/>
  <c r="AF99" i="14"/>
  <c r="AF189" i="14" s="1"/>
  <c r="AV211" i="14"/>
  <c r="AD7" i="14"/>
  <c r="AD81" i="13"/>
  <c r="AE189" i="13"/>
  <c r="AF99" i="13"/>
  <c r="AF189" i="13" s="1"/>
  <c r="AI91" i="13"/>
  <c r="AH91" i="13"/>
  <c r="AE73" i="13"/>
  <c r="AE71" i="13"/>
  <c r="AV211" i="13"/>
  <c r="AD7" i="13"/>
  <c r="AF50" i="13"/>
  <c r="AH49" i="13"/>
  <c r="AI49" i="13"/>
  <c r="AF73" i="15" l="1"/>
  <c r="AF71" i="15"/>
  <c r="AI50" i="15"/>
  <c r="AH50" i="15"/>
  <c r="AE81" i="14"/>
  <c r="AF73" i="14"/>
  <c r="AF71" i="14"/>
  <c r="AH50" i="14"/>
  <c r="AI50" i="14"/>
  <c r="AW211" i="14"/>
  <c r="AE7" i="14"/>
  <c r="AE81" i="13"/>
  <c r="AW211" i="13"/>
  <c r="AE7" i="13"/>
  <c r="AF73" i="13"/>
  <c r="AF71" i="13"/>
  <c r="AI50" i="13"/>
  <c r="AH50" i="13"/>
  <c r="AF81" i="15" l="1"/>
  <c r="AH71" i="15"/>
  <c r="AI71" i="15"/>
  <c r="AX211" i="15"/>
  <c r="AF7" i="15"/>
  <c r="A7" i="15" s="1"/>
  <c r="AH73" i="15"/>
  <c r="AI73" i="15"/>
  <c r="AF81" i="14"/>
  <c r="AH71" i="14"/>
  <c r="AI71" i="14"/>
  <c r="AX211" i="14"/>
  <c r="AF7" i="14"/>
  <c r="A7" i="14" s="1"/>
  <c r="AH73" i="14"/>
  <c r="AI73" i="14"/>
  <c r="AF81" i="13"/>
  <c r="AH71" i="13"/>
  <c r="AI71" i="13"/>
  <c r="AX211" i="13"/>
  <c r="AF7" i="13"/>
  <c r="A7" i="13" s="1"/>
  <c r="AH73" i="13"/>
  <c r="AI73" i="13"/>
  <c r="AH81" i="15" l="1"/>
  <c r="AI81" i="15"/>
  <c r="AH81" i="13"/>
  <c r="AI81" i="13"/>
  <c r="O35" i="12" l="1"/>
  <c r="AH25" i="12"/>
  <c r="AI25" i="12"/>
  <c r="J36" i="12"/>
  <c r="AH97" i="12"/>
  <c r="AI97" i="12" s="1"/>
  <c r="C93" i="12"/>
  <c r="C35" i="12"/>
  <c r="B93" i="12"/>
  <c r="B35" i="12"/>
  <c r="B91" i="12"/>
  <c r="B78" i="12"/>
  <c r="B77" i="12"/>
  <c r="B76" i="12"/>
  <c r="B75" i="12"/>
  <c r="B74" i="12"/>
  <c r="B70" i="12"/>
  <c r="B66" i="12"/>
  <c r="B54" i="12"/>
  <c r="B49" i="12"/>
  <c r="B50" i="12" s="1"/>
  <c r="B36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AF234" i="12"/>
  <c r="AE234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A234" i="12"/>
  <c r="AF233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D233" i="12"/>
  <c r="C233" i="12"/>
  <c r="B233" i="12"/>
  <c r="A233" i="12"/>
  <c r="C232" i="12"/>
  <c r="B232" i="12"/>
  <c r="S207" i="12"/>
  <c r="AG197" i="12"/>
  <c r="B197" i="12"/>
  <c r="D196" i="12"/>
  <c r="E196" i="12" s="1"/>
  <c r="E232" i="12" s="1"/>
  <c r="C196" i="12"/>
  <c r="C195" i="12"/>
  <c r="D195" i="12" s="1"/>
  <c r="E195" i="12" s="1"/>
  <c r="F195" i="12" s="1"/>
  <c r="G195" i="12" s="1"/>
  <c r="H195" i="12" s="1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C194" i="12"/>
  <c r="D194" i="12" s="1"/>
  <c r="E194" i="12" s="1"/>
  <c r="F194" i="12" s="1"/>
  <c r="G194" i="12" s="1"/>
  <c r="H194" i="12" s="1"/>
  <c r="I194" i="12" s="1"/>
  <c r="J194" i="12" s="1"/>
  <c r="K194" i="12" s="1"/>
  <c r="L194" i="12" s="1"/>
  <c r="M194" i="12" s="1"/>
  <c r="N194" i="12" s="1"/>
  <c r="O194" i="12" s="1"/>
  <c r="P194" i="12" s="1"/>
  <c r="Q194" i="12" s="1"/>
  <c r="R194" i="12" s="1"/>
  <c r="S194" i="12" s="1"/>
  <c r="T194" i="12" s="1"/>
  <c r="U194" i="12" s="1"/>
  <c r="V194" i="12" s="1"/>
  <c r="W194" i="12" s="1"/>
  <c r="X194" i="12" s="1"/>
  <c r="Y194" i="12" s="1"/>
  <c r="Z194" i="12" s="1"/>
  <c r="AA194" i="12" s="1"/>
  <c r="AB194" i="12" s="1"/>
  <c r="AC194" i="12" s="1"/>
  <c r="AD194" i="12" s="1"/>
  <c r="AE194" i="12" s="1"/>
  <c r="AF194" i="12" s="1"/>
  <c r="O193" i="12"/>
  <c r="P193" i="12" s="1"/>
  <c r="Q193" i="12" s="1"/>
  <c r="R193" i="12" s="1"/>
  <c r="S193" i="12" s="1"/>
  <c r="T193" i="12" s="1"/>
  <c r="U193" i="12" s="1"/>
  <c r="V193" i="12" s="1"/>
  <c r="W193" i="12" s="1"/>
  <c r="X193" i="12" s="1"/>
  <c r="Y193" i="12" s="1"/>
  <c r="Z193" i="12" s="1"/>
  <c r="AA193" i="12" s="1"/>
  <c r="AB193" i="12" s="1"/>
  <c r="AC193" i="12" s="1"/>
  <c r="AD193" i="12" s="1"/>
  <c r="AE193" i="12" s="1"/>
  <c r="AF193" i="12" s="1"/>
  <c r="E193" i="12"/>
  <c r="F193" i="12" s="1"/>
  <c r="G193" i="12" s="1"/>
  <c r="H193" i="12" s="1"/>
  <c r="I193" i="12" s="1"/>
  <c r="J193" i="12" s="1"/>
  <c r="K193" i="12" s="1"/>
  <c r="L193" i="12" s="1"/>
  <c r="M193" i="12" s="1"/>
  <c r="N193" i="12" s="1"/>
  <c r="D193" i="12"/>
  <c r="C193" i="12"/>
  <c r="C192" i="12"/>
  <c r="D192" i="12" s="1"/>
  <c r="D191" i="12"/>
  <c r="E191" i="12" s="1"/>
  <c r="F191" i="12" s="1"/>
  <c r="C191" i="12"/>
  <c r="AG189" i="12"/>
  <c r="B189" i="12"/>
  <c r="C188" i="12"/>
  <c r="D188" i="12" s="1"/>
  <c r="E188" i="12" s="1"/>
  <c r="F188" i="12" s="1"/>
  <c r="G188" i="12" s="1"/>
  <c r="H188" i="12" s="1"/>
  <c r="I188" i="12" s="1"/>
  <c r="J188" i="12" s="1"/>
  <c r="K188" i="12" s="1"/>
  <c r="L188" i="12" s="1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U187" i="12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D187" i="12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C187" i="12"/>
  <c r="C186" i="12"/>
  <c r="D186" i="12" s="1"/>
  <c r="E186" i="12" s="1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U185" i="12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D185" i="12"/>
  <c r="E185" i="12" s="1"/>
  <c r="F185" i="12" s="1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R185" i="12" s="1"/>
  <c r="S185" i="12" s="1"/>
  <c r="T185" i="12" s="1"/>
  <c r="C185" i="12"/>
  <c r="C184" i="12"/>
  <c r="D184" i="12" s="1"/>
  <c r="E184" i="12" s="1"/>
  <c r="F184" i="12" s="1"/>
  <c r="G184" i="12" s="1"/>
  <c r="H184" i="12" s="1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E183" i="12"/>
  <c r="F183" i="12" s="1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D183" i="12"/>
  <c r="C183" i="12"/>
  <c r="M182" i="12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G182" i="12"/>
  <c r="H182" i="12" s="1"/>
  <c r="I182" i="12" s="1"/>
  <c r="J182" i="12" s="1"/>
  <c r="K182" i="12" s="1"/>
  <c r="L182" i="12" s="1"/>
  <c r="C182" i="12"/>
  <c r="D182" i="12" s="1"/>
  <c r="E182" i="12" s="1"/>
  <c r="F182" i="12" s="1"/>
  <c r="D181" i="12"/>
  <c r="E181" i="12" s="1"/>
  <c r="F181" i="12" s="1"/>
  <c r="G181" i="12" s="1"/>
  <c r="H181" i="12" s="1"/>
  <c r="I181" i="12" s="1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C181" i="12"/>
  <c r="J180" i="12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C180" i="12"/>
  <c r="D180" i="12" s="1"/>
  <c r="E180" i="12" s="1"/>
  <c r="F180" i="12" s="1"/>
  <c r="G180" i="12" s="1"/>
  <c r="H180" i="12" s="1"/>
  <c r="I180" i="12" s="1"/>
  <c r="L179" i="12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D179" i="12"/>
  <c r="E179" i="12" s="1"/>
  <c r="F179" i="12" s="1"/>
  <c r="G179" i="12" s="1"/>
  <c r="H179" i="12" s="1"/>
  <c r="I179" i="12" s="1"/>
  <c r="J179" i="12" s="1"/>
  <c r="K179" i="12" s="1"/>
  <c r="C179" i="12"/>
  <c r="C178" i="12"/>
  <c r="D178" i="12" s="1"/>
  <c r="E178" i="12" s="1"/>
  <c r="F178" i="12" s="1"/>
  <c r="G178" i="12" s="1"/>
  <c r="H178" i="12" s="1"/>
  <c r="I178" i="12" s="1"/>
  <c r="J178" i="12" s="1"/>
  <c r="K178" i="12" s="1"/>
  <c r="L178" i="12" s="1"/>
  <c r="M178" i="12" s="1"/>
  <c r="N178" i="12" s="1"/>
  <c r="O178" i="12" s="1"/>
  <c r="P178" i="12" s="1"/>
  <c r="Q178" i="12" s="1"/>
  <c r="R178" i="12" s="1"/>
  <c r="S178" i="12" s="1"/>
  <c r="T178" i="12" s="1"/>
  <c r="U178" i="12" s="1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C177" i="12"/>
  <c r="D177" i="12" s="1"/>
  <c r="E177" i="12" s="1"/>
  <c r="F177" i="12" s="1"/>
  <c r="G177" i="12" s="1"/>
  <c r="H177" i="12" s="1"/>
  <c r="I177" i="12" s="1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AE176" i="12"/>
  <c r="AF176" i="12" s="1"/>
  <c r="AA176" i="12"/>
  <c r="AB176" i="12" s="1"/>
  <c r="AC176" i="12" s="1"/>
  <c r="AD176" i="12" s="1"/>
  <c r="G176" i="12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C176" i="12"/>
  <c r="D176" i="12" s="1"/>
  <c r="E176" i="12" s="1"/>
  <c r="F176" i="12" s="1"/>
  <c r="J174" i="12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F174" i="12"/>
  <c r="G174" i="12" s="1"/>
  <c r="H174" i="12" s="1"/>
  <c r="I174" i="12" s="1"/>
  <c r="D174" i="12"/>
  <c r="E174" i="12" s="1"/>
  <c r="C174" i="12"/>
  <c r="R173" i="12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C173" i="12"/>
  <c r="D173" i="12" s="1"/>
  <c r="E173" i="12" s="1"/>
  <c r="F173" i="12" s="1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Q173" i="12" s="1"/>
  <c r="W172" i="12"/>
  <c r="X172" i="12" s="1"/>
  <c r="Y172" i="12" s="1"/>
  <c r="Z172" i="12" s="1"/>
  <c r="AA172" i="12" s="1"/>
  <c r="AB172" i="12" s="1"/>
  <c r="AC172" i="12" s="1"/>
  <c r="AD172" i="12" s="1"/>
  <c r="AE172" i="12" s="1"/>
  <c r="AF172" i="12" s="1"/>
  <c r="E172" i="12"/>
  <c r="F172" i="12" s="1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C172" i="12"/>
  <c r="D172" i="12" s="1"/>
  <c r="P171" i="12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N171" i="12"/>
  <c r="O171" i="12" s="1"/>
  <c r="G171" i="12"/>
  <c r="H171" i="12" s="1"/>
  <c r="I171" i="12" s="1"/>
  <c r="J171" i="12" s="1"/>
  <c r="K171" i="12" s="1"/>
  <c r="L171" i="12" s="1"/>
  <c r="M171" i="12" s="1"/>
  <c r="E171" i="12"/>
  <c r="F171" i="12" s="1"/>
  <c r="C171" i="12"/>
  <c r="D171" i="12" s="1"/>
  <c r="D170" i="12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C170" i="12"/>
  <c r="P169" i="12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H169" i="12"/>
  <c r="I169" i="12" s="1"/>
  <c r="J169" i="12" s="1"/>
  <c r="K169" i="12" s="1"/>
  <c r="L169" i="12" s="1"/>
  <c r="M169" i="12" s="1"/>
  <c r="N169" i="12" s="1"/>
  <c r="O169" i="12" s="1"/>
  <c r="C169" i="12"/>
  <c r="D169" i="12" s="1"/>
  <c r="E169" i="12" s="1"/>
  <c r="F169" i="12" s="1"/>
  <c r="G169" i="12" s="1"/>
  <c r="I168" i="12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G168" i="12"/>
  <c r="H168" i="12" s="1"/>
  <c r="F168" i="12"/>
  <c r="D168" i="12"/>
  <c r="E168" i="12" s="1"/>
  <c r="C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C167" i="12"/>
  <c r="C165" i="12"/>
  <c r="D165" i="12" s="1"/>
  <c r="E165" i="12" s="1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I164" i="12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G164" i="12"/>
  <c r="H164" i="12" s="1"/>
  <c r="F164" i="12"/>
  <c r="C164" i="12"/>
  <c r="D164" i="12" s="1"/>
  <c r="E164" i="12" s="1"/>
  <c r="R163" i="12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I163" i="12"/>
  <c r="J163" i="12" s="1"/>
  <c r="K163" i="12" s="1"/>
  <c r="L163" i="12" s="1"/>
  <c r="M163" i="12" s="1"/>
  <c r="N163" i="12" s="1"/>
  <c r="O163" i="12" s="1"/>
  <c r="P163" i="12" s="1"/>
  <c r="Q163" i="12" s="1"/>
  <c r="G163" i="12"/>
  <c r="H163" i="12" s="1"/>
  <c r="F163" i="12"/>
  <c r="E163" i="12"/>
  <c r="D163" i="12"/>
  <c r="C163" i="12"/>
  <c r="D162" i="12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C162" i="12"/>
  <c r="E161" i="12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D161" i="12"/>
  <c r="C161" i="12"/>
  <c r="K160" i="12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F160" i="12"/>
  <c r="G160" i="12" s="1"/>
  <c r="H160" i="12" s="1"/>
  <c r="I160" i="12" s="1"/>
  <c r="J160" i="12" s="1"/>
  <c r="E160" i="12"/>
  <c r="C160" i="12"/>
  <c r="D160" i="12" s="1"/>
  <c r="D159" i="12"/>
  <c r="E159" i="12" s="1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C159" i="12"/>
  <c r="N158" i="12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J158" i="12"/>
  <c r="K158" i="12" s="1"/>
  <c r="L158" i="12" s="1"/>
  <c r="M158" i="12" s="1"/>
  <c r="C158" i="12"/>
  <c r="D158" i="12" s="1"/>
  <c r="E158" i="12" s="1"/>
  <c r="F158" i="12" s="1"/>
  <c r="G158" i="12" s="1"/>
  <c r="H158" i="12" s="1"/>
  <c r="I158" i="12" s="1"/>
  <c r="L157" i="12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D157" i="12"/>
  <c r="E157" i="12" s="1"/>
  <c r="F157" i="12" s="1"/>
  <c r="G157" i="12" s="1"/>
  <c r="H157" i="12" s="1"/>
  <c r="I157" i="12" s="1"/>
  <c r="J157" i="12" s="1"/>
  <c r="K157" i="12" s="1"/>
  <c r="C157" i="12"/>
  <c r="C156" i="12"/>
  <c r="D156" i="12" s="1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AB155" i="12"/>
  <c r="AC155" i="12" s="1"/>
  <c r="AD155" i="12" s="1"/>
  <c r="AE155" i="12" s="1"/>
  <c r="AF155" i="12" s="1"/>
  <c r="C155" i="12"/>
  <c r="D155" i="12" s="1"/>
  <c r="E155" i="12" s="1"/>
  <c r="F155" i="12" s="1"/>
  <c r="G155" i="12" s="1"/>
  <c r="H155" i="12" s="1"/>
  <c r="I155" i="12" s="1"/>
  <c r="J155" i="12" s="1"/>
  <c r="K155" i="12" s="1"/>
  <c r="L155" i="12" s="1"/>
  <c r="M155" i="12" s="1"/>
  <c r="N155" i="12" s="1"/>
  <c r="O155" i="12" s="1"/>
  <c r="P155" i="12" s="1"/>
  <c r="Q155" i="12" s="1"/>
  <c r="R155" i="12" s="1"/>
  <c r="S155" i="12" s="1"/>
  <c r="T155" i="12" s="1"/>
  <c r="U155" i="12" s="1"/>
  <c r="V155" i="12" s="1"/>
  <c r="W155" i="12" s="1"/>
  <c r="X155" i="12" s="1"/>
  <c r="Y155" i="12" s="1"/>
  <c r="Z155" i="12" s="1"/>
  <c r="AA155" i="12" s="1"/>
  <c r="R154" i="12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C154" i="12"/>
  <c r="D154" i="12" s="1"/>
  <c r="E154" i="12" s="1"/>
  <c r="F154" i="12" s="1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T153" i="12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G153" i="12"/>
  <c r="H153" i="12" s="1"/>
  <c r="I153" i="12" s="1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D153" i="12"/>
  <c r="E153" i="12" s="1"/>
  <c r="F153" i="12" s="1"/>
  <c r="C153" i="12"/>
  <c r="C151" i="12"/>
  <c r="D151" i="12" s="1"/>
  <c r="E151" i="12" s="1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C150" i="12"/>
  <c r="D150" i="12" s="1"/>
  <c r="E150" i="12" s="1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C149" i="12"/>
  <c r="D149" i="12" s="1"/>
  <c r="E149" i="12" s="1"/>
  <c r="F149" i="12" s="1"/>
  <c r="G149" i="12" s="1"/>
  <c r="H149" i="12" s="1"/>
  <c r="I149" i="12" s="1"/>
  <c r="J149" i="12" s="1"/>
  <c r="K149" i="12" s="1"/>
  <c r="L149" i="12" s="1"/>
  <c r="M149" i="12" s="1"/>
  <c r="N149" i="12" s="1"/>
  <c r="O149" i="12" s="1"/>
  <c r="P149" i="12" s="1"/>
  <c r="Q149" i="12" s="1"/>
  <c r="R149" i="12" s="1"/>
  <c r="S149" i="12" s="1"/>
  <c r="T149" i="12" s="1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E148" i="12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C148" i="12"/>
  <c r="D148" i="12" s="1"/>
  <c r="N146" i="12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D146" i="12"/>
  <c r="E146" i="12" s="1"/>
  <c r="F146" i="12" s="1"/>
  <c r="G146" i="12" s="1"/>
  <c r="H146" i="12" s="1"/>
  <c r="I146" i="12" s="1"/>
  <c r="J146" i="12" s="1"/>
  <c r="K146" i="12" s="1"/>
  <c r="L146" i="12" s="1"/>
  <c r="M146" i="12" s="1"/>
  <c r="C146" i="12"/>
  <c r="C145" i="12"/>
  <c r="D145" i="12" s="1"/>
  <c r="E145" i="12" s="1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D143" i="12"/>
  <c r="E143" i="12" s="1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C143" i="12"/>
  <c r="D142" i="12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C142" i="12"/>
  <c r="H141" i="12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F141" i="12"/>
  <c r="G141" i="12" s="1"/>
  <c r="C141" i="12"/>
  <c r="D141" i="12" s="1"/>
  <c r="E141" i="12" s="1"/>
  <c r="F140" i="12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C140" i="12"/>
  <c r="D140" i="12" s="1"/>
  <c r="E140" i="12" s="1"/>
  <c r="D139" i="12"/>
  <c r="E139" i="12" s="1"/>
  <c r="F139" i="12" s="1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C139" i="12"/>
  <c r="F138" i="12"/>
  <c r="G138" i="12" s="1"/>
  <c r="H138" i="12" s="1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C138" i="12"/>
  <c r="D138" i="12" s="1"/>
  <c r="E138" i="12" s="1"/>
  <c r="C137" i="12"/>
  <c r="D137" i="12" s="1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D135" i="12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C135" i="12"/>
  <c r="F134" i="12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E134" i="12"/>
  <c r="D134" i="12"/>
  <c r="C134" i="12"/>
  <c r="E133" i="12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C133" i="12"/>
  <c r="D133" i="12" s="1"/>
  <c r="C132" i="12"/>
  <c r="D132" i="12" s="1"/>
  <c r="E132" i="12" s="1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I131" i="12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C131" i="12"/>
  <c r="D131" i="12" s="1"/>
  <c r="E131" i="12" s="1"/>
  <c r="F131" i="12" s="1"/>
  <c r="G131" i="12" s="1"/>
  <c r="H131" i="12" s="1"/>
  <c r="C130" i="12"/>
  <c r="D130" i="12" s="1"/>
  <c r="E130" i="12" s="1"/>
  <c r="F130" i="12" s="1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E129" i="12"/>
  <c r="F129" i="12" s="1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Q129" i="12" s="1"/>
  <c r="R129" i="12" s="1"/>
  <c r="S129" i="12" s="1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D129" i="12"/>
  <c r="C129" i="12"/>
  <c r="D128" i="12"/>
  <c r="E128" i="12" s="1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C128" i="12"/>
  <c r="C126" i="12"/>
  <c r="D126" i="12" s="1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C125" i="12"/>
  <c r="D125" i="12" s="1"/>
  <c r="E125" i="12" s="1"/>
  <c r="F125" i="12" s="1"/>
  <c r="G125" i="12" s="1"/>
  <c r="H125" i="12" s="1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D124" i="12"/>
  <c r="E124" i="12" s="1"/>
  <c r="F124" i="12" s="1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C124" i="12"/>
  <c r="G123" i="12"/>
  <c r="H123" i="12" s="1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C123" i="12"/>
  <c r="D123" i="12" s="1"/>
  <c r="E123" i="12" s="1"/>
  <c r="F123" i="12" s="1"/>
  <c r="C122" i="12"/>
  <c r="D122" i="12" s="1"/>
  <c r="E122" i="12" s="1"/>
  <c r="F122" i="12" s="1"/>
  <c r="G122" i="12" s="1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C121" i="12"/>
  <c r="D121" i="12" s="1"/>
  <c r="E121" i="12" s="1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C120" i="12"/>
  <c r="D119" i="12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C119" i="12"/>
  <c r="J118" i="12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C118" i="12"/>
  <c r="D118" i="12" s="1"/>
  <c r="E118" i="12" s="1"/>
  <c r="F118" i="12" s="1"/>
  <c r="G118" i="12" s="1"/>
  <c r="H118" i="12" s="1"/>
  <c r="I118" i="12" s="1"/>
  <c r="F117" i="12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C117" i="12"/>
  <c r="D117" i="12" s="1"/>
  <c r="E117" i="12" s="1"/>
  <c r="D116" i="12"/>
  <c r="E116" i="12" s="1"/>
  <c r="F116" i="12" s="1"/>
  <c r="G116" i="12" s="1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C116" i="12"/>
  <c r="E115" i="12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C115" i="12"/>
  <c r="D115" i="12" s="1"/>
  <c r="C114" i="12"/>
  <c r="D114" i="12" s="1"/>
  <c r="E114" i="12" s="1"/>
  <c r="F114" i="12" s="1"/>
  <c r="G114" i="12" s="1"/>
  <c r="H114" i="12" s="1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C113" i="12"/>
  <c r="D113" i="12" s="1"/>
  <c r="E113" i="12" s="1"/>
  <c r="F113" i="12" s="1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D112" i="12"/>
  <c r="E112" i="12" s="1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C112" i="12"/>
  <c r="K111" i="12"/>
  <c r="L111" i="12" s="1"/>
  <c r="M111" i="12" s="1"/>
  <c r="N111" i="12" s="1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J111" i="12"/>
  <c r="C111" i="12"/>
  <c r="D111" i="12" s="1"/>
  <c r="E111" i="12" s="1"/>
  <c r="F111" i="12" s="1"/>
  <c r="G111" i="12" s="1"/>
  <c r="H111" i="12" s="1"/>
  <c r="C110" i="12"/>
  <c r="D110" i="12" s="1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E109" i="12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D109" i="12"/>
  <c r="C109" i="12"/>
  <c r="E107" i="12"/>
  <c r="F107" i="12" s="1"/>
  <c r="G107" i="12" s="1"/>
  <c r="H107" i="12" s="1"/>
  <c r="I107" i="12" s="1"/>
  <c r="J107" i="12" s="1"/>
  <c r="K107" i="12" s="1"/>
  <c r="L107" i="12" s="1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C107" i="12"/>
  <c r="D107" i="12" s="1"/>
  <c r="D106" i="12"/>
  <c r="D91" i="12" s="1"/>
  <c r="C106" i="12"/>
  <c r="C104" i="12"/>
  <c r="D104" i="12" s="1"/>
  <c r="E104" i="12" s="1"/>
  <c r="F104" i="12" s="1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E103" i="12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D103" i="12"/>
  <c r="C103" i="12"/>
  <c r="C102" i="12"/>
  <c r="D102" i="12" s="1"/>
  <c r="E102" i="12" s="1"/>
  <c r="F102" i="12" s="1"/>
  <c r="G102" i="12" s="1"/>
  <c r="H102" i="12" s="1"/>
  <c r="I102" i="12" s="1"/>
  <c r="J102" i="12" s="1"/>
  <c r="K102" i="12" s="1"/>
  <c r="L102" i="12" s="1"/>
  <c r="M102" i="12" s="1"/>
  <c r="N102" i="12" s="1"/>
  <c r="O102" i="12" s="1"/>
  <c r="P102" i="12" s="1"/>
  <c r="Q102" i="12" s="1"/>
  <c r="R102" i="12" s="1"/>
  <c r="S102" i="12" s="1"/>
  <c r="T102" i="12" s="1"/>
  <c r="U102" i="12" s="1"/>
  <c r="V102" i="12" s="1"/>
  <c r="W102" i="12" s="1"/>
  <c r="X102" i="12" s="1"/>
  <c r="Y102" i="12" s="1"/>
  <c r="Z102" i="12" s="1"/>
  <c r="AA102" i="12" s="1"/>
  <c r="AB102" i="12" s="1"/>
  <c r="AC102" i="12" s="1"/>
  <c r="AD102" i="12" s="1"/>
  <c r="AE102" i="12" s="1"/>
  <c r="AF102" i="12" s="1"/>
  <c r="C101" i="12"/>
  <c r="D101" i="12" s="1"/>
  <c r="E101" i="12" s="1"/>
  <c r="F101" i="12" s="1"/>
  <c r="G101" i="12" s="1"/>
  <c r="H101" i="12" s="1"/>
  <c r="I101" i="12" s="1"/>
  <c r="J101" i="12" s="1"/>
  <c r="K101" i="12" s="1"/>
  <c r="L101" i="12" s="1"/>
  <c r="M101" i="12" s="1"/>
  <c r="N101" i="12" s="1"/>
  <c r="O101" i="12" s="1"/>
  <c r="P101" i="12" s="1"/>
  <c r="Q101" i="12" s="1"/>
  <c r="R101" i="12" s="1"/>
  <c r="S101" i="12" s="1"/>
  <c r="T101" i="12" s="1"/>
  <c r="U101" i="12" s="1"/>
  <c r="V101" i="12" s="1"/>
  <c r="W101" i="12" s="1"/>
  <c r="X101" i="12" s="1"/>
  <c r="Y101" i="12" s="1"/>
  <c r="Z101" i="12" s="1"/>
  <c r="AA101" i="12" s="1"/>
  <c r="AB101" i="12" s="1"/>
  <c r="AC101" i="12" s="1"/>
  <c r="AD101" i="12" s="1"/>
  <c r="AE101" i="12" s="1"/>
  <c r="AF101" i="12" s="1"/>
  <c r="F100" i="12"/>
  <c r="D100" i="12"/>
  <c r="E100" i="12" s="1"/>
  <c r="C100" i="12"/>
  <c r="E99" i="12"/>
  <c r="F99" i="12" s="1"/>
  <c r="D99" i="12"/>
  <c r="C99" i="12"/>
  <c r="AH96" i="12"/>
  <c r="AI96" i="12" s="1"/>
  <c r="AH95" i="12"/>
  <c r="AI95" i="12" s="1"/>
  <c r="AH94" i="12"/>
  <c r="AI94" i="12" s="1"/>
  <c r="AH93" i="12"/>
  <c r="AI93" i="12" s="1"/>
  <c r="AH92" i="12"/>
  <c r="AI92" i="12" s="1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G80" i="12"/>
  <c r="AI79" i="12"/>
  <c r="AH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F77" i="12"/>
  <c r="AE77" i="12"/>
  <c r="AE80" i="12" s="1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G80" i="12" s="1"/>
  <c r="F77" i="12"/>
  <c r="E77" i="12"/>
  <c r="D77" i="12"/>
  <c r="C77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AF75" i="12"/>
  <c r="AE75" i="12"/>
  <c r="AD75" i="12"/>
  <c r="AC75" i="12"/>
  <c r="AC80" i="12" s="1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AF74" i="12"/>
  <c r="AE74" i="12"/>
  <c r="AD74" i="12"/>
  <c r="AC74" i="12"/>
  <c r="AB74" i="12"/>
  <c r="AB80" i="12" s="1"/>
  <c r="AA74" i="12"/>
  <c r="Z74" i="12"/>
  <c r="Z80" i="12" s="1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K80" i="12" s="1"/>
  <c r="J74" i="12"/>
  <c r="J80" i="12" s="1"/>
  <c r="I74" i="12"/>
  <c r="H74" i="12"/>
  <c r="H80" i="12" s="1"/>
  <c r="G74" i="12"/>
  <c r="F74" i="12"/>
  <c r="F80" i="12" s="1"/>
  <c r="E74" i="12"/>
  <c r="D74" i="12"/>
  <c r="C74" i="12"/>
  <c r="AI72" i="12"/>
  <c r="AH72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AI69" i="12"/>
  <c r="AH69" i="12"/>
  <c r="AI68" i="12"/>
  <c r="AH68" i="12"/>
  <c r="AI67" i="12"/>
  <c r="AH67" i="12"/>
  <c r="AG66" i="12"/>
  <c r="AF66" i="12"/>
  <c r="AF5" i="12" s="1"/>
  <c r="AE66" i="12"/>
  <c r="AD66" i="12"/>
  <c r="AC66" i="12"/>
  <c r="AB66" i="12"/>
  <c r="AA66" i="12"/>
  <c r="AA5" i="12" s="1"/>
  <c r="Z66" i="12"/>
  <c r="Z5" i="12" s="1"/>
  <c r="Y66" i="12"/>
  <c r="Y5" i="12" s="1"/>
  <c r="X66" i="12"/>
  <c r="X5" i="12" s="1"/>
  <c r="W66" i="12"/>
  <c r="V66" i="12"/>
  <c r="U66" i="12"/>
  <c r="T66" i="12"/>
  <c r="S66" i="12"/>
  <c r="S5" i="12" s="1"/>
  <c r="R66" i="12"/>
  <c r="R5" i="12" s="1"/>
  <c r="Q66" i="12"/>
  <c r="Q5" i="12" s="1"/>
  <c r="P66" i="12"/>
  <c r="P5" i="12" s="1"/>
  <c r="O66" i="12"/>
  <c r="N66" i="12"/>
  <c r="M66" i="12"/>
  <c r="L66" i="12"/>
  <c r="K66" i="12"/>
  <c r="K5" i="12" s="1"/>
  <c r="J66" i="12"/>
  <c r="J5" i="12" s="1"/>
  <c r="I66" i="12"/>
  <c r="H66" i="12"/>
  <c r="H5" i="12" s="1"/>
  <c r="G66" i="12"/>
  <c r="F66" i="12"/>
  <c r="E66" i="12"/>
  <c r="E5" i="12" s="1"/>
  <c r="D66" i="12"/>
  <c r="C66" i="12"/>
  <c r="C5" i="12" s="1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I53" i="12"/>
  <c r="AH53" i="12"/>
  <c r="AI52" i="12"/>
  <c r="AH52" i="12"/>
  <c r="AI51" i="12"/>
  <c r="AH51" i="12"/>
  <c r="Y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AG49" i="12"/>
  <c r="AG50" i="12" s="1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G36" i="12"/>
  <c r="AG2" i="12" s="1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P73" i="12" s="1"/>
  <c r="AH211" i="12" s="1"/>
  <c r="O36" i="12"/>
  <c r="N36" i="12"/>
  <c r="M36" i="12"/>
  <c r="L36" i="12"/>
  <c r="K36" i="12"/>
  <c r="I36" i="12"/>
  <c r="H36" i="12"/>
  <c r="G36" i="12"/>
  <c r="F36" i="12"/>
  <c r="E36" i="12"/>
  <c r="D36" i="12"/>
  <c r="C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C5" i="12"/>
  <c r="AB5" i="12"/>
  <c r="U5" i="12"/>
  <c r="T5" i="12"/>
  <c r="M5" i="12"/>
  <c r="L5" i="12"/>
  <c r="I5" i="12"/>
  <c r="D5" i="12"/>
  <c r="AG4" i="12"/>
  <c r="K4" i="12"/>
  <c r="B4" i="12"/>
  <c r="AF93" i="11"/>
  <c r="AF35" i="11"/>
  <c r="AE35" i="11"/>
  <c r="AE93" i="11"/>
  <c r="AD93" i="11"/>
  <c r="AD35" i="11"/>
  <c r="Z93" i="11"/>
  <c r="W93" i="11"/>
  <c r="V93" i="11"/>
  <c r="U93" i="11"/>
  <c r="T93" i="11"/>
  <c r="S93" i="11"/>
  <c r="R93" i="11"/>
  <c r="Q35" i="11"/>
  <c r="P35" i="11"/>
  <c r="O35" i="11"/>
  <c r="M66" i="11"/>
  <c r="AI88" i="10"/>
  <c r="AI89" i="10"/>
  <c r="AI91" i="10"/>
  <c r="AI92" i="10"/>
  <c r="AI93" i="10"/>
  <c r="AI94" i="10"/>
  <c r="AI95" i="10"/>
  <c r="AI96" i="10"/>
  <c r="AI97" i="10"/>
  <c r="E4" i="12"/>
  <c r="AF80" i="12" l="1"/>
  <c r="AD80" i="12"/>
  <c r="AA80" i="12"/>
  <c r="X80" i="12"/>
  <c r="Y80" i="12"/>
  <c r="Y73" i="12"/>
  <c r="Y71" i="12"/>
  <c r="W80" i="12"/>
  <c r="V80" i="12"/>
  <c r="U80" i="12"/>
  <c r="T80" i="12"/>
  <c r="S80" i="12"/>
  <c r="S73" i="12"/>
  <c r="R80" i="12"/>
  <c r="Q80" i="12"/>
  <c r="Q73" i="12"/>
  <c r="Q71" i="12"/>
  <c r="P80" i="12"/>
  <c r="P71" i="12"/>
  <c r="O80" i="12"/>
  <c r="O71" i="12"/>
  <c r="N80" i="12"/>
  <c r="N71" i="12"/>
  <c r="M80" i="12"/>
  <c r="AI75" i="12"/>
  <c r="M73" i="12"/>
  <c r="L80" i="12"/>
  <c r="L73" i="12"/>
  <c r="AD211" i="12" s="1"/>
  <c r="L71" i="12"/>
  <c r="L81" i="12" s="1"/>
  <c r="K73" i="12"/>
  <c r="I73" i="12"/>
  <c r="I7" i="12" s="1"/>
  <c r="I71" i="12"/>
  <c r="H73" i="12"/>
  <c r="Z211" i="12" s="1"/>
  <c r="AI54" i="12"/>
  <c r="H71" i="12"/>
  <c r="H81" i="12" s="1"/>
  <c r="AI77" i="12"/>
  <c r="G71" i="12"/>
  <c r="AI74" i="12"/>
  <c r="F71" i="12"/>
  <c r="E80" i="12"/>
  <c r="AH76" i="12"/>
  <c r="E73" i="12"/>
  <c r="D73" i="12"/>
  <c r="V211" i="12" s="1"/>
  <c r="D80" i="12"/>
  <c r="AH77" i="12"/>
  <c r="AH75" i="12"/>
  <c r="AI36" i="12"/>
  <c r="D71" i="12"/>
  <c r="C80" i="12"/>
  <c r="AI78" i="12"/>
  <c r="AI66" i="12"/>
  <c r="C73" i="12"/>
  <c r="C7" i="12" s="1"/>
  <c r="AH36" i="12"/>
  <c r="B80" i="12"/>
  <c r="B73" i="12"/>
  <c r="B71" i="12"/>
  <c r="H4" i="12"/>
  <c r="P81" i="12"/>
  <c r="W211" i="12"/>
  <c r="E7" i="12"/>
  <c r="AA211" i="12"/>
  <c r="AI211" i="12"/>
  <c r="Q7" i="12"/>
  <c r="Q81" i="12"/>
  <c r="AQ211" i="12"/>
  <c r="Y7" i="12"/>
  <c r="Y81" i="12"/>
  <c r="AG6" i="12"/>
  <c r="U211" i="12"/>
  <c r="AC211" i="12"/>
  <c r="K7" i="12"/>
  <c r="AK211" i="12"/>
  <c r="S7" i="12"/>
  <c r="G99" i="12"/>
  <c r="AG71" i="12"/>
  <c r="AG73" i="12"/>
  <c r="AG3" i="12"/>
  <c r="D81" i="12"/>
  <c r="AE211" i="12"/>
  <c r="M7" i="12"/>
  <c r="AH54" i="12"/>
  <c r="AH70" i="12"/>
  <c r="F5" i="12"/>
  <c r="N5" i="12"/>
  <c r="V5" i="12"/>
  <c r="AD5" i="12"/>
  <c r="D7" i="12"/>
  <c r="L7" i="12"/>
  <c r="J71" i="12"/>
  <c r="J81" i="12" s="1"/>
  <c r="R71" i="12"/>
  <c r="F73" i="12"/>
  <c r="N73" i="12"/>
  <c r="AI76" i="12"/>
  <c r="G5" i="12"/>
  <c r="O5" i="12"/>
  <c r="W5" i="12"/>
  <c r="AE5" i="12"/>
  <c r="C71" i="12"/>
  <c r="C81" i="12" s="1"/>
  <c r="K71" i="12"/>
  <c r="K81" i="12" s="1"/>
  <c r="S71" i="12"/>
  <c r="S81" i="12" s="1"/>
  <c r="G73" i="12"/>
  <c r="O73" i="12"/>
  <c r="O81" i="12" s="1"/>
  <c r="AH78" i="12"/>
  <c r="D189" i="12"/>
  <c r="E106" i="12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E71" i="12"/>
  <c r="E81" i="12" s="1"/>
  <c r="M71" i="12"/>
  <c r="M81" i="12" s="1"/>
  <c r="G100" i="12"/>
  <c r="B5" i="12"/>
  <c r="P7" i="12"/>
  <c r="J73" i="12"/>
  <c r="R73" i="12"/>
  <c r="I80" i="12"/>
  <c r="C91" i="12"/>
  <c r="AH74" i="12"/>
  <c r="AH66" i="12"/>
  <c r="S208" i="12"/>
  <c r="D208" i="12"/>
  <c r="AI70" i="12"/>
  <c r="C189" i="12"/>
  <c r="G191" i="12"/>
  <c r="D197" i="12"/>
  <c r="F196" i="12"/>
  <c r="E192" i="12"/>
  <c r="C197" i="12"/>
  <c r="D232" i="12"/>
  <c r="I81" i="12" l="1"/>
  <c r="H7" i="12"/>
  <c r="G81" i="12"/>
  <c r="F81" i="12"/>
  <c r="B81" i="12"/>
  <c r="AJ211" i="12"/>
  <c r="R7" i="12"/>
  <c r="F189" i="12"/>
  <c r="F91" i="12"/>
  <c r="F232" i="12"/>
  <c r="G196" i="12"/>
  <c r="AB211" i="12"/>
  <c r="J7" i="12"/>
  <c r="E91" i="12"/>
  <c r="AI80" i="12"/>
  <c r="AH80" i="12"/>
  <c r="AF211" i="12"/>
  <c r="N7" i="12"/>
  <c r="N81" i="12"/>
  <c r="H191" i="12"/>
  <c r="E189" i="12"/>
  <c r="X211" i="12"/>
  <c r="C206" i="12"/>
  <c r="B206" i="12"/>
  <c r="F7" i="12"/>
  <c r="R81" i="12"/>
  <c r="G91" i="12"/>
  <c r="H100" i="12"/>
  <c r="AG211" i="12"/>
  <c r="O7" i="12"/>
  <c r="AG81" i="12"/>
  <c r="F192" i="12"/>
  <c r="E197" i="12"/>
  <c r="Y211" i="12"/>
  <c r="G7" i="12"/>
  <c r="G189" i="12"/>
  <c r="H99" i="12"/>
  <c r="K6" i="12" l="1"/>
  <c r="H189" i="12"/>
  <c r="I99" i="12"/>
  <c r="G232" i="12"/>
  <c r="H196" i="12"/>
  <c r="H91" i="12"/>
  <c r="I100" i="12"/>
  <c r="I191" i="12"/>
  <c r="T211" i="12"/>
  <c r="B7" i="12"/>
  <c r="G192" i="12"/>
  <c r="F197" i="12"/>
  <c r="H192" i="12" l="1"/>
  <c r="G197" i="12"/>
  <c r="I189" i="12"/>
  <c r="J99" i="12"/>
  <c r="I196" i="12"/>
  <c r="H232" i="12"/>
  <c r="I91" i="12"/>
  <c r="J100" i="12"/>
  <c r="J191" i="12"/>
  <c r="J196" i="12" l="1"/>
  <c r="I232" i="12"/>
  <c r="J189" i="12"/>
  <c r="K99" i="12"/>
  <c r="K191" i="12"/>
  <c r="K100" i="12"/>
  <c r="J91" i="12"/>
  <c r="I192" i="12"/>
  <c r="H197" i="12"/>
  <c r="L100" i="12" l="1"/>
  <c r="K91" i="12"/>
  <c r="L191" i="12"/>
  <c r="K189" i="12"/>
  <c r="L99" i="12"/>
  <c r="J192" i="12"/>
  <c r="I197" i="12"/>
  <c r="J232" i="12"/>
  <c r="K196" i="12"/>
  <c r="K192" i="12" l="1"/>
  <c r="J197" i="12"/>
  <c r="L189" i="12"/>
  <c r="M99" i="12"/>
  <c r="M191" i="12"/>
  <c r="L196" i="12"/>
  <c r="K232" i="12"/>
  <c r="M100" i="12"/>
  <c r="M196" i="12" l="1"/>
  <c r="L232" i="12"/>
  <c r="N191" i="12"/>
  <c r="M189" i="12"/>
  <c r="N99" i="12"/>
  <c r="L91" i="12"/>
  <c r="M91" i="12"/>
  <c r="N100" i="12"/>
  <c r="L192" i="12"/>
  <c r="K197" i="12"/>
  <c r="O191" i="12" l="1"/>
  <c r="N189" i="12"/>
  <c r="O99" i="12"/>
  <c r="M192" i="12"/>
  <c r="L197" i="12"/>
  <c r="N91" i="12"/>
  <c r="O100" i="12"/>
  <c r="N196" i="12"/>
  <c r="M232" i="12"/>
  <c r="P100" i="12" l="1"/>
  <c r="N192" i="12"/>
  <c r="M197" i="12"/>
  <c r="O189" i="12"/>
  <c r="P99" i="12"/>
  <c r="N232" i="12"/>
  <c r="O196" i="12"/>
  <c r="P191" i="12"/>
  <c r="O232" i="12" l="1"/>
  <c r="P196" i="12"/>
  <c r="P189" i="12"/>
  <c r="Q99" i="12"/>
  <c r="O192" i="12"/>
  <c r="N197" i="12"/>
  <c r="P91" i="12"/>
  <c r="Q100" i="12"/>
  <c r="Q191" i="12"/>
  <c r="O91" i="12"/>
  <c r="R100" i="12" l="1"/>
  <c r="P192" i="12"/>
  <c r="O197" i="12"/>
  <c r="Q189" i="12"/>
  <c r="R99" i="12"/>
  <c r="Q196" i="12"/>
  <c r="P232" i="12"/>
  <c r="R191" i="12"/>
  <c r="R189" i="12" l="1"/>
  <c r="S99" i="12"/>
  <c r="R196" i="12"/>
  <c r="Q232" i="12"/>
  <c r="Q192" i="12"/>
  <c r="P197" i="12"/>
  <c r="Q91" i="12"/>
  <c r="S191" i="12"/>
  <c r="S100" i="12"/>
  <c r="R91" i="12"/>
  <c r="R192" i="12" l="1"/>
  <c r="Q197" i="12"/>
  <c r="R232" i="12"/>
  <c r="S196" i="12"/>
  <c r="T100" i="12"/>
  <c r="S91" i="12"/>
  <c r="S189" i="12"/>
  <c r="T99" i="12"/>
  <c r="T191" i="12"/>
  <c r="T189" i="12" l="1"/>
  <c r="U99" i="12"/>
  <c r="U191" i="12"/>
  <c r="U100" i="12"/>
  <c r="T91" i="12"/>
  <c r="S232" i="12"/>
  <c r="T196" i="12"/>
  <c r="S192" i="12"/>
  <c r="R197" i="12"/>
  <c r="T232" i="12" l="1"/>
  <c r="U196" i="12"/>
  <c r="U91" i="12"/>
  <c r="V100" i="12"/>
  <c r="V191" i="12"/>
  <c r="U189" i="12"/>
  <c r="V99" i="12"/>
  <c r="T192" i="12"/>
  <c r="S197" i="12"/>
  <c r="W100" i="12" l="1"/>
  <c r="V91" i="12"/>
  <c r="V189" i="12"/>
  <c r="W99" i="12"/>
  <c r="W191" i="12"/>
  <c r="V196" i="12"/>
  <c r="U232" i="12"/>
  <c r="U192" i="12"/>
  <c r="T197" i="12"/>
  <c r="T49" i="12" s="1"/>
  <c r="V232" i="12" l="1"/>
  <c r="W196" i="12"/>
  <c r="X191" i="12"/>
  <c r="W189" i="12"/>
  <c r="X99" i="12"/>
  <c r="T50" i="12"/>
  <c r="V192" i="12"/>
  <c r="U197" i="12"/>
  <c r="U49" i="12" s="1"/>
  <c r="U50" i="12" s="1"/>
  <c r="W91" i="12"/>
  <c r="X100" i="12"/>
  <c r="X189" i="12" l="1"/>
  <c r="Y99" i="12"/>
  <c r="Y100" i="12"/>
  <c r="Y191" i="12"/>
  <c r="W232" i="12"/>
  <c r="X196" i="12"/>
  <c r="U73" i="12"/>
  <c r="U71" i="12"/>
  <c r="W192" i="12"/>
  <c r="V197" i="12"/>
  <c r="V49" i="12" s="1"/>
  <c r="T71" i="12"/>
  <c r="T73" i="12"/>
  <c r="Y196" i="12" l="1"/>
  <c r="X232" i="12"/>
  <c r="Z191" i="12"/>
  <c r="V50" i="12"/>
  <c r="Y91" i="12"/>
  <c r="Z100" i="12"/>
  <c r="X91" i="12"/>
  <c r="AL211" i="12"/>
  <c r="T7" i="12"/>
  <c r="T81" i="12"/>
  <c r="X192" i="12"/>
  <c r="W197" i="12"/>
  <c r="W49" i="12" s="1"/>
  <c r="W50" i="12" s="1"/>
  <c r="U81" i="12"/>
  <c r="Y189" i="12"/>
  <c r="Z99" i="12"/>
  <c r="AM211" i="12"/>
  <c r="U7" i="12"/>
  <c r="V71" i="12" l="1"/>
  <c r="V73" i="12"/>
  <c r="Z189" i="12"/>
  <c r="AA99" i="12"/>
  <c r="W71" i="12"/>
  <c r="W73" i="12"/>
  <c r="AA191" i="12"/>
  <c r="Y192" i="12"/>
  <c r="X197" i="12"/>
  <c r="X49" i="12" s="1"/>
  <c r="AA100" i="12"/>
  <c r="Z91" i="12"/>
  <c r="Z196" i="12"/>
  <c r="Y232" i="12"/>
  <c r="X50" i="12" l="1"/>
  <c r="AA189" i="12"/>
  <c r="AB99" i="12"/>
  <c r="AN211" i="12"/>
  <c r="V7" i="12"/>
  <c r="Z192" i="12"/>
  <c r="Y197" i="12"/>
  <c r="AB191" i="12"/>
  <c r="AO211" i="12"/>
  <c r="W7" i="12"/>
  <c r="V81" i="12"/>
  <c r="Z232" i="12"/>
  <c r="AA196" i="12"/>
  <c r="W81" i="12"/>
  <c r="AA91" i="12"/>
  <c r="AB100" i="12"/>
  <c r="AC191" i="12" l="1"/>
  <c r="AA232" i="12"/>
  <c r="AB196" i="12"/>
  <c r="AC100" i="12"/>
  <c r="AB91" i="12"/>
  <c r="AA192" i="12"/>
  <c r="Z197" i="12"/>
  <c r="Z49" i="12" s="1"/>
  <c r="AB189" i="12"/>
  <c r="AC99" i="12"/>
  <c r="X73" i="12"/>
  <c r="X71" i="12"/>
  <c r="AB232" i="12" l="1"/>
  <c r="AC196" i="12"/>
  <c r="AD191" i="12"/>
  <c r="X81" i="12"/>
  <c r="AD100" i="12"/>
  <c r="AC91" i="12"/>
  <c r="Z50" i="12"/>
  <c r="AP211" i="12"/>
  <c r="X7" i="12"/>
  <c r="AC189" i="12"/>
  <c r="AD99" i="12"/>
  <c r="AB192" i="12"/>
  <c r="AA197" i="12"/>
  <c r="AA49" i="12" s="1"/>
  <c r="AA50" i="12" s="1"/>
  <c r="AC192" i="12" l="1"/>
  <c r="AB197" i="12"/>
  <c r="AB49" i="12" s="1"/>
  <c r="AE100" i="12"/>
  <c r="AD91" i="12"/>
  <c r="AA71" i="12"/>
  <c r="AA73" i="12"/>
  <c r="AE191" i="12"/>
  <c r="AD189" i="12"/>
  <c r="AE99" i="12"/>
  <c r="Z73" i="12"/>
  <c r="Z71" i="12"/>
  <c r="AC232" i="12"/>
  <c r="AD196" i="12"/>
  <c r="AS211" i="12" l="1"/>
  <c r="AA7" i="12"/>
  <c r="AR211" i="12"/>
  <c r="Z7" i="12"/>
  <c r="AE189" i="12"/>
  <c r="AF99" i="12"/>
  <c r="AF189" i="12" s="1"/>
  <c r="AF100" i="12"/>
  <c r="Z81" i="12"/>
  <c r="AF191" i="12"/>
  <c r="AA81" i="12"/>
  <c r="AB50" i="12"/>
  <c r="AD192" i="12"/>
  <c r="AC197" i="12"/>
  <c r="AC49" i="12" s="1"/>
  <c r="AC50" i="12" s="1"/>
  <c r="AD232" i="12"/>
  <c r="AE196" i="12"/>
  <c r="AE232" i="12" l="1"/>
  <c r="AF196" i="12"/>
  <c r="AF232" i="12" s="1"/>
  <c r="AE192" i="12"/>
  <c r="AD197" i="12"/>
  <c r="AD49" i="12" s="1"/>
  <c r="AD50" i="12" s="1"/>
  <c r="AE91" i="12"/>
  <c r="AC73" i="12"/>
  <c r="AC71" i="12"/>
  <c r="AC81" i="12" s="1"/>
  <c r="AB73" i="12"/>
  <c r="AB71" i="12"/>
  <c r="AF91" i="12"/>
  <c r="AB81" i="12" l="1"/>
  <c r="AT211" i="12"/>
  <c r="AB7" i="12"/>
  <c r="AI91" i="12"/>
  <c r="AH91" i="12"/>
  <c r="AD71" i="12"/>
  <c r="AD73" i="12"/>
  <c r="AF192" i="12"/>
  <c r="AF197" i="12" s="1"/>
  <c r="AF49" i="12" s="1"/>
  <c r="AE197" i="12"/>
  <c r="AE49" i="12" s="1"/>
  <c r="AE50" i="12" s="1"/>
  <c r="AU211" i="12"/>
  <c r="AC7" i="12"/>
  <c r="AF50" i="12" l="1"/>
  <c r="AH49" i="12"/>
  <c r="AI49" i="12"/>
  <c r="AE71" i="12"/>
  <c r="AE73" i="12"/>
  <c r="AV211" i="12"/>
  <c r="AD7" i="12"/>
  <c r="AD81" i="12"/>
  <c r="AE81" i="12" l="1"/>
  <c r="AW211" i="12"/>
  <c r="AE7" i="12"/>
  <c r="AF71" i="12"/>
  <c r="AF73" i="12"/>
  <c r="AI50" i="12"/>
  <c r="AH50" i="12"/>
  <c r="AX211" i="12" l="1"/>
  <c r="AF7" i="12"/>
  <c r="A7" i="12" s="1"/>
  <c r="AH73" i="12"/>
  <c r="AI73" i="12"/>
  <c r="AF81" i="12"/>
  <c r="AH71" i="12"/>
  <c r="AI71" i="12"/>
  <c r="AH81" i="12" l="1"/>
  <c r="AI81" i="12"/>
  <c r="AH25" i="11" l="1"/>
  <c r="AI25" i="11"/>
  <c r="AH97" i="11"/>
  <c r="AI97" i="11" s="1"/>
  <c r="C35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B232" i="11"/>
  <c r="S207" i="11"/>
  <c r="AG197" i="11"/>
  <c r="B197" i="11"/>
  <c r="D196" i="11"/>
  <c r="C196" i="11"/>
  <c r="C232" i="11" s="1"/>
  <c r="J195" i="1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C195" i="11"/>
  <c r="D195" i="11" s="1"/>
  <c r="E195" i="11" s="1"/>
  <c r="F195" i="11" s="1"/>
  <c r="G195" i="11" s="1"/>
  <c r="H195" i="11" s="1"/>
  <c r="I195" i="11" s="1"/>
  <c r="C194" i="11"/>
  <c r="D194" i="11" s="1"/>
  <c r="E194" i="11" s="1"/>
  <c r="F194" i="11" s="1"/>
  <c r="G194" i="11" s="1"/>
  <c r="H194" i="11" s="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C193" i="11"/>
  <c r="D193" i="11" s="1"/>
  <c r="E193" i="11" s="1"/>
  <c r="F193" i="11" s="1"/>
  <c r="G193" i="11" s="1"/>
  <c r="H193" i="11" s="1"/>
  <c r="I193" i="11" s="1"/>
  <c r="J193" i="11" s="1"/>
  <c r="K193" i="11" s="1"/>
  <c r="L193" i="11" s="1"/>
  <c r="M193" i="11" s="1"/>
  <c r="N193" i="11" s="1"/>
  <c r="O193" i="11" s="1"/>
  <c r="P193" i="11" s="1"/>
  <c r="Q193" i="11" s="1"/>
  <c r="R193" i="11" s="1"/>
  <c r="S193" i="11" s="1"/>
  <c r="T193" i="11" s="1"/>
  <c r="U193" i="11" s="1"/>
  <c r="V193" i="11" s="1"/>
  <c r="W193" i="11" s="1"/>
  <c r="X193" i="11" s="1"/>
  <c r="Y193" i="11" s="1"/>
  <c r="Z193" i="11" s="1"/>
  <c r="AA193" i="11" s="1"/>
  <c r="AB193" i="11" s="1"/>
  <c r="AC193" i="11" s="1"/>
  <c r="AD193" i="11" s="1"/>
  <c r="AE193" i="11" s="1"/>
  <c r="AF193" i="11" s="1"/>
  <c r="D192" i="11"/>
  <c r="E192" i="11" s="1"/>
  <c r="F192" i="11" s="1"/>
  <c r="G192" i="11" s="1"/>
  <c r="H192" i="11" s="1"/>
  <c r="I192" i="11" s="1"/>
  <c r="J192" i="11" s="1"/>
  <c r="K192" i="11" s="1"/>
  <c r="L192" i="11" s="1"/>
  <c r="M192" i="11" s="1"/>
  <c r="N192" i="11" s="1"/>
  <c r="O192" i="11" s="1"/>
  <c r="P192" i="11" s="1"/>
  <c r="Q192" i="11" s="1"/>
  <c r="R192" i="11" s="1"/>
  <c r="S192" i="11" s="1"/>
  <c r="T192" i="11" s="1"/>
  <c r="U192" i="11" s="1"/>
  <c r="V192" i="11" s="1"/>
  <c r="W192" i="11" s="1"/>
  <c r="X192" i="11" s="1"/>
  <c r="Y192" i="11" s="1"/>
  <c r="Z192" i="11" s="1"/>
  <c r="AA192" i="11" s="1"/>
  <c r="AB192" i="11" s="1"/>
  <c r="AC192" i="11" s="1"/>
  <c r="AD192" i="11" s="1"/>
  <c r="AE192" i="11" s="1"/>
  <c r="AF192" i="11" s="1"/>
  <c r="C192" i="11"/>
  <c r="C191" i="11"/>
  <c r="C197" i="11" s="1"/>
  <c r="AG189" i="11"/>
  <c r="B189" i="11"/>
  <c r="H188" i="1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C188" i="11"/>
  <c r="D188" i="11" s="1"/>
  <c r="E188" i="11" s="1"/>
  <c r="F188" i="11" s="1"/>
  <c r="G188" i="11" s="1"/>
  <c r="C187" i="11"/>
  <c r="D187" i="11" s="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C186" i="11"/>
  <c r="D186" i="11" s="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AA185" i="11"/>
  <c r="AB185" i="11" s="1"/>
  <c r="AC185" i="11" s="1"/>
  <c r="AD185" i="11" s="1"/>
  <c r="AE185" i="11" s="1"/>
  <c r="AF185" i="11" s="1"/>
  <c r="C185" i="11"/>
  <c r="D185" i="11" s="1"/>
  <c r="E185" i="11" s="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I184" i="1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G184" i="11"/>
  <c r="H184" i="11" s="1"/>
  <c r="C184" i="11"/>
  <c r="D184" i="11" s="1"/>
  <c r="E184" i="11" s="1"/>
  <c r="F184" i="11" s="1"/>
  <c r="F183" i="11"/>
  <c r="G183" i="11" s="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C183" i="11"/>
  <c r="D183" i="11" s="1"/>
  <c r="E183" i="11" s="1"/>
  <c r="W182" i="1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D182" i="1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C182" i="11"/>
  <c r="C181" i="11"/>
  <c r="D181" i="11" s="1"/>
  <c r="E181" i="11" s="1"/>
  <c r="F181" i="11" s="1"/>
  <c r="G181" i="11" s="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O180" i="1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G180" i="11"/>
  <c r="H180" i="11" s="1"/>
  <c r="I180" i="11" s="1"/>
  <c r="J180" i="11" s="1"/>
  <c r="K180" i="11" s="1"/>
  <c r="L180" i="11" s="1"/>
  <c r="M180" i="11" s="1"/>
  <c r="N180" i="11" s="1"/>
  <c r="D180" i="11"/>
  <c r="E180" i="11" s="1"/>
  <c r="F180" i="11" s="1"/>
  <c r="C180" i="11"/>
  <c r="E179" i="1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C179" i="11"/>
  <c r="D179" i="11" s="1"/>
  <c r="K178" i="1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C178" i="11"/>
  <c r="D178" i="11" s="1"/>
  <c r="E178" i="11" s="1"/>
  <c r="F178" i="11" s="1"/>
  <c r="G178" i="11" s="1"/>
  <c r="H178" i="11" s="1"/>
  <c r="I178" i="11" s="1"/>
  <c r="J178" i="11" s="1"/>
  <c r="AD177" i="11"/>
  <c r="AE177" i="11" s="1"/>
  <c r="AF177" i="11" s="1"/>
  <c r="E177" i="1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C177" i="11"/>
  <c r="D177" i="11" s="1"/>
  <c r="C176" i="11"/>
  <c r="D176" i="11" s="1"/>
  <c r="E176" i="11" s="1"/>
  <c r="F176" i="11" s="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W174" i="1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C174" i="11"/>
  <c r="D174" i="11" s="1"/>
  <c r="E174" i="11" s="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K173" i="1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C173" i="11"/>
  <c r="D173" i="11" s="1"/>
  <c r="E173" i="11" s="1"/>
  <c r="F173" i="11" s="1"/>
  <c r="G173" i="11" s="1"/>
  <c r="H173" i="11" s="1"/>
  <c r="I173" i="11" s="1"/>
  <c r="J173" i="11" s="1"/>
  <c r="E172" i="11"/>
  <c r="F172" i="11" s="1"/>
  <c r="G172" i="11" s="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C172" i="11"/>
  <c r="D172" i="11" s="1"/>
  <c r="I171" i="1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G171" i="11"/>
  <c r="H171" i="11" s="1"/>
  <c r="C171" i="11"/>
  <c r="D171" i="11" s="1"/>
  <c r="E171" i="11" s="1"/>
  <c r="F171" i="11" s="1"/>
  <c r="O170" i="1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C170" i="11"/>
  <c r="D170" i="11" s="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AC169" i="11"/>
  <c r="AD169" i="11" s="1"/>
  <c r="AE169" i="11" s="1"/>
  <c r="AF169" i="11" s="1"/>
  <c r="G169" i="1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E169" i="11"/>
  <c r="F169" i="11" s="1"/>
  <c r="C169" i="11"/>
  <c r="D169" i="11" s="1"/>
  <c r="M168" i="1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C168" i="11"/>
  <c r="D168" i="11" s="1"/>
  <c r="E168" i="11" s="1"/>
  <c r="F168" i="11" s="1"/>
  <c r="G168" i="11" s="1"/>
  <c r="H168" i="11" s="1"/>
  <c r="I168" i="11" s="1"/>
  <c r="J168" i="11" s="1"/>
  <c r="K168" i="11" s="1"/>
  <c r="L168" i="11" s="1"/>
  <c r="C167" i="11"/>
  <c r="D167" i="11" s="1"/>
  <c r="E167" i="11" s="1"/>
  <c r="F167" i="11" s="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M165" i="1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I165" i="11"/>
  <c r="J165" i="11" s="1"/>
  <c r="K165" i="11" s="1"/>
  <c r="L165" i="11" s="1"/>
  <c r="G165" i="11"/>
  <c r="H165" i="11" s="1"/>
  <c r="E165" i="11"/>
  <c r="F165" i="11" s="1"/>
  <c r="D165" i="11"/>
  <c r="C165" i="11"/>
  <c r="C164" i="11"/>
  <c r="D164" i="11" s="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V163" i="1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D163" i="11"/>
  <c r="E163" i="11" s="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C163" i="11"/>
  <c r="C162" i="11"/>
  <c r="D162" i="11" s="1"/>
  <c r="E162" i="11" s="1"/>
  <c r="F162" i="11" s="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O161" i="1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E161" i="11"/>
  <c r="F161" i="11" s="1"/>
  <c r="G161" i="11" s="1"/>
  <c r="H161" i="11" s="1"/>
  <c r="I161" i="11" s="1"/>
  <c r="J161" i="11" s="1"/>
  <c r="K161" i="11" s="1"/>
  <c r="L161" i="11" s="1"/>
  <c r="M161" i="11" s="1"/>
  <c r="N161" i="11" s="1"/>
  <c r="D161" i="11"/>
  <c r="C161" i="1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C160" i="11"/>
  <c r="G159" i="1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C159" i="11"/>
  <c r="D159" i="11" s="1"/>
  <c r="E159" i="11" s="1"/>
  <c r="F159" i="11" s="1"/>
  <c r="P158" i="1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H158" i="11"/>
  <c r="I158" i="11" s="1"/>
  <c r="J158" i="11" s="1"/>
  <c r="K158" i="11" s="1"/>
  <c r="L158" i="11" s="1"/>
  <c r="M158" i="11" s="1"/>
  <c r="N158" i="11" s="1"/>
  <c r="O158" i="11" s="1"/>
  <c r="E158" i="11"/>
  <c r="F158" i="11" s="1"/>
  <c r="G158" i="11" s="1"/>
  <c r="D158" i="11"/>
  <c r="C158" i="11"/>
  <c r="K157" i="1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F157" i="11"/>
  <c r="G157" i="11" s="1"/>
  <c r="H157" i="11" s="1"/>
  <c r="I157" i="11" s="1"/>
  <c r="J157" i="11" s="1"/>
  <c r="C157" i="11"/>
  <c r="D157" i="11" s="1"/>
  <c r="E157" i="11" s="1"/>
  <c r="D156" i="11"/>
  <c r="E156" i="11" s="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C156" i="11"/>
  <c r="C155" i="11"/>
  <c r="D155" i="11" s="1"/>
  <c r="E155" i="11" s="1"/>
  <c r="F155" i="11" s="1"/>
  <c r="G155" i="11" s="1"/>
  <c r="H155" i="11" s="1"/>
  <c r="I155" i="11" s="1"/>
  <c r="J155" i="11" s="1"/>
  <c r="K155" i="11" s="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F154" i="11"/>
  <c r="G154" i="11" s="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E154" i="11"/>
  <c r="D154" i="11"/>
  <c r="C154" i="11"/>
  <c r="D153" i="11"/>
  <c r="E153" i="11" s="1"/>
  <c r="F153" i="11" s="1"/>
  <c r="G153" i="11" s="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C153" i="11"/>
  <c r="U151" i="1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R151" i="11"/>
  <c r="S151" i="11" s="1"/>
  <c r="T151" i="11" s="1"/>
  <c r="M151" i="11"/>
  <c r="N151" i="11" s="1"/>
  <c r="O151" i="11" s="1"/>
  <c r="P151" i="11" s="1"/>
  <c r="Q151" i="11" s="1"/>
  <c r="E151" i="11"/>
  <c r="F151" i="11" s="1"/>
  <c r="G151" i="11" s="1"/>
  <c r="H151" i="11" s="1"/>
  <c r="I151" i="11" s="1"/>
  <c r="J151" i="11" s="1"/>
  <c r="K151" i="11" s="1"/>
  <c r="L151" i="11" s="1"/>
  <c r="D151" i="11"/>
  <c r="C151" i="11"/>
  <c r="O150" i="1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G150" i="11"/>
  <c r="H150" i="11" s="1"/>
  <c r="I150" i="11" s="1"/>
  <c r="J150" i="11" s="1"/>
  <c r="K150" i="11" s="1"/>
  <c r="L150" i="11" s="1"/>
  <c r="M150" i="11" s="1"/>
  <c r="N150" i="11" s="1"/>
  <c r="C150" i="11"/>
  <c r="D150" i="11" s="1"/>
  <c r="E150" i="11" s="1"/>
  <c r="F150" i="11" s="1"/>
  <c r="H149" i="1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E149" i="11"/>
  <c r="F149" i="11" s="1"/>
  <c r="G149" i="11" s="1"/>
  <c r="D149" i="11"/>
  <c r="C149" i="11"/>
  <c r="O148" i="1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C148" i="11"/>
  <c r="D148" i="11" s="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J146" i="1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F146" i="11"/>
  <c r="G146" i="11" s="1"/>
  <c r="H146" i="11" s="1"/>
  <c r="I146" i="11" s="1"/>
  <c r="D146" i="11"/>
  <c r="E146" i="11" s="1"/>
  <c r="C146" i="11"/>
  <c r="N145" i="1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C145" i="11"/>
  <c r="D145" i="11" s="1"/>
  <c r="E145" i="11" s="1"/>
  <c r="F145" i="11" s="1"/>
  <c r="G145" i="11" s="1"/>
  <c r="H145" i="11" s="1"/>
  <c r="I145" i="11" s="1"/>
  <c r="J145" i="11" s="1"/>
  <c r="K145" i="11" s="1"/>
  <c r="L145" i="11" s="1"/>
  <c r="M145" i="11" s="1"/>
  <c r="C143" i="11"/>
  <c r="D143" i="11" s="1"/>
  <c r="E143" i="11" s="1"/>
  <c r="F143" i="11" s="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E142" i="1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C142" i="11"/>
  <c r="D142" i="11" s="1"/>
  <c r="C141" i="11"/>
  <c r="D141" i="11" s="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Y140" i="11"/>
  <c r="Z140" i="11" s="1"/>
  <c r="AA140" i="11" s="1"/>
  <c r="AB140" i="11" s="1"/>
  <c r="AC140" i="11" s="1"/>
  <c r="AD140" i="11" s="1"/>
  <c r="AE140" i="11" s="1"/>
  <c r="AF140" i="11" s="1"/>
  <c r="J140" i="1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I140" i="11"/>
  <c r="G140" i="11"/>
  <c r="H140" i="11" s="1"/>
  <c r="C140" i="11"/>
  <c r="D140" i="11" s="1"/>
  <c r="E140" i="11" s="1"/>
  <c r="F140" i="11" s="1"/>
  <c r="I139" i="1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C139" i="11"/>
  <c r="D139" i="11" s="1"/>
  <c r="E139" i="11" s="1"/>
  <c r="F139" i="11" s="1"/>
  <c r="G139" i="11" s="1"/>
  <c r="H139" i="11" s="1"/>
  <c r="D138" i="11"/>
  <c r="E138" i="11" s="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C138" i="11"/>
  <c r="U137" i="1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C137" i="11"/>
  <c r="D137" i="11" s="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O135" i="1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C135" i="11"/>
  <c r="C134" i="11"/>
  <c r="D134" i="11" s="1"/>
  <c r="E134" i="11" s="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E133" i="1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D133" i="11"/>
  <c r="C133" i="11"/>
  <c r="U132" i="1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C132" i="11"/>
  <c r="D132" i="11" s="1"/>
  <c r="E132" i="11" s="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E131" i="1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D131" i="11"/>
  <c r="C131" i="11"/>
  <c r="C130" i="11"/>
  <c r="D130" i="11" s="1"/>
  <c r="E130" i="11" s="1"/>
  <c r="F130" i="11" s="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L129" i="1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C129" i="11"/>
  <c r="D129" i="11" s="1"/>
  <c r="E129" i="11" s="1"/>
  <c r="F129" i="11" s="1"/>
  <c r="G129" i="11" s="1"/>
  <c r="H129" i="11" s="1"/>
  <c r="I129" i="11" s="1"/>
  <c r="J129" i="11" s="1"/>
  <c r="K129" i="11" s="1"/>
  <c r="C128" i="11"/>
  <c r="D128" i="11" s="1"/>
  <c r="E128" i="11" s="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D126" i="1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C126" i="11"/>
  <c r="S125" i="1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J125" i="11"/>
  <c r="K125" i="11" s="1"/>
  <c r="L125" i="11" s="1"/>
  <c r="M125" i="11" s="1"/>
  <c r="N125" i="11" s="1"/>
  <c r="O125" i="11" s="1"/>
  <c r="P125" i="11" s="1"/>
  <c r="Q125" i="11" s="1"/>
  <c r="R125" i="11" s="1"/>
  <c r="F125" i="11"/>
  <c r="G125" i="11" s="1"/>
  <c r="H125" i="11" s="1"/>
  <c r="I125" i="11" s="1"/>
  <c r="C125" i="11"/>
  <c r="D125" i="11" s="1"/>
  <c r="E125" i="11" s="1"/>
  <c r="H124" i="1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D124" i="11"/>
  <c r="E124" i="11" s="1"/>
  <c r="F124" i="11" s="1"/>
  <c r="G124" i="11" s="1"/>
  <c r="C124" i="11"/>
  <c r="R123" i="1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G123" i="1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F123" i="11"/>
  <c r="C123" i="11"/>
  <c r="D123" i="11" s="1"/>
  <c r="E123" i="11" s="1"/>
  <c r="D122" i="1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C122" i="11"/>
  <c r="S121" i="1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J121" i="11"/>
  <c r="K121" i="11" s="1"/>
  <c r="L121" i="11" s="1"/>
  <c r="M121" i="11" s="1"/>
  <c r="N121" i="11" s="1"/>
  <c r="O121" i="11" s="1"/>
  <c r="P121" i="11" s="1"/>
  <c r="Q121" i="11" s="1"/>
  <c r="R121" i="11" s="1"/>
  <c r="F121" i="11"/>
  <c r="G121" i="11" s="1"/>
  <c r="H121" i="11" s="1"/>
  <c r="I121" i="11" s="1"/>
  <c r="C121" i="11"/>
  <c r="D121" i="11" s="1"/>
  <c r="E121" i="11" s="1"/>
  <c r="H120" i="1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D120" i="11"/>
  <c r="E120" i="11" s="1"/>
  <c r="F120" i="11" s="1"/>
  <c r="G120" i="11" s="1"/>
  <c r="C120" i="11"/>
  <c r="R119" i="1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G119" i="1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F119" i="11"/>
  <c r="C119" i="11"/>
  <c r="D119" i="11" s="1"/>
  <c r="E119" i="11" s="1"/>
  <c r="D118" i="1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C118" i="11"/>
  <c r="S117" i="1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C117" i="11"/>
  <c r="D117" i="11" s="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D116" i="11"/>
  <c r="E116" i="11" s="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C116" i="11"/>
  <c r="G115" i="1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C115" i="11"/>
  <c r="D115" i="11" s="1"/>
  <c r="E115" i="11" s="1"/>
  <c r="F115" i="11" s="1"/>
  <c r="C114" i="11"/>
  <c r="D114" i="11" s="1"/>
  <c r="E114" i="11" s="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C113" i="11"/>
  <c r="D113" i="11" s="1"/>
  <c r="E113" i="11" s="1"/>
  <c r="F113" i="11" s="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C112" i="11"/>
  <c r="D112" i="11" s="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J111" i="1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D111" i="11"/>
  <c r="E111" i="11" s="1"/>
  <c r="F111" i="11" s="1"/>
  <c r="G111" i="11" s="1"/>
  <c r="H111" i="11" s="1"/>
  <c r="C111" i="11"/>
  <c r="C110" i="11"/>
  <c r="D110" i="11" s="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D109" i="11"/>
  <c r="E109" i="11" s="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C109" i="11"/>
  <c r="F107" i="1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D107" i="11"/>
  <c r="E107" i="11" s="1"/>
  <c r="C107" i="11"/>
  <c r="N106" i="1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D106" i="11"/>
  <c r="E106" i="11" s="1"/>
  <c r="F106" i="11" s="1"/>
  <c r="G106" i="11" s="1"/>
  <c r="H106" i="11" s="1"/>
  <c r="I106" i="11" s="1"/>
  <c r="J106" i="11" s="1"/>
  <c r="K106" i="11" s="1"/>
  <c r="L106" i="11" s="1"/>
  <c r="M106" i="11" s="1"/>
  <c r="C106" i="11"/>
  <c r="C104" i="11"/>
  <c r="D104" i="11" s="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H103" i="1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F103" i="11"/>
  <c r="G103" i="11" s="1"/>
  <c r="E103" i="11"/>
  <c r="D103" i="11"/>
  <c r="C103" i="11"/>
  <c r="C102" i="11"/>
  <c r="D102" i="11" s="1"/>
  <c r="E102" i="11" s="1"/>
  <c r="F102" i="11" s="1"/>
  <c r="G102" i="11" s="1"/>
  <c r="H102" i="11" s="1"/>
  <c r="I102" i="11" s="1"/>
  <c r="J102" i="11" s="1"/>
  <c r="K102" i="11" s="1"/>
  <c r="L102" i="11" s="1"/>
  <c r="M102" i="11" s="1"/>
  <c r="N102" i="11" s="1"/>
  <c r="O102" i="11" s="1"/>
  <c r="P102" i="11" s="1"/>
  <c r="Q102" i="11" s="1"/>
  <c r="R102" i="11" s="1"/>
  <c r="S102" i="11" s="1"/>
  <c r="T102" i="11" s="1"/>
  <c r="U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AE102" i="11" s="1"/>
  <c r="AF102" i="11" s="1"/>
  <c r="D101" i="11"/>
  <c r="E101" i="11" s="1"/>
  <c r="F101" i="11" s="1"/>
  <c r="G101" i="11" s="1"/>
  <c r="H101" i="11" s="1"/>
  <c r="I101" i="11" s="1"/>
  <c r="J101" i="11" s="1"/>
  <c r="K101" i="11" s="1"/>
  <c r="L101" i="11" s="1"/>
  <c r="M101" i="11" s="1"/>
  <c r="N101" i="11" s="1"/>
  <c r="O101" i="11" s="1"/>
  <c r="P101" i="11" s="1"/>
  <c r="Q101" i="11" s="1"/>
  <c r="R101" i="11" s="1"/>
  <c r="S101" i="11" s="1"/>
  <c r="T101" i="11" s="1"/>
  <c r="U101" i="11" s="1"/>
  <c r="V101" i="11" s="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C101" i="11"/>
  <c r="C100" i="11"/>
  <c r="D100" i="11" s="1"/>
  <c r="E100" i="11" s="1"/>
  <c r="F99" i="11"/>
  <c r="E99" i="11"/>
  <c r="D99" i="11"/>
  <c r="C99" i="11"/>
  <c r="AH96" i="11"/>
  <c r="AI96" i="11" s="1"/>
  <c r="AH95" i="11"/>
  <c r="AI95" i="11" s="1"/>
  <c r="AH94" i="11"/>
  <c r="AI94" i="11" s="1"/>
  <c r="AH93" i="11"/>
  <c r="AI93" i="11" s="1"/>
  <c r="AH92" i="11"/>
  <c r="AI92" i="11" s="1"/>
  <c r="C91" i="11"/>
  <c r="B91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G80" i="11"/>
  <c r="AI79" i="11"/>
  <c r="AH79" i="11"/>
  <c r="AF78" i="11"/>
  <c r="AF80" i="11" s="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B76" i="11"/>
  <c r="AA76" i="11"/>
  <c r="Z76" i="11"/>
  <c r="Y76" i="11"/>
  <c r="X76" i="11"/>
  <c r="X80" i="11" s="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F74" i="11"/>
  <c r="AE74" i="11"/>
  <c r="AD74" i="11"/>
  <c r="AC74" i="11"/>
  <c r="AC80" i="11" s="1"/>
  <c r="AB74" i="11"/>
  <c r="AA74" i="11"/>
  <c r="Z74" i="11"/>
  <c r="Y74" i="11"/>
  <c r="X74" i="11"/>
  <c r="W74" i="11"/>
  <c r="V74" i="11"/>
  <c r="V80" i="11" s="1"/>
  <c r="U74" i="11"/>
  <c r="T74" i="11"/>
  <c r="S74" i="11"/>
  <c r="R74" i="11"/>
  <c r="Q74" i="11"/>
  <c r="P74" i="11"/>
  <c r="O74" i="11"/>
  <c r="N74" i="11"/>
  <c r="N80" i="11" s="1"/>
  <c r="M74" i="11"/>
  <c r="L74" i="11"/>
  <c r="K74" i="11"/>
  <c r="J74" i="11"/>
  <c r="I74" i="11"/>
  <c r="H74" i="11"/>
  <c r="G74" i="11"/>
  <c r="F74" i="11"/>
  <c r="F80" i="11" s="1"/>
  <c r="E74" i="11"/>
  <c r="D74" i="11"/>
  <c r="C74" i="11"/>
  <c r="B74" i="11"/>
  <c r="AI72" i="11"/>
  <c r="AH72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N73" i="11" s="1"/>
  <c r="AF211" i="11" s="1"/>
  <c r="M70" i="11"/>
  <c r="L70" i="11"/>
  <c r="K70" i="11"/>
  <c r="J70" i="11"/>
  <c r="I70" i="11"/>
  <c r="H70" i="11"/>
  <c r="G70" i="11"/>
  <c r="F70" i="11"/>
  <c r="E70" i="11"/>
  <c r="D70" i="11"/>
  <c r="C70" i="11"/>
  <c r="B70" i="11"/>
  <c r="AI69" i="11"/>
  <c r="AH69" i="11"/>
  <c r="AI68" i="11"/>
  <c r="AH68" i="11"/>
  <c r="AI67" i="11"/>
  <c r="AH67" i="11"/>
  <c r="AG66" i="11"/>
  <c r="AF66" i="11"/>
  <c r="AF5" i="11" s="1"/>
  <c r="AE66" i="11"/>
  <c r="AD66" i="11"/>
  <c r="AC66" i="11"/>
  <c r="AC5" i="11" s="1"/>
  <c r="AB66" i="11"/>
  <c r="AA66" i="11"/>
  <c r="Z66" i="11"/>
  <c r="Y66" i="11"/>
  <c r="X66" i="11"/>
  <c r="X5" i="11" s="1"/>
  <c r="W66" i="11"/>
  <c r="V66" i="11"/>
  <c r="U66" i="11"/>
  <c r="T66" i="11"/>
  <c r="S66" i="11"/>
  <c r="R66" i="11"/>
  <c r="Q66" i="11"/>
  <c r="Q5" i="11" s="1"/>
  <c r="P66" i="11"/>
  <c r="P5" i="11" s="1"/>
  <c r="O66" i="11"/>
  <c r="N66" i="11"/>
  <c r="M5" i="11"/>
  <c r="L66" i="11"/>
  <c r="K66" i="11"/>
  <c r="J66" i="11"/>
  <c r="I66" i="11"/>
  <c r="I5" i="11" s="1"/>
  <c r="H66" i="11"/>
  <c r="H5" i="11" s="1"/>
  <c r="G66" i="11"/>
  <c r="F66" i="11"/>
  <c r="E66" i="11"/>
  <c r="E5" i="11" s="1"/>
  <c r="D66" i="11"/>
  <c r="C66" i="11"/>
  <c r="B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I53" i="11"/>
  <c r="AH53" i="11"/>
  <c r="AI52" i="11"/>
  <c r="AH52" i="11"/>
  <c r="AI51" i="11"/>
  <c r="AH51" i="11"/>
  <c r="Y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G49" i="11"/>
  <c r="AG50" i="11" s="1"/>
  <c r="AG71" i="11" s="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I73" i="11" s="1"/>
  <c r="H36" i="11"/>
  <c r="G36" i="11"/>
  <c r="F36" i="11"/>
  <c r="E36" i="11"/>
  <c r="D36" i="11"/>
  <c r="C36" i="11"/>
  <c r="B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B5" i="11"/>
  <c r="Y5" i="11"/>
  <c r="U5" i="11"/>
  <c r="T5" i="11"/>
  <c r="L5" i="11"/>
  <c r="D5" i="11"/>
  <c r="AG4" i="11"/>
  <c r="K4" i="11"/>
  <c r="B4" i="11"/>
  <c r="AG3" i="11"/>
  <c r="AG2" i="11"/>
  <c r="AF35" i="10"/>
  <c r="AE35" i="10"/>
  <c r="AD35" i="10"/>
  <c r="AC35" i="10"/>
  <c r="AB35" i="10"/>
  <c r="AA35" i="10"/>
  <c r="E4" i="11"/>
  <c r="AE80" i="11" l="1"/>
  <c r="AD80" i="11"/>
  <c r="AA80" i="11"/>
  <c r="Y80" i="11"/>
  <c r="Y73" i="11"/>
  <c r="Y71" i="11"/>
  <c r="W80" i="11"/>
  <c r="U80" i="11"/>
  <c r="S80" i="11"/>
  <c r="Q80" i="11"/>
  <c r="Q71" i="11"/>
  <c r="Q73" i="11"/>
  <c r="P80" i="11"/>
  <c r="P73" i="11"/>
  <c r="P7" i="11" s="1"/>
  <c r="O80" i="11"/>
  <c r="N7" i="11"/>
  <c r="M73" i="11"/>
  <c r="AE211" i="11" s="1"/>
  <c r="M80" i="11"/>
  <c r="M71" i="11"/>
  <c r="M81" i="11"/>
  <c r="L73" i="11"/>
  <c r="L71" i="11"/>
  <c r="K80" i="11"/>
  <c r="AH78" i="11"/>
  <c r="I80" i="11"/>
  <c r="I71" i="11"/>
  <c r="H80" i="11"/>
  <c r="H73" i="11"/>
  <c r="H7" i="11" s="1"/>
  <c r="G80" i="11"/>
  <c r="AI74" i="11"/>
  <c r="F73" i="11"/>
  <c r="X211" i="11" s="1"/>
  <c r="E80" i="11"/>
  <c r="E73" i="11"/>
  <c r="W211" i="11" s="1"/>
  <c r="E71" i="11"/>
  <c r="E81" i="11" s="1"/>
  <c r="D73" i="11"/>
  <c r="D71" i="11"/>
  <c r="D81" i="11" s="1"/>
  <c r="AH75" i="11"/>
  <c r="C80" i="11"/>
  <c r="AI78" i="11"/>
  <c r="H4" i="11"/>
  <c r="Z211" i="11"/>
  <c r="B71" i="11"/>
  <c r="AI66" i="11"/>
  <c r="B5" i="11"/>
  <c r="J71" i="11"/>
  <c r="J5" i="11"/>
  <c r="R71" i="11"/>
  <c r="R5" i="11"/>
  <c r="Z5" i="11"/>
  <c r="AH66" i="11"/>
  <c r="S208" i="11"/>
  <c r="D208" i="11"/>
  <c r="AI54" i="11"/>
  <c r="AH54" i="11"/>
  <c r="C71" i="11"/>
  <c r="K71" i="11"/>
  <c r="S71" i="11"/>
  <c r="L81" i="11"/>
  <c r="V211" i="11"/>
  <c r="D7" i="11"/>
  <c r="AH76" i="11"/>
  <c r="D80" i="11"/>
  <c r="L80" i="11"/>
  <c r="T80" i="11"/>
  <c r="AB80" i="11"/>
  <c r="AH36" i="11"/>
  <c r="V5" i="11"/>
  <c r="AD5" i="11"/>
  <c r="O73" i="11"/>
  <c r="AA211" i="11"/>
  <c r="I7" i="11"/>
  <c r="AE5" i="11"/>
  <c r="AD211" i="11"/>
  <c r="L7" i="11"/>
  <c r="AQ211" i="11"/>
  <c r="Y7" i="11"/>
  <c r="AI36" i="11"/>
  <c r="N5" i="11"/>
  <c r="N71" i="11"/>
  <c r="N81" i="11" s="1"/>
  <c r="G73" i="11"/>
  <c r="O5" i="11"/>
  <c r="O71" i="11"/>
  <c r="P71" i="11"/>
  <c r="P81" i="11" s="1"/>
  <c r="AG73" i="11"/>
  <c r="AG81" i="11" s="1"/>
  <c r="AI77" i="11"/>
  <c r="F100" i="11"/>
  <c r="H71" i="11"/>
  <c r="F5" i="11"/>
  <c r="F71" i="11"/>
  <c r="F81" i="11" s="1"/>
  <c r="G5" i="11"/>
  <c r="G71" i="11"/>
  <c r="W5" i="11"/>
  <c r="AG6" i="11"/>
  <c r="AI70" i="11"/>
  <c r="J73" i="11"/>
  <c r="R73" i="11"/>
  <c r="AH70" i="11"/>
  <c r="B80" i="11"/>
  <c r="AH74" i="11"/>
  <c r="J80" i="11"/>
  <c r="R80" i="11"/>
  <c r="Z80" i="11"/>
  <c r="AI75" i="11"/>
  <c r="AI76" i="11"/>
  <c r="I81" i="11"/>
  <c r="C5" i="11"/>
  <c r="K5" i="11"/>
  <c r="S5" i="11"/>
  <c r="AA5" i="11"/>
  <c r="C73" i="11"/>
  <c r="K73" i="11"/>
  <c r="S73" i="11"/>
  <c r="D189" i="11"/>
  <c r="E189" i="11"/>
  <c r="F189" i="11"/>
  <c r="AH77" i="11"/>
  <c r="G99" i="11"/>
  <c r="M7" i="11"/>
  <c r="C189" i="11"/>
  <c r="D232" i="11"/>
  <c r="E196" i="11"/>
  <c r="D191" i="11"/>
  <c r="Y81" i="11" l="1"/>
  <c r="S81" i="11"/>
  <c r="R81" i="11"/>
  <c r="Q81" i="11"/>
  <c r="Q7" i="11"/>
  <c r="AI211" i="11"/>
  <c r="AH211" i="11"/>
  <c r="O81" i="11"/>
  <c r="J81" i="11"/>
  <c r="H81" i="11"/>
  <c r="F7" i="11"/>
  <c r="E7" i="11"/>
  <c r="G81" i="11"/>
  <c r="K81" i="11"/>
  <c r="B206" i="11"/>
  <c r="C206" i="11"/>
  <c r="C81" i="11"/>
  <c r="AK211" i="11"/>
  <c r="S7" i="11"/>
  <c r="B73" i="11"/>
  <c r="AH80" i="11"/>
  <c r="AI80" i="11"/>
  <c r="AC211" i="11"/>
  <c r="K7" i="11"/>
  <c r="G100" i="11"/>
  <c r="U211" i="11"/>
  <c r="C7" i="11"/>
  <c r="B81" i="11"/>
  <c r="G189" i="11"/>
  <c r="H99" i="11"/>
  <c r="D197" i="11"/>
  <c r="E191" i="11"/>
  <c r="D91" i="11"/>
  <c r="AJ211" i="11"/>
  <c r="R7" i="11"/>
  <c r="Y211" i="11"/>
  <c r="G7" i="11"/>
  <c r="E232" i="11"/>
  <c r="F196" i="11"/>
  <c r="AG211" i="11"/>
  <c r="O7" i="11"/>
  <c r="AB211" i="11"/>
  <c r="J7" i="11"/>
  <c r="K6" i="11" l="1"/>
  <c r="I99" i="11"/>
  <c r="T211" i="11"/>
  <c r="B7" i="11"/>
  <c r="H100" i="11"/>
  <c r="F191" i="11"/>
  <c r="E197" i="11"/>
  <c r="E91" i="11"/>
  <c r="F232" i="11"/>
  <c r="G196" i="11"/>
  <c r="G191" i="11" l="1"/>
  <c r="F197" i="11"/>
  <c r="F91" i="11"/>
  <c r="I100" i="11"/>
  <c r="J99" i="11"/>
  <c r="G232" i="11"/>
  <c r="H196" i="11"/>
  <c r="H189" i="11"/>
  <c r="J100" i="11" l="1"/>
  <c r="H232" i="11"/>
  <c r="I196" i="11"/>
  <c r="H191" i="11"/>
  <c r="G197" i="11"/>
  <c r="G91" i="11"/>
  <c r="J189" i="11"/>
  <c r="K99" i="11"/>
  <c r="I189" i="11"/>
  <c r="I191" i="11" l="1"/>
  <c r="H197" i="11"/>
  <c r="H91" i="11"/>
  <c r="J196" i="11"/>
  <c r="I232" i="11"/>
  <c r="K100" i="11"/>
  <c r="L99" i="11"/>
  <c r="L100" i="11" l="1"/>
  <c r="K196" i="11"/>
  <c r="J232" i="11"/>
  <c r="L189" i="11"/>
  <c r="M99" i="11"/>
  <c r="K189" i="11"/>
  <c r="I197" i="11"/>
  <c r="J191" i="11"/>
  <c r="I91" i="11"/>
  <c r="N99" i="11" l="1"/>
  <c r="K232" i="11"/>
  <c r="L196" i="11"/>
  <c r="J197" i="11"/>
  <c r="K191" i="11"/>
  <c r="J91" i="11"/>
  <c r="M100" i="11"/>
  <c r="N100" i="11" l="1"/>
  <c r="K197" i="11"/>
  <c r="L191" i="11"/>
  <c r="K91" i="11"/>
  <c r="L232" i="11"/>
  <c r="M196" i="11"/>
  <c r="N189" i="11"/>
  <c r="O99" i="11"/>
  <c r="M189" i="11"/>
  <c r="L197" i="11" l="1"/>
  <c r="M191" i="11"/>
  <c r="L91" i="11"/>
  <c r="M232" i="11"/>
  <c r="N196" i="11"/>
  <c r="P99" i="11"/>
  <c r="O100" i="11"/>
  <c r="P100" i="11" l="1"/>
  <c r="P189" i="11"/>
  <c r="Q99" i="11"/>
  <c r="O189" i="11"/>
  <c r="N232" i="11"/>
  <c r="O196" i="11"/>
  <c r="N191" i="11"/>
  <c r="M197" i="11"/>
  <c r="M91" i="11"/>
  <c r="O232" i="11" l="1"/>
  <c r="P196" i="11"/>
  <c r="R99" i="11"/>
  <c r="Q100" i="11"/>
  <c r="O191" i="11"/>
  <c r="N197" i="11"/>
  <c r="N91" i="11"/>
  <c r="P191" i="11" l="1"/>
  <c r="O197" i="11"/>
  <c r="O91" i="11"/>
  <c r="R100" i="11"/>
  <c r="R189" i="11"/>
  <c r="S99" i="11"/>
  <c r="Q189" i="11"/>
  <c r="P232" i="11"/>
  <c r="Q196" i="11"/>
  <c r="T99" i="11" l="1"/>
  <c r="R196" i="11"/>
  <c r="Q232" i="11"/>
  <c r="S100" i="11"/>
  <c r="Q191" i="11"/>
  <c r="P197" i="11"/>
  <c r="P91" i="11"/>
  <c r="T100" i="11" l="1"/>
  <c r="Q197" i="11"/>
  <c r="R191" i="11"/>
  <c r="Q91" i="11"/>
  <c r="S196" i="11"/>
  <c r="R232" i="11"/>
  <c r="T189" i="11"/>
  <c r="U99" i="11"/>
  <c r="S189" i="11"/>
  <c r="R197" i="11" l="1"/>
  <c r="S191" i="11"/>
  <c r="R91" i="11"/>
  <c r="S232" i="11"/>
  <c r="T196" i="11"/>
  <c r="V99" i="11"/>
  <c r="U100" i="11"/>
  <c r="V100" i="11" l="1"/>
  <c r="V189" i="11"/>
  <c r="W99" i="11"/>
  <c r="U189" i="11"/>
  <c r="T232" i="11"/>
  <c r="U196" i="11"/>
  <c r="S197" i="11"/>
  <c r="T191" i="11"/>
  <c r="S91" i="11"/>
  <c r="X99" i="11" l="1"/>
  <c r="U232" i="11"/>
  <c r="V196" i="11"/>
  <c r="T197" i="11"/>
  <c r="T49" i="11" s="1"/>
  <c r="U191" i="11"/>
  <c r="T91" i="11"/>
  <c r="W100" i="11"/>
  <c r="X100" i="11" l="1"/>
  <c r="V191" i="11"/>
  <c r="U197" i="11"/>
  <c r="U49" i="11" s="1"/>
  <c r="U50" i="11" s="1"/>
  <c r="U91" i="11"/>
  <c r="T50" i="11"/>
  <c r="V232" i="11"/>
  <c r="W196" i="11"/>
  <c r="X189" i="11"/>
  <c r="Y99" i="11"/>
  <c r="W189" i="11"/>
  <c r="T73" i="11" l="1"/>
  <c r="T71" i="11"/>
  <c r="U73" i="11"/>
  <c r="U71" i="11"/>
  <c r="U81" i="11" s="1"/>
  <c r="Z99" i="11"/>
  <c r="Y189" i="11"/>
  <c r="W191" i="11"/>
  <c r="V197" i="11"/>
  <c r="V49" i="11" s="1"/>
  <c r="V91" i="11"/>
  <c r="W232" i="11"/>
  <c r="X196" i="11"/>
  <c r="Y100" i="11"/>
  <c r="AM211" i="11" l="1"/>
  <c r="U7" i="11"/>
  <c r="Z100" i="11"/>
  <c r="Z189" i="11" s="1"/>
  <c r="AA99" i="11"/>
  <c r="X232" i="11"/>
  <c r="Y196" i="11"/>
  <c r="T81" i="11"/>
  <c r="V50" i="11"/>
  <c r="X191" i="11"/>
  <c r="W197" i="11"/>
  <c r="W49" i="11" s="1"/>
  <c r="W50" i="11" s="1"/>
  <c r="W91" i="11"/>
  <c r="AL211" i="11"/>
  <c r="T7" i="11"/>
  <c r="AB99" i="11" l="1"/>
  <c r="Z196" i="11"/>
  <c r="Y232" i="11"/>
  <c r="Y191" i="11"/>
  <c r="X197" i="11"/>
  <c r="X49" i="11" s="1"/>
  <c r="X50" i="11" s="1"/>
  <c r="X91" i="11"/>
  <c r="V73" i="11"/>
  <c r="V71" i="11"/>
  <c r="AA100" i="11"/>
  <c r="W71" i="11"/>
  <c r="W73" i="11"/>
  <c r="W81" i="11" l="1"/>
  <c r="X73" i="11"/>
  <c r="X71" i="11"/>
  <c r="Y197" i="11"/>
  <c r="Z191" i="11"/>
  <c r="Y91" i="11"/>
  <c r="AA196" i="11"/>
  <c r="Z232" i="11"/>
  <c r="AB100" i="11"/>
  <c r="V81" i="11"/>
  <c r="AB189" i="11"/>
  <c r="AC99" i="11"/>
  <c r="AO211" i="11"/>
  <c r="W7" i="11"/>
  <c r="AN211" i="11"/>
  <c r="V7" i="11"/>
  <c r="AA189" i="11"/>
  <c r="X81" i="11" l="1"/>
  <c r="AA232" i="11"/>
  <c r="AB196" i="11"/>
  <c r="Z197" i="11"/>
  <c r="Z49" i="11" s="1"/>
  <c r="AA191" i="11"/>
  <c r="Z91" i="11"/>
  <c r="AD99" i="11"/>
  <c r="AC100" i="11"/>
  <c r="AP211" i="11"/>
  <c r="X7" i="11"/>
  <c r="AA197" i="11" l="1"/>
  <c r="AA49" i="11" s="1"/>
  <c r="AA50" i="11" s="1"/>
  <c r="AB191" i="11"/>
  <c r="AA91" i="11"/>
  <c r="Z50" i="11"/>
  <c r="AD100" i="11"/>
  <c r="AE99" i="11"/>
  <c r="AB232" i="11"/>
  <c r="AC196" i="11"/>
  <c r="AC189" i="11"/>
  <c r="AE100" i="11" l="1"/>
  <c r="AC232" i="11"/>
  <c r="AD196" i="11"/>
  <c r="Z73" i="11"/>
  <c r="Z71" i="11"/>
  <c r="AE189" i="11"/>
  <c r="AF99" i="11"/>
  <c r="AB197" i="11"/>
  <c r="AB49" i="11" s="1"/>
  <c r="AB50" i="11" s="1"/>
  <c r="AC191" i="11"/>
  <c r="AB91" i="11"/>
  <c r="AD189" i="11"/>
  <c r="AA73" i="11"/>
  <c r="AA71" i="11"/>
  <c r="AA81" i="11" l="1"/>
  <c r="AS211" i="11"/>
  <c r="AA7" i="11"/>
  <c r="AR211" i="11"/>
  <c r="Z7" i="11"/>
  <c r="AD232" i="11"/>
  <c r="AE196" i="11"/>
  <c r="Z81" i="11"/>
  <c r="AD191" i="11"/>
  <c r="AC197" i="11"/>
  <c r="AC49" i="11" s="1"/>
  <c r="AC50" i="11" s="1"/>
  <c r="AC91" i="11"/>
  <c r="AB71" i="11"/>
  <c r="AB73" i="11"/>
  <c r="AF100" i="11"/>
  <c r="AB81" i="11" l="1"/>
  <c r="AE232" i="11"/>
  <c r="AF196" i="11"/>
  <c r="AF232" i="11" s="1"/>
  <c r="AC73" i="11"/>
  <c r="AC71" i="11"/>
  <c r="AC81" i="11" s="1"/>
  <c r="AE191" i="11"/>
  <c r="AD197" i="11"/>
  <c r="AD49" i="11" s="1"/>
  <c r="AD50" i="11" s="1"/>
  <c r="AD91" i="11"/>
  <c r="AT211" i="11"/>
  <c r="AB7" i="11"/>
  <c r="AF189" i="11"/>
  <c r="AF191" i="11" l="1"/>
  <c r="AE197" i="11"/>
  <c r="AE49" i="11" s="1"/>
  <c r="AE50" i="11" s="1"/>
  <c r="AE91" i="11"/>
  <c r="AU211" i="11"/>
  <c r="AC7" i="11"/>
  <c r="AD71" i="11"/>
  <c r="AD73" i="11"/>
  <c r="AE71" i="11" l="1"/>
  <c r="AE73" i="11"/>
  <c r="AV211" i="11"/>
  <c r="AD7" i="11"/>
  <c r="AF197" i="11"/>
  <c r="AF49" i="11" s="1"/>
  <c r="AF91" i="11"/>
  <c r="AD81" i="11"/>
  <c r="AI91" i="11" l="1"/>
  <c r="AH91" i="11"/>
  <c r="AF50" i="11"/>
  <c r="AH49" i="11"/>
  <c r="AI49" i="11"/>
  <c r="AW211" i="11"/>
  <c r="AE7" i="11"/>
  <c r="AE81" i="11"/>
  <c r="AF71" i="11" l="1"/>
  <c r="AF73" i="11"/>
  <c r="AI50" i="11"/>
  <c r="AH50" i="11"/>
  <c r="AX211" i="11" l="1"/>
  <c r="AF7" i="11"/>
  <c r="A7" i="11" s="1"/>
  <c r="AH73" i="11"/>
  <c r="AI73" i="11"/>
  <c r="AF81" i="11"/>
  <c r="AI71" i="11"/>
  <c r="AH71" i="11"/>
  <c r="AI81" i="11" l="1"/>
  <c r="AH81" i="11"/>
  <c r="R35" i="10" l="1"/>
  <c r="Q35" i="10" l="1"/>
  <c r="P35" i="10"/>
  <c r="O35" i="10"/>
  <c r="N35" i="10"/>
  <c r="AH11" i="9"/>
  <c r="AI11" i="9"/>
  <c r="AH12" i="9"/>
  <c r="AI12" i="9"/>
  <c r="AH13" i="9"/>
  <c r="AI13" i="9"/>
  <c r="AH14" i="9"/>
  <c r="AI14" i="9"/>
  <c r="AH15" i="9"/>
  <c r="AI15" i="9"/>
  <c r="AH16" i="9"/>
  <c r="AI16" i="9"/>
  <c r="AH17" i="9"/>
  <c r="AI17" i="9"/>
  <c r="AH18" i="9"/>
  <c r="AI18" i="9"/>
  <c r="AH19" i="9"/>
  <c r="AI19" i="9"/>
  <c r="AH20" i="9"/>
  <c r="AI20" i="9"/>
  <c r="AH21" i="9"/>
  <c r="AI21" i="9"/>
  <c r="AH22" i="9"/>
  <c r="AI22" i="9"/>
  <c r="AH23" i="9"/>
  <c r="AI23" i="9"/>
  <c r="AH24" i="9"/>
  <c r="AI24" i="9"/>
  <c r="AH25" i="9"/>
  <c r="AI25" i="9"/>
  <c r="AH26" i="9"/>
  <c r="AI26" i="9"/>
  <c r="AH27" i="9"/>
  <c r="AI27" i="9"/>
  <c r="AH28" i="9"/>
  <c r="AI28" i="9"/>
  <c r="AH29" i="9"/>
  <c r="AI29" i="9"/>
  <c r="AH30" i="9"/>
  <c r="AI30" i="9"/>
  <c r="AH31" i="9"/>
  <c r="AI31" i="9"/>
  <c r="AH32" i="9"/>
  <c r="AI32" i="9"/>
  <c r="AH33" i="9"/>
  <c r="AI33" i="9"/>
  <c r="AH34" i="9"/>
  <c r="AI34" i="9"/>
  <c r="AH35" i="9"/>
  <c r="AI35" i="9"/>
  <c r="AH36" i="9"/>
  <c r="AI36" i="9"/>
  <c r="AH37" i="9"/>
  <c r="AI37" i="9"/>
  <c r="AH38" i="9"/>
  <c r="AI38" i="9"/>
  <c r="AH39" i="9"/>
  <c r="AI39" i="9"/>
  <c r="AH40" i="9"/>
  <c r="AI40" i="9"/>
  <c r="AH41" i="9"/>
  <c r="AI41" i="9"/>
  <c r="AH42" i="9"/>
  <c r="AI42" i="9"/>
  <c r="AH43" i="9"/>
  <c r="AI43" i="9"/>
  <c r="AH44" i="9"/>
  <c r="AI44" i="9"/>
  <c r="AH45" i="9"/>
  <c r="AI45" i="9"/>
  <c r="AH46" i="9"/>
  <c r="AI46" i="9"/>
  <c r="AH47" i="9"/>
  <c r="AI47" i="9"/>
  <c r="AH48" i="9"/>
  <c r="AI48" i="9"/>
  <c r="AH49" i="9"/>
  <c r="AI49" i="9"/>
  <c r="AH50" i="9"/>
  <c r="AI50" i="9"/>
  <c r="AH51" i="9"/>
  <c r="AI51" i="9"/>
  <c r="AH52" i="9"/>
  <c r="AI52" i="9"/>
  <c r="AH53" i="9"/>
  <c r="AI53" i="9"/>
  <c r="AH54" i="9"/>
  <c r="AI54" i="9"/>
  <c r="AH55" i="9"/>
  <c r="AI55" i="9"/>
  <c r="AH56" i="9"/>
  <c r="AI56" i="9"/>
  <c r="AH57" i="9"/>
  <c r="AI57" i="9"/>
  <c r="AH58" i="9"/>
  <c r="AI58" i="9"/>
  <c r="AH59" i="9"/>
  <c r="AI59" i="9"/>
  <c r="AH60" i="9"/>
  <c r="AI60" i="9"/>
  <c r="AH61" i="9"/>
  <c r="AI61" i="9"/>
  <c r="AH62" i="9"/>
  <c r="AI62" i="9"/>
  <c r="AH63" i="9"/>
  <c r="AI63" i="9"/>
  <c r="AH64" i="9"/>
  <c r="AI64" i="9"/>
  <c r="AH65" i="9"/>
  <c r="AI65" i="9"/>
  <c r="AH66" i="9"/>
  <c r="AI66" i="9"/>
  <c r="AH67" i="9"/>
  <c r="AI67" i="9"/>
  <c r="AH68" i="9"/>
  <c r="AI68" i="9"/>
  <c r="AH69" i="9"/>
  <c r="AI69" i="9"/>
  <c r="AH70" i="9"/>
  <c r="AI70" i="9"/>
  <c r="AH71" i="9"/>
  <c r="AI71" i="9"/>
  <c r="AH72" i="9"/>
  <c r="AI72" i="9"/>
  <c r="AH73" i="9"/>
  <c r="AI73" i="9"/>
  <c r="AH74" i="9"/>
  <c r="AI74" i="9"/>
  <c r="AH75" i="9"/>
  <c r="AI75" i="9"/>
  <c r="AH76" i="9"/>
  <c r="AI76" i="9"/>
  <c r="AH77" i="9"/>
  <c r="AI77" i="9"/>
  <c r="AH78" i="9"/>
  <c r="AI78" i="9"/>
  <c r="AH79" i="9"/>
  <c r="AI79" i="9"/>
  <c r="AH80" i="9"/>
  <c r="AI80" i="9"/>
  <c r="AH81" i="9"/>
  <c r="AI81" i="9"/>
  <c r="AH82" i="9"/>
  <c r="AI82" i="9"/>
  <c r="AH83" i="9"/>
  <c r="AI83" i="9"/>
  <c r="AH84" i="9"/>
  <c r="AI84" i="9"/>
  <c r="AH85" i="9"/>
  <c r="AI85" i="9"/>
  <c r="AH86" i="9"/>
  <c r="AI86" i="9"/>
  <c r="AH87" i="9"/>
  <c r="AI87" i="9"/>
  <c r="AH88" i="9"/>
  <c r="AI88" i="9"/>
  <c r="AH89" i="9"/>
  <c r="AI89" i="9"/>
  <c r="AH91" i="9"/>
  <c r="AI91" i="9"/>
  <c r="AH92" i="9"/>
  <c r="AI92" i="9" s="1"/>
  <c r="AH93" i="9"/>
  <c r="AI93" i="9" s="1"/>
  <c r="AH94" i="9"/>
  <c r="AI94" i="9" s="1"/>
  <c r="AH95" i="9"/>
  <c r="AI95" i="9"/>
  <c r="AH96" i="9"/>
  <c r="AI96" i="9" s="1"/>
  <c r="AH97" i="9"/>
  <c r="AI97" i="9" s="1"/>
  <c r="M35" i="10"/>
  <c r="L35" i="10"/>
  <c r="K35" i="10"/>
  <c r="J35" i="10"/>
  <c r="I35" i="10"/>
  <c r="AK58" i="9"/>
  <c r="AK56" i="9"/>
  <c r="H35" i="10"/>
  <c r="G35" i="10"/>
  <c r="F35" i="10"/>
  <c r="E35" i="10"/>
  <c r="D35" i="10"/>
  <c r="AH25" i="10"/>
  <c r="AI25" i="10"/>
  <c r="AH9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B232" i="10"/>
  <c r="S207" i="10"/>
  <c r="AG197" i="10"/>
  <c r="B197" i="10"/>
  <c r="C196" i="10"/>
  <c r="N195" i="10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C195" i="10"/>
  <c r="D195" i="10" s="1"/>
  <c r="E195" i="10" s="1"/>
  <c r="F195" i="10" s="1"/>
  <c r="G195" i="10" s="1"/>
  <c r="H195" i="10" s="1"/>
  <c r="I195" i="10" s="1"/>
  <c r="J195" i="10" s="1"/>
  <c r="K195" i="10" s="1"/>
  <c r="L195" i="10" s="1"/>
  <c r="M195" i="10" s="1"/>
  <c r="C194" i="10"/>
  <c r="D194" i="10" s="1"/>
  <c r="E194" i="10" s="1"/>
  <c r="F194" i="10" s="1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E193" i="10"/>
  <c r="F193" i="10" s="1"/>
  <c r="G193" i="10" s="1"/>
  <c r="H193" i="10" s="1"/>
  <c r="I193" i="10" s="1"/>
  <c r="J193" i="10" s="1"/>
  <c r="K193" i="10" s="1"/>
  <c r="L193" i="10" s="1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X193" i="10" s="1"/>
  <c r="Y193" i="10" s="1"/>
  <c r="Z193" i="10" s="1"/>
  <c r="AA193" i="10" s="1"/>
  <c r="AB193" i="10" s="1"/>
  <c r="AC193" i="10" s="1"/>
  <c r="AD193" i="10" s="1"/>
  <c r="AE193" i="10" s="1"/>
  <c r="AF193" i="10" s="1"/>
  <c r="D193" i="10"/>
  <c r="C193" i="10"/>
  <c r="C192" i="10"/>
  <c r="D192" i="10" s="1"/>
  <c r="E192" i="10" s="1"/>
  <c r="F192" i="10" s="1"/>
  <c r="G192" i="10" s="1"/>
  <c r="H192" i="10" s="1"/>
  <c r="I192" i="10" s="1"/>
  <c r="J192" i="10" s="1"/>
  <c r="K192" i="10" s="1"/>
  <c r="L192" i="10" s="1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X192" i="10" s="1"/>
  <c r="Y192" i="10" s="1"/>
  <c r="Z192" i="10" s="1"/>
  <c r="AA192" i="10" s="1"/>
  <c r="AB192" i="10" s="1"/>
  <c r="AC192" i="10" s="1"/>
  <c r="AD192" i="10" s="1"/>
  <c r="AE192" i="10" s="1"/>
  <c r="AF192" i="10" s="1"/>
  <c r="D191" i="10"/>
  <c r="E191" i="10" s="1"/>
  <c r="C191" i="10"/>
  <c r="AG189" i="10"/>
  <c r="B189" i="10"/>
  <c r="J188" i="10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C188" i="10"/>
  <c r="D188" i="10" s="1"/>
  <c r="E188" i="10" s="1"/>
  <c r="F188" i="10" s="1"/>
  <c r="G188" i="10" s="1"/>
  <c r="H188" i="10" s="1"/>
  <c r="I188" i="10" s="1"/>
  <c r="G187" i="10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E187" i="10"/>
  <c r="F187" i="10" s="1"/>
  <c r="D187" i="10"/>
  <c r="C187" i="10"/>
  <c r="H186" i="10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C186" i="10"/>
  <c r="D186" i="10" s="1"/>
  <c r="E186" i="10" s="1"/>
  <c r="F186" i="10" s="1"/>
  <c r="G186" i="10" s="1"/>
  <c r="E185" i="10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C185" i="10"/>
  <c r="D185" i="10" s="1"/>
  <c r="AE184" i="10"/>
  <c r="AF184" i="10" s="1"/>
  <c r="D184" i="10"/>
  <c r="E184" i="10" s="1"/>
  <c r="F184" i="10" s="1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C184" i="10"/>
  <c r="G183" i="10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E183" i="10"/>
  <c r="F183" i="10" s="1"/>
  <c r="D183" i="10"/>
  <c r="C183" i="10"/>
  <c r="E182" i="10"/>
  <c r="F182" i="10" s="1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C182" i="10"/>
  <c r="D182" i="10" s="1"/>
  <c r="C181" i="10"/>
  <c r="D181" i="10" s="1"/>
  <c r="E181" i="10" s="1"/>
  <c r="F181" i="10" s="1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G180" i="10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D180" i="10"/>
  <c r="E180" i="10" s="1"/>
  <c r="F180" i="10" s="1"/>
  <c r="C180" i="10"/>
  <c r="E179" i="10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D179" i="10"/>
  <c r="C179" i="10"/>
  <c r="C178" i="10"/>
  <c r="D178" i="10" s="1"/>
  <c r="E178" i="10" s="1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E177" i="10"/>
  <c r="F177" i="10" s="1"/>
  <c r="G177" i="10" s="1"/>
  <c r="H177" i="10" s="1"/>
  <c r="I177" i="10" s="1"/>
  <c r="J177" i="10" s="1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C177" i="10"/>
  <c r="D177" i="10" s="1"/>
  <c r="P176" i="10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C176" i="10"/>
  <c r="D176" i="10" s="1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X174" i="10"/>
  <c r="Y174" i="10" s="1"/>
  <c r="Z174" i="10" s="1"/>
  <c r="AA174" i="10" s="1"/>
  <c r="AB174" i="10" s="1"/>
  <c r="AC174" i="10" s="1"/>
  <c r="AD174" i="10" s="1"/>
  <c r="AE174" i="10" s="1"/>
  <c r="AF174" i="10" s="1"/>
  <c r="C174" i="10"/>
  <c r="D174" i="10" s="1"/>
  <c r="E174" i="10" s="1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C173" i="10"/>
  <c r="D173" i="10" s="1"/>
  <c r="E173" i="10" s="1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C172" i="10"/>
  <c r="D172" i="10" s="1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Q171" i="10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E171" i="10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D171" i="10"/>
  <c r="C171" i="10"/>
  <c r="C170" i="10"/>
  <c r="D170" i="10" s="1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M169" i="10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E169" i="10"/>
  <c r="F169" i="10" s="1"/>
  <c r="G169" i="10" s="1"/>
  <c r="H169" i="10" s="1"/>
  <c r="I169" i="10" s="1"/>
  <c r="J169" i="10" s="1"/>
  <c r="K169" i="10" s="1"/>
  <c r="L169" i="10" s="1"/>
  <c r="C169" i="10"/>
  <c r="D169" i="10" s="1"/>
  <c r="U168" i="10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C168" i="10"/>
  <c r="D168" i="10" s="1"/>
  <c r="E168" i="10" s="1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C167" i="10"/>
  <c r="D167" i="10" s="1"/>
  <c r="E167" i="10" s="1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C165" i="10"/>
  <c r="D165" i="10" s="1"/>
  <c r="E165" i="10" s="1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G164" i="10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C164" i="10"/>
  <c r="D164" i="10" s="1"/>
  <c r="E164" i="10" s="1"/>
  <c r="F164" i="10" s="1"/>
  <c r="E163" i="10"/>
  <c r="F163" i="10" s="1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D163" i="10"/>
  <c r="C163" i="10"/>
  <c r="K162" i="10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C162" i="10"/>
  <c r="D162" i="10" s="1"/>
  <c r="E162" i="10" s="1"/>
  <c r="F162" i="10" s="1"/>
  <c r="G162" i="10" s="1"/>
  <c r="H162" i="10" s="1"/>
  <c r="I162" i="10" s="1"/>
  <c r="J162" i="10" s="1"/>
  <c r="I161" i="10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C161" i="10"/>
  <c r="D161" i="10" s="1"/>
  <c r="E161" i="10" s="1"/>
  <c r="F161" i="10" s="1"/>
  <c r="G161" i="10" s="1"/>
  <c r="H161" i="10" s="1"/>
  <c r="C160" i="10"/>
  <c r="D160" i="10" s="1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E159" i="10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D159" i="10"/>
  <c r="C159" i="10"/>
  <c r="E158" i="10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C158" i="10"/>
  <c r="D158" i="10" s="1"/>
  <c r="S157" i="10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C157" i="10"/>
  <c r="D157" i="10" s="1"/>
  <c r="E157" i="10" s="1"/>
  <c r="F157" i="10" s="1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Q156" i="10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D156" i="10"/>
  <c r="E156" i="10" s="1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C156" i="10"/>
  <c r="N155" i="10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F155" i="10"/>
  <c r="G155" i="10" s="1"/>
  <c r="H155" i="10" s="1"/>
  <c r="I155" i="10" s="1"/>
  <c r="J155" i="10" s="1"/>
  <c r="K155" i="10" s="1"/>
  <c r="L155" i="10" s="1"/>
  <c r="M155" i="10" s="1"/>
  <c r="E155" i="10"/>
  <c r="D155" i="10"/>
  <c r="C155" i="10"/>
  <c r="D154" i="10"/>
  <c r="E154" i="10" s="1"/>
  <c r="F154" i="10" s="1"/>
  <c r="G154" i="10" s="1"/>
  <c r="H154" i="10" s="1"/>
  <c r="I154" i="10" s="1"/>
  <c r="J154" i="10" s="1"/>
  <c r="K154" i="10" s="1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C154" i="10"/>
  <c r="L153" i="10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D153" i="10"/>
  <c r="E153" i="10" s="1"/>
  <c r="F153" i="10" s="1"/>
  <c r="G153" i="10" s="1"/>
  <c r="H153" i="10" s="1"/>
  <c r="I153" i="10" s="1"/>
  <c r="J153" i="10" s="1"/>
  <c r="K153" i="10" s="1"/>
  <c r="C153" i="10"/>
  <c r="D151" i="10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C151" i="10"/>
  <c r="J150" i="10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D150" i="10"/>
  <c r="E150" i="10" s="1"/>
  <c r="F150" i="10" s="1"/>
  <c r="G150" i="10" s="1"/>
  <c r="H150" i="10" s="1"/>
  <c r="I150" i="10" s="1"/>
  <c r="C150" i="10"/>
  <c r="F149" i="10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C149" i="10"/>
  <c r="D149" i="10" s="1"/>
  <c r="E149" i="10" s="1"/>
  <c r="D148" i="10"/>
  <c r="E148" i="10" s="1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C148" i="10"/>
  <c r="AD146" i="10"/>
  <c r="AE146" i="10" s="1"/>
  <c r="AF146" i="10" s="1"/>
  <c r="F146" i="10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C146" i="10"/>
  <c r="D146" i="10" s="1"/>
  <c r="E146" i="10" s="1"/>
  <c r="AF145" i="10"/>
  <c r="H145" i="10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D145" i="10"/>
  <c r="E145" i="10" s="1"/>
  <c r="F145" i="10" s="1"/>
  <c r="G145" i="10" s="1"/>
  <c r="C145" i="10"/>
  <c r="C143" i="10"/>
  <c r="D143" i="10" s="1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D142" i="10"/>
  <c r="E142" i="10" s="1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C142" i="10"/>
  <c r="D141" i="10"/>
  <c r="E141" i="10" s="1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C141" i="10"/>
  <c r="H140" i="10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E140" i="10"/>
  <c r="F140" i="10" s="1"/>
  <c r="G140" i="10" s="1"/>
  <c r="D140" i="10"/>
  <c r="C140" i="10"/>
  <c r="H139" i="10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F139" i="10"/>
  <c r="G139" i="10" s="1"/>
  <c r="C139" i="10"/>
  <c r="D139" i="10" s="1"/>
  <c r="E139" i="10" s="1"/>
  <c r="V138" i="10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F138" i="10"/>
  <c r="G138" i="10" s="1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D138" i="10"/>
  <c r="E138" i="10" s="1"/>
  <c r="C138" i="10"/>
  <c r="F137" i="10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D137" i="10"/>
  <c r="E137" i="10" s="1"/>
  <c r="C137" i="10"/>
  <c r="U135" i="10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E135" i="10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D135" i="10"/>
  <c r="C135" i="10"/>
  <c r="F134" i="10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C134" i="10"/>
  <c r="D134" i="10" s="1"/>
  <c r="E134" i="10" s="1"/>
  <c r="D133" i="10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C133" i="10"/>
  <c r="T132" i="10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D132" i="10"/>
  <c r="E132" i="10" s="1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C132" i="10"/>
  <c r="T131" i="10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D131" i="10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C131" i="10"/>
  <c r="C130" i="10"/>
  <c r="D130" i="10" s="1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E129" i="10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D129" i="10"/>
  <c r="C129" i="10"/>
  <c r="D128" i="10"/>
  <c r="E128" i="10" s="1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C128" i="10"/>
  <c r="L126" i="10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D126" i="10"/>
  <c r="E126" i="10" s="1"/>
  <c r="F126" i="10" s="1"/>
  <c r="G126" i="10" s="1"/>
  <c r="H126" i="10" s="1"/>
  <c r="I126" i="10" s="1"/>
  <c r="J126" i="10" s="1"/>
  <c r="K126" i="10" s="1"/>
  <c r="C126" i="10"/>
  <c r="J125" i="10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F125" i="10"/>
  <c r="G125" i="10" s="1"/>
  <c r="H125" i="10" s="1"/>
  <c r="I125" i="10" s="1"/>
  <c r="C125" i="10"/>
  <c r="D125" i="10" s="1"/>
  <c r="E125" i="10" s="1"/>
  <c r="D124" i="10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C124" i="10"/>
  <c r="C123" i="10"/>
  <c r="D123" i="10" s="1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E122" i="10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D122" i="10"/>
  <c r="C122" i="10"/>
  <c r="C121" i="10"/>
  <c r="D121" i="10" s="1"/>
  <c r="E121" i="10" s="1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E120" i="10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D120" i="10"/>
  <c r="C120" i="10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C119" i="10"/>
  <c r="D118" i="10"/>
  <c r="E118" i="10" s="1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C118" i="10"/>
  <c r="R117" i="10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H117" i="10"/>
  <c r="I117" i="10" s="1"/>
  <c r="J117" i="10" s="1"/>
  <c r="K117" i="10" s="1"/>
  <c r="L117" i="10" s="1"/>
  <c r="M117" i="10" s="1"/>
  <c r="N117" i="10" s="1"/>
  <c r="O117" i="10" s="1"/>
  <c r="P117" i="10" s="1"/>
  <c r="Q117" i="10" s="1"/>
  <c r="C117" i="10"/>
  <c r="D117" i="10" s="1"/>
  <c r="E117" i="10" s="1"/>
  <c r="F117" i="10" s="1"/>
  <c r="G117" i="10" s="1"/>
  <c r="L116" i="10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F116" i="10"/>
  <c r="G116" i="10" s="1"/>
  <c r="H116" i="10" s="1"/>
  <c r="I116" i="10" s="1"/>
  <c r="J116" i="10" s="1"/>
  <c r="K116" i="10" s="1"/>
  <c r="E116" i="10"/>
  <c r="D116" i="10"/>
  <c r="C116" i="10"/>
  <c r="O115" i="10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K115" i="10"/>
  <c r="L115" i="10" s="1"/>
  <c r="M115" i="10" s="1"/>
  <c r="N115" i="10" s="1"/>
  <c r="E115" i="10"/>
  <c r="F115" i="10" s="1"/>
  <c r="G115" i="10" s="1"/>
  <c r="H115" i="10" s="1"/>
  <c r="I115" i="10" s="1"/>
  <c r="J115" i="10" s="1"/>
  <c r="D115" i="10"/>
  <c r="C115" i="10"/>
  <c r="M114" i="10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I114" i="10"/>
  <c r="J114" i="10" s="1"/>
  <c r="K114" i="10" s="1"/>
  <c r="L114" i="10" s="1"/>
  <c r="C114" i="10"/>
  <c r="D114" i="10" s="1"/>
  <c r="E114" i="10" s="1"/>
  <c r="F114" i="10" s="1"/>
  <c r="G114" i="10" s="1"/>
  <c r="H114" i="10" s="1"/>
  <c r="C113" i="10"/>
  <c r="D113" i="10" s="1"/>
  <c r="E113" i="10" s="1"/>
  <c r="F113" i="10" s="1"/>
  <c r="G113" i="10" s="1"/>
  <c r="H113" i="10" s="1"/>
  <c r="I113" i="10" s="1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E112" i="10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D112" i="10"/>
  <c r="C112" i="10"/>
  <c r="T111" i="10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N111" i="10"/>
  <c r="O111" i="10" s="1"/>
  <c r="P111" i="10" s="1"/>
  <c r="Q111" i="10" s="1"/>
  <c r="R111" i="10" s="1"/>
  <c r="S111" i="10" s="1"/>
  <c r="J111" i="10"/>
  <c r="K111" i="10" s="1"/>
  <c r="L111" i="10" s="1"/>
  <c r="M111" i="10" s="1"/>
  <c r="C111" i="10"/>
  <c r="D111" i="10" s="1"/>
  <c r="E111" i="10" s="1"/>
  <c r="F111" i="10" s="1"/>
  <c r="G111" i="10" s="1"/>
  <c r="H111" i="10" s="1"/>
  <c r="G110" i="10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D110" i="10"/>
  <c r="E110" i="10" s="1"/>
  <c r="F110" i="10" s="1"/>
  <c r="C110" i="10"/>
  <c r="E109" i="10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C109" i="10"/>
  <c r="D109" i="10" s="1"/>
  <c r="D107" i="10"/>
  <c r="E107" i="10" s="1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C107" i="10"/>
  <c r="F106" i="10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E106" i="10"/>
  <c r="D106" i="10"/>
  <c r="C106" i="10"/>
  <c r="H104" i="10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D104" i="10"/>
  <c r="E104" i="10" s="1"/>
  <c r="F104" i="10" s="1"/>
  <c r="G104" i="10" s="1"/>
  <c r="C104" i="10"/>
  <c r="C103" i="10"/>
  <c r="D103" i="10" s="1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F102" i="10"/>
  <c r="G102" i="10" s="1"/>
  <c r="H102" i="10" s="1"/>
  <c r="I102" i="10" s="1"/>
  <c r="J102" i="10" s="1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V102" i="10" s="1"/>
  <c r="W102" i="10" s="1"/>
  <c r="X102" i="10" s="1"/>
  <c r="Y102" i="10" s="1"/>
  <c r="Z102" i="10" s="1"/>
  <c r="AA102" i="10" s="1"/>
  <c r="AB102" i="10" s="1"/>
  <c r="AC102" i="10" s="1"/>
  <c r="AD102" i="10" s="1"/>
  <c r="AE102" i="10" s="1"/>
  <c r="AF102" i="10" s="1"/>
  <c r="E102" i="10"/>
  <c r="D102" i="10"/>
  <c r="C102" i="10"/>
  <c r="C101" i="10"/>
  <c r="D101" i="10" s="1"/>
  <c r="E101" i="10" s="1"/>
  <c r="F101" i="10" s="1"/>
  <c r="G101" i="10" s="1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X101" i="10" s="1"/>
  <c r="Y101" i="10" s="1"/>
  <c r="Z101" i="10" s="1"/>
  <c r="AA101" i="10" s="1"/>
  <c r="AB101" i="10" s="1"/>
  <c r="AC101" i="10" s="1"/>
  <c r="AD101" i="10" s="1"/>
  <c r="AE101" i="10" s="1"/>
  <c r="AF101" i="10" s="1"/>
  <c r="D100" i="10"/>
  <c r="C100" i="10"/>
  <c r="C99" i="10"/>
  <c r="AH96" i="10"/>
  <c r="AH95" i="10"/>
  <c r="AH94" i="10"/>
  <c r="AH93" i="10"/>
  <c r="AH92" i="10"/>
  <c r="C91" i="10"/>
  <c r="B91" i="10"/>
  <c r="AH89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G80" i="10"/>
  <c r="AI79" i="10"/>
  <c r="AH79" i="10"/>
  <c r="AF78" i="10"/>
  <c r="AE78" i="10"/>
  <c r="AD78" i="10"/>
  <c r="AC78" i="10"/>
  <c r="AB78" i="10"/>
  <c r="AA78" i="10"/>
  <c r="Z78" i="10"/>
  <c r="Y78" i="10"/>
  <c r="X78" i="10"/>
  <c r="W78" i="10"/>
  <c r="V78" i="10"/>
  <c r="V80" i="10" s="1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F74" i="10"/>
  <c r="AF80" i="10" s="1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N80" i="10" s="1"/>
  <c r="M74" i="10"/>
  <c r="L74" i="10"/>
  <c r="L80" i="10" s="1"/>
  <c r="K74" i="10"/>
  <c r="J74" i="10"/>
  <c r="I74" i="10"/>
  <c r="I80" i="10" s="1"/>
  <c r="H74" i="10"/>
  <c r="G74" i="10"/>
  <c r="F74" i="10"/>
  <c r="F80" i="10" s="1"/>
  <c r="E74" i="10"/>
  <c r="D74" i="10"/>
  <c r="C74" i="10"/>
  <c r="B74" i="10"/>
  <c r="Y73" i="10"/>
  <c r="AQ211" i="10" s="1"/>
  <c r="AI72" i="10"/>
  <c r="AH72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I69" i="10"/>
  <c r="AH69" i="10"/>
  <c r="AI68" i="10"/>
  <c r="AH68" i="10"/>
  <c r="AI67" i="10"/>
  <c r="AH67" i="10"/>
  <c r="AG66" i="10"/>
  <c r="AF66" i="10"/>
  <c r="AE66" i="10"/>
  <c r="AD66" i="10"/>
  <c r="AC66" i="10"/>
  <c r="AC5" i="10" s="1"/>
  <c r="AB66" i="10"/>
  <c r="AB5" i="10" s="1"/>
  <c r="AA66" i="10"/>
  <c r="Z66" i="10"/>
  <c r="Z5" i="10" s="1"/>
  <c r="Y66" i="10"/>
  <c r="X66" i="10"/>
  <c r="W66" i="10"/>
  <c r="V66" i="10"/>
  <c r="U66" i="10"/>
  <c r="T66" i="10"/>
  <c r="T5" i="10" s="1"/>
  <c r="S66" i="10"/>
  <c r="R66" i="10"/>
  <c r="R5" i="10" s="1"/>
  <c r="Q66" i="10"/>
  <c r="Q5" i="10" s="1"/>
  <c r="P66" i="10"/>
  <c r="P5" i="10" s="1"/>
  <c r="O66" i="10"/>
  <c r="N66" i="10"/>
  <c r="M66" i="10"/>
  <c r="M5" i="10" s="1"/>
  <c r="L66" i="10"/>
  <c r="L5" i="10" s="1"/>
  <c r="K66" i="10"/>
  <c r="K5" i="10" s="1"/>
  <c r="J66" i="10"/>
  <c r="J5" i="10" s="1"/>
  <c r="I66" i="10"/>
  <c r="H66" i="10"/>
  <c r="H5" i="10" s="1"/>
  <c r="G66" i="10"/>
  <c r="F66" i="10"/>
  <c r="E66" i="10"/>
  <c r="D66" i="10"/>
  <c r="C66" i="10"/>
  <c r="B66" i="10"/>
  <c r="B5" i="10" s="1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I53" i="10"/>
  <c r="AH53" i="10"/>
  <c r="AI52" i="10"/>
  <c r="AH52" i="10"/>
  <c r="AI51" i="10"/>
  <c r="AH51" i="10"/>
  <c r="Y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G49" i="10"/>
  <c r="AG50" i="10" s="1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F5" i="10"/>
  <c r="AD5" i="10"/>
  <c r="AA5" i="10"/>
  <c r="Y5" i="10"/>
  <c r="X5" i="10"/>
  <c r="V5" i="10"/>
  <c r="U5" i="10"/>
  <c r="S5" i="10"/>
  <c r="I5" i="10"/>
  <c r="F5" i="10"/>
  <c r="E5" i="10"/>
  <c r="D5" i="10"/>
  <c r="C5" i="10"/>
  <c r="AG4" i="10"/>
  <c r="K4" i="10"/>
  <c r="B4" i="10"/>
  <c r="AG2" i="10"/>
  <c r="AA35" i="9"/>
  <c r="W36" i="9"/>
  <c r="Y36" i="9"/>
  <c r="X35" i="9"/>
  <c r="W35" i="9"/>
  <c r="V35" i="9"/>
  <c r="U35" i="9"/>
  <c r="E4" i="10"/>
  <c r="AE80" i="10" l="1"/>
  <c r="AD80" i="10"/>
  <c r="AC80" i="10"/>
  <c r="AB80" i="10"/>
  <c r="AA80" i="10"/>
  <c r="Z80" i="10"/>
  <c r="Y80" i="10"/>
  <c r="Y7" i="10"/>
  <c r="Y71" i="10"/>
  <c r="Y81" i="10" s="1"/>
  <c r="X80" i="10"/>
  <c r="W80" i="10"/>
  <c r="U80" i="10"/>
  <c r="T80" i="10"/>
  <c r="S73" i="10"/>
  <c r="S80" i="10"/>
  <c r="S71" i="10"/>
  <c r="S81" i="10" s="1"/>
  <c r="R80" i="10"/>
  <c r="R73" i="10"/>
  <c r="Q80" i="10"/>
  <c r="Q73" i="10"/>
  <c r="AI211" i="10" s="1"/>
  <c r="Q71" i="10"/>
  <c r="P80" i="10"/>
  <c r="P73" i="10"/>
  <c r="P71" i="10"/>
  <c r="O80" i="10"/>
  <c r="O73" i="10"/>
  <c r="O71" i="10"/>
  <c r="N71" i="10"/>
  <c r="N5" i="10"/>
  <c r="N73" i="10"/>
  <c r="AF211" i="10" s="1"/>
  <c r="M80" i="10"/>
  <c r="M73" i="10"/>
  <c r="M71" i="10"/>
  <c r="M81" i="10" s="1"/>
  <c r="L73" i="10"/>
  <c r="AD211" i="10" s="1"/>
  <c r="L71" i="10"/>
  <c r="K80" i="10"/>
  <c r="K73" i="10"/>
  <c r="AC211" i="10" s="1"/>
  <c r="K71" i="10"/>
  <c r="J80" i="10"/>
  <c r="AI80" i="10" s="1"/>
  <c r="J73" i="10"/>
  <c r="J7" i="10" s="1"/>
  <c r="AI75" i="10"/>
  <c r="I73" i="10"/>
  <c r="AA211" i="10" s="1"/>
  <c r="I71" i="10"/>
  <c r="H80" i="10"/>
  <c r="H73" i="10"/>
  <c r="H7" i="10" s="1"/>
  <c r="H71" i="10"/>
  <c r="G80" i="10"/>
  <c r="G71" i="10"/>
  <c r="AH54" i="10"/>
  <c r="F73" i="10"/>
  <c r="F7" i="10" s="1"/>
  <c r="F71" i="10"/>
  <c r="E80" i="10"/>
  <c r="E71" i="10"/>
  <c r="AI77" i="10"/>
  <c r="AH77" i="10"/>
  <c r="D80" i="10"/>
  <c r="D73" i="10"/>
  <c r="V211" i="10" s="1"/>
  <c r="AI76" i="10"/>
  <c r="C80" i="10"/>
  <c r="AI78" i="10"/>
  <c r="D71" i="10"/>
  <c r="C73" i="10"/>
  <c r="U211" i="10" s="1"/>
  <c r="AH36" i="10"/>
  <c r="C71" i="10"/>
  <c r="AH75" i="10"/>
  <c r="B80" i="10"/>
  <c r="H4" i="10"/>
  <c r="AH211" i="10"/>
  <c r="P7" i="10"/>
  <c r="Z211" i="10"/>
  <c r="AJ211" i="10"/>
  <c r="R7" i="10"/>
  <c r="AG71" i="10"/>
  <c r="AG3" i="10"/>
  <c r="AG6" i="10" s="1"/>
  <c r="AG73" i="10"/>
  <c r="AE211" i="10"/>
  <c r="M7" i="10"/>
  <c r="AG81" i="10"/>
  <c r="L81" i="10"/>
  <c r="AK211" i="10"/>
  <c r="S7" i="10"/>
  <c r="N81" i="10"/>
  <c r="AG211" i="10"/>
  <c r="O7" i="10"/>
  <c r="AH66" i="10"/>
  <c r="S208" i="10"/>
  <c r="D208" i="10"/>
  <c r="AI54" i="10"/>
  <c r="AI66" i="10"/>
  <c r="AI70" i="10"/>
  <c r="E73" i="10"/>
  <c r="AH76" i="10"/>
  <c r="C189" i="10"/>
  <c r="D99" i="10"/>
  <c r="E100" i="10"/>
  <c r="J71" i="10"/>
  <c r="G5" i="10"/>
  <c r="O5" i="10"/>
  <c r="W5" i="10"/>
  <c r="AE5" i="10"/>
  <c r="G73" i="10"/>
  <c r="G81" i="10" s="1"/>
  <c r="AH78" i="10"/>
  <c r="AI36" i="10"/>
  <c r="B71" i="10"/>
  <c r="N7" i="10"/>
  <c r="AH70" i="10"/>
  <c r="AI74" i="10"/>
  <c r="R71" i="10"/>
  <c r="R81" i="10" s="1"/>
  <c r="X211" i="10"/>
  <c r="P81" i="10"/>
  <c r="AH74" i="10"/>
  <c r="F191" i="10"/>
  <c r="C197" i="10"/>
  <c r="C232" i="10"/>
  <c r="D196" i="10"/>
  <c r="Q7" i="10" l="1"/>
  <c r="Q81" i="10"/>
  <c r="O81" i="10"/>
  <c r="K81" i="10"/>
  <c r="K7" i="10"/>
  <c r="L7" i="10"/>
  <c r="F81" i="10"/>
  <c r="C81" i="10"/>
  <c r="E81" i="10"/>
  <c r="D81" i="10"/>
  <c r="AB211" i="10"/>
  <c r="J81" i="10"/>
  <c r="I81" i="10"/>
  <c r="I7" i="10"/>
  <c r="H81" i="10"/>
  <c r="C206" i="10"/>
  <c r="K6" i="10" s="1"/>
  <c r="B206" i="10"/>
  <c r="D7" i="10"/>
  <c r="AH80" i="10"/>
  <c r="C7" i="10"/>
  <c r="E196" i="10"/>
  <c r="D232" i="10"/>
  <c r="D197" i="10"/>
  <c r="Y211" i="10"/>
  <c r="G7" i="10"/>
  <c r="F100" i="10"/>
  <c r="E91" i="10"/>
  <c r="D91" i="10"/>
  <c r="B73" i="10"/>
  <c r="B81" i="10" s="1"/>
  <c r="W211" i="10"/>
  <c r="E7" i="10"/>
  <c r="D189" i="10"/>
  <c r="E99" i="10"/>
  <c r="G191" i="10"/>
  <c r="T35" i="9"/>
  <c r="S35" i="9"/>
  <c r="R35" i="9"/>
  <c r="E189" i="10" l="1"/>
  <c r="F99" i="10"/>
  <c r="G100" i="10"/>
  <c r="F91" i="10"/>
  <c r="H191" i="10"/>
  <c r="T211" i="10"/>
  <c r="B7" i="10"/>
  <c r="F196" i="10"/>
  <c r="E232" i="10"/>
  <c r="E197" i="10"/>
  <c r="O35" i="9"/>
  <c r="N35" i="9"/>
  <c r="M35" i="9"/>
  <c r="L35" i="9"/>
  <c r="K93" i="9"/>
  <c r="J93" i="9"/>
  <c r="I93" i="9"/>
  <c r="H93" i="9"/>
  <c r="G93" i="9"/>
  <c r="F93" i="9"/>
  <c r="E93" i="9"/>
  <c r="D93" i="9"/>
  <c r="B36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B232" i="9"/>
  <c r="S207" i="9"/>
  <c r="AG197" i="9"/>
  <c r="B197" i="9"/>
  <c r="E196" i="9"/>
  <c r="E232" i="9" s="1"/>
  <c r="D196" i="9"/>
  <c r="D232" i="9" s="1"/>
  <c r="C196" i="9"/>
  <c r="C232" i="9" s="1"/>
  <c r="C195" i="9"/>
  <c r="D195" i="9" s="1"/>
  <c r="E195" i="9" s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C194" i="9"/>
  <c r="D194" i="9" s="1"/>
  <c r="E194" i="9" s="1"/>
  <c r="F194" i="9" s="1"/>
  <c r="G194" i="9" s="1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C193" i="9"/>
  <c r="D193" i="9" s="1"/>
  <c r="E193" i="9" s="1"/>
  <c r="F193" i="9" s="1"/>
  <c r="G193" i="9" s="1"/>
  <c r="H193" i="9" s="1"/>
  <c r="I193" i="9" s="1"/>
  <c r="J193" i="9" s="1"/>
  <c r="K193" i="9" s="1"/>
  <c r="L193" i="9" s="1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X193" i="9" s="1"/>
  <c r="Y193" i="9" s="1"/>
  <c r="Z193" i="9" s="1"/>
  <c r="AA193" i="9" s="1"/>
  <c r="AB193" i="9" s="1"/>
  <c r="AC193" i="9" s="1"/>
  <c r="AD193" i="9" s="1"/>
  <c r="AE193" i="9" s="1"/>
  <c r="AF193" i="9" s="1"/>
  <c r="E192" i="9"/>
  <c r="F192" i="9" s="1"/>
  <c r="G192" i="9" s="1"/>
  <c r="H192" i="9" s="1"/>
  <c r="I192" i="9" s="1"/>
  <c r="J192" i="9" s="1"/>
  <c r="K192" i="9" s="1"/>
  <c r="L192" i="9" s="1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X192" i="9" s="1"/>
  <c r="Y192" i="9" s="1"/>
  <c r="Z192" i="9" s="1"/>
  <c r="AA192" i="9" s="1"/>
  <c r="AB192" i="9" s="1"/>
  <c r="AC192" i="9" s="1"/>
  <c r="AD192" i="9" s="1"/>
  <c r="AE192" i="9" s="1"/>
  <c r="AF192" i="9" s="1"/>
  <c r="D192" i="9"/>
  <c r="C192" i="9"/>
  <c r="C191" i="9"/>
  <c r="C197" i="9" s="1"/>
  <c r="AG189" i="9"/>
  <c r="B189" i="9"/>
  <c r="C188" i="9"/>
  <c r="D188" i="9" s="1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G187" i="9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C187" i="9"/>
  <c r="D187" i="9" s="1"/>
  <c r="E187" i="9" s="1"/>
  <c r="F187" i="9" s="1"/>
  <c r="E186" i="9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D186" i="9"/>
  <c r="C186" i="9"/>
  <c r="K185" i="9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C185" i="9"/>
  <c r="D185" i="9" s="1"/>
  <c r="E185" i="9" s="1"/>
  <c r="F185" i="9" s="1"/>
  <c r="G185" i="9" s="1"/>
  <c r="H185" i="9" s="1"/>
  <c r="I185" i="9" s="1"/>
  <c r="J185" i="9" s="1"/>
  <c r="D184" i="9"/>
  <c r="E184" i="9" s="1"/>
  <c r="F184" i="9" s="1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C184" i="9"/>
  <c r="O183" i="9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G183" i="9"/>
  <c r="H183" i="9" s="1"/>
  <c r="I183" i="9" s="1"/>
  <c r="J183" i="9" s="1"/>
  <c r="K183" i="9" s="1"/>
  <c r="L183" i="9" s="1"/>
  <c r="M183" i="9" s="1"/>
  <c r="N183" i="9" s="1"/>
  <c r="F183" i="9"/>
  <c r="C183" i="9"/>
  <c r="D183" i="9" s="1"/>
  <c r="E183" i="9" s="1"/>
  <c r="D182" i="9"/>
  <c r="E182" i="9" s="1"/>
  <c r="F182" i="9" s="1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C182" i="9"/>
  <c r="U181" i="9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G181" i="9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E181" i="9"/>
  <c r="F181" i="9" s="1"/>
  <c r="C181" i="9"/>
  <c r="D181" i="9" s="1"/>
  <c r="C180" i="9"/>
  <c r="D180" i="9" s="1"/>
  <c r="E180" i="9" s="1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U179" i="9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J179" i="9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C179" i="9"/>
  <c r="D179" i="9" s="1"/>
  <c r="E179" i="9" s="1"/>
  <c r="F179" i="9" s="1"/>
  <c r="G179" i="9" s="1"/>
  <c r="H179" i="9" s="1"/>
  <c r="I179" i="9" s="1"/>
  <c r="C178" i="9"/>
  <c r="D178" i="9" s="1"/>
  <c r="E178" i="9" s="1"/>
  <c r="F178" i="9" s="1"/>
  <c r="G178" i="9" s="1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Q177" i="9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F177" i="9"/>
  <c r="G177" i="9" s="1"/>
  <c r="H177" i="9" s="1"/>
  <c r="I177" i="9" s="1"/>
  <c r="J177" i="9" s="1"/>
  <c r="K177" i="9" s="1"/>
  <c r="L177" i="9" s="1"/>
  <c r="M177" i="9" s="1"/>
  <c r="N177" i="9" s="1"/>
  <c r="O177" i="9" s="1"/>
  <c r="P177" i="9" s="1"/>
  <c r="C177" i="9"/>
  <c r="D177" i="9" s="1"/>
  <c r="E177" i="9" s="1"/>
  <c r="Q176" i="9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D176" i="9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C176" i="9"/>
  <c r="C174" i="9"/>
  <c r="D174" i="9" s="1"/>
  <c r="E174" i="9" s="1"/>
  <c r="F174" i="9" s="1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E173" i="9"/>
  <c r="F173" i="9" s="1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C173" i="9"/>
  <c r="D173" i="9" s="1"/>
  <c r="K172" i="9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C172" i="9"/>
  <c r="D172" i="9" s="1"/>
  <c r="E172" i="9" s="1"/>
  <c r="F172" i="9" s="1"/>
  <c r="G172" i="9" s="1"/>
  <c r="H172" i="9" s="1"/>
  <c r="I172" i="9" s="1"/>
  <c r="J172" i="9" s="1"/>
  <c r="I171" i="9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D171" i="9"/>
  <c r="E171" i="9" s="1"/>
  <c r="F171" i="9" s="1"/>
  <c r="G171" i="9" s="1"/>
  <c r="H171" i="9" s="1"/>
  <c r="C171" i="9"/>
  <c r="G170" i="9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C170" i="9"/>
  <c r="D170" i="9" s="1"/>
  <c r="E170" i="9" s="1"/>
  <c r="F170" i="9" s="1"/>
  <c r="C169" i="9"/>
  <c r="D169" i="9" s="1"/>
  <c r="E169" i="9" s="1"/>
  <c r="F169" i="9" s="1"/>
  <c r="G169" i="9" s="1"/>
  <c r="H169" i="9" s="1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C168" i="9"/>
  <c r="D168" i="9" s="1"/>
  <c r="E168" i="9" s="1"/>
  <c r="F168" i="9" s="1"/>
  <c r="G168" i="9" s="1"/>
  <c r="H168" i="9" s="1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D167" i="9"/>
  <c r="E167" i="9" s="1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C167" i="9"/>
  <c r="C165" i="9"/>
  <c r="D165" i="9" s="1"/>
  <c r="E165" i="9" s="1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H164" i="9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E164" i="9"/>
  <c r="F164" i="9" s="1"/>
  <c r="G164" i="9" s="1"/>
  <c r="D164" i="9"/>
  <c r="C164" i="9"/>
  <c r="C163" i="9"/>
  <c r="D163" i="9" s="1"/>
  <c r="E163" i="9" s="1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AC162" i="9"/>
  <c r="AD162" i="9" s="1"/>
  <c r="AE162" i="9" s="1"/>
  <c r="AF162" i="9" s="1"/>
  <c r="T162" i="9"/>
  <c r="U162" i="9" s="1"/>
  <c r="V162" i="9" s="1"/>
  <c r="W162" i="9" s="1"/>
  <c r="X162" i="9" s="1"/>
  <c r="Y162" i="9" s="1"/>
  <c r="Z162" i="9" s="1"/>
  <c r="AA162" i="9" s="1"/>
  <c r="AB162" i="9" s="1"/>
  <c r="I162" i="9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D162" i="9"/>
  <c r="E162" i="9" s="1"/>
  <c r="F162" i="9" s="1"/>
  <c r="G162" i="9" s="1"/>
  <c r="H162" i="9" s="1"/>
  <c r="C162" i="9"/>
  <c r="G161" i="9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C161" i="9"/>
  <c r="D161" i="9" s="1"/>
  <c r="E161" i="9" s="1"/>
  <c r="F161" i="9" s="1"/>
  <c r="H160" i="9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E160" i="9"/>
  <c r="F160" i="9" s="1"/>
  <c r="G160" i="9" s="1"/>
  <c r="D160" i="9"/>
  <c r="C160" i="9"/>
  <c r="G159" i="9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C159" i="9"/>
  <c r="D159" i="9" s="1"/>
  <c r="E159" i="9" s="1"/>
  <c r="F159" i="9" s="1"/>
  <c r="T158" i="9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Q158" i="9"/>
  <c r="R158" i="9" s="1"/>
  <c r="S158" i="9" s="1"/>
  <c r="I158" i="9"/>
  <c r="J158" i="9" s="1"/>
  <c r="K158" i="9" s="1"/>
  <c r="L158" i="9" s="1"/>
  <c r="M158" i="9" s="1"/>
  <c r="N158" i="9" s="1"/>
  <c r="O158" i="9" s="1"/>
  <c r="P158" i="9" s="1"/>
  <c r="D158" i="9"/>
  <c r="E158" i="9" s="1"/>
  <c r="F158" i="9" s="1"/>
  <c r="G158" i="9" s="1"/>
  <c r="H158" i="9" s="1"/>
  <c r="C158" i="9"/>
  <c r="N157" i="9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M157" i="9"/>
  <c r="H157" i="9"/>
  <c r="I157" i="9" s="1"/>
  <c r="J157" i="9" s="1"/>
  <c r="K157" i="9" s="1"/>
  <c r="L157" i="9" s="1"/>
  <c r="C157" i="9"/>
  <c r="D157" i="9" s="1"/>
  <c r="E157" i="9" s="1"/>
  <c r="F157" i="9" s="1"/>
  <c r="G157" i="9" s="1"/>
  <c r="C156" i="9"/>
  <c r="D156" i="9" s="1"/>
  <c r="E156" i="9" s="1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C155" i="9"/>
  <c r="D155" i="9" s="1"/>
  <c r="E155" i="9" s="1"/>
  <c r="F155" i="9" s="1"/>
  <c r="G155" i="9" s="1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AE154" i="9"/>
  <c r="AF154" i="9" s="1"/>
  <c r="O154" i="9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C154" i="9"/>
  <c r="D154" i="9" s="1"/>
  <c r="E154" i="9" s="1"/>
  <c r="F154" i="9" s="1"/>
  <c r="G154" i="9" s="1"/>
  <c r="H154" i="9" s="1"/>
  <c r="I154" i="9" s="1"/>
  <c r="J154" i="9" s="1"/>
  <c r="K154" i="9" s="1"/>
  <c r="L154" i="9" s="1"/>
  <c r="M154" i="9" s="1"/>
  <c r="N154" i="9" s="1"/>
  <c r="D153" i="9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C153" i="9"/>
  <c r="O151" i="9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C151" i="9"/>
  <c r="D151" i="9" s="1"/>
  <c r="E151" i="9" s="1"/>
  <c r="F151" i="9" s="1"/>
  <c r="G151" i="9" s="1"/>
  <c r="H151" i="9" s="1"/>
  <c r="I151" i="9" s="1"/>
  <c r="J151" i="9" s="1"/>
  <c r="K151" i="9" s="1"/>
  <c r="L151" i="9" s="1"/>
  <c r="M151" i="9" s="1"/>
  <c r="N151" i="9" s="1"/>
  <c r="AC150" i="9"/>
  <c r="AD150" i="9" s="1"/>
  <c r="AE150" i="9" s="1"/>
  <c r="AF150" i="9" s="1"/>
  <c r="M150" i="9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C150" i="9"/>
  <c r="D150" i="9" s="1"/>
  <c r="E150" i="9" s="1"/>
  <c r="F150" i="9" s="1"/>
  <c r="G150" i="9" s="1"/>
  <c r="H150" i="9" s="1"/>
  <c r="I150" i="9" s="1"/>
  <c r="J150" i="9" s="1"/>
  <c r="K150" i="9" s="1"/>
  <c r="L150" i="9" s="1"/>
  <c r="C149" i="9"/>
  <c r="D149" i="9" s="1"/>
  <c r="E149" i="9" s="1"/>
  <c r="F149" i="9" s="1"/>
  <c r="G149" i="9" s="1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Z148" i="9"/>
  <c r="AA148" i="9" s="1"/>
  <c r="AB148" i="9" s="1"/>
  <c r="AC148" i="9" s="1"/>
  <c r="AD148" i="9" s="1"/>
  <c r="AE148" i="9" s="1"/>
  <c r="AF148" i="9" s="1"/>
  <c r="J148" i="9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I148" i="9"/>
  <c r="E148" i="9"/>
  <c r="F148" i="9" s="1"/>
  <c r="G148" i="9" s="1"/>
  <c r="H148" i="9" s="1"/>
  <c r="D148" i="9"/>
  <c r="C148" i="9"/>
  <c r="J146" i="9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H146" i="9"/>
  <c r="I146" i="9" s="1"/>
  <c r="G146" i="9"/>
  <c r="C146" i="9"/>
  <c r="D146" i="9" s="1"/>
  <c r="E146" i="9" s="1"/>
  <c r="F146" i="9" s="1"/>
  <c r="X145" i="9"/>
  <c r="Y145" i="9" s="1"/>
  <c r="Z145" i="9" s="1"/>
  <c r="AA145" i="9" s="1"/>
  <c r="AB145" i="9" s="1"/>
  <c r="AC145" i="9" s="1"/>
  <c r="AD145" i="9" s="1"/>
  <c r="AE145" i="9" s="1"/>
  <c r="AF145" i="9" s="1"/>
  <c r="H145" i="9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5" i="9"/>
  <c r="G145" i="9" s="1"/>
  <c r="E145" i="9"/>
  <c r="C145" i="9"/>
  <c r="D145" i="9" s="1"/>
  <c r="W143" i="9"/>
  <c r="X143" i="9" s="1"/>
  <c r="Y143" i="9" s="1"/>
  <c r="Z143" i="9" s="1"/>
  <c r="AA143" i="9" s="1"/>
  <c r="AB143" i="9" s="1"/>
  <c r="AC143" i="9" s="1"/>
  <c r="AD143" i="9" s="1"/>
  <c r="AE143" i="9" s="1"/>
  <c r="AF143" i="9" s="1"/>
  <c r="G143" i="9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F143" i="9"/>
  <c r="D143" i="9"/>
  <c r="E143" i="9" s="1"/>
  <c r="C143" i="9"/>
  <c r="U142" i="9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E142" i="9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D142" i="9"/>
  <c r="C142" i="9"/>
  <c r="W141" i="9"/>
  <c r="X141" i="9" s="1"/>
  <c r="Y141" i="9" s="1"/>
  <c r="Z141" i="9" s="1"/>
  <c r="AA141" i="9" s="1"/>
  <c r="AB141" i="9" s="1"/>
  <c r="AC141" i="9" s="1"/>
  <c r="AD141" i="9" s="1"/>
  <c r="AE141" i="9" s="1"/>
  <c r="AF141" i="9" s="1"/>
  <c r="G141" i="9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C141" i="9"/>
  <c r="D141" i="9" s="1"/>
  <c r="E141" i="9" s="1"/>
  <c r="F141" i="9" s="1"/>
  <c r="J140" i="9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E140" i="9"/>
  <c r="F140" i="9" s="1"/>
  <c r="G140" i="9" s="1"/>
  <c r="H140" i="9" s="1"/>
  <c r="I140" i="9" s="1"/>
  <c r="C140" i="9"/>
  <c r="D140" i="9" s="1"/>
  <c r="D139" i="9"/>
  <c r="E139" i="9" s="1"/>
  <c r="F139" i="9" s="1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C139" i="9"/>
  <c r="V138" i="9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S138" i="9"/>
  <c r="T138" i="9" s="1"/>
  <c r="U138" i="9" s="1"/>
  <c r="L138" i="9"/>
  <c r="M138" i="9" s="1"/>
  <c r="N138" i="9" s="1"/>
  <c r="O138" i="9" s="1"/>
  <c r="P138" i="9" s="1"/>
  <c r="Q138" i="9" s="1"/>
  <c r="R138" i="9" s="1"/>
  <c r="I138" i="9"/>
  <c r="J138" i="9" s="1"/>
  <c r="K138" i="9" s="1"/>
  <c r="C138" i="9"/>
  <c r="D138" i="9" s="1"/>
  <c r="E138" i="9" s="1"/>
  <c r="F138" i="9" s="1"/>
  <c r="G138" i="9" s="1"/>
  <c r="H138" i="9" s="1"/>
  <c r="Q137" i="9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J137" i="9"/>
  <c r="K137" i="9" s="1"/>
  <c r="L137" i="9" s="1"/>
  <c r="M137" i="9" s="1"/>
  <c r="N137" i="9" s="1"/>
  <c r="O137" i="9" s="1"/>
  <c r="P137" i="9" s="1"/>
  <c r="G137" i="9"/>
  <c r="H137" i="9" s="1"/>
  <c r="I137" i="9" s="1"/>
  <c r="D137" i="9"/>
  <c r="E137" i="9" s="1"/>
  <c r="F137" i="9" s="1"/>
  <c r="C137" i="9"/>
  <c r="O135" i="9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H135" i="9"/>
  <c r="I135" i="9" s="1"/>
  <c r="J135" i="9" s="1"/>
  <c r="K135" i="9" s="1"/>
  <c r="L135" i="9" s="1"/>
  <c r="M135" i="9" s="1"/>
  <c r="N135" i="9" s="1"/>
  <c r="E135" i="9"/>
  <c r="F135" i="9" s="1"/>
  <c r="G135" i="9" s="1"/>
  <c r="D135" i="9"/>
  <c r="C135" i="9"/>
  <c r="S134" i="9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N134" i="9"/>
  <c r="O134" i="9" s="1"/>
  <c r="P134" i="9" s="1"/>
  <c r="Q134" i="9" s="1"/>
  <c r="R134" i="9" s="1"/>
  <c r="K134" i="9"/>
  <c r="L134" i="9" s="1"/>
  <c r="M134" i="9" s="1"/>
  <c r="F134" i="9"/>
  <c r="G134" i="9" s="1"/>
  <c r="H134" i="9" s="1"/>
  <c r="I134" i="9" s="1"/>
  <c r="J134" i="9" s="1"/>
  <c r="C134" i="9"/>
  <c r="D134" i="9" s="1"/>
  <c r="E134" i="9" s="1"/>
  <c r="Q133" i="9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L133" i="9"/>
  <c r="M133" i="9" s="1"/>
  <c r="N133" i="9" s="1"/>
  <c r="O133" i="9" s="1"/>
  <c r="P133" i="9" s="1"/>
  <c r="I133" i="9"/>
  <c r="J133" i="9" s="1"/>
  <c r="K133" i="9" s="1"/>
  <c r="H133" i="9"/>
  <c r="D133" i="9"/>
  <c r="E133" i="9" s="1"/>
  <c r="F133" i="9" s="1"/>
  <c r="G133" i="9" s="1"/>
  <c r="C133" i="9"/>
  <c r="F132" i="9"/>
  <c r="G132" i="9" s="1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C132" i="9"/>
  <c r="D132" i="9" s="1"/>
  <c r="E132" i="9" s="1"/>
  <c r="D131" i="9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C131" i="9"/>
  <c r="AA130" i="9"/>
  <c r="AB130" i="9" s="1"/>
  <c r="AC130" i="9" s="1"/>
  <c r="AD130" i="9" s="1"/>
  <c r="AE130" i="9" s="1"/>
  <c r="AF130" i="9" s="1"/>
  <c r="G130" i="9"/>
  <c r="H130" i="9" s="1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F130" i="9"/>
  <c r="C130" i="9"/>
  <c r="D130" i="9" s="1"/>
  <c r="E130" i="9" s="1"/>
  <c r="E129" i="9"/>
  <c r="F129" i="9" s="1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D129" i="9"/>
  <c r="C129" i="9"/>
  <c r="V128" i="9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F128" i="9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C128" i="9"/>
  <c r="D128" i="9" s="1"/>
  <c r="E128" i="9" s="1"/>
  <c r="D126" i="9"/>
  <c r="E126" i="9" s="1"/>
  <c r="F126" i="9" s="1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C126" i="9"/>
  <c r="S125" i="9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C125" i="9"/>
  <c r="D125" i="9" s="1"/>
  <c r="E125" i="9" s="1"/>
  <c r="F125" i="9" s="1"/>
  <c r="G125" i="9" s="1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T124" i="9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H124" i="9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E124" i="9"/>
  <c r="F124" i="9" s="1"/>
  <c r="G124" i="9" s="1"/>
  <c r="D124" i="9"/>
  <c r="C124" i="9"/>
  <c r="N123" i="9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F123" i="9"/>
  <c r="G123" i="9" s="1"/>
  <c r="H123" i="9" s="1"/>
  <c r="I123" i="9" s="1"/>
  <c r="J123" i="9" s="1"/>
  <c r="K123" i="9" s="1"/>
  <c r="L123" i="9" s="1"/>
  <c r="M123" i="9" s="1"/>
  <c r="C123" i="9"/>
  <c r="D123" i="9" s="1"/>
  <c r="E123" i="9" s="1"/>
  <c r="E122" i="9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D122" i="9"/>
  <c r="C122" i="9"/>
  <c r="W121" i="9"/>
  <c r="X121" i="9" s="1"/>
  <c r="Y121" i="9" s="1"/>
  <c r="Z121" i="9" s="1"/>
  <c r="AA121" i="9" s="1"/>
  <c r="AB121" i="9" s="1"/>
  <c r="AC121" i="9" s="1"/>
  <c r="AD121" i="9" s="1"/>
  <c r="AE121" i="9" s="1"/>
  <c r="AF121" i="9" s="1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C121" i="9"/>
  <c r="D121" i="9" s="1"/>
  <c r="E121" i="9" s="1"/>
  <c r="F121" i="9" s="1"/>
  <c r="G121" i="9" s="1"/>
  <c r="H121" i="9" s="1"/>
  <c r="I121" i="9" s="1"/>
  <c r="J121" i="9" s="1"/>
  <c r="K121" i="9" s="1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C120" i="9"/>
  <c r="AE119" i="9"/>
  <c r="AF119" i="9" s="1"/>
  <c r="T119" i="9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J119" i="9"/>
  <c r="K119" i="9" s="1"/>
  <c r="L119" i="9" s="1"/>
  <c r="M119" i="9" s="1"/>
  <c r="N119" i="9" s="1"/>
  <c r="O119" i="9" s="1"/>
  <c r="P119" i="9" s="1"/>
  <c r="Q119" i="9" s="1"/>
  <c r="R119" i="9" s="1"/>
  <c r="S119" i="9" s="1"/>
  <c r="C119" i="9"/>
  <c r="D119" i="9" s="1"/>
  <c r="E119" i="9" s="1"/>
  <c r="F119" i="9" s="1"/>
  <c r="G119" i="9" s="1"/>
  <c r="H119" i="9" s="1"/>
  <c r="I119" i="9" s="1"/>
  <c r="F118" i="9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E118" i="9"/>
  <c r="D118" i="9"/>
  <c r="C118" i="9"/>
  <c r="J117" i="9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I117" i="9"/>
  <c r="D117" i="9"/>
  <c r="E117" i="9" s="1"/>
  <c r="F117" i="9" s="1"/>
  <c r="G117" i="9" s="1"/>
  <c r="H117" i="9" s="1"/>
  <c r="C117" i="9"/>
  <c r="O116" i="9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N116" i="9"/>
  <c r="G116" i="9"/>
  <c r="H116" i="9" s="1"/>
  <c r="I116" i="9" s="1"/>
  <c r="J116" i="9" s="1"/>
  <c r="K116" i="9" s="1"/>
  <c r="L116" i="9" s="1"/>
  <c r="M116" i="9" s="1"/>
  <c r="F116" i="9"/>
  <c r="E116" i="9"/>
  <c r="D116" i="9"/>
  <c r="C116" i="9"/>
  <c r="D115" i="9"/>
  <c r="E115" i="9" s="1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C115" i="9"/>
  <c r="C114" i="9"/>
  <c r="D114" i="9" s="1"/>
  <c r="E114" i="9" s="1"/>
  <c r="F114" i="9" s="1"/>
  <c r="G114" i="9" s="1"/>
  <c r="H114" i="9" s="1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D113" i="9"/>
  <c r="E113" i="9" s="1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C113" i="9"/>
  <c r="F112" i="9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E112" i="9"/>
  <c r="D112" i="9"/>
  <c r="C112" i="9"/>
  <c r="L111" i="9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K111" i="9"/>
  <c r="J111" i="9"/>
  <c r="D111" i="9"/>
  <c r="E111" i="9" s="1"/>
  <c r="F111" i="9" s="1"/>
  <c r="G111" i="9" s="1"/>
  <c r="H111" i="9" s="1"/>
  <c r="C111" i="9"/>
  <c r="Q110" i="9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J110" i="9"/>
  <c r="K110" i="9" s="1"/>
  <c r="L110" i="9" s="1"/>
  <c r="M110" i="9" s="1"/>
  <c r="N110" i="9" s="1"/>
  <c r="O110" i="9" s="1"/>
  <c r="P110" i="9" s="1"/>
  <c r="I110" i="9"/>
  <c r="C110" i="9"/>
  <c r="D110" i="9" s="1"/>
  <c r="E110" i="9" s="1"/>
  <c r="F110" i="9" s="1"/>
  <c r="G110" i="9" s="1"/>
  <c r="H110" i="9" s="1"/>
  <c r="P109" i="9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O109" i="9"/>
  <c r="H109" i="9"/>
  <c r="I109" i="9" s="1"/>
  <c r="J109" i="9" s="1"/>
  <c r="K109" i="9" s="1"/>
  <c r="L109" i="9" s="1"/>
  <c r="M109" i="9" s="1"/>
  <c r="N109" i="9" s="1"/>
  <c r="G109" i="9"/>
  <c r="C109" i="9"/>
  <c r="D109" i="9" s="1"/>
  <c r="E109" i="9" s="1"/>
  <c r="F109" i="9" s="1"/>
  <c r="U107" i="9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N107" i="9"/>
  <c r="O107" i="9" s="1"/>
  <c r="P107" i="9" s="1"/>
  <c r="Q107" i="9" s="1"/>
  <c r="R107" i="9" s="1"/>
  <c r="S107" i="9" s="1"/>
  <c r="T107" i="9" s="1"/>
  <c r="M107" i="9"/>
  <c r="F107" i="9"/>
  <c r="G107" i="9" s="1"/>
  <c r="H107" i="9" s="1"/>
  <c r="I107" i="9" s="1"/>
  <c r="J107" i="9" s="1"/>
  <c r="K107" i="9" s="1"/>
  <c r="L107" i="9" s="1"/>
  <c r="E107" i="9"/>
  <c r="D107" i="9"/>
  <c r="C107" i="9"/>
  <c r="C106" i="9"/>
  <c r="D106" i="9" s="1"/>
  <c r="E106" i="9" s="1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J104" i="9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I104" i="9"/>
  <c r="C104" i="9"/>
  <c r="D104" i="9" s="1"/>
  <c r="E104" i="9" s="1"/>
  <c r="F104" i="9" s="1"/>
  <c r="G104" i="9" s="1"/>
  <c r="H104" i="9" s="1"/>
  <c r="C103" i="9"/>
  <c r="D103" i="9" s="1"/>
  <c r="E103" i="9" s="1"/>
  <c r="F103" i="9" s="1"/>
  <c r="G103" i="9" s="1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E102" i="9"/>
  <c r="F102" i="9" s="1"/>
  <c r="G102" i="9" s="1"/>
  <c r="H102" i="9" s="1"/>
  <c r="I102" i="9" s="1"/>
  <c r="J102" i="9" s="1"/>
  <c r="K102" i="9" s="1"/>
  <c r="L102" i="9" s="1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AE102" i="9" s="1"/>
  <c r="AF102" i="9" s="1"/>
  <c r="D102" i="9"/>
  <c r="C102" i="9"/>
  <c r="D101" i="9"/>
  <c r="E101" i="9" s="1"/>
  <c r="F101" i="9" s="1"/>
  <c r="G101" i="9" s="1"/>
  <c r="H101" i="9" s="1"/>
  <c r="I101" i="9" s="1"/>
  <c r="J101" i="9" s="1"/>
  <c r="K101" i="9" s="1"/>
  <c r="L101" i="9" s="1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X101" i="9" s="1"/>
  <c r="Y101" i="9" s="1"/>
  <c r="Z101" i="9" s="1"/>
  <c r="AA101" i="9" s="1"/>
  <c r="AB101" i="9" s="1"/>
  <c r="AC101" i="9" s="1"/>
  <c r="AD101" i="9" s="1"/>
  <c r="AE101" i="9" s="1"/>
  <c r="AF101" i="9" s="1"/>
  <c r="C101" i="9"/>
  <c r="C100" i="9"/>
  <c r="D100" i="9" s="1"/>
  <c r="C99" i="9"/>
  <c r="B91" i="9"/>
  <c r="AG80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E76" i="9"/>
  <c r="AD76" i="9"/>
  <c r="AC76" i="9"/>
  <c r="AB76" i="9"/>
  <c r="AA76" i="9"/>
  <c r="Z76" i="9"/>
  <c r="Y76" i="9"/>
  <c r="Y80" i="9" s="1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S80" i="9" s="1"/>
  <c r="R74" i="9"/>
  <c r="Q74" i="9"/>
  <c r="P74" i="9"/>
  <c r="O74" i="9"/>
  <c r="N74" i="9"/>
  <c r="M74" i="9"/>
  <c r="L74" i="9"/>
  <c r="K74" i="9"/>
  <c r="K80" i="9" s="1"/>
  <c r="J74" i="9"/>
  <c r="J80" i="9" s="1"/>
  <c r="I74" i="9"/>
  <c r="H74" i="9"/>
  <c r="H80" i="9" s="1"/>
  <c r="G74" i="9"/>
  <c r="F74" i="9"/>
  <c r="F80" i="9" s="1"/>
  <c r="E74" i="9"/>
  <c r="E80" i="9" s="1"/>
  <c r="D74" i="9"/>
  <c r="C74" i="9"/>
  <c r="B74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G66" i="9"/>
  <c r="AG71" i="9" s="1"/>
  <c r="AF66" i="9"/>
  <c r="AF5" i="9" s="1"/>
  <c r="AE66" i="9"/>
  <c r="AD66" i="9"/>
  <c r="AD5" i="9" s="1"/>
  <c r="AC66" i="9"/>
  <c r="AC5" i="9" s="1"/>
  <c r="AB66" i="9"/>
  <c r="AB5" i="9" s="1"/>
  <c r="AA66" i="9"/>
  <c r="AA5" i="9" s="1"/>
  <c r="Z66" i="9"/>
  <c r="Z5" i="9" s="1"/>
  <c r="Y66" i="9"/>
  <c r="X66" i="9"/>
  <c r="X5" i="9" s="1"/>
  <c r="W66" i="9"/>
  <c r="W5" i="9" s="1"/>
  <c r="V66" i="9"/>
  <c r="V5" i="9" s="1"/>
  <c r="U66" i="9"/>
  <c r="T66" i="9"/>
  <c r="T5" i="9" s="1"/>
  <c r="S66" i="9"/>
  <c r="S5" i="9" s="1"/>
  <c r="R66" i="9"/>
  <c r="Q66" i="9"/>
  <c r="Q5" i="9" s="1"/>
  <c r="P66" i="9"/>
  <c r="P5" i="9" s="1"/>
  <c r="O66" i="9"/>
  <c r="N66" i="9"/>
  <c r="N5" i="9" s="1"/>
  <c r="M66" i="9"/>
  <c r="M5" i="9" s="1"/>
  <c r="L66" i="9"/>
  <c r="L5" i="9" s="1"/>
  <c r="K66" i="9"/>
  <c r="J66" i="9"/>
  <c r="I66" i="9"/>
  <c r="H66" i="9"/>
  <c r="H5" i="9" s="1"/>
  <c r="G66" i="9"/>
  <c r="G5" i="9" s="1"/>
  <c r="F66" i="9"/>
  <c r="F5" i="9" s="1"/>
  <c r="E66" i="9"/>
  <c r="E5" i="9" s="1"/>
  <c r="D66" i="9"/>
  <c r="D5" i="9" s="1"/>
  <c r="C66" i="9"/>
  <c r="C5" i="9" s="1"/>
  <c r="B66" i="9"/>
  <c r="B5" i="9" s="1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G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G49" i="9"/>
  <c r="AG36" i="9"/>
  <c r="AF36" i="9"/>
  <c r="AE36" i="9"/>
  <c r="AD36" i="9"/>
  <c r="AC36" i="9"/>
  <c r="AB36" i="9"/>
  <c r="AA36" i="9"/>
  <c r="Z36" i="9"/>
  <c r="X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AE5" i="9"/>
  <c r="Y5" i="9"/>
  <c r="U5" i="9"/>
  <c r="R5" i="9"/>
  <c r="O5" i="9"/>
  <c r="K5" i="9"/>
  <c r="J5" i="9"/>
  <c r="I5" i="9"/>
  <c r="AG4" i="9"/>
  <c r="K4" i="9"/>
  <c r="B4" i="9"/>
  <c r="AG3" i="9"/>
  <c r="AG2" i="9"/>
  <c r="AG6" i="9" s="1"/>
  <c r="Y49" i="7"/>
  <c r="AA92" i="8"/>
  <c r="Z34" i="8"/>
  <c r="X34" i="8"/>
  <c r="E4" i="9"/>
  <c r="F232" i="10" l="1"/>
  <c r="G196" i="10"/>
  <c r="F197" i="10"/>
  <c r="H100" i="10"/>
  <c r="G91" i="10"/>
  <c r="F189" i="10"/>
  <c r="G99" i="10"/>
  <c r="I191" i="10"/>
  <c r="AF80" i="9"/>
  <c r="AE80" i="9"/>
  <c r="AD80" i="9"/>
  <c r="AC80" i="9"/>
  <c r="AB80" i="9"/>
  <c r="AA80" i="9"/>
  <c r="Z80" i="9"/>
  <c r="X80" i="9"/>
  <c r="W80" i="9"/>
  <c r="V80" i="9"/>
  <c r="U80" i="9"/>
  <c r="T80" i="9"/>
  <c r="S73" i="9"/>
  <c r="R80" i="9"/>
  <c r="R73" i="9"/>
  <c r="Q80" i="9"/>
  <c r="P80" i="9"/>
  <c r="O80" i="9"/>
  <c r="O71" i="9"/>
  <c r="N71" i="9"/>
  <c r="N80" i="9"/>
  <c r="M80" i="9"/>
  <c r="L80" i="9"/>
  <c r="L71" i="9"/>
  <c r="K73" i="9"/>
  <c r="AC211" i="9" s="1"/>
  <c r="J73" i="9"/>
  <c r="AB211" i="9" s="1"/>
  <c r="I80" i="9"/>
  <c r="G71" i="9"/>
  <c r="G80" i="9"/>
  <c r="F71" i="9"/>
  <c r="D80" i="9"/>
  <c r="D71" i="9"/>
  <c r="C80" i="9"/>
  <c r="C73" i="9"/>
  <c r="C7" i="9" s="1"/>
  <c r="I71" i="9"/>
  <c r="Q71" i="9"/>
  <c r="J71" i="9"/>
  <c r="J81" i="9" s="1"/>
  <c r="R71" i="9"/>
  <c r="R81" i="9" s="1"/>
  <c r="C71" i="9"/>
  <c r="K71" i="9"/>
  <c r="S71" i="9"/>
  <c r="S81" i="9" s="1"/>
  <c r="E73" i="9"/>
  <c r="E7" i="9" s="1"/>
  <c r="M73" i="9"/>
  <c r="M7" i="9" s="1"/>
  <c r="F73" i="9"/>
  <c r="F7" i="9" s="1"/>
  <c r="N73" i="9"/>
  <c r="N81" i="9" s="1"/>
  <c r="E71" i="9"/>
  <c r="M71" i="9"/>
  <c r="G73" i="9"/>
  <c r="O73" i="9"/>
  <c r="AG211" i="9" s="1"/>
  <c r="B71" i="9"/>
  <c r="B73" i="9" s="1"/>
  <c r="H4" i="9"/>
  <c r="E100" i="9"/>
  <c r="AJ211" i="9"/>
  <c r="R7" i="9"/>
  <c r="U211" i="9"/>
  <c r="AK211" i="9"/>
  <c r="S7" i="9"/>
  <c r="K7" i="9"/>
  <c r="H73" i="9"/>
  <c r="P73" i="9"/>
  <c r="C91" i="9"/>
  <c r="I73" i="9"/>
  <c r="Q73" i="9"/>
  <c r="AG73" i="9"/>
  <c r="AG81" i="9" s="1"/>
  <c r="B80" i="9"/>
  <c r="H71" i="9"/>
  <c r="P71" i="9"/>
  <c r="D73" i="9"/>
  <c r="D81" i="9" s="1"/>
  <c r="L73" i="9"/>
  <c r="S208" i="9"/>
  <c r="D208" i="9"/>
  <c r="C189" i="9"/>
  <c r="D99" i="9"/>
  <c r="D191" i="9"/>
  <c r="F196" i="9"/>
  <c r="W34" i="8"/>
  <c r="V34" i="8"/>
  <c r="U34" i="8"/>
  <c r="T34" i="8"/>
  <c r="S34" i="8"/>
  <c r="Q34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B78" i="5"/>
  <c r="B77" i="5"/>
  <c r="B76" i="5"/>
  <c r="B75" i="5"/>
  <c r="B74" i="5"/>
  <c r="B73" i="5"/>
  <c r="C73" i="5"/>
  <c r="D73" i="5"/>
  <c r="E73" i="5"/>
  <c r="F73" i="5"/>
  <c r="G73" i="5"/>
  <c r="H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B75" i="6"/>
  <c r="B76" i="6"/>
  <c r="B77" i="6"/>
  <c r="B78" i="6"/>
  <c r="I100" i="10" l="1"/>
  <c r="G232" i="10"/>
  <c r="H196" i="10"/>
  <c r="G197" i="10"/>
  <c r="J191" i="10"/>
  <c r="G189" i="10"/>
  <c r="H99" i="10"/>
  <c r="J7" i="9"/>
  <c r="K81" i="9"/>
  <c r="X211" i="9"/>
  <c r="N7" i="9"/>
  <c r="AF211" i="9"/>
  <c r="AE211" i="9"/>
  <c r="M81" i="9"/>
  <c r="I81" i="9"/>
  <c r="G81" i="9"/>
  <c r="F81" i="9"/>
  <c r="C81" i="9"/>
  <c r="Y211" i="9"/>
  <c r="O7" i="9"/>
  <c r="O81" i="9"/>
  <c r="E81" i="9"/>
  <c r="W211" i="9"/>
  <c r="P81" i="9"/>
  <c r="G7" i="9"/>
  <c r="C206" i="9"/>
  <c r="AD211" i="9"/>
  <c r="L7" i="9"/>
  <c r="AH211" i="9"/>
  <c r="P7" i="9"/>
  <c r="D189" i="9"/>
  <c r="E99" i="9"/>
  <c r="V211" i="9"/>
  <c r="D7" i="9"/>
  <c r="Z211" i="9"/>
  <c r="H7" i="9"/>
  <c r="B206" i="9"/>
  <c r="T211" i="9"/>
  <c r="B7" i="9"/>
  <c r="H81" i="9"/>
  <c r="L81" i="9"/>
  <c r="F100" i="9"/>
  <c r="E91" i="9"/>
  <c r="AI211" i="9"/>
  <c r="Q7" i="9"/>
  <c r="F232" i="9"/>
  <c r="G196" i="9"/>
  <c r="AA211" i="9"/>
  <c r="I7" i="9"/>
  <c r="B81" i="9"/>
  <c r="D197" i="9"/>
  <c r="E191" i="9"/>
  <c r="Q81" i="9"/>
  <c r="D91" i="9"/>
  <c r="AH96" i="8"/>
  <c r="AI96" i="8" s="1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AF234" i="8"/>
  <c r="AE234" i="8"/>
  <c r="AD234" i="8"/>
  <c r="AC234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D234" i="8"/>
  <c r="C234" i="8"/>
  <c r="B234" i="8"/>
  <c r="A234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B233" i="8"/>
  <c r="A233" i="8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B232" i="8"/>
  <c r="A232" i="8"/>
  <c r="B231" i="8"/>
  <c r="S206" i="8"/>
  <c r="AG196" i="8"/>
  <c r="B196" i="8"/>
  <c r="C195" i="8"/>
  <c r="C194" i="8"/>
  <c r="D194" i="8" s="1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C193" i="8"/>
  <c r="D193" i="8" s="1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R192" i="8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O192" i="8"/>
  <c r="P192" i="8" s="1"/>
  <c r="Q192" i="8" s="1"/>
  <c r="F192" i="8"/>
  <c r="G192" i="8" s="1"/>
  <c r="H192" i="8" s="1"/>
  <c r="I192" i="8" s="1"/>
  <c r="J192" i="8" s="1"/>
  <c r="K192" i="8" s="1"/>
  <c r="L192" i="8" s="1"/>
  <c r="M192" i="8" s="1"/>
  <c r="N192" i="8" s="1"/>
  <c r="C192" i="8"/>
  <c r="D192" i="8" s="1"/>
  <c r="E192" i="8" s="1"/>
  <c r="C191" i="8"/>
  <c r="D191" i="8" s="1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C190" i="8"/>
  <c r="AG188" i="8"/>
  <c r="B188" i="8"/>
  <c r="H187" i="8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D187" i="8"/>
  <c r="E187" i="8" s="1"/>
  <c r="F187" i="8" s="1"/>
  <c r="G187" i="8" s="1"/>
  <c r="C187" i="8"/>
  <c r="C186" i="8"/>
  <c r="D186" i="8" s="1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C185" i="8"/>
  <c r="D185" i="8" s="1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C184" i="8"/>
  <c r="D184" i="8" s="1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C183" i="8"/>
  <c r="V182" i="8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C182" i="8"/>
  <c r="D182" i="8" s="1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C181" i="8"/>
  <c r="D181" i="8" s="1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I180" i="8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F180" i="8"/>
  <c r="G180" i="8" s="1"/>
  <c r="H180" i="8" s="1"/>
  <c r="D180" i="8"/>
  <c r="E180" i="8" s="1"/>
  <c r="C180" i="8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C179" i="8"/>
  <c r="K178" i="8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G178" i="8"/>
  <c r="H178" i="8" s="1"/>
  <c r="I178" i="8" s="1"/>
  <c r="J178" i="8" s="1"/>
  <c r="F178" i="8"/>
  <c r="E178" i="8"/>
  <c r="C178" i="8"/>
  <c r="D178" i="8" s="1"/>
  <c r="E177" i="8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C177" i="8"/>
  <c r="D177" i="8" s="1"/>
  <c r="G176" i="8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D176" i="8"/>
  <c r="E176" i="8" s="1"/>
  <c r="F176" i="8" s="1"/>
  <c r="C176" i="8"/>
  <c r="F175" i="8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D175" i="8"/>
  <c r="E175" i="8" s="1"/>
  <c r="C175" i="8"/>
  <c r="AC173" i="8"/>
  <c r="AD173" i="8" s="1"/>
  <c r="AE173" i="8" s="1"/>
  <c r="AF173" i="8" s="1"/>
  <c r="O173" i="8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C173" i="8"/>
  <c r="C172" i="8"/>
  <c r="D172" i="8" s="1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N171" i="8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F171" i="8"/>
  <c r="G171" i="8" s="1"/>
  <c r="H171" i="8" s="1"/>
  <c r="I171" i="8" s="1"/>
  <c r="J171" i="8" s="1"/>
  <c r="K171" i="8" s="1"/>
  <c r="L171" i="8" s="1"/>
  <c r="M171" i="8" s="1"/>
  <c r="C171" i="8"/>
  <c r="D171" i="8" s="1"/>
  <c r="E171" i="8" s="1"/>
  <c r="AE170" i="8"/>
  <c r="AF170" i="8" s="1"/>
  <c r="F170" i="8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D170" i="8"/>
  <c r="E170" i="8" s="1"/>
  <c r="C170" i="8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C169" i="8"/>
  <c r="AC168" i="8"/>
  <c r="AD168" i="8" s="1"/>
  <c r="AE168" i="8" s="1"/>
  <c r="AF168" i="8" s="1"/>
  <c r="R168" i="8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C168" i="8"/>
  <c r="C167" i="8"/>
  <c r="D167" i="8" s="1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F166" i="8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E166" i="8"/>
  <c r="D166" i="8"/>
  <c r="C166" i="8"/>
  <c r="C164" i="8"/>
  <c r="D164" i="8" s="1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T163" i="8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C163" i="8"/>
  <c r="G162" i="8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C162" i="8"/>
  <c r="D162" i="8" s="1"/>
  <c r="E162" i="8" s="1"/>
  <c r="F162" i="8" s="1"/>
  <c r="P161" i="8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M161" i="8"/>
  <c r="N161" i="8" s="1"/>
  <c r="O161" i="8" s="1"/>
  <c r="E161" i="8"/>
  <c r="F161" i="8" s="1"/>
  <c r="G161" i="8" s="1"/>
  <c r="H161" i="8" s="1"/>
  <c r="I161" i="8" s="1"/>
  <c r="J161" i="8" s="1"/>
  <c r="K161" i="8" s="1"/>
  <c r="L161" i="8" s="1"/>
  <c r="D161" i="8"/>
  <c r="C161" i="8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C160" i="8"/>
  <c r="E159" i="8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D159" i="8"/>
  <c r="C159" i="8"/>
  <c r="C158" i="8"/>
  <c r="D158" i="8" s="1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D157" i="8"/>
  <c r="AE157" i="8" s="1"/>
  <c r="AF157" i="8" s="1"/>
  <c r="T157" i="8"/>
  <c r="U157" i="8" s="1"/>
  <c r="V157" i="8" s="1"/>
  <c r="W157" i="8" s="1"/>
  <c r="X157" i="8" s="1"/>
  <c r="Y157" i="8" s="1"/>
  <c r="Z157" i="8" s="1"/>
  <c r="AA157" i="8" s="1"/>
  <c r="AB157" i="8" s="1"/>
  <c r="AC157" i="8" s="1"/>
  <c r="L157" i="8"/>
  <c r="M157" i="8" s="1"/>
  <c r="N157" i="8" s="1"/>
  <c r="O157" i="8" s="1"/>
  <c r="P157" i="8" s="1"/>
  <c r="Q157" i="8" s="1"/>
  <c r="R157" i="8" s="1"/>
  <c r="S157" i="8" s="1"/>
  <c r="I157" i="8"/>
  <c r="J157" i="8" s="1"/>
  <c r="K157" i="8" s="1"/>
  <c r="D157" i="8"/>
  <c r="E157" i="8" s="1"/>
  <c r="F157" i="8" s="1"/>
  <c r="G157" i="8" s="1"/>
  <c r="H157" i="8" s="1"/>
  <c r="C157" i="8"/>
  <c r="AD156" i="8"/>
  <c r="AE156" i="8" s="1"/>
  <c r="AF156" i="8" s="1"/>
  <c r="S156" i="8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K156" i="8"/>
  <c r="L156" i="8" s="1"/>
  <c r="M156" i="8" s="1"/>
  <c r="N156" i="8" s="1"/>
  <c r="O156" i="8" s="1"/>
  <c r="P156" i="8" s="1"/>
  <c r="Q156" i="8" s="1"/>
  <c r="R156" i="8" s="1"/>
  <c r="H156" i="8"/>
  <c r="I156" i="8" s="1"/>
  <c r="J156" i="8" s="1"/>
  <c r="C156" i="8"/>
  <c r="D156" i="8" s="1"/>
  <c r="E156" i="8" s="1"/>
  <c r="F156" i="8" s="1"/>
  <c r="G156" i="8" s="1"/>
  <c r="I155" i="8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F155" i="8"/>
  <c r="G155" i="8" s="1"/>
  <c r="H155" i="8" s="1"/>
  <c r="D155" i="8"/>
  <c r="E155" i="8" s="1"/>
  <c r="C155" i="8"/>
  <c r="S154" i="8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H154" i="8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F154" i="8"/>
  <c r="G154" i="8" s="1"/>
  <c r="C154" i="8"/>
  <c r="D154" i="8" s="1"/>
  <c r="E154" i="8" s="1"/>
  <c r="N153" i="8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C153" i="8"/>
  <c r="C152" i="8"/>
  <c r="D152" i="8" s="1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K150" i="8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E150" i="8"/>
  <c r="F150" i="8" s="1"/>
  <c r="G150" i="8" s="1"/>
  <c r="H150" i="8" s="1"/>
  <c r="I150" i="8" s="1"/>
  <c r="J150" i="8" s="1"/>
  <c r="C150" i="8"/>
  <c r="D150" i="8" s="1"/>
  <c r="S149" i="8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C149" i="8"/>
  <c r="D149" i="8" s="1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G148" i="8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C148" i="8"/>
  <c r="D148" i="8" s="1"/>
  <c r="E148" i="8" s="1"/>
  <c r="F148" i="8" s="1"/>
  <c r="C147" i="8"/>
  <c r="D147" i="8" s="1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E145" i="8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C145" i="8"/>
  <c r="D145" i="8" s="1"/>
  <c r="U144" i="8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E144" i="8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C144" i="8"/>
  <c r="D144" i="8" s="1"/>
  <c r="C142" i="8"/>
  <c r="D142" i="8" s="1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C141" i="8"/>
  <c r="D141" i="8" s="1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C140" i="8"/>
  <c r="D140" i="8" s="1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Q139" i="8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C139" i="8"/>
  <c r="D139" i="8" s="1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G138" i="8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C138" i="8"/>
  <c r="D138" i="8" s="1"/>
  <c r="E138" i="8" s="1"/>
  <c r="F138" i="8" s="1"/>
  <c r="C137" i="8"/>
  <c r="D137" i="8" s="1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I136" i="8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C136" i="8"/>
  <c r="D136" i="8" s="1"/>
  <c r="E136" i="8" s="1"/>
  <c r="F136" i="8" s="1"/>
  <c r="G136" i="8" s="1"/>
  <c r="H136" i="8" s="1"/>
  <c r="L134" i="8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C134" i="8"/>
  <c r="D134" i="8" s="1"/>
  <c r="E134" i="8" s="1"/>
  <c r="F134" i="8" s="1"/>
  <c r="G134" i="8" s="1"/>
  <c r="H134" i="8" s="1"/>
  <c r="I134" i="8" s="1"/>
  <c r="J134" i="8" s="1"/>
  <c r="K134" i="8" s="1"/>
  <c r="E133" i="8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D133" i="8"/>
  <c r="C133" i="8"/>
  <c r="C132" i="8"/>
  <c r="D132" i="8" s="1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I131" i="8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C131" i="8"/>
  <c r="D131" i="8" s="1"/>
  <c r="E131" i="8" s="1"/>
  <c r="F131" i="8" s="1"/>
  <c r="G131" i="8" s="1"/>
  <c r="H131" i="8" s="1"/>
  <c r="G130" i="8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C130" i="8"/>
  <c r="D130" i="8" s="1"/>
  <c r="E130" i="8" s="1"/>
  <c r="F130" i="8" s="1"/>
  <c r="G129" i="8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E129" i="8"/>
  <c r="F129" i="8" s="1"/>
  <c r="D129" i="8"/>
  <c r="C129" i="8"/>
  <c r="E128" i="8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C128" i="8"/>
  <c r="D128" i="8" s="1"/>
  <c r="C127" i="8"/>
  <c r="D127" i="8" s="1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C125" i="8"/>
  <c r="D125" i="8" s="1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H124" i="8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D124" i="8"/>
  <c r="E124" i="8" s="1"/>
  <c r="F124" i="8" s="1"/>
  <c r="G124" i="8" s="1"/>
  <c r="C124" i="8"/>
  <c r="C123" i="8"/>
  <c r="D123" i="8" s="1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G122" i="8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C122" i="8"/>
  <c r="D122" i="8" s="1"/>
  <c r="E122" i="8" s="1"/>
  <c r="F122" i="8" s="1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E121" i="8"/>
  <c r="F121" i="8" s="1"/>
  <c r="C121" i="8"/>
  <c r="D121" i="8" s="1"/>
  <c r="C120" i="8"/>
  <c r="D120" i="8" s="1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E119" i="8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C119" i="8"/>
  <c r="D119" i="8" s="1"/>
  <c r="C118" i="8"/>
  <c r="D118" i="8" s="1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G117" i="8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D117" i="8"/>
  <c r="E117" i="8" s="1"/>
  <c r="F117" i="8" s="1"/>
  <c r="C117" i="8"/>
  <c r="C116" i="8"/>
  <c r="D116" i="8" s="1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I115" i="8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F115" i="8"/>
  <c r="G115" i="8" s="1"/>
  <c r="H115" i="8" s="1"/>
  <c r="C115" i="8"/>
  <c r="D115" i="8" s="1"/>
  <c r="E115" i="8" s="1"/>
  <c r="C114" i="8"/>
  <c r="D114" i="8" s="1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I113" i="8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E113" i="8"/>
  <c r="F113" i="8" s="1"/>
  <c r="G113" i="8" s="1"/>
  <c r="H113" i="8" s="1"/>
  <c r="D113" i="8"/>
  <c r="C113" i="8"/>
  <c r="H112" i="8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D112" i="8"/>
  <c r="E112" i="8" s="1"/>
  <c r="F112" i="8" s="1"/>
  <c r="G112" i="8" s="1"/>
  <c r="C112" i="8"/>
  <c r="E111" i="8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C111" i="8"/>
  <c r="D111" i="8" s="1"/>
  <c r="M110" i="8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K110" i="8"/>
  <c r="L110" i="8" s="1"/>
  <c r="J110" i="8"/>
  <c r="D110" i="8"/>
  <c r="E110" i="8" s="1"/>
  <c r="F110" i="8" s="1"/>
  <c r="G110" i="8" s="1"/>
  <c r="H110" i="8" s="1"/>
  <c r="C110" i="8"/>
  <c r="C109" i="8"/>
  <c r="D109" i="8" s="1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F108" i="8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C108" i="8"/>
  <c r="D108" i="8" s="1"/>
  <c r="E108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C106" i="8"/>
  <c r="C105" i="8"/>
  <c r="D105" i="8" s="1"/>
  <c r="C103" i="8"/>
  <c r="D103" i="8" s="1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F102" i="8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C102" i="8"/>
  <c r="D102" i="8" s="1"/>
  <c r="E102" i="8" s="1"/>
  <c r="E101" i="8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C101" i="8"/>
  <c r="D101" i="8" s="1"/>
  <c r="C100" i="8"/>
  <c r="D100" i="8" s="1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D99" i="8"/>
  <c r="E99" i="8" s="1"/>
  <c r="C99" i="8"/>
  <c r="C98" i="8"/>
  <c r="AH95" i="8"/>
  <c r="AI95" i="8" s="1"/>
  <c r="AH94" i="8"/>
  <c r="AI94" i="8" s="1"/>
  <c r="AH93" i="8"/>
  <c r="AI93" i="8" s="1"/>
  <c r="AH92" i="8"/>
  <c r="AI92" i="8" s="1"/>
  <c r="AH91" i="8"/>
  <c r="AI91" i="8" s="1"/>
  <c r="C90" i="8"/>
  <c r="B90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I71" i="8"/>
  <c r="AH71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I69" i="8" s="1"/>
  <c r="B69" i="8"/>
  <c r="AH69" i="8" s="1"/>
  <c r="AI68" i="8"/>
  <c r="AH68" i="8"/>
  <c r="AI67" i="8"/>
  <c r="AH67" i="8"/>
  <c r="AI66" i="8"/>
  <c r="AH66" i="8"/>
  <c r="AG65" i="8"/>
  <c r="AF65" i="8"/>
  <c r="AE65" i="8"/>
  <c r="AE5" i="8" s="1"/>
  <c r="AD65" i="8"/>
  <c r="AD5" i="8" s="1"/>
  <c r="AC65" i="8"/>
  <c r="AC5" i="8" s="1"/>
  <c r="AB65" i="8"/>
  <c r="AB5" i="8" s="1"/>
  <c r="AA65" i="8"/>
  <c r="Z65" i="8"/>
  <c r="Z5" i="8" s="1"/>
  <c r="Y65" i="8"/>
  <c r="X65" i="8"/>
  <c r="X5" i="8" s="1"/>
  <c r="W65" i="8"/>
  <c r="W5" i="8" s="1"/>
  <c r="V65" i="8"/>
  <c r="V5" i="8" s="1"/>
  <c r="U65" i="8"/>
  <c r="U5" i="8" s="1"/>
  <c r="T65" i="8"/>
  <c r="T5" i="8" s="1"/>
  <c r="S65" i="8"/>
  <c r="R65" i="8"/>
  <c r="R5" i="8" s="1"/>
  <c r="Q65" i="8"/>
  <c r="Q5" i="8" s="1"/>
  <c r="P65" i="8"/>
  <c r="P5" i="8" s="1"/>
  <c r="O65" i="8"/>
  <c r="O5" i="8" s="1"/>
  <c r="N65" i="8"/>
  <c r="N5" i="8" s="1"/>
  <c r="M65" i="8"/>
  <c r="M5" i="8" s="1"/>
  <c r="L65" i="8"/>
  <c r="L5" i="8" s="1"/>
  <c r="K65" i="8"/>
  <c r="J65" i="8"/>
  <c r="I65" i="8"/>
  <c r="I5" i="8" s="1"/>
  <c r="H65" i="8"/>
  <c r="H5" i="8" s="1"/>
  <c r="G65" i="8"/>
  <c r="G5" i="8" s="1"/>
  <c r="F65" i="8"/>
  <c r="F5" i="8" s="1"/>
  <c r="E65" i="8"/>
  <c r="E5" i="8" s="1"/>
  <c r="D65" i="8"/>
  <c r="D5" i="8" s="1"/>
  <c r="C65" i="8"/>
  <c r="B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I52" i="8"/>
  <c r="AH52" i="8"/>
  <c r="AI51" i="8"/>
  <c r="AH51" i="8"/>
  <c r="AI50" i="8"/>
  <c r="AH50" i="8"/>
  <c r="Y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G48" i="8"/>
  <c r="AG49" i="8" s="1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F5" i="8"/>
  <c r="Y5" i="8"/>
  <c r="J5" i="8"/>
  <c r="B5" i="8"/>
  <c r="AG4" i="8"/>
  <c r="K4" i="8"/>
  <c r="B4" i="8"/>
  <c r="AG2" i="8"/>
  <c r="Z92" i="7"/>
  <c r="Y48" i="7"/>
  <c r="Y92" i="7"/>
  <c r="Y35" i="7"/>
  <c r="V35" i="7"/>
  <c r="W35" i="7"/>
  <c r="X35" i="7"/>
  <c r="V92" i="7"/>
  <c r="X92" i="7"/>
  <c r="W92" i="7"/>
  <c r="U92" i="7"/>
  <c r="T92" i="7"/>
  <c r="R92" i="7"/>
  <c r="E4" i="8"/>
  <c r="K191" i="10" l="1"/>
  <c r="H232" i="10"/>
  <c r="I196" i="10"/>
  <c r="H197" i="10"/>
  <c r="H91" i="10"/>
  <c r="H189" i="10"/>
  <c r="I99" i="10"/>
  <c r="J100" i="10"/>
  <c r="K6" i="9"/>
  <c r="E189" i="9"/>
  <c r="F99" i="9"/>
  <c r="G100" i="9"/>
  <c r="F91" i="9"/>
  <c r="G232" i="9"/>
  <c r="H196" i="9"/>
  <c r="F191" i="9"/>
  <c r="E197" i="9"/>
  <c r="Y70" i="8"/>
  <c r="Y72" i="8"/>
  <c r="AQ210" i="8" s="1"/>
  <c r="S70" i="8"/>
  <c r="R70" i="8"/>
  <c r="R72" i="8"/>
  <c r="R7" i="8" s="1"/>
  <c r="Q70" i="8"/>
  <c r="Q72" i="8"/>
  <c r="AI210" i="8" s="1"/>
  <c r="P72" i="8"/>
  <c r="P7" i="8" s="1"/>
  <c r="P70" i="8"/>
  <c r="AH53" i="8"/>
  <c r="M72" i="8"/>
  <c r="AE210" i="8" s="1"/>
  <c r="AI79" i="8"/>
  <c r="M70" i="8"/>
  <c r="M80" i="8" s="1"/>
  <c r="L70" i="8"/>
  <c r="K70" i="8"/>
  <c r="J70" i="8"/>
  <c r="J72" i="8"/>
  <c r="J80" i="8" s="1"/>
  <c r="I72" i="8"/>
  <c r="AA210" i="8" s="1"/>
  <c r="I70" i="8"/>
  <c r="I80" i="8" s="1"/>
  <c r="H72" i="8"/>
  <c r="H80" i="8" s="1"/>
  <c r="H70" i="8"/>
  <c r="AI53" i="8"/>
  <c r="E70" i="8"/>
  <c r="E72" i="8"/>
  <c r="W210" i="8" s="1"/>
  <c r="AH65" i="8"/>
  <c r="D70" i="8"/>
  <c r="AI35" i="8"/>
  <c r="C70" i="8"/>
  <c r="B70" i="8"/>
  <c r="B72" i="8" s="1"/>
  <c r="B80" i="8" s="1"/>
  <c r="H4" i="8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F99" i="8"/>
  <c r="AG6" i="8"/>
  <c r="AH210" i="8"/>
  <c r="R80" i="8"/>
  <c r="N80" i="8"/>
  <c r="AG3" i="8"/>
  <c r="AG72" i="8"/>
  <c r="AG70" i="8"/>
  <c r="AG80" i="8" s="1"/>
  <c r="AJ210" i="8"/>
  <c r="AH79" i="8"/>
  <c r="D207" i="8"/>
  <c r="S207" i="8"/>
  <c r="F70" i="8"/>
  <c r="N70" i="8"/>
  <c r="AI65" i="8"/>
  <c r="C5" i="8"/>
  <c r="K5" i="8"/>
  <c r="S5" i="8"/>
  <c r="AA5" i="8"/>
  <c r="Q7" i="8"/>
  <c r="AH35" i="8"/>
  <c r="G70" i="8"/>
  <c r="O70" i="8"/>
  <c r="C72" i="8"/>
  <c r="C80" i="8" s="1"/>
  <c r="K72" i="8"/>
  <c r="K80" i="8" s="1"/>
  <c r="S72" i="8"/>
  <c r="D72" i="8"/>
  <c r="L72" i="8"/>
  <c r="F72" i="8"/>
  <c r="F80" i="8" s="1"/>
  <c r="N72" i="8"/>
  <c r="C188" i="8"/>
  <c r="D98" i="8"/>
  <c r="M7" i="8"/>
  <c r="G72" i="8"/>
  <c r="O72" i="8"/>
  <c r="C196" i="8"/>
  <c r="D190" i="8"/>
  <c r="C231" i="8"/>
  <c r="D195" i="8"/>
  <c r="D90" i="8" s="1"/>
  <c r="I189" i="10" l="1"/>
  <c r="J99" i="10"/>
  <c r="J196" i="10"/>
  <c r="I232" i="10"/>
  <c r="I197" i="10"/>
  <c r="K100" i="10"/>
  <c r="J91" i="10"/>
  <c r="L191" i="10"/>
  <c r="I91" i="10"/>
  <c r="Y7" i="8"/>
  <c r="H100" i="9"/>
  <c r="G91" i="9"/>
  <c r="G191" i="9"/>
  <c r="F197" i="9"/>
  <c r="F189" i="9"/>
  <c r="G99" i="9"/>
  <c r="H232" i="9"/>
  <c r="I196" i="9"/>
  <c r="H7" i="8"/>
  <c r="Z210" i="8"/>
  <c r="I7" i="8"/>
  <c r="Y80" i="8"/>
  <c r="S80" i="8"/>
  <c r="P80" i="8"/>
  <c r="Q80" i="8"/>
  <c r="O80" i="8"/>
  <c r="G80" i="8"/>
  <c r="J7" i="8"/>
  <c r="AB210" i="8"/>
  <c r="E7" i="8"/>
  <c r="E80" i="8"/>
  <c r="D196" i="8"/>
  <c r="E190" i="8"/>
  <c r="D188" i="8"/>
  <c r="E98" i="8"/>
  <c r="AC210" i="8"/>
  <c r="K7" i="8"/>
  <c r="T210" i="8"/>
  <c r="B7" i="8"/>
  <c r="AD210" i="8"/>
  <c r="L7" i="8"/>
  <c r="U210" i="8"/>
  <c r="C7" i="8"/>
  <c r="AK210" i="8"/>
  <c r="S7" i="8"/>
  <c r="V210" i="8"/>
  <c r="D7" i="8"/>
  <c r="L80" i="8"/>
  <c r="E195" i="8"/>
  <c r="D231" i="8"/>
  <c r="AG210" i="8"/>
  <c r="O7" i="8"/>
  <c r="AF210" i="8"/>
  <c r="N7" i="8"/>
  <c r="D80" i="8"/>
  <c r="G99" i="8"/>
  <c r="Y210" i="8"/>
  <c r="G7" i="8"/>
  <c r="X210" i="8"/>
  <c r="C205" i="8"/>
  <c r="B205" i="8"/>
  <c r="F7" i="8"/>
  <c r="O34" i="7"/>
  <c r="M34" i="7"/>
  <c r="J232" i="10" l="1"/>
  <c r="K196" i="10"/>
  <c r="J197" i="10"/>
  <c r="L100" i="10"/>
  <c r="K91" i="10"/>
  <c r="M191" i="10"/>
  <c r="J189" i="10"/>
  <c r="K99" i="10"/>
  <c r="G189" i="9"/>
  <c r="H99" i="9"/>
  <c r="I100" i="9"/>
  <c r="H91" i="9"/>
  <c r="H191" i="9"/>
  <c r="G197" i="9"/>
  <c r="J196" i="9"/>
  <c r="I232" i="9"/>
  <c r="K6" i="8"/>
  <c r="F195" i="8"/>
  <c r="E231" i="8"/>
  <c r="H99" i="8"/>
  <c r="E188" i="8"/>
  <c r="F98" i="8"/>
  <c r="E196" i="8"/>
  <c r="F190" i="8"/>
  <c r="E90" i="8"/>
  <c r="N191" i="10" l="1"/>
  <c r="M100" i="10"/>
  <c r="L91" i="10"/>
  <c r="K232" i="10"/>
  <c r="L196" i="10"/>
  <c r="K197" i="10"/>
  <c r="K189" i="10"/>
  <c r="L99" i="10"/>
  <c r="I191" i="9"/>
  <c r="H197" i="9"/>
  <c r="I91" i="9"/>
  <c r="J100" i="9"/>
  <c r="K196" i="9"/>
  <c r="J232" i="9"/>
  <c r="H189" i="9"/>
  <c r="I99" i="9"/>
  <c r="F188" i="8"/>
  <c r="G98" i="8"/>
  <c r="I99" i="8"/>
  <c r="F231" i="8"/>
  <c r="G195" i="8"/>
  <c r="G190" i="8"/>
  <c r="F196" i="8"/>
  <c r="F90" i="8"/>
  <c r="N100" i="10" l="1"/>
  <c r="L232" i="10"/>
  <c r="M196" i="10"/>
  <c r="L197" i="10"/>
  <c r="O191" i="10"/>
  <c r="L189" i="10"/>
  <c r="M99" i="10"/>
  <c r="K232" i="9"/>
  <c r="L196" i="9"/>
  <c r="K100" i="9"/>
  <c r="I189" i="9"/>
  <c r="J99" i="9"/>
  <c r="I197" i="9"/>
  <c r="J191" i="9"/>
  <c r="G231" i="8"/>
  <c r="H195" i="8"/>
  <c r="J99" i="8"/>
  <c r="G188" i="8"/>
  <c r="H98" i="8"/>
  <c r="H190" i="8"/>
  <c r="G196" i="8"/>
  <c r="G90" i="8"/>
  <c r="P191" i="10" l="1"/>
  <c r="M232" i="10"/>
  <c r="N196" i="10"/>
  <c r="M197" i="10"/>
  <c r="M91" i="10"/>
  <c r="M189" i="10"/>
  <c r="N99" i="10"/>
  <c r="O100" i="10"/>
  <c r="N91" i="10"/>
  <c r="J197" i="9"/>
  <c r="K191" i="9"/>
  <c r="L100" i="9"/>
  <c r="K91" i="9"/>
  <c r="J189" i="9"/>
  <c r="K99" i="9"/>
  <c r="J91" i="9"/>
  <c r="L232" i="9"/>
  <c r="M196" i="9"/>
  <c r="H196" i="8"/>
  <c r="I190" i="8"/>
  <c r="H90" i="8"/>
  <c r="H188" i="8"/>
  <c r="I98" i="8"/>
  <c r="K99" i="8"/>
  <c r="H231" i="8"/>
  <c r="I195" i="8"/>
  <c r="N189" i="10" l="1"/>
  <c r="O99" i="10"/>
  <c r="N232" i="10"/>
  <c r="O196" i="10"/>
  <c r="N197" i="10"/>
  <c r="P100" i="10"/>
  <c r="O91" i="10"/>
  <c r="Q191" i="10"/>
  <c r="K189" i="9"/>
  <c r="L99" i="9"/>
  <c r="K197" i="9"/>
  <c r="L191" i="9"/>
  <c r="M100" i="9"/>
  <c r="L91" i="9"/>
  <c r="M232" i="9"/>
  <c r="N196" i="9"/>
  <c r="I188" i="8"/>
  <c r="J98" i="8"/>
  <c r="L99" i="8"/>
  <c r="J190" i="8"/>
  <c r="I196" i="8"/>
  <c r="I90" i="8"/>
  <c r="J195" i="8"/>
  <c r="I231" i="8"/>
  <c r="R191" i="10" l="1"/>
  <c r="Q100" i="10"/>
  <c r="P91" i="10"/>
  <c r="O232" i="10"/>
  <c r="P196" i="10"/>
  <c r="O197" i="10"/>
  <c r="O189" i="10"/>
  <c r="P99" i="10"/>
  <c r="L197" i="9"/>
  <c r="M191" i="9"/>
  <c r="L189" i="9"/>
  <c r="M99" i="9"/>
  <c r="N232" i="9"/>
  <c r="O196" i="9"/>
  <c r="N100" i="9"/>
  <c r="M91" i="9"/>
  <c r="M99" i="8"/>
  <c r="J196" i="8"/>
  <c r="K190" i="8"/>
  <c r="J90" i="8"/>
  <c r="J188" i="8"/>
  <c r="K98" i="8"/>
  <c r="J231" i="8"/>
  <c r="K195" i="8"/>
  <c r="P232" i="10" l="1"/>
  <c r="Q196" i="10"/>
  <c r="P197" i="10"/>
  <c r="R100" i="10"/>
  <c r="Q91" i="10"/>
  <c r="P189" i="10"/>
  <c r="Q99" i="10"/>
  <c r="S191" i="10"/>
  <c r="O100" i="9"/>
  <c r="O232" i="9"/>
  <c r="P196" i="9"/>
  <c r="M189" i="9"/>
  <c r="N99" i="9"/>
  <c r="N191" i="9"/>
  <c r="M197" i="9"/>
  <c r="K188" i="8"/>
  <c r="L98" i="8"/>
  <c r="K196" i="8"/>
  <c r="L190" i="8"/>
  <c r="K90" i="8"/>
  <c r="N99" i="8"/>
  <c r="K231" i="8"/>
  <c r="L195" i="8"/>
  <c r="Q189" i="10" l="1"/>
  <c r="R99" i="10"/>
  <c r="R91" i="10"/>
  <c r="S100" i="10"/>
  <c r="R196" i="10"/>
  <c r="Q232" i="10"/>
  <c r="Q197" i="10"/>
  <c r="T191" i="10"/>
  <c r="N189" i="9"/>
  <c r="O99" i="9"/>
  <c r="P232" i="9"/>
  <c r="Q196" i="9"/>
  <c r="O191" i="9"/>
  <c r="N197" i="9"/>
  <c r="N91" i="9"/>
  <c r="P100" i="9"/>
  <c r="O91" i="9"/>
  <c r="L196" i="8"/>
  <c r="M190" i="8"/>
  <c r="L90" i="8"/>
  <c r="O99" i="8"/>
  <c r="L188" i="8"/>
  <c r="M98" i="8"/>
  <c r="M195" i="8"/>
  <c r="L231" i="8"/>
  <c r="R232" i="10" l="1"/>
  <c r="S196" i="10"/>
  <c r="R197" i="10"/>
  <c r="T100" i="10"/>
  <c r="S91" i="10"/>
  <c r="R189" i="10"/>
  <c r="S99" i="10"/>
  <c r="U191" i="10"/>
  <c r="Q100" i="9"/>
  <c r="P91" i="9"/>
  <c r="P191" i="9"/>
  <c r="O197" i="9"/>
  <c r="R196" i="9"/>
  <c r="Q232" i="9"/>
  <c r="O189" i="9"/>
  <c r="P99" i="9"/>
  <c r="M188" i="8"/>
  <c r="N98" i="8"/>
  <c r="P99" i="8"/>
  <c r="M196" i="8"/>
  <c r="N190" i="8"/>
  <c r="M90" i="8"/>
  <c r="N195" i="8"/>
  <c r="M231" i="8"/>
  <c r="V191" i="10" l="1"/>
  <c r="S189" i="10"/>
  <c r="T99" i="10"/>
  <c r="S232" i="10"/>
  <c r="T196" i="10"/>
  <c r="S197" i="10"/>
  <c r="U100" i="10"/>
  <c r="T91" i="10"/>
  <c r="S196" i="9"/>
  <c r="R232" i="9"/>
  <c r="Q191" i="9"/>
  <c r="P197" i="9"/>
  <c r="P189" i="9"/>
  <c r="Q99" i="9"/>
  <c r="R100" i="9"/>
  <c r="Q91" i="9"/>
  <c r="O190" i="8"/>
  <c r="N196" i="8"/>
  <c r="N90" i="8"/>
  <c r="N231" i="8"/>
  <c r="O195" i="8"/>
  <c r="N188" i="8"/>
  <c r="O98" i="8"/>
  <c r="Q99" i="8"/>
  <c r="V100" i="10" l="1"/>
  <c r="U91" i="10"/>
  <c r="U196" i="10"/>
  <c r="T232" i="10"/>
  <c r="T197" i="10"/>
  <c r="T49" i="10" s="1"/>
  <c r="T189" i="10"/>
  <c r="U99" i="10"/>
  <c r="W191" i="10"/>
  <c r="S100" i="9"/>
  <c r="Q189" i="9"/>
  <c r="R99" i="9"/>
  <c r="Q197" i="9"/>
  <c r="R191" i="9"/>
  <c r="S232" i="9"/>
  <c r="T196" i="9"/>
  <c r="O231" i="8"/>
  <c r="P195" i="8"/>
  <c r="O188" i="8"/>
  <c r="P98" i="8"/>
  <c r="R99" i="8"/>
  <c r="P190" i="8"/>
  <c r="O196" i="8"/>
  <c r="O90" i="8"/>
  <c r="U189" i="10" l="1"/>
  <c r="V99" i="10"/>
  <c r="X191" i="10"/>
  <c r="T50" i="10"/>
  <c r="V196" i="10"/>
  <c r="U232" i="10"/>
  <c r="U197" i="10"/>
  <c r="U49" i="10" s="1"/>
  <c r="U50" i="10" s="1"/>
  <c r="W100" i="10"/>
  <c r="V91" i="10"/>
  <c r="R189" i="9"/>
  <c r="S99" i="9"/>
  <c r="R197" i="9"/>
  <c r="S191" i="9"/>
  <c r="T232" i="9"/>
  <c r="U196" i="9"/>
  <c r="R91" i="9"/>
  <c r="S91" i="9"/>
  <c r="T100" i="9"/>
  <c r="P196" i="8"/>
  <c r="Q190" i="8"/>
  <c r="P90" i="8"/>
  <c r="P188" i="8"/>
  <c r="Q98" i="8"/>
  <c r="P231" i="8"/>
  <c r="Q195" i="8"/>
  <c r="S99" i="8"/>
  <c r="T73" i="10" l="1"/>
  <c r="T71" i="10"/>
  <c r="Y191" i="10"/>
  <c r="U71" i="10"/>
  <c r="U73" i="10"/>
  <c r="V189" i="10"/>
  <c r="W99" i="10"/>
  <c r="V232" i="10"/>
  <c r="W196" i="10"/>
  <c r="V197" i="10"/>
  <c r="V49" i="10" s="1"/>
  <c r="W91" i="10"/>
  <c r="X100" i="10"/>
  <c r="U232" i="9"/>
  <c r="V196" i="9"/>
  <c r="S189" i="9"/>
  <c r="T99" i="9"/>
  <c r="S197" i="9"/>
  <c r="T191" i="9"/>
  <c r="U100" i="9"/>
  <c r="T91" i="9"/>
  <c r="T99" i="8"/>
  <c r="R195" i="8"/>
  <c r="Q231" i="8"/>
  <c r="Q188" i="8"/>
  <c r="R98" i="8"/>
  <c r="Q196" i="8"/>
  <c r="R190" i="8"/>
  <c r="Q90" i="8"/>
  <c r="U81" i="10" l="1"/>
  <c r="AM211" i="10"/>
  <c r="U7" i="10"/>
  <c r="X91" i="10"/>
  <c r="Y100" i="10"/>
  <c r="V50" i="10"/>
  <c r="W232" i="10"/>
  <c r="X196" i="10"/>
  <c r="W197" i="10"/>
  <c r="W49" i="10" s="1"/>
  <c r="W50" i="10" s="1"/>
  <c r="W189" i="10"/>
  <c r="X99" i="10"/>
  <c r="T81" i="10"/>
  <c r="Z191" i="10"/>
  <c r="AL211" i="10"/>
  <c r="T7" i="10"/>
  <c r="T197" i="9"/>
  <c r="T49" i="9" s="1"/>
  <c r="U191" i="9"/>
  <c r="T189" i="9"/>
  <c r="U99" i="9"/>
  <c r="V100" i="9"/>
  <c r="U91" i="9"/>
  <c r="V232" i="9"/>
  <c r="W196" i="9"/>
  <c r="R196" i="8"/>
  <c r="S190" i="8"/>
  <c r="R90" i="8"/>
  <c r="R188" i="8"/>
  <c r="S98" i="8"/>
  <c r="R231" i="8"/>
  <c r="S195" i="8"/>
  <c r="U99" i="8"/>
  <c r="V73" i="10" l="1"/>
  <c r="V71" i="10"/>
  <c r="X232" i="10"/>
  <c r="Y196" i="10"/>
  <c r="X197" i="10"/>
  <c r="X49" i="10" s="1"/>
  <c r="X189" i="10"/>
  <c r="Y99" i="10"/>
  <c r="Z100" i="10"/>
  <c r="Y91" i="10"/>
  <c r="W73" i="10"/>
  <c r="W71" i="10"/>
  <c r="W81" i="10" s="1"/>
  <c r="AA191" i="10"/>
  <c r="W232" i="9"/>
  <c r="X196" i="9"/>
  <c r="W100" i="9"/>
  <c r="V91" i="9"/>
  <c r="U189" i="9"/>
  <c r="V99" i="9"/>
  <c r="V191" i="9"/>
  <c r="U197" i="9"/>
  <c r="U49" i="9" s="1"/>
  <c r="U50" i="9" s="1"/>
  <c r="T50" i="9"/>
  <c r="S231" i="8"/>
  <c r="T195" i="8"/>
  <c r="S188" i="8"/>
  <c r="T98" i="8"/>
  <c r="S196" i="8"/>
  <c r="T190" i="8"/>
  <c r="S90" i="8"/>
  <c r="V99" i="8"/>
  <c r="AA100" i="10" l="1"/>
  <c r="Y189" i="10"/>
  <c r="Z99" i="10"/>
  <c r="AO211" i="10"/>
  <c r="W7" i="10"/>
  <c r="X50" i="10"/>
  <c r="Z196" i="10"/>
  <c r="Z91" i="10" s="1"/>
  <c r="Y232" i="10"/>
  <c r="Y197" i="10"/>
  <c r="V81" i="10"/>
  <c r="AB191" i="10"/>
  <c r="AN211" i="10"/>
  <c r="V7" i="10"/>
  <c r="U73" i="9"/>
  <c r="U71" i="9"/>
  <c r="W191" i="9"/>
  <c r="V197" i="9"/>
  <c r="V49" i="9" s="1"/>
  <c r="V50" i="9" s="1"/>
  <c r="V189" i="9"/>
  <c r="W99" i="9"/>
  <c r="X232" i="9"/>
  <c r="Y196" i="9"/>
  <c r="X100" i="9"/>
  <c r="W91" i="9"/>
  <c r="T71" i="9"/>
  <c r="T73" i="9"/>
  <c r="W99" i="8"/>
  <c r="T196" i="8"/>
  <c r="T48" i="8" s="1"/>
  <c r="U190" i="8"/>
  <c r="T90" i="8"/>
  <c r="T188" i="8"/>
  <c r="U98" i="8"/>
  <c r="T231" i="8"/>
  <c r="U195" i="8"/>
  <c r="Z189" i="10" l="1"/>
  <c r="AA99" i="10"/>
  <c r="X73" i="10"/>
  <c r="X71" i="10"/>
  <c r="Z232" i="10"/>
  <c r="AA196" i="10"/>
  <c r="Z197" i="10"/>
  <c r="Z49" i="10" s="1"/>
  <c r="AC191" i="10"/>
  <c r="AA91" i="10"/>
  <c r="AB100" i="10"/>
  <c r="U81" i="9"/>
  <c r="X191" i="9"/>
  <c r="W197" i="9"/>
  <c r="W49" i="9" s="1"/>
  <c r="AL211" i="9"/>
  <c r="T7" i="9"/>
  <c r="W189" i="9"/>
  <c r="X99" i="9"/>
  <c r="T81" i="9"/>
  <c r="V71" i="9"/>
  <c r="V73" i="9"/>
  <c r="Y100" i="9"/>
  <c r="X91" i="9"/>
  <c r="Z196" i="9"/>
  <c r="Y232" i="9"/>
  <c r="AM211" i="9"/>
  <c r="U7" i="9"/>
  <c r="V190" i="8"/>
  <c r="U196" i="8"/>
  <c r="U48" i="8" s="1"/>
  <c r="U49" i="8" s="1"/>
  <c r="U90" i="8"/>
  <c r="T49" i="8"/>
  <c r="U188" i="8"/>
  <c r="V98" i="8"/>
  <c r="V195" i="8"/>
  <c r="U231" i="8"/>
  <c r="X99" i="8"/>
  <c r="AD191" i="10" l="1"/>
  <c r="AC100" i="10"/>
  <c r="AB91" i="10"/>
  <c r="X81" i="10"/>
  <c r="Z50" i="10"/>
  <c r="AA189" i="10"/>
  <c r="AB99" i="10"/>
  <c r="AA232" i="10"/>
  <c r="AB196" i="10"/>
  <c r="AA197" i="10"/>
  <c r="AA49" i="10" s="1"/>
  <c r="AA50" i="10" s="1"/>
  <c r="AP211" i="10"/>
  <c r="X7" i="10"/>
  <c r="X189" i="9"/>
  <c r="Y99" i="9"/>
  <c r="Z100" i="9"/>
  <c r="Y91" i="9"/>
  <c r="W50" i="9"/>
  <c r="AN211" i="9"/>
  <c r="V7" i="9"/>
  <c r="V81" i="9"/>
  <c r="AA196" i="9"/>
  <c r="Z232" i="9"/>
  <c r="Y191" i="9"/>
  <c r="X197" i="9"/>
  <c r="X49" i="9" s="1"/>
  <c r="T70" i="8"/>
  <c r="T72" i="8"/>
  <c r="V188" i="8"/>
  <c r="W98" i="8"/>
  <c r="Y99" i="8"/>
  <c r="U70" i="8"/>
  <c r="U72" i="8"/>
  <c r="V231" i="8"/>
  <c r="W195" i="8"/>
  <c r="W190" i="8"/>
  <c r="V196" i="8"/>
  <c r="V48" i="8" s="1"/>
  <c r="V90" i="8"/>
  <c r="AA73" i="10" l="1"/>
  <c r="AA71" i="10"/>
  <c r="AB232" i="10"/>
  <c r="AC196" i="10"/>
  <c r="AB197" i="10"/>
  <c r="AB49" i="10" s="1"/>
  <c r="AB50" i="10" s="1"/>
  <c r="AD100" i="10"/>
  <c r="Z73" i="10"/>
  <c r="Z71" i="10"/>
  <c r="AB189" i="10"/>
  <c r="AC99" i="10"/>
  <c r="AE191" i="10"/>
  <c r="AA100" i="9"/>
  <c r="Z91" i="9"/>
  <c r="X50" i="9"/>
  <c r="W71" i="9"/>
  <c r="W73" i="9"/>
  <c r="Y197" i="9"/>
  <c r="Z191" i="9"/>
  <c r="Y189" i="9"/>
  <c r="Z99" i="9"/>
  <c r="AA232" i="9"/>
  <c r="AB196" i="9"/>
  <c r="Z99" i="8"/>
  <c r="V49" i="8"/>
  <c r="W188" i="8"/>
  <c r="X98" i="8"/>
  <c r="X190" i="8"/>
  <c r="W196" i="8"/>
  <c r="W48" i="8" s="1"/>
  <c r="W49" i="8" s="1"/>
  <c r="W90" i="8"/>
  <c r="W231" i="8"/>
  <c r="X195" i="8"/>
  <c r="AL210" i="8"/>
  <c r="T7" i="8"/>
  <c r="AM210" i="8"/>
  <c r="U7" i="8"/>
  <c r="U80" i="8"/>
  <c r="T80" i="8"/>
  <c r="AE100" i="10" l="1"/>
  <c r="AC232" i="10"/>
  <c r="AD196" i="10"/>
  <c r="AC197" i="10"/>
  <c r="AC49" i="10" s="1"/>
  <c r="AC50" i="10" s="1"/>
  <c r="AF191" i="10"/>
  <c r="AB73" i="10"/>
  <c r="AB71" i="10"/>
  <c r="AC189" i="10"/>
  <c r="AD99" i="10"/>
  <c r="AA81" i="10"/>
  <c r="AS211" i="10"/>
  <c r="AA7" i="10"/>
  <c r="AR211" i="10"/>
  <c r="Z7" i="10"/>
  <c r="Z81" i="10"/>
  <c r="AC91" i="10"/>
  <c r="AO211" i="9"/>
  <c r="W7" i="9"/>
  <c r="AB232" i="9"/>
  <c r="AC196" i="9"/>
  <c r="Z189" i="9"/>
  <c r="AA99" i="9"/>
  <c r="W81" i="9"/>
  <c r="X71" i="9"/>
  <c r="X73" i="9"/>
  <c r="Z197" i="9"/>
  <c r="Z49" i="9" s="1"/>
  <c r="AA191" i="9"/>
  <c r="Y50" i="9"/>
  <c r="AB100" i="9"/>
  <c r="X196" i="8"/>
  <c r="X48" i="8" s="1"/>
  <c r="Y190" i="8"/>
  <c r="X90" i="8"/>
  <c r="X188" i="8"/>
  <c r="Y98" i="8"/>
  <c r="X231" i="8"/>
  <c r="Y195" i="8"/>
  <c r="V72" i="8"/>
  <c r="V70" i="8"/>
  <c r="W70" i="8"/>
  <c r="W72" i="8"/>
  <c r="AA99" i="8"/>
  <c r="AC71" i="10" l="1"/>
  <c r="AC73" i="10"/>
  <c r="AT211" i="10"/>
  <c r="AB7" i="10"/>
  <c r="AD232" i="10"/>
  <c r="AE196" i="10"/>
  <c r="AD197" i="10"/>
  <c r="AD49" i="10" s="1"/>
  <c r="AD50" i="10" s="1"/>
  <c r="AD189" i="10"/>
  <c r="AE99" i="10"/>
  <c r="AD91" i="10"/>
  <c r="AB81" i="10"/>
  <c r="AE91" i="10"/>
  <c r="AF100" i="10"/>
  <c r="AC232" i="9"/>
  <c r="AD196" i="9"/>
  <c r="Y73" i="9"/>
  <c r="Y71" i="9"/>
  <c r="AA197" i="9"/>
  <c r="AA49" i="9" s="1"/>
  <c r="AB191" i="9"/>
  <c r="AP211" i="9"/>
  <c r="X7" i="9"/>
  <c r="AA189" i="9"/>
  <c r="AB99" i="9"/>
  <c r="Z50" i="9"/>
  <c r="X81" i="9"/>
  <c r="AA91" i="9"/>
  <c r="AC100" i="9"/>
  <c r="AB91" i="9"/>
  <c r="W80" i="8"/>
  <c r="Y188" i="8"/>
  <c r="Z98" i="8"/>
  <c r="AN210" i="8"/>
  <c r="V7" i="8"/>
  <c r="AO210" i="8"/>
  <c r="W7" i="8"/>
  <c r="V80" i="8"/>
  <c r="Y196" i="8"/>
  <c r="Z190" i="8"/>
  <c r="Y90" i="8"/>
  <c r="AB99" i="8"/>
  <c r="Z195" i="8"/>
  <c r="Y231" i="8"/>
  <c r="X49" i="8"/>
  <c r="AE189" i="10" l="1"/>
  <c r="AF99" i="10"/>
  <c r="AF189" i="10" s="1"/>
  <c r="AD73" i="10"/>
  <c r="AD71" i="10"/>
  <c r="AE232" i="10"/>
  <c r="AF196" i="10"/>
  <c r="AE197" i="10"/>
  <c r="AE49" i="10" s="1"/>
  <c r="AE50" i="10" s="1"/>
  <c r="AU211" i="10"/>
  <c r="AC7" i="10"/>
  <c r="AC81" i="10"/>
  <c r="Y81" i="9"/>
  <c r="AB189" i="9"/>
  <c r="AC99" i="9"/>
  <c r="AA50" i="9"/>
  <c r="AQ211" i="9"/>
  <c r="Y7" i="9"/>
  <c r="Z73" i="9"/>
  <c r="Z71" i="9"/>
  <c r="AD232" i="9"/>
  <c r="AE196" i="9"/>
  <c r="AD100" i="9"/>
  <c r="AC91" i="9"/>
  <c r="AB197" i="9"/>
  <c r="AB49" i="9" s="1"/>
  <c r="AB50" i="9" s="1"/>
  <c r="AC191" i="9"/>
  <c r="X72" i="8"/>
  <c r="X70" i="8"/>
  <c r="Z188" i="8"/>
  <c r="AA98" i="8"/>
  <c r="AC99" i="8"/>
  <c r="Z196" i="8"/>
  <c r="Z48" i="8" s="1"/>
  <c r="AA190" i="8"/>
  <c r="Z90" i="8"/>
  <c r="Z231" i="8"/>
  <c r="AA195" i="8"/>
  <c r="AD81" i="10" l="1"/>
  <c r="AF232" i="10"/>
  <c r="AF197" i="10"/>
  <c r="AF49" i="10" s="1"/>
  <c r="AV211" i="10"/>
  <c r="AD7" i="10"/>
  <c r="AF91" i="10"/>
  <c r="AE73" i="10"/>
  <c r="AE71" i="10"/>
  <c r="Z81" i="9"/>
  <c r="AB71" i="9"/>
  <c r="AB73" i="9"/>
  <c r="AE100" i="9"/>
  <c r="AD91" i="9"/>
  <c r="AA73" i="9"/>
  <c r="AA71" i="9"/>
  <c r="AE232" i="9"/>
  <c r="AF196" i="9"/>
  <c r="AF232" i="9" s="1"/>
  <c r="AC189" i="9"/>
  <c r="AD99" i="9"/>
  <c r="AR211" i="9"/>
  <c r="Z7" i="9"/>
  <c r="AD191" i="9"/>
  <c r="AC197" i="9"/>
  <c r="AC49" i="9" s="1"/>
  <c r="AC50" i="9" s="1"/>
  <c r="AA196" i="8"/>
  <c r="AA48" i="8" s="1"/>
  <c r="AA49" i="8" s="1"/>
  <c r="AB190" i="8"/>
  <c r="AA90" i="8"/>
  <c r="Z49" i="8"/>
  <c r="X80" i="8"/>
  <c r="AA231" i="8"/>
  <c r="AB195" i="8"/>
  <c r="AD99" i="8"/>
  <c r="AA188" i="8"/>
  <c r="AB98" i="8"/>
  <c r="AP210" i="8"/>
  <c r="X7" i="8"/>
  <c r="AE81" i="10" l="1"/>
  <c r="AW211" i="10"/>
  <c r="AE7" i="10"/>
  <c r="AH91" i="10"/>
  <c r="AF50" i="10"/>
  <c r="AI49" i="10"/>
  <c r="AH49" i="10"/>
  <c r="AA81" i="9"/>
  <c r="AE191" i="9"/>
  <c r="AD197" i="9"/>
  <c r="AD49" i="9" s="1"/>
  <c r="AD50" i="9" s="1"/>
  <c r="AS211" i="9"/>
  <c r="AA7" i="9"/>
  <c r="AB81" i="9"/>
  <c r="AD189" i="9"/>
  <c r="AE99" i="9"/>
  <c r="AE91" i="9"/>
  <c r="AF100" i="9"/>
  <c r="AT211" i="9"/>
  <c r="AB7" i="9"/>
  <c r="AC71" i="9"/>
  <c r="AC73" i="9"/>
  <c r="AB188" i="8"/>
  <c r="AC98" i="8"/>
  <c r="Z70" i="8"/>
  <c r="Z72" i="8"/>
  <c r="AB231" i="8"/>
  <c r="AC195" i="8"/>
  <c r="AB196" i="8"/>
  <c r="AB48" i="8" s="1"/>
  <c r="AC190" i="8"/>
  <c r="AB90" i="8"/>
  <c r="AE99" i="8"/>
  <c r="AA72" i="8"/>
  <c r="AA70" i="8"/>
  <c r="AF73" i="10" l="1"/>
  <c r="AF71" i="10"/>
  <c r="AH50" i="10"/>
  <c r="AI50" i="10"/>
  <c r="AE189" i="9"/>
  <c r="AF99" i="9"/>
  <c r="AF189" i="9" s="1"/>
  <c r="AD71" i="9"/>
  <c r="AD73" i="9"/>
  <c r="AU211" i="9"/>
  <c r="AC7" i="9"/>
  <c r="AF191" i="9"/>
  <c r="AF197" i="9" s="1"/>
  <c r="AF49" i="9" s="1"/>
  <c r="AE197" i="9"/>
  <c r="AE49" i="9" s="1"/>
  <c r="AE50" i="9" s="1"/>
  <c r="AC81" i="9"/>
  <c r="AA80" i="8"/>
  <c r="AB49" i="8"/>
  <c r="AD195" i="8"/>
  <c r="AC231" i="8"/>
  <c r="AS210" i="8"/>
  <c r="AA7" i="8"/>
  <c r="AR210" i="8"/>
  <c r="Z7" i="8"/>
  <c r="Z80" i="8"/>
  <c r="AF99" i="8"/>
  <c r="AC188" i="8"/>
  <c r="AD98" i="8"/>
  <c r="AC196" i="8"/>
  <c r="AC48" i="8" s="1"/>
  <c r="AC49" i="8" s="1"/>
  <c r="AD190" i="8"/>
  <c r="AC90" i="8"/>
  <c r="AK16" i="7"/>
  <c r="AK15" i="7"/>
  <c r="AK14" i="7"/>
  <c r="AK17" i="7" s="1"/>
  <c r="AK13" i="7"/>
  <c r="AK12" i="7"/>
  <c r="AJ11" i="7"/>
  <c r="AK11" i="7"/>
  <c r="AJ15" i="7"/>
  <c r="AJ16" i="7"/>
  <c r="AJ13" i="7"/>
  <c r="AJ14" i="7"/>
  <c r="AJ12" i="7"/>
  <c r="AK13" i="4"/>
  <c r="AK17" i="4"/>
  <c r="AL17" i="4" s="1"/>
  <c r="AK16" i="4"/>
  <c r="AK14" i="4"/>
  <c r="AK15" i="4"/>
  <c r="AK12" i="4"/>
  <c r="AK11" i="4"/>
  <c r="AJ14" i="4"/>
  <c r="AJ15" i="4"/>
  <c r="AJ16" i="4"/>
  <c r="AJ13" i="4"/>
  <c r="AJ12" i="4"/>
  <c r="AJ11" i="4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L75" i="7"/>
  <c r="M75" i="7"/>
  <c r="N75" i="7"/>
  <c r="O75" i="7"/>
  <c r="P75" i="7"/>
  <c r="P79" i="7" s="1"/>
  <c r="Q75" i="7"/>
  <c r="R75" i="7"/>
  <c r="S75" i="7"/>
  <c r="T75" i="7"/>
  <c r="U75" i="7"/>
  <c r="V75" i="7"/>
  <c r="W75" i="7"/>
  <c r="X75" i="7"/>
  <c r="X79" i="7" s="1"/>
  <c r="Y75" i="7"/>
  <c r="Z75" i="7"/>
  <c r="AA75" i="7"/>
  <c r="AB75" i="7"/>
  <c r="AC75" i="7"/>
  <c r="AD75" i="7"/>
  <c r="AE75" i="7"/>
  <c r="AF75" i="7"/>
  <c r="AF79" i="7" s="1"/>
  <c r="L74" i="7"/>
  <c r="M74" i="7"/>
  <c r="N74" i="7"/>
  <c r="O74" i="7"/>
  <c r="P74" i="7"/>
  <c r="Q74" i="7"/>
  <c r="R74" i="7"/>
  <c r="S74" i="7"/>
  <c r="AI74" i="7" s="1"/>
  <c r="T74" i="7"/>
  <c r="U74" i="7"/>
  <c r="V74" i="7"/>
  <c r="W74" i="7"/>
  <c r="X74" i="7"/>
  <c r="Y74" i="7"/>
  <c r="Z74" i="7"/>
  <c r="AA74" i="7"/>
  <c r="AA79" i="7" s="1"/>
  <c r="AB74" i="7"/>
  <c r="AC74" i="7"/>
  <c r="AD74" i="7"/>
  <c r="AE74" i="7"/>
  <c r="AF74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H73" i="7" s="1"/>
  <c r="AE73" i="7"/>
  <c r="AF73" i="7"/>
  <c r="C77" i="7"/>
  <c r="D77" i="7"/>
  <c r="E77" i="7"/>
  <c r="F77" i="7"/>
  <c r="G77" i="7"/>
  <c r="H77" i="7"/>
  <c r="I77" i="7"/>
  <c r="J77" i="7"/>
  <c r="K77" i="7"/>
  <c r="C76" i="7"/>
  <c r="D76" i="7"/>
  <c r="E76" i="7"/>
  <c r="F76" i="7"/>
  <c r="G76" i="7"/>
  <c r="H76" i="7"/>
  <c r="I76" i="7"/>
  <c r="J76" i="7"/>
  <c r="K76" i="7"/>
  <c r="C75" i="7"/>
  <c r="D75" i="7"/>
  <c r="E75" i="7"/>
  <c r="F75" i="7"/>
  <c r="G75" i="7"/>
  <c r="H75" i="7"/>
  <c r="I75" i="7"/>
  <c r="J75" i="7"/>
  <c r="K75" i="7"/>
  <c r="C74" i="7"/>
  <c r="D74" i="7"/>
  <c r="E74" i="7"/>
  <c r="F74" i="7"/>
  <c r="G74" i="7"/>
  <c r="H74" i="7"/>
  <c r="I74" i="7"/>
  <c r="J74" i="7"/>
  <c r="K74" i="7"/>
  <c r="C73" i="7"/>
  <c r="D73" i="7"/>
  <c r="E73" i="7"/>
  <c r="F73" i="7"/>
  <c r="G73" i="7"/>
  <c r="H73" i="7"/>
  <c r="I73" i="7"/>
  <c r="J73" i="7"/>
  <c r="K73" i="7"/>
  <c r="B77" i="7"/>
  <c r="B76" i="7"/>
  <c r="B75" i="7"/>
  <c r="B74" i="7"/>
  <c r="B73" i="7"/>
  <c r="B4" i="4"/>
  <c r="B4" i="7"/>
  <c r="AH96" i="7"/>
  <c r="AI96" i="7" s="1"/>
  <c r="C92" i="7"/>
  <c r="C34" i="7"/>
  <c r="B92" i="7"/>
  <c r="B90" i="7"/>
  <c r="B79" i="7"/>
  <c r="B69" i="7"/>
  <c r="B65" i="7"/>
  <c r="B5" i="7" s="1"/>
  <c r="B53" i="7"/>
  <c r="B48" i="7"/>
  <c r="B49" i="7" s="1"/>
  <c r="B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A234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A233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A232" i="7"/>
  <c r="B231" i="7"/>
  <c r="S206" i="7"/>
  <c r="AG196" i="7"/>
  <c r="B196" i="7"/>
  <c r="C195" i="7"/>
  <c r="W194" i="7"/>
  <c r="X194" i="7" s="1"/>
  <c r="Y194" i="7" s="1"/>
  <c r="Z194" i="7" s="1"/>
  <c r="AA194" i="7" s="1"/>
  <c r="AB194" i="7" s="1"/>
  <c r="AC194" i="7" s="1"/>
  <c r="AD194" i="7" s="1"/>
  <c r="AE194" i="7" s="1"/>
  <c r="AF194" i="7" s="1"/>
  <c r="C194" i="7"/>
  <c r="D194" i="7" s="1"/>
  <c r="E194" i="7" s="1"/>
  <c r="F194" i="7" s="1"/>
  <c r="G194" i="7" s="1"/>
  <c r="H194" i="7" s="1"/>
  <c r="I194" i="7" s="1"/>
  <c r="J194" i="7" s="1"/>
  <c r="K194" i="7" s="1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F193" i="7"/>
  <c r="G193" i="7" s="1"/>
  <c r="H193" i="7" s="1"/>
  <c r="I193" i="7" s="1"/>
  <c r="J193" i="7" s="1"/>
  <c r="K193" i="7" s="1"/>
  <c r="L193" i="7" s="1"/>
  <c r="M193" i="7" s="1"/>
  <c r="N193" i="7" s="1"/>
  <c r="O193" i="7" s="1"/>
  <c r="P193" i="7" s="1"/>
  <c r="Q193" i="7" s="1"/>
  <c r="R193" i="7" s="1"/>
  <c r="S193" i="7" s="1"/>
  <c r="T193" i="7" s="1"/>
  <c r="U193" i="7" s="1"/>
  <c r="V193" i="7" s="1"/>
  <c r="W193" i="7" s="1"/>
  <c r="X193" i="7" s="1"/>
  <c r="Y193" i="7" s="1"/>
  <c r="Z193" i="7" s="1"/>
  <c r="AA193" i="7" s="1"/>
  <c r="AB193" i="7" s="1"/>
  <c r="AC193" i="7" s="1"/>
  <c r="AD193" i="7" s="1"/>
  <c r="AE193" i="7" s="1"/>
  <c r="AF193" i="7" s="1"/>
  <c r="C193" i="7"/>
  <c r="D193" i="7" s="1"/>
  <c r="E193" i="7" s="1"/>
  <c r="D192" i="7"/>
  <c r="E192" i="7" s="1"/>
  <c r="F192" i="7" s="1"/>
  <c r="G192" i="7" s="1"/>
  <c r="H192" i="7" s="1"/>
  <c r="I192" i="7" s="1"/>
  <c r="J192" i="7" s="1"/>
  <c r="K192" i="7" s="1"/>
  <c r="L192" i="7" s="1"/>
  <c r="M192" i="7" s="1"/>
  <c r="N192" i="7" s="1"/>
  <c r="O192" i="7" s="1"/>
  <c r="P192" i="7" s="1"/>
  <c r="Q192" i="7" s="1"/>
  <c r="R192" i="7" s="1"/>
  <c r="S192" i="7" s="1"/>
  <c r="T192" i="7" s="1"/>
  <c r="U192" i="7" s="1"/>
  <c r="V192" i="7" s="1"/>
  <c r="W192" i="7" s="1"/>
  <c r="X192" i="7" s="1"/>
  <c r="Y192" i="7" s="1"/>
  <c r="Z192" i="7" s="1"/>
  <c r="AA192" i="7" s="1"/>
  <c r="AB192" i="7" s="1"/>
  <c r="AC192" i="7" s="1"/>
  <c r="AD192" i="7" s="1"/>
  <c r="AE192" i="7" s="1"/>
  <c r="AF192" i="7" s="1"/>
  <c r="C192" i="7"/>
  <c r="W191" i="7"/>
  <c r="X191" i="7" s="1"/>
  <c r="Y191" i="7" s="1"/>
  <c r="Z191" i="7" s="1"/>
  <c r="AA191" i="7" s="1"/>
  <c r="AB191" i="7" s="1"/>
  <c r="AC191" i="7" s="1"/>
  <c r="AD191" i="7" s="1"/>
  <c r="AE191" i="7" s="1"/>
  <c r="AF191" i="7" s="1"/>
  <c r="C191" i="7"/>
  <c r="D191" i="7" s="1"/>
  <c r="E191" i="7" s="1"/>
  <c r="F191" i="7" s="1"/>
  <c r="G191" i="7" s="1"/>
  <c r="H191" i="7" s="1"/>
  <c r="I191" i="7" s="1"/>
  <c r="J191" i="7" s="1"/>
  <c r="K191" i="7" s="1"/>
  <c r="L191" i="7" s="1"/>
  <c r="M191" i="7" s="1"/>
  <c r="N191" i="7" s="1"/>
  <c r="O191" i="7" s="1"/>
  <c r="P191" i="7" s="1"/>
  <c r="Q191" i="7" s="1"/>
  <c r="R191" i="7" s="1"/>
  <c r="S191" i="7" s="1"/>
  <c r="T191" i="7" s="1"/>
  <c r="U191" i="7" s="1"/>
  <c r="V191" i="7" s="1"/>
  <c r="F190" i="7"/>
  <c r="E190" i="7"/>
  <c r="C190" i="7"/>
  <c r="D190" i="7" s="1"/>
  <c r="AG188" i="7"/>
  <c r="B188" i="7"/>
  <c r="D187" i="7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C187" i="7"/>
  <c r="C186" i="7"/>
  <c r="D186" i="7" s="1"/>
  <c r="E186" i="7" s="1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H185" i="7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C185" i="7"/>
  <c r="D185" i="7" s="1"/>
  <c r="E185" i="7" s="1"/>
  <c r="F185" i="7" s="1"/>
  <c r="G185" i="7" s="1"/>
  <c r="C184" i="7"/>
  <c r="D184" i="7" s="1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D183" i="7"/>
  <c r="E183" i="7" s="1"/>
  <c r="F183" i="7" s="1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C183" i="7"/>
  <c r="F182" i="7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D182" i="7"/>
  <c r="E182" i="7" s="1"/>
  <c r="C182" i="7"/>
  <c r="AB181" i="7"/>
  <c r="AC181" i="7" s="1"/>
  <c r="AD181" i="7" s="1"/>
  <c r="AE181" i="7" s="1"/>
  <c r="AF181" i="7" s="1"/>
  <c r="D181" i="7"/>
  <c r="E181" i="7" s="1"/>
  <c r="F181" i="7" s="1"/>
  <c r="G181" i="7" s="1"/>
  <c r="H181" i="7" s="1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C181" i="7"/>
  <c r="C180" i="7"/>
  <c r="D180" i="7" s="1"/>
  <c r="E180" i="7" s="1"/>
  <c r="F180" i="7" s="1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W179" i="7"/>
  <c r="X179" i="7" s="1"/>
  <c r="Y179" i="7" s="1"/>
  <c r="Z179" i="7" s="1"/>
  <c r="AA179" i="7" s="1"/>
  <c r="AB179" i="7" s="1"/>
  <c r="AC179" i="7" s="1"/>
  <c r="AD179" i="7" s="1"/>
  <c r="AE179" i="7" s="1"/>
  <c r="AF179" i="7" s="1"/>
  <c r="C179" i="7"/>
  <c r="D179" i="7" s="1"/>
  <c r="E179" i="7" s="1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J178" i="7"/>
  <c r="K178" i="7" s="1"/>
  <c r="L178" i="7" s="1"/>
  <c r="M178" i="7" s="1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G178" i="7"/>
  <c r="H178" i="7" s="1"/>
  <c r="I178" i="7" s="1"/>
  <c r="C178" i="7"/>
  <c r="D178" i="7" s="1"/>
  <c r="E178" i="7" s="1"/>
  <c r="F178" i="7" s="1"/>
  <c r="C177" i="7"/>
  <c r="D177" i="7" s="1"/>
  <c r="E177" i="7" s="1"/>
  <c r="F177" i="7" s="1"/>
  <c r="G177" i="7" s="1"/>
  <c r="H177" i="7" s="1"/>
  <c r="I177" i="7" s="1"/>
  <c r="J177" i="7" s="1"/>
  <c r="K177" i="7" s="1"/>
  <c r="L177" i="7" s="1"/>
  <c r="M177" i="7" s="1"/>
  <c r="N177" i="7" s="1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C176" i="7"/>
  <c r="D176" i="7" s="1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D175" i="7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C175" i="7"/>
  <c r="W173" i="7"/>
  <c r="X173" i="7" s="1"/>
  <c r="Y173" i="7" s="1"/>
  <c r="Z173" i="7" s="1"/>
  <c r="AA173" i="7" s="1"/>
  <c r="AB173" i="7" s="1"/>
  <c r="AC173" i="7" s="1"/>
  <c r="AD173" i="7" s="1"/>
  <c r="AE173" i="7" s="1"/>
  <c r="AF173" i="7" s="1"/>
  <c r="C173" i="7"/>
  <c r="D173" i="7" s="1"/>
  <c r="E173" i="7" s="1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D172" i="7"/>
  <c r="E172" i="7" s="1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C172" i="7"/>
  <c r="F171" i="7"/>
  <c r="G171" i="7" s="1"/>
  <c r="H171" i="7" s="1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C171" i="7"/>
  <c r="D171" i="7" s="1"/>
  <c r="E171" i="7" s="1"/>
  <c r="D170" i="7"/>
  <c r="E170" i="7" s="1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C170" i="7"/>
  <c r="F169" i="7"/>
  <c r="G169" i="7" s="1"/>
  <c r="H169" i="7" s="1"/>
  <c r="I169" i="7" s="1"/>
  <c r="J169" i="7" s="1"/>
  <c r="K169" i="7" s="1"/>
  <c r="L169" i="7" s="1"/>
  <c r="M169" i="7" s="1"/>
  <c r="N169" i="7" s="1"/>
  <c r="O169" i="7" s="1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C169" i="7"/>
  <c r="D169" i="7" s="1"/>
  <c r="E169" i="7" s="1"/>
  <c r="F168" i="7"/>
  <c r="G168" i="7" s="1"/>
  <c r="H168" i="7" s="1"/>
  <c r="I168" i="7" s="1"/>
  <c r="J168" i="7" s="1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C168" i="7"/>
  <c r="D168" i="7" s="1"/>
  <c r="E168" i="7" s="1"/>
  <c r="D167" i="7"/>
  <c r="E167" i="7" s="1"/>
  <c r="F167" i="7" s="1"/>
  <c r="G167" i="7" s="1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C167" i="7"/>
  <c r="V166" i="7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F166" i="7"/>
  <c r="G166" i="7" s="1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D166" i="7"/>
  <c r="E166" i="7" s="1"/>
  <c r="C166" i="7"/>
  <c r="D164" i="7"/>
  <c r="E164" i="7" s="1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C164" i="7"/>
  <c r="AD163" i="7"/>
  <c r="AE163" i="7" s="1"/>
  <c r="AF163" i="7" s="1"/>
  <c r="H163" i="7"/>
  <c r="I163" i="7" s="1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C163" i="7"/>
  <c r="D163" i="7" s="1"/>
  <c r="E163" i="7" s="1"/>
  <c r="F163" i="7" s="1"/>
  <c r="G163" i="7" s="1"/>
  <c r="L162" i="7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G162" i="7"/>
  <c r="H162" i="7" s="1"/>
  <c r="I162" i="7" s="1"/>
  <c r="J162" i="7" s="1"/>
  <c r="K162" i="7" s="1"/>
  <c r="F162" i="7"/>
  <c r="D162" i="7"/>
  <c r="E162" i="7" s="1"/>
  <c r="C162" i="7"/>
  <c r="AD161" i="7"/>
  <c r="AE161" i="7" s="1"/>
  <c r="AF161" i="7" s="1"/>
  <c r="E161" i="7"/>
  <c r="F161" i="7" s="1"/>
  <c r="G161" i="7" s="1"/>
  <c r="H161" i="7" s="1"/>
  <c r="I161" i="7" s="1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D161" i="7"/>
  <c r="C161" i="7"/>
  <c r="C160" i="7"/>
  <c r="D160" i="7" s="1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F159" i="7"/>
  <c r="G159" i="7" s="1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C159" i="7"/>
  <c r="D159" i="7" s="1"/>
  <c r="E159" i="7" s="1"/>
  <c r="H158" i="7"/>
  <c r="I158" i="7" s="1"/>
  <c r="J158" i="7" s="1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D158" i="7"/>
  <c r="E158" i="7" s="1"/>
  <c r="F158" i="7" s="1"/>
  <c r="G158" i="7" s="1"/>
  <c r="C158" i="7"/>
  <c r="D157" i="7"/>
  <c r="E157" i="7" s="1"/>
  <c r="F157" i="7" s="1"/>
  <c r="G157" i="7" s="1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C157" i="7"/>
  <c r="F156" i="7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D156" i="7"/>
  <c r="E156" i="7" s="1"/>
  <c r="C156" i="7"/>
  <c r="I155" i="7"/>
  <c r="J155" i="7" s="1"/>
  <c r="K155" i="7" s="1"/>
  <c r="L155" i="7" s="1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H155" i="7"/>
  <c r="D155" i="7"/>
  <c r="E155" i="7" s="1"/>
  <c r="F155" i="7" s="1"/>
  <c r="G155" i="7" s="1"/>
  <c r="C155" i="7"/>
  <c r="I154" i="7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C154" i="7"/>
  <c r="D154" i="7" s="1"/>
  <c r="E154" i="7" s="1"/>
  <c r="F154" i="7" s="1"/>
  <c r="G154" i="7" s="1"/>
  <c r="H154" i="7" s="1"/>
  <c r="C153" i="7"/>
  <c r="D153" i="7" s="1"/>
  <c r="E153" i="7" s="1"/>
  <c r="F153" i="7" s="1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L152" i="7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C152" i="7"/>
  <c r="D152" i="7" s="1"/>
  <c r="E152" i="7" s="1"/>
  <c r="F152" i="7" s="1"/>
  <c r="G152" i="7" s="1"/>
  <c r="H152" i="7" s="1"/>
  <c r="I152" i="7" s="1"/>
  <c r="J152" i="7" s="1"/>
  <c r="K152" i="7" s="1"/>
  <c r="H150" i="7"/>
  <c r="I150" i="7" s="1"/>
  <c r="J150" i="7" s="1"/>
  <c r="K150" i="7" s="1"/>
  <c r="L150" i="7" s="1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D150" i="7"/>
  <c r="E150" i="7" s="1"/>
  <c r="F150" i="7" s="1"/>
  <c r="G150" i="7" s="1"/>
  <c r="C150" i="7"/>
  <c r="E149" i="7"/>
  <c r="F149" i="7" s="1"/>
  <c r="G149" i="7" s="1"/>
  <c r="H149" i="7" s="1"/>
  <c r="I149" i="7" s="1"/>
  <c r="J149" i="7" s="1"/>
  <c r="K149" i="7" s="1"/>
  <c r="L149" i="7" s="1"/>
  <c r="M149" i="7" s="1"/>
  <c r="N149" i="7" s="1"/>
  <c r="O149" i="7" s="1"/>
  <c r="P149" i="7" s="1"/>
  <c r="Q149" i="7" s="1"/>
  <c r="R149" i="7" s="1"/>
  <c r="S149" i="7" s="1"/>
  <c r="T149" i="7" s="1"/>
  <c r="U149" i="7" s="1"/>
  <c r="V149" i="7" s="1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C149" i="7"/>
  <c r="D149" i="7" s="1"/>
  <c r="K148" i="7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C148" i="7"/>
  <c r="D148" i="7" s="1"/>
  <c r="E148" i="7" s="1"/>
  <c r="F148" i="7" s="1"/>
  <c r="G148" i="7" s="1"/>
  <c r="H148" i="7" s="1"/>
  <c r="I148" i="7" s="1"/>
  <c r="J148" i="7" s="1"/>
  <c r="C147" i="7"/>
  <c r="D147" i="7" s="1"/>
  <c r="E147" i="7" s="1"/>
  <c r="F147" i="7" s="1"/>
  <c r="G147" i="7" s="1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AE145" i="7"/>
  <c r="AF145" i="7" s="1"/>
  <c r="D145" i="7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C145" i="7"/>
  <c r="S144" i="7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F144" i="7"/>
  <c r="G144" i="7" s="1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C144" i="7"/>
  <c r="D144" i="7" s="1"/>
  <c r="E144" i="7" s="1"/>
  <c r="D142" i="7"/>
  <c r="E142" i="7" s="1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C142" i="7"/>
  <c r="V141" i="7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C141" i="7"/>
  <c r="D141" i="7" s="1"/>
  <c r="E141" i="7" s="1"/>
  <c r="F141" i="7" s="1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W140" i="7"/>
  <c r="X140" i="7" s="1"/>
  <c r="Y140" i="7" s="1"/>
  <c r="Z140" i="7" s="1"/>
  <c r="AA140" i="7" s="1"/>
  <c r="AB140" i="7" s="1"/>
  <c r="AC140" i="7" s="1"/>
  <c r="AD140" i="7" s="1"/>
  <c r="AE140" i="7" s="1"/>
  <c r="AF140" i="7" s="1"/>
  <c r="D140" i="7"/>
  <c r="E140" i="7" s="1"/>
  <c r="F140" i="7" s="1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C140" i="7"/>
  <c r="E139" i="7"/>
  <c r="F139" i="7" s="1"/>
  <c r="G139" i="7" s="1"/>
  <c r="H139" i="7" s="1"/>
  <c r="I139" i="7" s="1"/>
  <c r="J139" i="7" s="1"/>
  <c r="K139" i="7" s="1"/>
  <c r="L139" i="7" s="1"/>
  <c r="M139" i="7" s="1"/>
  <c r="N139" i="7" s="1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C139" i="7"/>
  <c r="D139" i="7" s="1"/>
  <c r="K138" i="7"/>
  <c r="L138" i="7" s="1"/>
  <c r="M138" i="7" s="1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C138" i="7"/>
  <c r="D138" i="7" s="1"/>
  <c r="E138" i="7" s="1"/>
  <c r="F138" i="7" s="1"/>
  <c r="G138" i="7" s="1"/>
  <c r="H138" i="7" s="1"/>
  <c r="I138" i="7" s="1"/>
  <c r="J138" i="7" s="1"/>
  <c r="O137" i="7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D137" i="7"/>
  <c r="E137" i="7" s="1"/>
  <c r="F137" i="7" s="1"/>
  <c r="G137" i="7" s="1"/>
  <c r="H137" i="7" s="1"/>
  <c r="I137" i="7" s="1"/>
  <c r="J137" i="7" s="1"/>
  <c r="K137" i="7" s="1"/>
  <c r="L137" i="7" s="1"/>
  <c r="M137" i="7" s="1"/>
  <c r="N137" i="7" s="1"/>
  <c r="C137" i="7"/>
  <c r="H136" i="7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G136" i="7"/>
  <c r="F136" i="7"/>
  <c r="E136" i="7"/>
  <c r="C136" i="7"/>
  <c r="D136" i="7" s="1"/>
  <c r="D134" i="7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C134" i="7"/>
  <c r="C133" i="7"/>
  <c r="D133" i="7" s="1"/>
  <c r="E133" i="7" s="1"/>
  <c r="F133" i="7" s="1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AA132" i="7"/>
  <c r="AB132" i="7" s="1"/>
  <c r="AC132" i="7" s="1"/>
  <c r="AD132" i="7" s="1"/>
  <c r="AE132" i="7" s="1"/>
  <c r="AF132" i="7" s="1"/>
  <c r="E132" i="7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D132" i="7"/>
  <c r="C132" i="7"/>
  <c r="Q131" i="7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G131" i="7"/>
  <c r="H131" i="7" s="1"/>
  <c r="I131" i="7" s="1"/>
  <c r="J131" i="7" s="1"/>
  <c r="K131" i="7" s="1"/>
  <c r="L131" i="7" s="1"/>
  <c r="M131" i="7" s="1"/>
  <c r="N131" i="7" s="1"/>
  <c r="O131" i="7" s="1"/>
  <c r="P131" i="7" s="1"/>
  <c r="C131" i="7"/>
  <c r="D131" i="7" s="1"/>
  <c r="E131" i="7" s="1"/>
  <c r="F131" i="7" s="1"/>
  <c r="AD130" i="7"/>
  <c r="AE130" i="7" s="1"/>
  <c r="AF130" i="7" s="1"/>
  <c r="L130" i="7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E130" i="7"/>
  <c r="F130" i="7" s="1"/>
  <c r="G130" i="7" s="1"/>
  <c r="H130" i="7" s="1"/>
  <c r="I130" i="7" s="1"/>
  <c r="J130" i="7" s="1"/>
  <c r="K130" i="7" s="1"/>
  <c r="C130" i="7"/>
  <c r="D130" i="7" s="1"/>
  <c r="E129" i="7"/>
  <c r="F129" i="7" s="1"/>
  <c r="G129" i="7" s="1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C129" i="7"/>
  <c r="D129" i="7" s="1"/>
  <c r="G128" i="7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E128" i="7"/>
  <c r="F128" i="7" s="1"/>
  <c r="D128" i="7"/>
  <c r="C128" i="7"/>
  <c r="C127" i="7"/>
  <c r="D127" i="7" s="1"/>
  <c r="E127" i="7" s="1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F125" i="7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E125" i="7"/>
  <c r="D125" i="7"/>
  <c r="C125" i="7"/>
  <c r="M124" i="7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C124" i="7"/>
  <c r="D124" i="7" s="1"/>
  <c r="E124" i="7" s="1"/>
  <c r="F124" i="7" s="1"/>
  <c r="G124" i="7" s="1"/>
  <c r="H124" i="7" s="1"/>
  <c r="I124" i="7" s="1"/>
  <c r="J124" i="7" s="1"/>
  <c r="K124" i="7" s="1"/>
  <c r="L124" i="7" s="1"/>
  <c r="R123" i="7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E123" i="7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C123" i="7"/>
  <c r="D123" i="7" s="1"/>
  <c r="C122" i="7"/>
  <c r="D122" i="7" s="1"/>
  <c r="E122" i="7" s="1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D121" i="7"/>
  <c r="E121" i="7" s="1"/>
  <c r="F121" i="7" s="1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C121" i="7"/>
  <c r="C120" i="7"/>
  <c r="D120" i="7" s="1"/>
  <c r="E120" i="7" s="1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C119" i="7"/>
  <c r="D119" i="7" s="1"/>
  <c r="E119" i="7" s="1"/>
  <c r="F119" i="7" s="1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D118" i="7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C118" i="7"/>
  <c r="O117" i="7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G117" i="7"/>
  <c r="H117" i="7" s="1"/>
  <c r="I117" i="7" s="1"/>
  <c r="J117" i="7" s="1"/>
  <c r="K117" i="7" s="1"/>
  <c r="L117" i="7" s="1"/>
  <c r="M117" i="7" s="1"/>
  <c r="N117" i="7" s="1"/>
  <c r="D117" i="7"/>
  <c r="E117" i="7" s="1"/>
  <c r="F117" i="7" s="1"/>
  <c r="C117" i="7"/>
  <c r="C116" i="7"/>
  <c r="D116" i="7" s="1"/>
  <c r="E116" i="7" s="1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C115" i="7"/>
  <c r="D115" i="7" s="1"/>
  <c r="E115" i="7" s="1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D114" i="7"/>
  <c r="E114" i="7" s="1"/>
  <c r="F114" i="7" s="1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C114" i="7"/>
  <c r="G113" i="7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D113" i="7"/>
  <c r="E113" i="7" s="1"/>
  <c r="F113" i="7" s="1"/>
  <c r="C113" i="7"/>
  <c r="C112" i="7"/>
  <c r="D112" i="7" s="1"/>
  <c r="E112" i="7" s="1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C111" i="7"/>
  <c r="D111" i="7" s="1"/>
  <c r="E111" i="7" s="1"/>
  <c r="F111" i="7" s="1"/>
  <c r="G111" i="7" s="1"/>
  <c r="H111" i="7" s="1"/>
  <c r="I111" i="7" s="1"/>
  <c r="J111" i="7" s="1"/>
  <c r="K111" i="7" s="1"/>
  <c r="L111" i="7" s="1"/>
  <c r="M111" i="7" s="1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J110" i="7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C110" i="7"/>
  <c r="D110" i="7" s="1"/>
  <c r="E110" i="7" s="1"/>
  <c r="F110" i="7" s="1"/>
  <c r="G110" i="7" s="1"/>
  <c r="H110" i="7" s="1"/>
  <c r="N109" i="7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F109" i="7"/>
  <c r="G109" i="7" s="1"/>
  <c r="H109" i="7" s="1"/>
  <c r="I109" i="7" s="1"/>
  <c r="J109" i="7" s="1"/>
  <c r="K109" i="7" s="1"/>
  <c r="L109" i="7" s="1"/>
  <c r="M109" i="7" s="1"/>
  <c r="C109" i="7"/>
  <c r="D109" i="7" s="1"/>
  <c r="E109" i="7" s="1"/>
  <c r="L108" i="7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D108" i="7"/>
  <c r="E108" i="7" s="1"/>
  <c r="F108" i="7" s="1"/>
  <c r="G108" i="7" s="1"/>
  <c r="H108" i="7" s="1"/>
  <c r="I108" i="7" s="1"/>
  <c r="J108" i="7" s="1"/>
  <c r="K108" i="7" s="1"/>
  <c r="C108" i="7"/>
  <c r="C106" i="7"/>
  <c r="D106" i="7" s="1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C105" i="7"/>
  <c r="D105" i="7" s="1"/>
  <c r="E105" i="7" s="1"/>
  <c r="F105" i="7" s="1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C103" i="7"/>
  <c r="D103" i="7" s="1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I102" i="7"/>
  <c r="J102" i="7" s="1"/>
  <c r="K102" i="7" s="1"/>
  <c r="L102" i="7" s="1"/>
  <c r="M102" i="7" s="1"/>
  <c r="N102" i="7" s="1"/>
  <c r="O102" i="7" s="1"/>
  <c r="P102" i="7" s="1"/>
  <c r="Q102" i="7" s="1"/>
  <c r="R102" i="7" s="1"/>
  <c r="S102" i="7" s="1"/>
  <c r="T102" i="7" s="1"/>
  <c r="U102" i="7" s="1"/>
  <c r="V102" i="7" s="1"/>
  <c r="W102" i="7" s="1"/>
  <c r="X102" i="7" s="1"/>
  <c r="Y102" i="7" s="1"/>
  <c r="Z102" i="7" s="1"/>
  <c r="AA102" i="7" s="1"/>
  <c r="AB102" i="7" s="1"/>
  <c r="AC102" i="7" s="1"/>
  <c r="AD102" i="7" s="1"/>
  <c r="AE102" i="7" s="1"/>
  <c r="AF102" i="7" s="1"/>
  <c r="G102" i="7"/>
  <c r="H102" i="7" s="1"/>
  <c r="D102" i="7"/>
  <c r="E102" i="7" s="1"/>
  <c r="F102" i="7" s="1"/>
  <c r="C102" i="7"/>
  <c r="C101" i="7"/>
  <c r="D101" i="7" s="1"/>
  <c r="E101" i="7" s="1"/>
  <c r="F101" i="7" s="1"/>
  <c r="G101" i="7" s="1"/>
  <c r="H101" i="7" s="1"/>
  <c r="I101" i="7" s="1"/>
  <c r="J101" i="7" s="1"/>
  <c r="K101" i="7" s="1"/>
  <c r="L101" i="7" s="1"/>
  <c r="M101" i="7" s="1"/>
  <c r="N101" i="7" s="1"/>
  <c r="O101" i="7" s="1"/>
  <c r="P101" i="7" s="1"/>
  <c r="Q101" i="7" s="1"/>
  <c r="R101" i="7" s="1"/>
  <c r="S101" i="7" s="1"/>
  <c r="T101" i="7" s="1"/>
  <c r="U101" i="7" s="1"/>
  <c r="V101" i="7" s="1"/>
  <c r="W101" i="7" s="1"/>
  <c r="X101" i="7" s="1"/>
  <c r="Y101" i="7" s="1"/>
  <c r="Z101" i="7" s="1"/>
  <c r="AA101" i="7" s="1"/>
  <c r="AB101" i="7" s="1"/>
  <c r="AC101" i="7" s="1"/>
  <c r="AD101" i="7" s="1"/>
  <c r="AE101" i="7" s="1"/>
  <c r="AF101" i="7" s="1"/>
  <c r="C100" i="7"/>
  <c r="D100" i="7" s="1"/>
  <c r="E100" i="7" s="1"/>
  <c r="F100" i="7" s="1"/>
  <c r="G100" i="7" s="1"/>
  <c r="H100" i="7" s="1"/>
  <c r="I100" i="7" s="1"/>
  <c r="J100" i="7" s="1"/>
  <c r="K100" i="7" s="1"/>
  <c r="L100" i="7" s="1"/>
  <c r="M100" i="7" s="1"/>
  <c r="N100" i="7" s="1"/>
  <c r="O100" i="7" s="1"/>
  <c r="P100" i="7" s="1"/>
  <c r="Q100" i="7" s="1"/>
  <c r="R100" i="7" s="1"/>
  <c r="S100" i="7" s="1"/>
  <c r="T100" i="7" s="1"/>
  <c r="U100" i="7" s="1"/>
  <c r="V100" i="7" s="1"/>
  <c r="W100" i="7" s="1"/>
  <c r="X100" i="7" s="1"/>
  <c r="Y100" i="7" s="1"/>
  <c r="Z100" i="7" s="1"/>
  <c r="AA100" i="7" s="1"/>
  <c r="AB100" i="7" s="1"/>
  <c r="AC100" i="7" s="1"/>
  <c r="AD100" i="7" s="1"/>
  <c r="AE100" i="7" s="1"/>
  <c r="AF100" i="7" s="1"/>
  <c r="C99" i="7"/>
  <c r="D99" i="7" s="1"/>
  <c r="D98" i="7"/>
  <c r="C98" i="7"/>
  <c r="AH95" i="7"/>
  <c r="AI95" i="7" s="1"/>
  <c r="AH94" i="7"/>
  <c r="AI94" i="7" s="1"/>
  <c r="AH93" i="7"/>
  <c r="AI93" i="7" s="1"/>
  <c r="AH92" i="7"/>
  <c r="AI92" i="7" s="1"/>
  <c r="AH91" i="7"/>
  <c r="AI91" i="7" s="1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I81" i="7"/>
  <c r="AH81" i="7"/>
  <c r="AG79" i="7"/>
  <c r="AE79" i="7"/>
  <c r="AB79" i="7"/>
  <c r="W79" i="7"/>
  <c r="T79" i="7"/>
  <c r="O79" i="7"/>
  <c r="L79" i="7"/>
  <c r="K79" i="7"/>
  <c r="H79" i="7"/>
  <c r="G79" i="7"/>
  <c r="F79" i="7"/>
  <c r="E79" i="7"/>
  <c r="D79" i="7"/>
  <c r="C79" i="7"/>
  <c r="AI78" i="7"/>
  <c r="AH78" i="7"/>
  <c r="AI71" i="7"/>
  <c r="AH71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I69" i="7"/>
  <c r="AI68" i="7"/>
  <c r="AH68" i="7"/>
  <c r="AI67" i="7"/>
  <c r="AH67" i="7"/>
  <c r="AI66" i="7"/>
  <c r="AH66" i="7"/>
  <c r="AG65" i="7"/>
  <c r="AF65" i="7"/>
  <c r="AF5" i="7" s="1"/>
  <c r="AE65" i="7"/>
  <c r="AE5" i="7" s="1"/>
  <c r="AD65" i="7"/>
  <c r="AC65" i="7"/>
  <c r="AB65" i="7"/>
  <c r="AB5" i="7" s="1"/>
  <c r="AA65" i="7"/>
  <c r="Z65" i="7"/>
  <c r="Z5" i="7" s="1"/>
  <c r="Y65" i="7"/>
  <c r="X65" i="7"/>
  <c r="X5" i="7" s="1"/>
  <c r="W65" i="7"/>
  <c r="W5" i="7" s="1"/>
  <c r="V65" i="7"/>
  <c r="U65" i="7"/>
  <c r="T65" i="7"/>
  <c r="T5" i="7" s="1"/>
  <c r="S65" i="7"/>
  <c r="R65" i="7"/>
  <c r="Q65" i="7"/>
  <c r="P65" i="7"/>
  <c r="P5" i="7" s="1"/>
  <c r="O65" i="7"/>
  <c r="O5" i="7" s="1"/>
  <c r="N65" i="7"/>
  <c r="N5" i="7" s="1"/>
  <c r="M65" i="7"/>
  <c r="M5" i="7" s="1"/>
  <c r="L65" i="7"/>
  <c r="L5" i="7" s="1"/>
  <c r="K65" i="7"/>
  <c r="J65" i="7"/>
  <c r="J5" i="7" s="1"/>
  <c r="I65" i="7"/>
  <c r="I5" i="7" s="1"/>
  <c r="H65" i="7"/>
  <c r="H5" i="7" s="1"/>
  <c r="G65" i="7"/>
  <c r="G5" i="7" s="1"/>
  <c r="F65" i="7"/>
  <c r="E65" i="7"/>
  <c r="D65" i="7"/>
  <c r="C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I54" i="7"/>
  <c r="AH54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I52" i="7"/>
  <c r="AH52" i="7"/>
  <c r="AI51" i="7"/>
  <c r="AH51" i="7"/>
  <c r="AI50" i="7"/>
  <c r="AH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G48" i="7"/>
  <c r="AG49" i="7" s="1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G35" i="7"/>
  <c r="AG2" i="7" s="1"/>
  <c r="AF35" i="7"/>
  <c r="AE35" i="7"/>
  <c r="AD35" i="7"/>
  <c r="AC35" i="7"/>
  <c r="AB35" i="7"/>
  <c r="AA35" i="7"/>
  <c r="Z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D72" i="7" s="1"/>
  <c r="C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D5" i="7"/>
  <c r="AC5" i="7"/>
  <c r="Y5" i="7"/>
  <c r="V5" i="7"/>
  <c r="U5" i="7"/>
  <c r="R5" i="7"/>
  <c r="Q5" i="7"/>
  <c r="E5" i="7"/>
  <c r="D5" i="7"/>
  <c r="AG4" i="7"/>
  <c r="K4" i="7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AF234" i="6"/>
  <c r="AE234" i="6"/>
  <c r="AD234" i="6"/>
  <c r="AC234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A234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C233" i="6"/>
  <c r="B233" i="6"/>
  <c r="A233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D232" i="6"/>
  <c r="C232" i="6"/>
  <c r="B232" i="6"/>
  <c r="A232" i="6"/>
  <c r="B231" i="6"/>
  <c r="S206" i="6"/>
  <c r="AG196" i="6"/>
  <c r="B196" i="6"/>
  <c r="C195" i="6"/>
  <c r="L194" i="6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E194" i="6"/>
  <c r="F194" i="6" s="1"/>
  <c r="G194" i="6" s="1"/>
  <c r="H194" i="6" s="1"/>
  <c r="I194" i="6" s="1"/>
  <c r="J194" i="6" s="1"/>
  <c r="K194" i="6" s="1"/>
  <c r="C194" i="6"/>
  <c r="D194" i="6" s="1"/>
  <c r="C193" i="6"/>
  <c r="D193" i="6" s="1"/>
  <c r="E193" i="6" s="1"/>
  <c r="F193" i="6" s="1"/>
  <c r="G193" i="6" s="1"/>
  <c r="H193" i="6" s="1"/>
  <c r="I193" i="6" s="1"/>
  <c r="J193" i="6" s="1"/>
  <c r="K193" i="6" s="1"/>
  <c r="L193" i="6" s="1"/>
  <c r="M193" i="6" s="1"/>
  <c r="N193" i="6" s="1"/>
  <c r="O193" i="6" s="1"/>
  <c r="P193" i="6" s="1"/>
  <c r="Q193" i="6" s="1"/>
  <c r="R193" i="6" s="1"/>
  <c r="S193" i="6" s="1"/>
  <c r="T193" i="6" s="1"/>
  <c r="U193" i="6" s="1"/>
  <c r="V193" i="6" s="1"/>
  <c r="W193" i="6" s="1"/>
  <c r="X193" i="6" s="1"/>
  <c r="Y193" i="6" s="1"/>
  <c r="Z193" i="6" s="1"/>
  <c r="AA193" i="6" s="1"/>
  <c r="AB193" i="6" s="1"/>
  <c r="AC193" i="6" s="1"/>
  <c r="AD193" i="6" s="1"/>
  <c r="AE193" i="6" s="1"/>
  <c r="AF193" i="6" s="1"/>
  <c r="C192" i="6"/>
  <c r="D192" i="6" s="1"/>
  <c r="E192" i="6" s="1"/>
  <c r="F192" i="6" s="1"/>
  <c r="G192" i="6" s="1"/>
  <c r="H192" i="6" s="1"/>
  <c r="I192" i="6" s="1"/>
  <c r="J192" i="6" s="1"/>
  <c r="K192" i="6" s="1"/>
  <c r="L192" i="6" s="1"/>
  <c r="M192" i="6" s="1"/>
  <c r="N192" i="6" s="1"/>
  <c r="O192" i="6" s="1"/>
  <c r="P192" i="6" s="1"/>
  <c r="Q192" i="6" s="1"/>
  <c r="R192" i="6" s="1"/>
  <c r="S192" i="6" s="1"/>
  <c r="T192" i="6" s="1"/>
  <c r="U192" i="6" s="1"/>
  <c r="V192" i="6" s="1"/>
  <c r="W192" i="6" s="1"/>
  <c r="X192" i="6" s="1"/>
  <c r="Y192" i="6" s="1"/>
  <c r="Z192" i="6" s="1"/>
  <c r="AA192" i="6" s="1"/>
  <c r="AB192" i="6" s="1"/>
  <c r="AC192" i="6" s="1"/>
  <c r="AD192" i="6" s="1"/>
  <c r="AE192" i="6" s="1"/>
  <c r="AF192" i="6" s="1"/>
  <c r="K191" i="6"/>
  <c r="L191" i="6" s="1"/>
  <c r="M191" i="6" s="1"/>
  <c r="N191" i="6" s="1"/>
  <c r="O191" i="6" s="1"/>
  <c r="P191" i="6" s="1"/>
  <c r="Q191" i="6" s="1"/>
  <c r="R191" i="6" s="1"/>
  <c r="S191" i="6" s="1"/>
  <c r="T191" i="6" s="1"/>
  <c r="U191" i="6" s="1"/>
  <c r="V191" i="6" s="1"/>
  <c r="W191" i="6" s="1"/>
  <c r="X191" i="6" s="1"/>
  <c r="Y191" i="6" s="1"/>
  <c r="Z191" i="6" s="1"/>
  <c r="AA191" i="6" s="1"/>
  <c r="AB191" i="6" s="1"/>
  <c r="AC191" i="6" s="1"/>
  <c r="AD191" i="6" s="1"/>
  <c r="AE191" i="6" s="1"/>
  <c r="AF191" i="6" s="1"/>
  <c r="J191" i="6"/>
  <c r="E191" i="6"/>
  <c r="F191" i="6" s="1"/>
  <c r="G191" i="6" s="1"/>
  <c r="H191" i="6" s="1"/>
  <c r="I191" i="6" s="1"/>
  <c r="C191" i="6"/>
  <c r="D191" i="6" s="1"/>
  <c r="E190" i="6"/>
  <c r="C190" i="6"/>
  <c r="D190" i="6" s="1"/>
  <c r="AG188" i="6"/>
  <c r="B188" i="6"/>
  <c r="C187" i="6"/>
  <c r="D187" i="6" s="1"/>
  <c r="E187" i="6" s="1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C186" i="6"/>
  <c r="D186" i="6" s="1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E185" i="6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C185" i="6"/>
  <c r="D185" i="6" s="1"/>
  <c r="G184" i="6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C184" i="6"/>
  <c r="D184" i="6" s="1"/>
  <c r="E184" i="6" s="1"/>
  <c r="F184" i="6" s="1"/>
  <c r="E183" i="6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C183" i="6"/>
  <c r="D183" i="6" s="1"/>
  <c r="D182" i="6"/>
  <c r="E182" i="6" s="1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C182" i="6"/>
  <c r="G181" i="6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F181" i="6"/>
  <c r="C181" i="6"/>
  <c r="D181" i="6" s="1"/>
  <c r="E181" i="6" s="1"/>
  <c r="D180" i="6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C180" i="6"/>
  <c r="E179" i="6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C179" i="6"/>
  <c r="D179" i="6" s="1"/>
  <c r="C178" i="6"/>
  <c r="D178" i="6" s="1"/>
  <c r="E178" i="6" s="1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R178" i="6" s="1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D177" i="6"/>
  <c r="E177" i="6" s="1"/>
  <c r="F177" i="6" s="1"/>
  <c r="G177" i="6" s="1"/>
  <c r="H177" i="6" s="1"/>
  <c r="I177" i="6" s="1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C177" i="6"/>
  <c r="C176" i="6"/>
  <c r="D176" i="6" s="1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E175" i="6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C175" i="6"/>
  <c r="D175" i="6" s="1"/>
  <c r="C173" i="6"/>
  <c r="D173" i="6" s="1"/>
  <c r="E173" i="6" s="1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E172" i="6"/>
  <c r="F172" i="6" s="1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C172" i="6"/>
  <c r="D172" i="6" s="1"/>
  <c r="C171" i="6"/>
  <c r="D171" i="6" s="1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C170" i="6"/>
  <c r="D170" i="6" s="1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C169" i="6"/>
  <c r="D169" i="6" s="1"/>
  <c r="E169" i="6" s="1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D168" i="6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C168" i="6"/>
  <c r="C167" i="6"/>
  <c r="D167" i="6" s="1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O166" i="6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C166" i="6"/>
  <c r="D166" i="6" s="1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C164" i="6"/>
  <c r="D164" i="6" s="1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L163" i="6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C163" i="6"/>
  <c r="D163" i="6" s="1"/>
  <c r="E163" i="6" s="1"/>
  <c r="F163" i="6" s="1"/>
  <c r="G163" i="6" s="1"/>
  <c r="H163" i="6" s="1"/>
  <c r="I163" i="6" s="1"/>
  <c r="J163" i="6" s="1"/>
  <c r="K163" i="6" s="1"/>
  <c r="AE162" i="6"/>
  <c r="AF162" i="6" s="1"/>
  <c r="E162" i="6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C162" i="6"/>
  <c r="D162" i="6" s="1"/>
  <c r="C161" i="6"/>
  <c r="D161" i="6" s="1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F160" i="6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C160" i="6"/>
  <c r="D160" i="6" s="1"/>
  <c r="E160" i="6" s="1"/>
  <c r="T159" i="6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D159" i="6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C159" i="6"/>
  <c r="C158" i="6"/>
  <c r="D158" i="6" s="1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E157" i="6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C157" i="6"/>
  <c r="D157" i="6" s="1"/>
  <c r="I156" i="6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C156" i="6"/>
  <c r="D156" i="6" s="1"/>
  <c r="E156" i="6" s="1"/>
  <c r="F156" i="6" s="1"/>
  <c r="G156" i="6" s="1"/>
  <c r="H156" i="6" s="1"/>
  <c r="G155" i="6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C155" i="6"/>
  <c r="D155" i="6" s="1"/>
  <c r="E155" i="6" s="1"/>
  <c r="F155" i="6" s="1"/>
  <c r="U154" i="6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E154" i="6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C154" i="6"/>
  <c r="D154" i="6" s="1"/>
  <c r="X153" i="6"/>
  <c r="Y153" i="6" s="1"/>
  <c r="Z153" i="6" s="1"/>
  <c r="AA153" i="6" s="1"/>
  <c r="AB153" i="6" s="1"/>
  <c r="AC153" i="6" s="1"/>
  <c r="AD153" i="6" s="1"/>
  <c r="AE153" i="6" s="1"/>
  <c r="AF153" i="6" s="1"/>
  <c r="C153" i="6"/>
  <c r="D153" i="6" s="1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K152" i="6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C152" i="6"/>
  <c r="D152" i="6" s="1"/>
  <c r="E152" i="6" s="1"/>
  <c r="F152" i="6" s="1"/>
  <c r="G152" i="6" s="1"/>
  <c r="H152" i="6" s="1"/>
  <c r="I152" i="6" s="1"/>
  <c r="J152" i="6" s="1"/>
  <c r="E150" i="6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D150" i="6"/>
  <c r="C150" i="6"/>
  <c r="E149" i="6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C149" i="6"/>
  <c r="D149" i="6" s="1"/>
  <c r="Q148" i="6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H148" i="6"/>
  <c r="I148" i="6" s="1"/>
  <c r="J148" i="6" s="1"/>
  <c r="K148" i="6" s="1"/>
  <c r="L148" i="6" s="1"/>
  <c r="M148" i="6" s="1"/>
  <c r="N148" i="6" s="1"/>
  <c r="O148" i="6" s="1"/>
  <c r="P148" i="6" s="1"/>
  <c r="C148" i="6"/>
  <c r="D148" i="6" s="1"/>
  <c r="E148" i="6" s="1"/>
  <c r="F148" i="6" s="1"/>
  <c r="G148" i="6" s="1"/>
  <c r="K147" i="6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C147" i="6"/>
  <c r="D147" i="6" s="1"/>
  <c r="E147" i="6" s="1"/>
  <c r="F147" i="6" s="1"/>
  <c r="G147" i="6" s="1"/>
  <c r="H147" i="6" s="1"/>
  <c r="I147" i="6" s="1"/>
  <c r="J147" i="6" s="1"/>
  <c r="Q145" i="6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H145" i="6"/>
  <c r="I145" i="6" s="1"/>
  <c r="J145" i="6" s="1"/>
  <c r="K145" i="6" s="1"/>
  <c r="L145" i="6" s="1"/>
  <c r="M145" i="6" s="1"/>
  <c r="N145" i="6" s="1"/>
  <c r="O145" i="6" s="1"/>
  <c r="P145" i="6" s="1"/>
  <c r="C145" i="6"/>
  <c r="D145" i="6" s="1"/>
  <c r="E145" i="6" s="1"/>
  <c r="F145" i="6" s="1"/>
  <c r="G145" i="6" s="1"/>
  <c r="K144" i="6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F144" i="6"/>
  <c r="G144" i="6" s="1"/>
  <c r="H144" i="6" s="1"/>
  <c r="I144" i="6" s="1"/>
  <c r="J144" i="6" s="1"/>
  <c r="C144" i="6"/>
  <c r="D144" i="6" s="1"/>
  <c r="E144" i="6" s="1"/>
  <c r="K142" i="6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E142" i="6"/>
  <c r="F142" i="6" s="1"/>
  <c r="G142" i="6" s="1"/>
  <c r="H142" i="6" s="1"/>
  <c r="I142" i="6" s="1"/>
  <c r="J142" i="6" s="1"/>
  <c r="D142" i="6"/>
  <c r="C142" i="6"/>
  <c r="C141" i="6"/>
  <c r="D141" i="6" s="1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I140" i="6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E140" i="6"/>
  <c r="F140" i="6" s="1"/>
  <c r="G140" i="6" s="1"/>
  <c r="H140" i="6" s="1"/>
  <c r="D140" i="6"/>
  <c r="C140" i="6"/>
  <c r="G139" i="6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C139" i="6"/>
  <c r="D139" i="6" s="1"/>
  <c r="E139" i="6" s="1"/>
  <c r="F139" i="6" s="1"/>
  <c r="F138" i="6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C138" i="6"/>
  <c r="D138" i="6" s="1"/>
  <c r="E138" i="6" s="1"/>
  <c r="E137" i="6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C137" i="6"/>
  <c r="D137" i="6" s="1"/>
  <c r="E136" i="6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C136" i="6"/>
  <c r="D136" i="6" s="1"/>
  <c r="G134" i="6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D134" i="6"/>
  <c r="E134" i="6" s="1"/>
  <c r="F134" i="6" s="1"/>
  <c r="C134" i="6"/>
  <c r="E133" i="6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D133" i="6"/>
  <c r="C133" i="6"/>
  <c r="J132" i="6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D132" i="6"/>
  <c r="E132" i="6" s="1"/>
  <c r="F132" i="6" s="1"/>
  <c r="G132" i="6" s="1"/>
  <c r="H132" i="6" s="1"/>
  <c r="I132" i="6" s="1"/>
  <c r="C132" i="6"/>
  <c r="D131" i="6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C131" i="6"/>
  <c r="H130" i="6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G130" i="6"/>
  <c r="C130" i="6"/>
  <c r="D130" i="6" s="1"/>
  <c r="E130" i="6" s="1"/>
  <c r="F130" i="6" s="1"/>
  <c r="U129" i="6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E129" i="6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D129" i="6"/>
  <c r="C129" i="6"/>
  <c r="V128" i="6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F128" i="6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D128" i="6"/>
  <c r="E128" i="6" s="1"/>
  <c r="C128" i="6"/>
  <c r="T127" i="6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D127" i="6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C127" i="6"/>
  <c r="C125" i="6"/>
  <c r="D125" i="6" s="1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N124" i="6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E124" i="6"/>
  <c r="F124" i="6" s="1"/>
  <c r="G124" i="6" s="1"/>
  <c r="H124" i="6" s="1"/>
  <c r="I124" i="6" s="1"/>
  <c r="J124" i="6" s="1"/>
  <c r="K124" i="6" s="1"/>
  <c r="L124" i="6" s="1"/>
  <c r="M124" i="6" s="1"/>
  <c r="D124" i="6"/>
  <c r="C124" i="6"/>
  <c r="C123" i="6"/>
  <c r="D123" i="6" s="1"/>
  <c r="E123" i="6" s="1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D122" i="6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C122" i="6"/>
  <c r="C121" i="6"/>
  <c r="D121" i="6" s="1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D120" i="6"/>
  <c r="C120" i="6"/>
  <c r="J119" i="6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E119" i="6"/>
  <c r="F119" i="6" s="1"/>
  <c r="G119" i="6" s="1"/>
  <c r="H119" i="6" s="1"/>
  <c r="I119" i="6" s="1"/>
  <c r="D119" i="6"/>
  <c r="C119" i="6"/>
  <c r="L118" i="6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D118" i="6"/>
  <c r="E118" i="6" s="1"/>
  <c r="F118" i="6" s="1"/>
  <c r="G118" i="6" s="1"/>
  <c r="H118" i="6" s="1"/>
  <c r="I118" i="6" s="1"/>
  <c r="J118" i="6" s="1"/>
  <c r="K118" i="6" s="1"/>
  <c r="C118" i="6"/>
  <c r="H117" i="6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C117" i="6"/>
  <c r="D117" i="6" s="1"/>
  <c r="E117" i="6" s="1"/>
  <c r="F117" i="6" s="1"/>
  <c r="G117" i="6" s="1"/>
  <c r="J116" i="6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E116" i="6"/>
  <c r="F116" i="6" s="1"/>
  <c r="G116" i="6" s="1"/>
  <c r="H116" i="6" s="1"/>
  <c r="I116" i="6" s="1"/>
  <c r="C116" i="6"/>
  <c r="D116" i="6" s="1"/>
  <c r="H115" i="6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C115" i="6"/>
  <c r="D115" i="6" s="1"/>
  <c r="E115" i="6" s="1"/>
  <c r="F115" i="6" s="1"/>
  <c r="G115" i="6" s="1"/>
  <c r="C114" i="6"/>
  <c r="D114" i="6" s="1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D113" i="6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C113" i="6"/>
  <c r="C112" i="6"/>
  <c r="D112" i="6" s="1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C111" i="6"/>
  <c r="D111" i="6" s="1"/>
  <c r="E111" i="6" s="1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K110" i="6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J110" i="6"/>
  <c r="D110" i="6"/>
  <c r="E110" i="6" s="1"/>
  <c r="F110" i="6" s="1"/>
  <c r="G110" i="6" s="1"/>
  <c r="H110" i="6" s="1"/>
  <c r="C110" i="6"/>
  <c r="C109" i="6"/>
  <c r="D109" i="6" s="1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D108" i="6"/>
  <c r="C108" i="6"/>
  <c r="F106" i="6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D106" i="6"/>
  <c r="E106" i="6" s="1"/>
  <c r="C106" i="6"/>
  <c r="E105" i="6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D105" i="6"/>
  <c r="C105" i="6"/>
  <c r="C103" i="6"/>
  <c r="D103" i="6" s="1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F102" i="6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D102" i="6"/>
  <c r="E102" i="6" s="1"/>
  <c r="C102" i="6"/>
  <c r="C101" i="6"/>
  <c r="D101" i="6" s="1"/>
  <c r="E101" i="6" s="1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C100" i="6"/>
  <c r="D100" i="6" s="1"/>
  <c r="E100" i="6" s="1"/>
  <c r="F100" i="6" s="1"/>
  <c r="G100" i="6" s="1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C99" i="6"/>
  <c r="D99" i="6" s="1"/>
  <c r="E98" i="6"/>
  <c r="D98" i="6"/>
  <c r="C98" i="6"/>
  <c r="AH96" i="6"/>
  <c r="AI96" i="6" s="1"/>
  <c r="AI95" i="6"/>
  <c r="AH95" i="6"/>
  <c r="AH94" i="6"/>
  <c r="AI94" i="6" s="1"/>
  <c r="AI93" i="6"/>
  <c r="AH93" i="6"/>
  <c r="AH92" i="6"/>
  <c r="AI92" i="6" s="1"/>
  <c r="C91" i="6"/>
  <c r="B91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G80" i="6"/>
  <c r="U80" i="6"/>
  <c r="M80" i="6"/>
  <c r="E80" i="6"/>
  <c r="AI79" i="6"/>
  <c r="AH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I78" i="6"/>
  <c r="AF77" i="6"/>
  <c r="AE77" i="6"/>
  <c r="AD77" i="6"/>
  <c r="AC77" i="6"/>
  <c r="AC80" i="6" s="1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AH77" i="6" s="1"/>
  <c r="F77" i="6"/>
  <c r="E77" i="6"/>
  <c r="D77" i="6"/>
  <c r="C77" i="6"/>
  <c r="AI77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AI76" i="6"/>
  <c r="AF75" i="6"/>
  <c r="AE75" i="6"/>
  <c r="AE80" i="6" s="1"/>
  <c r="AD75" i="6"/>
  <c r="AC75" i="6"/>
  <c r="AB75" i="6"/>
  <c r="AA75" i="6"/>
  <c r="AA80" i="6" s="1"/>
  <c r="Z75" i="6"/>
  <c r="Y75" i="6"/>
  <c r="Y80" i="6" s="1"/>
  <c r="X75" i="6"/>
  <c r="W75" i="6"/>
  <c r="W80" i="6" s="1"/>
  <c r="V75" i="6"/>
  <c r="U75" i="6"/>
  <c r="T75" i="6"/>
  <c r="S75" i="6"/>
  <c r="S80" i="6" s="1"/>
  <c r="R75" i="6"/>
  <c r="Q75" i="6"/>
  <c r="Q80" i="6" s="1"/>
  <c r="P75" i="6"/>
  <c r="O75" i="6"/>
  <c r="O80" i="6" s="1"/>
  <c r="N75" i="6"/>
  <c r="M75" i="6"/>
  <c r="L75" i="6"/>
  <c r="K75" i="6"/>
  <c r="K80" i="6" s="1"/>
  <c r="J75" i="6"/>
  <c r="I75" i="6"/>
  <c r="I80" i="6" s="1"/>
  <c r="H75" i="6"/>
  <c r="G75" i="6"/>
  <c r="G80" i="6" s="1"/>
  <c r="F75" i="6"/>
  <c r="E75" i="6"/>
  <c r="D75" i="6"/>
  <c r="C75" i="6"/>
  <c r="C80" i="6" s="1"/>
  <c r="AI75" i="6"/>
  <c r="AF74" i="6"/>
  <c r="AF80" i="6" s="1"/>
  <c r="AE74" i="6"/>
  <c r="AD74" i="6"/>
  <c r="AD80" i="6" s="1"/>
  <c r="AC74" i="6"/>
  <c r="AB74" i="6"/>
  <c r="AB80" i="6" s="1"/>
  <c r="AA74" i="6"/>
  <c r="Z74" i="6"/>
  <c r="Z80" i="6" s="1"/>
  <c r="Y74" i="6"/>
  <c r="X74" i="6"/>
  <c r="X80" i="6" s="1"/>
  <c r="W74" i="6"/>
  <c r="V74" i="6"/>
  <c r="V80" i="6" s="1"/>
  <c r="U74" i="6"/>
  <c r="T74" i="6"/>
  <c r="T80" i="6" s="1"/>
  <c r="S74" i="6"/>
  <c r="R74" i="6"/>
  <c r="R80" i="6" s="1"/>
  <c r="Q74" i="6"/>
  <c r="P74" i="6"/>
  <c r="P80" i="6" s="1"/>
  <c r="O74" i="6"/>
  <c r="N74" i="6"/>
  <c r="N80" i="6" s="1"/>
  <c r="M74" i="6"/>
  <c r="L74" i="6"/>
  <c r="L80" i="6" s="1"/>
  <c r="K74" i="6"/>
  <c r="J74" i="6"/>
  <c r="J80" i="6" s="1"/>
  <c r="I74" i="6"/>
  <c r="H74" i="6"/>
  <c r="H80" i="6" s="1"/>
  <c r="G74" i="6"/>
  <c r="F74" i="6"/>
  <c r="F80" i="6" s="1"/>
  <c r="E74" i="6"/>
  <c r="D74" i="6"/>
  <c r="D80" i="6" s="1"/>
  <c r="C74" i="6"/>
  <c r="B74" i="6"/>
  <c r="AI74" i="6" s="1"/>
  <c r="AI72" i="6"/>
  <c r="AH72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Q73" i="6" s="1"/>
  <c r="P70" i="6"/>
  <c r="P73" i="6" s="1"/>
  <c r="O70" i="6"/>
  <c r="N70" i="6"/>
  <c r="M70" i="6"/>
  <c r="L70" i="6"/>
  <c r="K70" i="6"/>
  <c r="K73" i="6" s="1"/>
  <c r="J70" i="6"/>
  <c r="I70" i="6"/>
  <c r="I73" i="6" s="1"/>
  <c r="H70" i="6"/>
  <c r="H73" i="6" s="1"/>
  <c r="G70" i="6"/>
  <c r="G73" i="6" s="1"/>
  <c r="F70" i="6"/>
  <c r="E70" i="6"/>
  <c r="D70" i="6"/>
  <c r="C70" i="6"/>
  <c r="C73" i="6" s="1"/>
  <c r="B70" i="6"/>
  <c r="AI69" i="6"/>
  <c r="AH69" i="6"/>
  <c r="AI68" i="6"/>
  <c r="AH68" i="6"/>
  <c r="AI67" i="6"/>
  <c r="AH67" i="6"/>
  <c r="AG66" i="6"/>
  <c r="AF66" i="6"/>
  <c r="AF5" i="6" s="1"/>
  <c r="AE66" i="6"/>
  <c r="AD66" i="6"/>
  <c r="AD5" i="6" s="1"/>
  <c r="AC66" i="6"/>
  <c r="AB66" i="6"/>
  <c r="AA66" i="6"/>
  <c r="Z66" i="6"/>
  <c r="Z5" i="6" s="1"/>
  <c r="Y66" i="6"/>
  <c r="X66" i="6"/>
  <c r="X5" i="6" s="1"/>
  <c r="W66" i="6"/>
  <c r="V66" i="6"/>
  <c r="V5" i="6" s="1"/>
  <c r="U66" i="6"/>
  <c r="T66" i="6"/>
  <c r="S66" i="6"/>
  <c r="S71" i="6" s="1"/>
  <c r="R66" i="6"/>
  <c r="R5" i="6" s="1"/>
  <c r="Q66" i="6"/>
  <c r="Q71" i="6" s="1"/>
  <c r="P66" i="6"/>
  <c r="P5" i="6" s="1"/>
  <c r="O66" i="6"/>
  <c r="N66" i="6"/>
  <c r="N5" i="6" s="1"/>
  <c r="M66" i="6"/>
  <c r="L66" i="6"/>
  <c r="L71" i="6" s="1"/>
  <c r="K66" i="6"/>
  <c r="K71" i="6" s="1"/>
  <c r="J66" i="6"/>
  <c r="J5" i="6" s="1"/>
  <c r="I66" i="6"/>
  <c r="I71" i="6" s="1"/>
  <c r="H66" i="6"/>
  <c r="H5" i="6" s="1"/>
  <c r="G66" i="6"/>
  <c r="F66" i="6"/>
  <c r="F5" i="6" s="1"/>
  <c r="E66" i="6"/>
  <c r="D66" i="6"/>
  <c r="D71" i="6" s="1"/>
  <c r="C66" i="6"/>
  <c r="C71" i="6" s="1"/>
  <c r="B66" i="6"/>
  <c r="B5" i="6" s="1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P71" i="6" s="1"/>
  <c r="O54" i="6"/>
  <c r="N54" i="6"/>
  <c r="N71" i="6" s="1"/>
  <c r="M54" i="6"/>
  <c r="L54" i="6"/>
  <c r="K54" i="6"/>
  <c r="J54" i="6"/>
  <c r="I54" i="6"/>
  <c r="H54" i="6"/>
  <c r="H71" i="6" s="1"/>
  <c r="G54" i="6"/>
  <c r="F54" i="6"/>
  <c r="F71" i="6" s="1"/>
  <c r="E54" i="6"/>
  <c r="D54" i="6"/>
  <c r="C54" i="6"/>
  <c r="B54" i="6"/>
  <c r="AI54" i="6" s="1"/>
  <c r="AI53" i="6"/>
  <c r="AH53" i="6"/>
  <c r="AI52" i="6"/>
  <c r="AH52" i="6"/>
  <c r="AI51" i="6"/>
  <c r="AH51" i="6"/>
  <c r="AG50" i="6"/>
  <c r="S50" i="6"/>
  <c r="R50" i="6"/>
  <c r="Q50" i="6"/>
  <c r="P50" i="6"/>
  <c r="O50" i="6"/>
  <c r="O71" i="6" s="1"/>
  <c r="N50" i="6"/>
  <c r="N73" i="6" s="1"/>
  <c r="M50" i="6"/>
  <c r="L50" i="6"/>
  <c r="K50" i="6"/>
  <c r="J50" i="6"/>
  <c r="I50" i="6"/>
  <c r="H50" i="6"/>
  <c r="G50" i="6"/>
  <c r="G71" i="6" s="1"/>
  <c r="G81" i="6" s="1"/>
  <c r="F50" i="6"/>
  <c r="F73" i="6" s="1"/>
  <c r="E50" i="6"/>
  <c r="D50" i="6"/>
  <c r="C50" i="6"/>
  <c r="B50" i="6"/>
  <c r="AG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M71" i="6" s="1"/>
  <c r="L36" i="6"/>
  <c r="K36" i="6"/>
  <c r="J36" i="6"/>
  <c r="I36" i="6"/>
  <c r="H36" i="6"/>
  <c r="G36" i="6"/>
  <c r="F36" i="6"/>
  <c r="E36" i="6"/>
  <c r="E71" i="6" s="1"/>
  <c r="D36" i="6"/>
  <c r="C36" i="6"/>
  <c r="B36" i="6"/>
  <c r="AI36" i="6" s="1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E5" i="6"/>
  <c r="AC5" i="6"/>
  <c r="AA5" i="6"/>
  <c r="Y5" i="6"/>
  <c r="W5" i="6"/>
  <c r="U5" i="6"/>
  <c r="S5" i="6"/>
  <c r="Q5" i="6"/>
  <c r="O5" i="6"/>
  <c r="M5" i="6"/>
  <c r="K5" i="6"/>
  <c r="I5" i="6"/>
  <c r="G5" i="6"/>
  <c r="E5" i="6"/>
  <c r="C5" i="6"/>
  <c r="AG4" i="6"/>
  <c r="K4" i="6"/>
  <c r="B4" i="6"/>
  <c r="AG3" i="6"/>
  <c r="AG2" i="6"/>
  <c r="AG6" i="6" s="1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G232" i="5"/>
  <c r="D232" i="5"/>
  <c r="C232" i="5"/>
  <c r="B232" i="5"/>
  <c r="S207" i="5"/>
  <c r="AG197" i="5"/>
  <c r="B197" i="5"/>
  <c r="G196" i="5"/>
  <c r="H196" i="5" s="1"/>
  <c r="F196" i="5"/>
  <c r="F232" i="5" s="1"/>
  <c r="D196" i="5"/>
  <c r="E196" i="5" s="1"/>
  <c r="E232" i="5" s="1"/>
  <c r="C196" i="5"/>
  <c r="AF195" i="5"/>
  <c r="L195" i="5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J195" i="5"/>
  <c r="K195" i="5" s="1"/>
  <c r="H195" i="5"/>
  <c r="I195" i="5" s="1"/>
  <c r="E195" i="5"/>
  <c r="F195" i="5" s="1"/>
  <c r="G195" i="5" s="1"/>
  <c r="D195" i="5"/>
  <c r="C195" i="5"/>
  <c r="P194" i="5"/>
  <c r="Q194" i="5" s="1"/>
  <c r="R194" i="5" s="1"/>
  <c r="S194" i="5" s="1"/>
  <c r="T194" i="5" s="1"/>
  <c r="U194" i="5" s="1"/>
  <c r="V194" i="5" s="1"/>
  <c r="W194" i="5" s="1"/>
  <c r="X194" i="5" s="1"/>
  <c r="Y194" i="5" s="1"/>
  <c r="Z194" i="5" s="1"/>
  <c r="AA194" i="5" s="1"/>
  <c r="AB194" i="5" s="1"/>
  <c r="AC194" i="5" s="1"/>
  <c r="AD194" i="5" s="1"/>
  <c r="AE194" i="5" s="1"/>
  <c r="AF194" i="5" s="1"/>
  <c r="K194" i="5"/>
  <c r="L194" i="5" s="1"/>
  <c r="M194" i="5" s="1"/>
  <c r="N194" i="5" s="1"/>
  <c r="O194" i="5" s="1"/>
  <c r="F194" i="5"/>
  <c r="G194" i="5" s="1"/>
  <c r="H194" i="5" s="1"/>
  <c r="I194" i="5" s="1"/>
  <c r="J194" i="5" s="1"/>
  <c r="C194" i="5"/>
  <c r="D194" i="5" s="1"/>
  <c r="E194" i="5" s="1"/>
  <c r="D193" i="5"/>
  <c r="E193" i="5" s="1"/>
  <c r="F193" i="5" s="1"/>
  <c r="G193" i="5" s="1"/>
  <c r="H193" i="5" s="1"/>
  <c r="I193" i="5" s="1"/>
  <c r="J193" i="5" s="1"/>
  <c r="K193" i="5" s="1"/>
  <c r="L193" i="5" s="1"/>
  <c r="M193" i="5" s="1"/>
  <c r="N193" i="5" s="1"/>
  <c r="O193" i="5" s="1"/>
  <c r="P193" i="5" s="1"/>
  <c r="Q193" i="5" s="1"/>
  <c r="R193" i="5" s="1"/>
  <c r="S193" i="5" s="1"/>
  <c r="T193" i="5" s="1"/>
  <c r="U193" i="5" s="1"/>
  <c r="V193" i="5" s="1"/>
  <c r="W193" i="5" s="1"/>
  <c r="X193" i="5" s="1"/>
  <c r="Y193" i="5" s="1"/>
  <c r="Z193" i="5" s="1"/>
  <c r="AA193" i="5" s="1"/>
  <c r="AB193" i="5" s="1"/>
  <c r="AC193" i="5" s="1"/>
  <c r="AD193" i="5" s="1"/>
  <c r="AE193" i="5" s="1"/>
  <c r="AF193" i="5" s="1"/>
  <c r="C193" i="5"/>
  <c r="Y192" i="5"/>
  <c r="Z192" i="5" s="1"/>
  <c r="AA192" i="5" s="1"/>
  <c r="AB192" i="5" s="1"/>
  <c r="AC192" i="5" s="1"/>
  <c r="AD192" i="5" s="1"/>
  <c r="AE192" i="5" s="1"/>
  <c r="AF192" i="5" s="1"/>
  <c r="R192" i="5"/>
  <c r="S192" i="5" s="1"/>
  <c r="T192" i="5" s="1"/>
  <c r="U192" i="5" s="1"/>
  <c r="V192" i="5" s="1"/>
  <c r="W192" i="5" s="1"/>
  <c r="X192" i="5" s="1"/>
  <c r="N192" i="5"/>
  <c r="O192" i="5" s="1"/>
  <c r="P192" i="5" s="1"/>
  <c r="Q192" i="5" s="1"/>
  <c r="F192" i="5"/>
  <c r="G192" i="5" s="1"/>
  <c r="H192" i="5" s="1"/>
  <c r="I192" i="5" s="1"/>
  <c r="J192" i="5" s="1"/>
  <c r="K192" i="5" s="1"/>
  <c r="L192" i="5" s="1"/>
  <c r="M192" i="5" s="1"/>
  <c r="D192" i="5"/>
  <c r="E192" i="5" s="1"/>
  <c r="C192" i="5"/>
  <c r="E191" i="5"/>
  <c r="D191" i="5"/>
  <c r="C191" i="5"/>
  <c r="AG189" i="5"/>
  <c r="B189" i="5"/>
  <c r="N188" i="5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C188" i="5"/>
  <c r="D188" i="5" s="1"/>
  <c r="E188" i="5" s="1"/>
  <c r="F188" i="5" s="1"/>
  <c r="G188" i="5" s="1"/>
  <c r="H188" i="5" s="1"/>
  <c r="I188" i="5" s="1"/>
  <c r="J188" i="5" s="1"/>
  <c r="K188" i="5" s="1"/>
  <c r="L188" i="5" s="1"/>
  <c r="M188" i="5" s="1"/>
  <c r="C187" i="5"/>
  <c r="D187" i="5" s="1"/>
  <c r="E187" i="5" s="1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AE186" i="5"/>
  <c r="AF186" i="5" s="1"/>
  <c r="U186" i="5"/>
  <c r="V186" i="5" s="1"/>
  <c r="W186" i="5" s="1"/>
  <c r="X186" i="5" s="1"/>
  <c r="Y186" i="5" s="1"/>
  <c r="Z186" i="5" s="1"/>
  <c r="AA186" i="5" s="1"/>
  <c r="AB186" i="5" s="1"/>
  <c r="AC186" i="5" s="1"/>
  <c r="AD186" i="5" s="1"/>
  <c r="L186" i="5"/>
  <c r="M186" i="5" s="1"/>
  <c r="N186" i="5" s="1"/>
  <c r="O186" i="5" s="1"/>
  <c r="P186" i="5" s="1"/>
  <c r="Q186" i="5" s="1"/>
  <c r="R186" i="5" s="1"/>
  <c r="S186" i="5" s="1"/>
  <c r="T186" i="5" s="1"/>
  <c r="J186" i="5"/>
  <c r="K186" i="5" s="1"/>
  <c r="D186" i="5"/>
  <c r="E186" i="5" s="1"/>
  <c r="F186" i="5" s="1"/>
  <c r="G186" i="5" s="1"/>
  <c r="H186" i="5" s="1"/>
  <c r="I186" i="5" s="1"/>
  <c r="C186" i="5"/>
  <c r="O185" i="5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K185" i="5"/>
  <c r="L185" i="5" s="1"/>
  <c r="M185" i="5" s="1"/>
  <c r="N185" i="5" s="1"/>
  <c r="C185" i="5"/>
  <c r="D185" i="5" s="1"/>
  <c r="E185" i="5" s="1"/>
  <c r="F185" i="5" s="1"/>
  <c r="G185" i="5" s="1"/>
  <c r="H185" i="5" s="1"/>
  <c r="I185" i="5" s="1"/>
  <c r="J185" i="5" s="1"/>
  <c r="E184" i="5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C184" i="5"/>
  <c r="D184" i="5" s="1"/>
  <c r="K183" i="5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C183" i="5"/>
  <c r="D183" i="5" s="1"/>
  <c r="E183" i="5" s="1"/>
  <c r="F183" i="5" s="1"/>
  <c r="G183" i="5" s="1"/>
  <c r="H183" i="5" s="1"/>
  <c r="I183" i="5" s="1"/>
  <c r="J183" i="5" s="1"/>
  <c r="D182" i="5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C182" i="5"/>
  <c r="D181" i="5"/>
  <c r="E181" i="5" s="1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C181" i="5"/>
  <c r="P180" i="5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M180" i="5"/>
  <c r="N180" i="5" s="1"/>
  <c r="O180" i="5" s="1"/>
  <c r="F180" i="5"/>
  <c r="G180" i="5" s="1"/>
  <c r="H180" i="5" s="1"/>
  <c r="I180" i="5" s="1"/>
  <c r="J180" i="5" s="1"/>
  <c r="K180" i="5" s="1"/>
  <c r="L180" i="5" s="1"/>
  <c r="E180" i="5"/>
  <c r="C180" i="5"/>
  <c r="D180" i="5" s="1"/>
  <c r="Y179" i="5"/>
  <c r="Z179" i="5" s="1"/>
  <c r="AA179" i="5" s="1"/>
  <c r="AB179" i="5" s="1"/>
  <c r="AC179" i="5" s="1"/>
  <c r="AD179" i="5" s="1"/>
  <c r="AE179" i="5" s="1"/>
  <c r="AF179" i="5" s="1"/>
  <c r="T179" i="5"/>
  <c r="U179" i="5" s="1"/>
  <c r="V179" i="5" s="1"/>
  <c r="W179" i="5" s="1"/>
  <c r="X179" i="5" s="1"/>
  <c r="N179" i="5"/>
  <c r="O179" i="5" s="1"/>
  <c r="P179" i="5" s="1"/>
  <c r="Q179" i="5" s="1"/>
  <c r="R179" i="5" s="1"/>
  <c r="S179" i="5" s="1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C179" i="5"/>
  <c r="V178" i="5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M178" i="5"/>
  <c r="N178" i="5" s="1"/>
  <c r="O178" i="5" s="1"/>
  <c r="P178" i="5" s="1"/>
  <c r="Q178" i="5" s="1"/>
  <c r="R178" i="5" s="1"/>
  <c r="S178" i="5" s="1"/>
  <c r="T178" i="5" s="1"/>
  <c r="U178" i="5" s="1"/>
  <c r="G178" i="5"/>
  <c r="H178" i="5" s="1"/>
  <c r="I178" i="5" s="1"/>
  <c r="J178" i="5" s="1"/>
  <c r="K178" i="5" s="1"/>
  <c r="L178" i="5" s="1"/>
  <c r="D178" i="5"/>
  <c r="E178" i="5" s="1"/>
  <c r="F178" i="5" s="1"/>
  <c r="C178" i="5"/>
  <c r="L177" i="5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C177" i="5"/>
  <c r="D177" i="5" s="1"/>
  <c r="E177" i="5" s="1"/>
  <c r="F177" i="5" s="1"/>
  <c r="G177" i="5" s="1"/>
  <c r="H177" i="5" s="1"/>
  <c r="I177" i="5" s="1"/>
  <c r="J177" i="5" s="1"/>
  <c r="K177" i="5" s="1"/>
  <c r="AD176" i="5"/>
  <c r="AE176" i="5" s="1"/>
  <c r="AF176" i="5" s="1"/>
  <c r="L176" i="5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I176" i="5"/>
  <c r="J176" i="5" s="1"/>
  <c r="K176" i="5" s="1"/>
  <c r="C176" i="5"/>
  <c r="D176" i="5" s="1"/>
  <c r="E176" i="5" s="1"/>
  <c r="F176" i="5" s="1"/>
  <c r="G176" i="5" s="1"/>
  <c r="H176" i="5" s="1"/>
  <c r="N174" i="5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C174" i="5"/>
  <c r="D174" i="5" s="1"/>
  <c r="E174" i="5" s="1"/>
  <c r="F174" i="5" s="1"/>
  <c r="G174" i="5" s="1"/>
  <c r="H174" i="5" s="1"/>
  <c r="I174" i="5" s="1"/>
  <c r="J174" i="5" s="1"/>
  <c r="K174" i="5" s="1"/>
  <c r="L174" i="5" s="1"/>
  <c r="M174" i="5" s="1"/>
  <c r="Q173" i="5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L173" i="5"/>
  <c r="M173" i="5" s="1"/>
  <c r="N173" i="5" s="1"/>
  <c r="O173" i="5" s="1"/>
  <c r="P173" i="5" s="1"/>
  <c r="I173" i="5"/>
  <c r="J173" i="5" s="1"/>
  <c r="K173" i="5" s="1"/>
  <c r="F173" i="5"/>
  <c r="G173" i="5" s="1"/>
  <c r="H173" i="5" s="1"/>
  <c r="C173" i="5"/>
  <c r="D173" i="5" s="1"/>
  <c r="E173" i="5" s="1"/>
  <c r="R172" i="5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G172" i="5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D172" i="5"/>
  <c r="E172" i="5" s="1"/>
  <c r="F172" i="5" s="1"/>
  <c r="C172" i="5"/>
  <c r="I171" i="5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H171" i="5"/>
  <c r="E171" i="5"/>
  <c r="F171" i="5" s="1"/>
  <c r="G171" i="5" s="1"/>
  <c r="D171" i="5"/>
  <c r="C171" i="5"/>
  <c r="AD170" i="5"/>
  <c r="AE170" i="5" s="1"/>
  <c r="AF170" i="5" s="1"/>
  <c r="S170" i="5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E170" i="5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C170" i="5"/>
  <c r="D170" i="5" s="1"/>
  <c r="P169" i="5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G169" i="5"/>
  <c r="H169" i="5" s="1"/>
  <c r="I169" i="5" s="1"/>
  <c r="J169" i="5" s="1"/>
  <c r="K169" i="5" s="1"/>
  <c r="L169" i="5" s="1"/>
  <c r="M169" i="5" s="1"/>
  <c r="N169" i="5" s="1"/>
  <c r="O169" i="5" s="1"/>
  <c r="D169" i="5"/>
  <c r="E169" i="5" s="1"/>
  <c r="F169" i="5" s="1"/>
  <c r="C169" i="5"/>
  <c r="AB168" i="5"/>
  <c r="AC168" i="5" s="1"/>
  <c r="AD168" i="5" s="1"/>
  <c r="AE168" i="5" s="1"/>
  <c r="AF168" i="5" s="1"/>
  <c r="L168" i="5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J168" i="5"/>
  <c r="K168" i="5" s="1"/>
  <c r="C168" i="5"/>
  <c r="D168" i="5" s="1"/>
  <c r="E168" i="5" s="1"/>
  <c r="F168" i="5" s="1"/>
  <c r="G168" i="5" s="1"/>
  <c r="H168" i="5" s="1"/>
  <c r="I168" i="5" s="1"/>
  <c r="X167" i="5"/>
  <c r="Y167" i="5" s="1"/>
  <c r="Z167" i="5" s="1"/>
  <c r="AA167" i="5" s="1"/>
  <c r="AB167" i="5" s="1"/>
  <c r="AC167" i="5" s="1"/>
  <c r="AD167" i="5" s="1"/>
  <c r="AE167" i="5" s="1"/>
  <c r="AF167" i="5" s="1"/>
  <c r="I167" i="5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E167" i="5"/>
  <c r="F167" i="5" s="1"/>
  <c r="G167" i="5" s="1"/>
  <c r="H167" i="5" s="1"/>
  <c r="C167" i="5"/>
  <c r="D167" i="5" s="1"/>
  <c r="C165" i="5"/>
  <c r="D165" i="5" s="1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D164" i="5"/>
  <c r="E164" i="5" s="1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C164" i="5"/>
  <c r="C163" i="5"/>
  <c r="D163" i="5" s="1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E162" i="5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C162" i="5"/>
  <c r="D162" i="5" s="1"/>
  <c r="C161" i="5"/>
  <c r="D161" i="5" s="1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I160" i="5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G160" i="5"/>
  <c r="H160" i="5" s="1"/>
  <c r="C160" i="5"/>
  <c r="D160" i="5" s="1"/>
  <c r="E160" i="5" s="1"/>
  <c r="F160" i="5" s="1"/>
  <c r="G159" i="5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E159" i="5"/>
  <c r="F159" i="5" s="1"/>
  <c r="C159" i="5"/>
  <c r="D159" i="5" s="1"/>
  <c r="P158" i="5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K158" i="5"/>
  <c r="L158" i="5" s="1"/>
  <c r="M158" i="5" s="1"/>
  <c r="N158" i="5" s="1"/>
  <c r="O158" i="5" s="1"/>
  <c r="E158" i="5"/>
  <c r="F158" i="5" s="1"/>
  <c r="G158" i="5" s="1"/>
  <c r="H158" i="5" s="1"/>
  <c r="I158" i="5" s="1"/>
  <c r="J158" i="5" s="1"/>
  <c r="C158" i="5"/>
  <c r="D158" i="5" s="1"/>
  <c r="AC157" i="5"/>
  <c r="AD157" i="5" s="1"/>
  <c r="AE157" i="5" s="1"/>
  <c r="AF157" i="5" s="1"/>
  <c r="E157" i="5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C157" i="5"/>
  <c r="D157" i="5" s="1"/>
  <c r="L156" i="5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E156" i="5"/>
  <c r="F156" i="5" s="1"/>
  <c r="G156" i="5" s="1"/>
  <c r="H156" i="5" s="1"/>
  <c r="I156" i="5" s="1"/>
  <c r="J156" i="5" s="1"/>
  <c r="K156" i="5" s="1"/>
  <c r="C156" i="5"/>
  <c r="D156" i="5" s="1"/>
  <c r="M155" i="5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J155" i="5"/>
  <c r="K155" i="5" s="1"/>
  <c r="L155" i="5" s="1"/>
  <c r="D155" i="5"/>
  <c r="E155" i="5" s="1"/>
  <c r="F155" i="5" s="1"/>
  <c r="G155" i="5" s="1"/>
  <c r="H155" i="5" s="1"/>
  <c r="I155" i="5" s="1"/>
  <c r="C155" i="5"/>
  <c r="I154" i="5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H154" i="5"/>
  <c r="C154" i="5"/>
  <c r="D154" i="5" s="1"/>
  <c r="E154" i="5" s="1"/>
  <c r="F154" i="5" s="1"/>
  <c r="G154" i="5" s="1"/>
  <c r="K153" i="5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C153" i="5"/>
  <c r="D153" i="5" s="1"/>
  <c r="E153" i="5" s="1"/>
  <c r="F153" i="5" s="1"/>
  <c r="G153" i="5" s="1"/>
  <c r="H153" i="5" s="1"/>
  <c r="I153" i="5" s="1"/>
  <c r="J153" i="5" s="1"/>
  <c r="D151" i="5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C151" i="5"/>
  <c r="AB150" i="5"/>
  <c r="AC150" i="5" s="1"/>
  <c r="AD150" i="5" s="1"/>
  <c r="AE150" i="5" s="1"/>
  <c r="AF150" i="5" s="1"/>
  <c r="C150" i="5"/>
  <c r="D150" i="5" s="1"/>
  <c r="E150" i="5" s="1"/>
  <c r="F150" i="5" s="1"/>
  <c r="G150" i="5" s="1"/>
  <c r="H150" i="5" s="1"/>
  <c r="I150" i="5" s="1"/>
  <c r="J150" i="5" s="1"/>
  <c r="K150" i="5" s="1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C149" i="5"/>
  <c r="D149" i="5" s="1"/>
  <c r="E149" i="5" s="1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F148" i="5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D148" i="5"/>
  <c r="E148" i="5" s="1"/>
  <c r="C148" i="5"/>
  <c r="J146" i="5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D146" i="5"/>
  <c r="E146" i="5" s="1"/>
  <c r="F146" i="5" s="1"/>
  <c r="G146" i="5" s="1"/>
  <c r="H146" i="5" s="1"/>
  <c r="I146" i="5" s="1"/>
  <c r="C146" i="5"/>
  <c r="N145" i="5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E145" i="5"/>
  <c r="F145" i="5" s="1"/>
  <c r="G145" i="5" s="1"/>
  <c r="H145" i="5" s="1"/>
  <c r="I145" i="5" s="1"/>
  <c r="J145" i="5" s="1"/>
  <c r="K145" i="5" s="1"/>
  <c r="L145" i="5" s="1"/>
  <c r="M145" i="5" s="1"/>
  <c r="D145" i="5"/>
  <c r="C145" i="5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C143" i="5"/>
  <c r="D142" i="5"/>
  <c r="E142" i="5" s="1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C142" i="5"/>
  <c r="L141" i="5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J141" i="5"/>
  <c r="K141" i="5" s="1"/>
  <c r="G141" i="5"/>
  <c r="H141" i="5" s="1"/>
  <c r="I141" i="5" s="1"/>
  <c r="D141" i="5"/>
  <c r="E141" i="5" s="1"/>
  <c r="F141" i="5" s="1"/>
  <c r="C141" i="5"/>
  <c r="E140" i="5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C140" i="5"/>
  <c r="D140" i="5" s="1"/>
  <c r="H139" i="5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F139" i="5"/>
  <c r="G139" i="5" s="1"/>
  <c r="D139" i="5"/>
  <c r="E139" i="5" s="1"/>
  <c r="C139" i="5"/>
  <c r="D138" i="5"/>
  <c r="E138" i="5" s="1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C138" i="5"/>
  <c r="D137" i="5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C137" i="5"/>
  <c r="C135" i="5"/>
  <c r="C91" i="5" s="1"/>
  <c r="G134" i="5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E134" i="5"/>
  <c r="F134" i="5" s="1"/>
  <c r="D134" i="5"/>
  <c r="C134" i="5"/>
  <c r="C133" i="5"/>
  <c r="D133" i="5" s="1"/>
  <c r="E133" i="5" s="1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C132" i="5"/>
  <c r="D132" i="5" s="1"/>
  <c r="E132" i="5" s="1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K131" i="5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D131" i="5"/>
  <c r="E131" i="5" s="1"/>
  <c r="F131" i="5" s="1"/>
  <c r="G131" i="5" s="1"/>
  <c r="H131" i="5" s="1"/>
  <c r="I131" i="5" s="1"/>
  <c r="J131" i="5" s="1"/>
  <c r="C131" i="5"/>
  <c r="C130" i="5"/>
  <c r="D130" i="5" s="1"/>
  <c r="E130" i="5" s="1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C129" i="5"/>
  <c r="D129" i="5" s="1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V128" i="5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F128" i="5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E128" i="5"/>
  <c r="C128" i="5"/>
  <c r="D128" i="5" s="1"/>
  <c r="D126" i="5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C126" i="5"/>
  <c r="R125" i="5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E125" i="5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C125" i="5"/>
  <c r="D125" i="5" s="1"/>
  <c r="E124" i="5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C124" i="5"/>
  <c r="D124" i="5" s="1"/>
  <c r="N123" i="5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E123" i="5"/>
  <c r="F123" i="5" s="1"/>
  <c r="G123" i="5" s="1"/>
  <c r="H123" i="5" s="1"/>
  <c r="I123" i="5" s="1"/>
  <c r="J123" i="5" s="1"/>
  <c r="K123" i="5" s="1"/>
  <c r="L123" i="5" s="1"/>
  <c r="M123" i="5" s="1"/>
  <c r="C123" i="5"/>
  <c r="D123" i="5" s="1"/>
  <c r="E122" i="5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D122" i="5"/>
  <c r="C122" i="5"/>
  <c r="W121" i="5"/>
  <c r="X121" i="5" s="1"/>
  <c r="Y121" i="5" s="1"/>
  <c r="Z121" i="5" s="1"/>
  <c r="AA121" i="5" s="1"/>
  <c r="AB121" i="5" s="1"/>
  <c r="AC121" i="5" s="1"/>
  <c r="AD121" i="5" s="1"/>
  <c r="AE121" i="5" s="1"/>
  <c r="AF121" i="5" s="1"/>
  <c r="J121" i="5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E121" i="5"/>
  <c r="F121" i="5" s="1"/>
  <c r="G121" i="5" s="1"/>
  <c r="H121" i="5" s="1"/>
  <c r="I121" i="5" s="1"/>
  <c r="C121" i="5"/>
  <c r="D121" i="5" s="1"/>
  <c r="E120" i="5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C120" i="5"/>
  <c r="D120" i="5" s="1"/>
  <c r="X119" i="5"/>
  <c r="Y119" i="5" s="1"/>
  <c r="Z119" i="5" s="1"/>
  <c r="AA119" i="5" s="1"/>
  <c r="AB119" i="5" s="1"/>
  <c r="AC119" i="5" s="1"/>
  <c r="AD119" i="5" s="1"/>
  <c r="AE119" i="5" s="1"/>
  <c r="AF119" i="5" s="1"/>
  <c r="N119" i="5"/>
  <c r="O119" i="5" s="1"/>
  <c r="P119" i="5" s="1"/>
  <c r="Q119" i="5" s="1"/>
  <c r="R119" i="5" s="1"/>
  <c r="S119" i="5" s="1"/>
  <c r="T119" i="5" s="1"/>
  <c r="U119" i="5" s="1"/>
  <c r="V119" i="5" s="1"/>
  <c r="W119" i="5" s="1"/>
  <c r="C119" i="5"/>
  <c r="D119" i="5" s="1"/>
  <c r="E119" i="5" s="1"/>
  <c r="F119" i="5" s="1"/>
  <c r="G119" i="5" s="1"/>
  <c r="H119" i="5" s="1"/>
  <c r="I119" i="5" s="1"/>
  <c r="J119" i="5" s="1"/>
  <c r="K119" i="5" s="1"/>
  <c r="L119" i="5" s="1"/>
  <c r="M119" i="5" s="1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C118" i="5"/>
  <c r="T117" i="5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J117" i="5"/>
  <c r="K117" i="5" s="1"/>
  <c r="L117" i="5" s="1"/>
  <c r="M117" i="5" s="1"/>
  <c r="N117" i="5" s="1"/>
  <c r="O117" i="5" s="1"/>
  <c r="P117" i="5" s="1"/>
  <c r="Q117" i="5" s="1"/>
  <c r="R117" i="5" s="1"/>
  <c r="S117" i="5" s="1"/>
  <c r="C117" i="5"/>
  <c r="D117" i="5" s="1"/>
  <c r="E117" i="5" s="1"/>
  <c r="F117" i="5" s="1"/>
  <c r="G117" i="5" s="1"/>
  <c r="H117" i="5" s="1"/>
  <c r="I117" i="5" s="1"/>
  <c r="C116" i="5"/>
  <c r="D116" i="5" s="1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I115" i="5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C115" i="5"/>
  <c r="D115" i="5" s="1"/>
  <c r="E115" i="5" s="1"/>
  <c r="F115" i="5" s="1"/>
  <c r="G115" i="5" s="1"/>
  <c r="H115" i="5" s="1"/>
  <c r="C114" i="5"/>
  <c r="D114" i="5" s="1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H113" i="5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E113" i="5"/>
  <c r="F113" i="5" s="1"/>
  <c r="G113" i="5" s="1"/>
  <c r="D113" i="5"/>
  <c r="C113" i="5"/>
  <c r="L112" i="5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J112" i="5"/>
  <c r="K112" i="5" s="1"/>
  <c r="D112" i="5"/>
  <c r="E112" i="5" s="1"/>
  <c r="F112" i="5" s="1"/>
  <c r="G112" i="5" s="1"/>
  <c r="H112" i="5" s="1"/>
  <c r="I112" i="5" s="1"/>
  <c r="C112" i="5"/>
  <c r="P111" i="5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J111" i="5"/>
  <c r="K111" i="5" s="1"/>
  <c r="L111" i="5" s="1"/>
  <c r="M111" i="5" s="1"/>
  <c r="N111" i="5" s="1"/>
  <c r="O111" i="5" s="1"/>
  <c r="C111" i="5"/>
  <c r="D111" i="5" s="1"/>
  <c r="E111" i="5" s="1"/>
  <c r="F111" i="5" s="1"/>
  <c r="G111" i="5" s="1"/>
  <c r="H111" i="5" s="1"/>
  <c r="E110" i="5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D110" i="5"/>
  <c r="C110" i="5"/>
  <c r="E109" i="5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C109" i="5"/>
  <c r="D109" i="5" s="1"/>
  <c r="I107" i="5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D107" i="5"/>
  <c r="E107" i="5" s="1"/>
  <c r="F107" i="5" s="1"/>
  <c r="G107" i="5" s="1"/>
  <c r="H107" i="5" s="1"/>
  <c r="C107" i="5"/>
  <c r="F106" i="5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C106" i="5"/>
  <c r="D106" i="5" s="1"/>
  <c r="E106" i="5" s="1"/>
  <c r="E104" i="5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D104" i="5"/>
  <c r="C104" i="5"/>
  <c r="E103" i="5"/>
  <c r="F103" i="5" s="1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C103" i="5"/>
  <c r="D103" i="5" s="1"/>
  <c r="C102" i="5"/>
  <c r="D102" i="5" s="1"/>
  <c r="E102" i="5" s="1"/>
  <c r="F102" i="5" s="1"/>
  <c r="G102" i="5" s="1"/>
  <c r="H102" i="5" s="1"/>
  <c r="I102" i="5" s="1"/>
  <c r="J102" i="5" s="1"/>
  <c r="K102" i="5" s="1"/>
  <c r="L102" i="5" s="1"/>
  <c r="M102" i="5" s="1"/>
  <c r="N102" i="5" s="1"/>
  <c r="O102" i="5" s="1"/>
  <c r="P102" i="5" s="1"/>
  <c r="Q102" i="5" s="1"/>
  <c r="R102" i="5" s="1"/>
  <c r="S102" i="5" s="1"/>
  <c r="T102" i="5" s="1"/>
  <c r="U102" i="5" s="1"/>
  <c r="V102" i="5" s="1"/>
  <c r="W102" i="5" s="1"/>
  <c r="X102" i="5" s="1"/>
  <c r="Y102" i="5" s="1"/>
  <c r="Z102" i="5" s="1"/>
  <c r="AA102" i="5" s="1"/>
  <c r="AB102" i="5" s="1"/>
  <c r="AC102" i="5" s="1"/>
  <c r="AD102" i="5" s="1"/>
  <c r="AE102" i="5" s="1"/>
  <c r="AF102" i="5" s="1"/>
  <c r="C101" i="5"/>
  <c r="D101" i="5" s="1"/>
  <c r="E101" i="5" s="1"/>
  <c r="F101" i="5" s="1"/>
  <c r="G101" i="5" s="1"/>
  <c r="H101" i="5" s="1"/>
  <c r="I101" i="5" s="1"/>
  <c r="J101" i="5" s="1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AE101" i="5" s="1"/>
  <c r="AF101" i="5" s="1"/>
  <c r="D100" i="5"/>
  <c r="E100" i="5" s="1"/>
  <c r="C100" i="5"/>
  <c r="C99" i="5"/>
  <c r="AI96" i="5"/>
  <c r="AH96" i="5"/>
  <c r="AH95" i="5"/>
  <c r="AI95" i="5" s="1"/>
  <c r="AI94" i="5"/>
  <c r="AH94" i="5"/>
  <c r="AH93" i="5"/>
  <c r="AI93" i="5" s="1"/>
  <c r="AI92" i="5"/>
  <c r="AH92" i="5"/>
  <c r="B91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Q211" i="5"/>
  <c r="AI211" i="5"/>
  <c r="AI72" i="5"/>
  <c r="AH72" i="5"/>
  <c r="S71" i="5"/>
  <c r="R71" i="5"/>
  <c r="R81" i="5" s="1"/>
  <c r="K71" i="5"/>
  <c r="J71" i="5"/>
  <c r="F71" i="5"/>
  <c r="C71" i="5"/>
  <c r="C81" i="5" s="1"/>
  <c r="B71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I70" i="5" s="1"/>
  <c r="AI69" i="5"/>
  <c r="AH69" i="5"/>
  <c r="AI68" i="5"/>
  <c r="AH68" i="5"/>
  <c r="AI67" i="5"/>
  <c r="AH67" i="5"/>
  <c r="AG66" i="5"/>
  <c r="AF66" i="5"/>
  <c r="AE66" i="5"/>
  <c r="AD66" i="5"/>
  <c r="AC66" i="5"/>
  <c r="AC5" i="5" s="1"/>
  <c r="AB66" i="5"/>
  <c r="AA66" i="5"/>
  <c r="Z66" i="5"/>
  <c r="Y66" i="5"/>
  <c r="Y71" i="5" s="1"/>
  <c r="X66" i="5"/>
  <c r="W66" i="5"/>
  <c r="V66" i="5"/>
  <c r="U66" i="5"/>
  <c r="U5" i="5" s="1"/>
  <c r="T66" i="5"/>
  <c r="S66" i="5"/>
  <c r="R66" i="5"/>
  <c r="Q66" i="5"/>
  <c r="Q71" i="5" s="1"/>
  <c r="P66" i="5"/>
  <c r="O66" i="5"/>
  <c r="O5" i="5" s="1"/>
  <c r="N66" i="5"/>
  <c r="M66" i="5"/>
  <c r="M5" i="5" s="1"/>
  <c r="L66" i="5"/>
  <c r="K66" i="5"/>
  <c r="J66" i="5"/>
  <c r="I66" i="5"/>
  <c r="H66" i="5"/>
  <c r="G66" i="5"/>
  <c r="F66" i="5"/>
  <c r="E66" i="5"/>
  <c r="E5" i="5" s="1"/>
  <c r="D66" i="5"/>
  <c r="C66" i="5"/>
  <c r="B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I53" i="5"/>
  <c r="AH53" i="5"/>
  <c r="AI52" i="5"/>
  <c r="AH52" i="5"/>
  <c r="AI51" i="5"/>
  <c r="AH51" i="5"/>
  <c r="Y50" i="5"/>
  <c r="S50" i="5"/>
  <c r="R50" i="5"/>
  <c r="Q50" i="5"/>
  <c r="P50" i="5"/>
  <c r="O50" i="5"/>
  <c r="N50" i="5"/>
  <c r="M50" i="5"/>
  <c r="M71" i="5" s="1"/>
  <c r="L50" i="5"/>
  <c r="K50" i="5"/>
  <c r="J50" i="5"/>
  <c r="I50" i="5"/>
  <c r="H50" i="5"/>
  <c r="G50" i="5"/>
  <c r="F50" i="5"/>
  <c r="E50" i="5"/>
  <c r="D50" i="5"/>
  <c r="C50" i="5"/>
  <c r="B50" i="5"/>
  <c r="AG49" i="5"/>
  <c r="AG50" i="5" s="1"/>
  <c r="AG3" i="5" s="1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N71" i="5" s="1"/>
  <c r="N81" i="5" s="1"/>
  <c r="M36" i="5"/>
  <c r="L36" i="5"/>
  <c r="K36" i="5"/>
  <c r="J36" i="5"/>
  <c r="I36" i="5"/>
  <c r="I73" i="5" s="1"/>
  <c r="AA211" i="5" s="1"/>
  <c r="H36" i="5"/>
  <c r="G36" i="5"/>
  <c r="F36" i="5"/>
  <c r="E36" i="5"/>
  <c r="D36" i="5"/>
  <c r="C36" i="5"/>
  <c r="B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Y7" i="5"/>
  <c r="Q7" i="5"/>
  <c r="AE5" i="5"/>
  <c r="AD5" i="5"/>
  <c r="AA5" i="5"/>
  <c r="Z5" i="5"/>
  <c r="Y5" i="5"/>
  <c r="W5" i="5"/>
  <c r="V5" i="5"/>
  <c r="S5" i="5"/>
  <c r="R5" i="5"/>
  <c r="Q5" i="5"/>
  <c r="N5" i="5"/>
  <c r="K5" i="5"/>
  <c r="J5" i="5"/>
  <c r="I5" i="5"/>
  <c r="G5" i="5"/>
  <c r="F5" i="5"/>
  <c r="C5" i="5"/>
  <c r="B5" i="5"/>
  <c r="AG4" i="5"/>
  <c r="K4" i="5"/>
  <c r="B4" i="5"/>
  <c r="AG2" i="5"/>
  <c r="AG6" i="5" s="1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B231" i="4"/>
  <c r="S206" i="4"/>
  <c r="AG196" i="4"/>
  <c r="B196" i="4"/>
  <c r="C195" i="4"/>
  <c r="C231" i="4" s="1"/>
  <c r="C194" i="4"/>
  <c r="D194" i="4" s="1"/>
  <c r="E194" i="4" s="1"/>
  <c r="F194" i="4" s="1"/>
  <c r="G194" i="4" s="1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C193" i="4"/>
  <c r="D193" i="4" s="1"/>
  <c r="E193" i="4" s="1"/>
  <c r="F193" i="4" s="1"/>
  <c r="G193" i="4" s="1"/>
  <c r="H193" i="4" s="1"/>
  <c r="I193" i="4" s="1"/>
  <c r="J193" i="4" s="1"/>
  <c r="K193" i="4" s="1"/>
  <c r="L193" i="4" s="1"/>
  <c r="M193" i="4" s="1"/>
  <c r="N193" i="4" s="1"/>
  <c r="O193" i="4" s="1"/>
  <c r="P193" i="4" s="1"/>
  <c r="Q193" i="4" s="1"/>
  <c r="R193" i="4" s="1"/>
  <c r="S193" i="4" s="1"/>
  <c r="T193" i="4" s="1"/>
  <c r="U193" i="4" s="1"/>
  <c r="V193" i="4" s="1"/>
  <c r="W193" i="4" s="1"/>
  <c r="X193" i="4" s="1"/>
  <c r="Y193" i="4" s="1"/>
  <c r="Z193" i="4" s="1"/>
  <c r="AA193" i="4" s="1"/>
  <c r="AB193" i="4" s="1"/>
  <c r="AC193" i="4" s="1"/>
  <c r="AD193" i="4" s="1"/>
  <c r="AE193" i="4" s="1"/>
  <c r="AF193" i="4" s="1"/>
  <c r="C192" i="4"/>
  <c r="D192" i="4" s="1"/>
  <c r="E192" i="4" s="1"/>
  <c r="F192" i="4" s="1"/>
  <c r="G192" i="4" s="1"/>
  <c r="H192" i="4" s="1"/>
  <c r="I192" i="4" s="1"/>
  <c r="J192" i="4" s="1"/>
  <c r="K192" i="4" s="1"/>
  <c r="L192" i="4" s="1"/>
  <c r="M192" i="4" s="1"/>
  <c r="N192" i="4" s="1"/>
  <c r="O192" i="4" s="1"/>
  <c r="P192" i="4" s="1"/>
  <c r="Q192" i="4" s="1"/>
  <c r="R192" i="4" s="1"/>
  <c r="S192" i="4" s="1"/>
  <c r="T192" i="4" s="1"/>
  <c r="U192" i="4" s="1"/>
  <c r="V192" i="4" s="1"/>
  <c r="W192" i="4" s="1"/>
  <c r="X192" i="4" s="1"/>
  <c r="Y192" i="4" s="1"/>
  <c r="Z192" i="4" s="1"/>
  <c r="AA192" i="4" s="1"/>
  <c r="AB192" i="4" s="1"/>
  <c r="AC192" i="4" s="1"/>
  <c r="AD192" i="4" s="1"/>
  <c r="AE192" i="4" s="1"/>
  <c r="AF192" i="4" s="1"/>
  <c r="C191" i="4"/>
  <c r="D191" i="4" s="1"/>
  <c r="E191" i="4" s="1"/>
  <c r="F191" i="4" s="1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C190" i="4"/>
  <c r="AG188" i="4"/>
  <c r="B188" i="4"/>
  <c r="G187" i="4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C187" i="4"/>
  <c r="D187" i="4" s="1"/>
  <c r="E187" i="4" s="1"/>
  <c r="F187" i="4" s="1"/>
  <c r="U186" i="4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E186" i="4"/>
  <c r="F186" i="4" s="1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C186" i="4"/>
  <c r="D186" i="4" s="1"/>
  <c r="C185" i="4"/>
  <c r="D185" i="4" s="1"/>
  <c r="E185" i="4" s="1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C184" i="4"/>
  <c r="D184" i="4" s="1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D183" i="4"/>
  <c r="E183" i="4" s="1"/>
  <c r="F183" i="4" s="1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C183" i="4"/>
  <c r="J182" i="4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C182" i="4"/>
  <c r="D182" i="4" s="1"/>
  <c r="E182" i="4" s="1"/>
  <c r="F182" i="4" s="1"/>
  <c r="G182" i="4" s="1"/>
  <c r="H182" i="4" s="1"/>
  <c r="I182" i="4" s="1"/>
  <c r="AC181" i="4"/>
  <c r="AD181" i="4" s="1"/>
  <c r="AE181" i="4" s="1"/>
  <c r="AF181" i="4" s="1"/>
  <c r="C181" i="4"/>
  <c r="D181" i="4" s="1"/>
  <c r="E181" i="4" s="1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F180" i="4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E180" i="4"/>
  <c r="C180" i="4"/>
  <c r="D180" i="4" s="1"/>
  <c r="D179" i="4"/>
  <c r="E179" i="4" s="1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C179" i="4"/>
  <c r="M178" i="4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E178" i="4"/>
  <c r="F178" i="4" s="1"/>
  <c r="G178" i="4" s="1"/>
  <c r="H178" i="4" s="1"/>
  <c r="I178" i="4" s="1"/>
  <c r="J178" i="4" s="1"/>
  <c r="K178" i="4" s="1"/>
  <c r="L178" i="4" s="1"/>
  <c r="C178" i="4"/>
  <c r="D178" i="4" s="1"/>
  <c r="K177" i="4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C177" i="4"/>
  <c r="D177" i="4" s="1"/>
  <c r="E177" i="4" s="1"/>
  <c r="F177" i="4" s="1"/>
  <c r="G177" i="4" s="1"/>
  <c r="H177" i="4" s="1"/>
  <c r="I177" i="4" s="1"/>
  <c r="J177" i="4" s="1"/>
  <c r="C176" i="4"/>
  <c r="D176" i="4" s="1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K175" i="4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C175" i="4"/>
  <c r="D175" i="4" s="1"/>
  <c r="E175" i="4" s="1"/>
  <c r="F175" i="4" s="1"/>
  <c r="G175" i="4" s="1"/>
  <c r="H175" i="4" s="1"/>
  <c r="I175" i="4" s="1"/>
  <c r="J175" i="4" s="1"/>
  <c r="E173" i="4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D173" i="4"/>
  <c r="C173" i="4"/>
  <c r="C172" i="4"/>
  <c r="D172" i="4" s="1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E171" i="4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D171" i="4"/>
  <c r="C171" i="4"/>
  <c r="C170" i="4"/>
  <c r="D170" i="4" s="1"/>
  <c r="E170" i="4" s="1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C169" i="4"/>
  <c r="D169" i="4" s="1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C168" i="4"/>
  <c r="D168" i="4" s="1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E167" i="4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D167" i="4"/>
  <c r="C167" i="4"/>
  <c r="D166" i="4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C166" i="4"/>
  <c r="C164" i="4"/>
  <c r="D164" i="4" s="1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H163" i="4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C163" i="4"/>
  <c r="D163" i="4" s="1"/>
  <c r="E163" i="4" s="1"/>
  <c r="F163" i="4" s="1"/>
  <c r="G163" i="4" s="1"/>
  <c r="D162" i="4"/>
  <c r="E162" i="4" s="1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C162" i="4"/>
  <c r="C161" i="4"/>
  <c r="D161" i="4" s="1"/>
  <c r="E161" i="4" s="1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C160" i="4"/>
  <c r="D160" i="4" s="1"/>
  <c r="E160" i="4" s="1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C159" i="4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C158" i="4"/>
  <c r="H157" i="4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C157" i="4"/>
  <c r="D157" i="4" s="1"/>
  <c r="E157" i="4" s="1"/>
  <c r="F157" i="4" s="1"/>
  <c r="G157" i="4" s="1"/>
  <c r="C156" i="4"/>
  <c r="D156" i="4" s="1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D155" i="4"/>
  <c r="E155" i="4" s="1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C155" i="4"/>
  <c r="J154" i="4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D154" i="4"/>
  <c r="E154" i="4" s="1"/>
  <c r="F154" i="4" s="1"/>
  <c r="G154" i="4" s="1"/>
  <c r="H154" i="4" s="1"/>
  <c r="I154" i="4" s="1"/>
  <c r="C154" i="4"/>
  <c r="S153" i="4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C153" i="4"/>
  <c r="D153" i="4" s="1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P152" i="4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F152" i="4"/>
  <c r="G152" i="4" s="1"/>
  <c r="H152" i="4" s="1"/>
  <c r="I152" i="4" s="1"/>
  <c r="J152" i="4" s="1"/>
  <c r="K152" i="4" s="1"/>
  <c r="L152" i="4" s="1"/>
  <c r="M152" i="4" s="1"/>
  <c r="N152" i="4" s="1"/>
  <c r="O152" i="4" s="1"/>
  <c r="C152" i="4"/>
  <c r="D152" i="4" s="1"/>
  <c r="E152" i="4" s="1"/>
  <c r="G150" i="4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D150" i="4"/>
  <c r="E150" i="4" s="1"/>
  <c r="F150" i="4" s="1"/>
  <c r="C150" i="4"/>
  <c r="AB149" i="4"/>
  <c r="AC149" i="4" s="1"/>
  <c r="AD149" i="4" s="1"/>
  <c r="AE149" i="4" s="1"/>
  <c r="AF149" i="4" s="1"/>
  <c r="F149" i="4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C149" i="4"/>
  <c r="D149" i="4" s="1"/>
  <c r="E149" i="4" s="1"/>
  <c r="P148" i="4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D148" i="4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C148" i="4"/>
  <c r="C147" i="4"/>
  <c r="D147" i="4" s="1"/>
  <c r="E147" i="4" s="1"/>
  <c r="F147" i="4" s="1"/>
  <c r="G147" i="4" s="1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V145" i="4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L145" i="4"/>
  <c r="M145" i="4" s="1"/>
  <c r="N145" i="4" s="1"/>
  <c r="O145" i="4" s="1"/>
  <c r="P145" i="4" s="1"/>
  <c r="Q145" i="4" s="1"/>
  <c r="R145" i="4" s="1"/>
  <c r="S145" i="4" s="1"/>
  <c r="T145" i="4" s="1"/>
  <c r="U145" i="4" s="1"/>
  <c r="E145" i="4"/>
  <c r="F145" i="4" s="1"/>
  <c r="G145" i="4" s="1"/>
  <c r="H145" i="4" s="1"/>
  <c r="I145" i="4" s="1"/>
  <c r="J145" i="4" s="1"/>
  <c r="K145" i="4" s="1"/>
  <c r="D145" i="4"/>
  <c r="C145" i="4"/>
  <c r="K144" i="4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D144" i="4"/>
  <c r="E144" i="4" s="1"/>
  <c r="F144" i="4" s="1"/>
  <c r="G144" i="4" s="1"/>
  <c r="H144" i="4" s="1"/>
  <c r="I144" i="4" s="1"/>
  <c r="J144" i="4" s="1"/>
  <c r="C144" i="4"/>
  <c r="G142" i="4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C142" i="4"/>
  <c r="D142" i="4" s="1"/>
  <c r="E142" i="4" s="1"/>
  <c r="F142" i="4" s="1"/>
  <c r="C141" i="4"/>
  <c r="D141" i="4" s="1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E140" i="4"/>
  <c r="F140" i="4" s="1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C140" i="4"/>
  <c r="D140" i="4" s="1"/>
  <c r="F139" i="4"/>
  <c r="G139" i="4" s="1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C139" i="4"/>
  <c r="D139" i="4" s="1"/>
  <c r="E139" i="4" s="1"/>
  <c r="D138" i="4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C138" i="4"/>
  <c r="W137" i="4"/>
  <c r="X137" i="4" s="1"/>
  <c r="Y137" i="4" s="1"/>
  <c r="Z137" i="4" s="1"/>
  <c r="AA137" i="4" s="1"/>
  <c r="AB137" i="4" s="1"/>
  <c r="AC137" i="4" s="1"/>
  <c r="AD137" i="4" s="1"/>
  <c r="AE137" i="4" s="1"/>
  <c r="AF137" i="4" s="1"/>
  <c r="C137" i="4"/>
  <c r="D137" i="4" s="1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M136" i="4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F136" i="4"/>
  <c r="G136" i="4" s="1"/>
  <c r="H136" i="4" s="1"/>
  <c r="I136" i="4" s="1"/>
  <c r="J136" i="4" s="1"/>
  <c r="K136" i="4" s="1"/>
  <c r="L136" i="4" s="1"/>
  <c r="E136" i="4"/>
  <c r="C136" i="4"/>
  <c r="D136" i="4" s="1"/>
  <c r="G134" i="4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D134" i="4"/>
  <c r="E134" i="4" s="1"/>
  <c r="F134" i="4" s="1"/>
  <c r="C134" i="4"/>
  <c r="U133" i="4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E133" i="4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D133" i="4"/>
  <c r="C133" i="4"/>
  <c r="H132" i="4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D132" i="4"/>
  <c r="E132" i="4" s="1"/>
  <c r="F132" i="4" s="1"/>
  <c r="G132" i="4" s="1"/>
  <c r="C132" i="4"/>
  <c r="E131" i="4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C131" i="4"/>
  <c r="D131" i="4" s="1"/>
  <c r="S130" i="4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F130" i="4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C130" i="4"/>
  <c r="D130" i="4" s="1"/>
  <c r="E130" i="4" s="1"/>
  <c r="F129" i="4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E129" i="4"/>
  <c r="D129" i="4"/>
  <c r="C129" i="4"/>
  <c r="C128" i="4"/>
  <c r="D128" i="4" s="1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H127" i="4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E127" i="4"/>
  <c r="F127" i="4" s="1"/>
  <c r="G127" i="4" s="1"/>
  <c r="C127" i="4"/>
  <c r="D127" i="4" s="1"/>
  <c r="AA125" i="4"/>
  <c r="AB125" i="4" s="1"/>
  <c r="AC125" i="4" s="1"/>
  <c r="AD125" i="4" s="1"/>
  <c r="AE125" i="4" s="1"/>
  <c r="AF125" i="4" s="1"/>
  <c r="N125" i="4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C125" i="4"/>
  <c r="D125" i="4" s="1"/>
  <c r="E125" i="4" s="1"/>
  <c r="F125" i="4" s="1"/>
  <c r="G125" i="4" s="1"/>
  <c r="H125" i="4" s="1"/>
  <c r="I125" i="4" s="1"/>
  <c r="J125" i="4" s="1"/>
  <c r="K125" i="4" s="1"/>
  <c r="L125" i="4" s="1"/>
  <c r="M125" i="4" s="1"/>
  <c r="E124" i="4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D124" i="4"/>
  <c r="C124" i="4"/>
  <c r="E123" i="4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C123" i="4"/>
  <c r="D123" i="4" s="1"/>
  <c r="C122" i="4"/>
  <c r="D122" i="4" s="1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D121" i="4"/>
  <c r="E121" i="4" s="1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C121" i="4"/>
  <c r="G120" i="4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C120" i="4"/>
  <c r="D120" i="4" s="1"/>
  <c r="E120" i="4" s="1"/>
  <c r="F120" i="4" s="1"/>
  <c r="C119" i="4"/>
  <c r="D119" i="4" s="1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C118" i="4"/>
  <c r="D118" i="4" s="1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I117" i="4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D117" i="4"/>
  <c r="E117" i="4" s="1"/>
  <c r="F117" i="4" s="1"/>
  <c r="G117" i="4" s="1"/>
  <c r="H117" i="4" s="1"/>
  <c r="C117" i="4"/>
  <c r="C116" i="4"/>
  <c r="D116" i="4" s="1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C115" i="4"/>
  <c r="D115" i="4" s="1"/>
  <c r="E115" i="4" s="1"/>
  <c r="F115" i="4" s="1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D114" i="4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C114" i="4"/>
  <c r="I113" i="4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D113" i="4"/>
  <c r="E113" i="4" s="1"/>
  <c r="F113" i="4" s="1"/>
  <c r="G113" i="4" s="1"/>
  <c r="H113" i="4" s="1"/>
  <c r="C113" i="4"/>
  <c r="C112" i="4"/>
  <c r="D112" i="4" s="1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C111" i="4"/>
  <c r="D111" i="4" s="1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L110" i="4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K110" i="4"/>
  <c r="J110" i="4"/>
  <c r="E110" i="4"/>
  <c r="F110" i="4" s="1"/>
  <c r="G110" i="4" s="1"/>
  <c r="H110" i="4" s="1"/>
  <c r="C110" i="4"/>
  <c r="D110" i="4" s="1"/>
  <c r="C109" i="4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D108" i="4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C108" i="4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C106" i="4"/>
  <c r="C105" i="4"/>
  <c r="D105" i="4" s="1"/>
  <c r="E105" i="4" s="1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D103" i="4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C103" i="4"/>
  <c r="F102" i="4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D102" i="4"/>
  <c r="E102" i="4" s="1"/>
  <c r="C102" i="4"/>
  <c r="D101" i="4"/>
  <c r="E101" i="4" s="1"/>
  <c r="F101" i="4" s="1"/>
  <c r="G101" i="4" s="1"/>
  <c r="H101" i="4" s="1"/>
  <c r="I101" i="4" s="1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C101" i="4"/>
  <c r="C100" i="4"/>
  <c r="D100" i="4" s="1"/>
  <c r="E100" i="4" s="1"/>
  <c r="F100" i="4" s="1"/>
  <c r="G100" i="4" s="1"/>
  <c r="H100" i="4" s="1"/>
  <c r="I100" i="4" s="1"/>
  <c r="J100" i="4" s="1"/>
  <c r="K100" i="4" s="1"/>
  <c r="L100" i="4" s="1"/>
  <c r="M100" i="4" s="1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C99" i="4"/>
  <c r="C90" i="4" s="1"/>
  <c r="C98" i="4"/>
  <c r="AI96" i="4"/>
  <c r="AH96" i="4"/>
  <c r="AH95" i="4"/>
  <c r="AI95" i="4" s="1"/>
  <c r="AI94" i="4"/>
  <c r="AH94" i="4"/>
  <c r="AH93" i="4"/>
  <c r="AI93" i="4" s="1"/>
  <c r="AF92" i="4"/>
  <c r="AE92" i="4"/>
  <c r="AD92" i="4"/>
  <c r="AC92" i="4"/>
  <c r="O92" i="4"/>
  <c r="N92" i="4"/>
  <c r="M92" i="4"/>
  <c r="AH92" i="4" s="1"/>
  <c r="AI92" i="4" s="1"/>
  <c r="AI91" i="4"/>
  <c r="AH91" i="4"/>
  <c r="B90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I79" i="4" s="1"/>
  <c r="AI78" i="4"/>
  <c r="AH78" i="4"/>
  <c r="AI77" i="4"/>
  <c r="AH77" i="4"/>
  <c r="AI76" i="4"/>
  <c r="AH76" i="4"/>
  <c r="AI75" i="4"/>
  <c r="AH75" i="4"/>
  <c r="AI74" i="4"/>
  <c r="AH74" i="4"/>
  <c r="AI73" i="4"/>
  <c r="AH73" i="4"/>
  <c r="O72" i="4"/>
  <c r="AG210" i="4" s="1"/>
  <c r="G72" i="4"/>
  <c r="Y210" i="4" s="1"/>
  <c r="AI71" i="4"/>
  <c r="AH71" i="4"/>
  <c r="S70" i="4"/>
  <c r="K70" i="4"/>
  <c r="C70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S80" i="4" s="1"/>
  <c r="R69" i="4"/>
  <c r="Q69" i="4"/>
  <c r="P69" i="4"/>
  <c r="O69" i="4"/>
  <c r="N69" i="4"/>
  <c r="M69" i="4"/>
  <c r="L69" i="4"/>
  <c r="K69" i="4"/>
  <c r="K80" i="4" s="1"/>
  <c r="J69" i="4"/>
  <c r="I69" i="4"/>
  <c r="H69" i="4"/>
  <c r="G69" i="4"/>
  <c r="F69" i="4"/>
  <c r="E69" i="4"/>
  <c r="D69" i="4"/>
  <c r="C69" i="4"/>
  <c r="B69" i="4"/>
  <c r="AI69" i="4" s="1"/>
  <c r="AI68" i="4"/>
  <c r="AH68" i="4"/>
  <c r="AI67" i="4"/>
  <c r="AH67" i="4"/>
  <c r="AI66" i="4"/>
  <c r="AH66" i="4"/>
  <c r="AG65" i="4"/>
  <c r="AG70" i="4" s="1"/>
  <c r="AF65" i="4"/>
  <c r="AE65" i="4"/>
  <c r="AD65" i="4"/>
  <c r="AC65" i="4"/>
  <c r="AC5" i="4" s="1"/>
  <c r="AB65" i="4"/>
  <c r="AA65" i="4"/>
  <c r="Z65" i="4"/>
  <c r="Y65" i="4"/>
  <c r="Y70" i="4" s="1"/>
  <c r="X65" i="4"/>
  <c r="W65" i="4"/>
  <c r="V65" i="4"/>
  <c r="U65" i="4"/>
  <c r="U5" i="4" s="1"/>
  <c r="T65" i="4"/>
  <c r="S65" i="4"/>
  <c r="S72" i="4" s="1"/>
  <c r="R65" i="4"/>
  <c r="R70" i="4" s="1"/>
  <c r="Q65" i="4"/>
  <c r="Q70" i="4" s="1"/>
  <c r="P65" i="4"/>
  <c r="P70" i="4" s="1"/>
  <c r="O65" i="4"/>
  <c r="N65" i="4"/>
  <c r="N70" i="4" s="1"/>
  <c r="M65" i="4"/>
  <c r="M5" i="4" s="1"/>
  <c r="L65" i="4"/>
  <c r="K65" i="4"/>
  <c r="K72" i="4" s="1"/>
  <c r="J65" i="4"/>
  <c r="J70" i="4" s="1"/>
  <c r="I65" i="4"/>
  <c r="I70" i="4" s="1"/>
  <c r="H65" i="4"/>
  <c r="H70" i="4" s="1"/>
  <c r="G65" i="4"/>
  <c r="F65" i="4"/>
  <c r="F70" i="4" s="1"/>
  <c r="E65" i="4"/>
  <c r="E5" i="4" s="1"/>
  <c r="D65" i="4"/>
  <c r="C65" i="4"/>
  <c r="C72" i="4" s="1"/>
  <c r="B65" i="4"/>
  <c r="B70" i="4" s="1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O70" i="4" s="1"/>
  <c r="O80" i="4" s="1"/>
  <c r="N53" i="4"/>
  <c r="M53" i="4"/>
  <c r="L53" i="4"/>
  <c r="L70" i="4" s="1"/>
  <c r="K53" i="4"/>
  <c r="J53" i="4"/>
  <c r="I53" i="4"/>
  <c r="H53" i="4"/>
  <c r="G53" i="4"/>
  <c r="G70" i="4" s="1"/>
  <c r="G80" i="4" s="1"/>
  <c r="F53" i="4"/>
  <c r="E53" i="4"/>
  <c r="D53" i="4"/>
  <c r="D70" i="4" s="1"/>
  <c r="C53" i="4"/>
  <c r="B53" i="4"/>
  <c r="AI53" i="4" s="1"/>
  <c r="AI52" i="4"/>
  <c r="AH52" i="4"/>
  <c r="AI51" i="4"/>
  <c r="AH51" i="4"/>
  <c r="AI50" i="4"/>
  <c r="AH50" i="4"/>
  <c r="AG49" i="4"/>
  <c r="Y49" i="4"/>
  <c r="S49" i="4"/>
  <c r="R49" i="4"/>
  <c r="Q49" i="4"/>
  <c r="P49" i="4"/>
  <c r="O49" i="4"/>
  <c r="N49" i="4"/>
  <c r="M49" i="4"/>
  <c r="L49" i="4"/>
  <c r="L72" i="4" s="1"/>
  <c r="K49" i="4"/>
  <c r="J49" i="4"/>
  <c r="I49" i="4"/>
  <c r="H49" i="4"/>
  <c r="G49" i="4"/>
  <c r="F49" i="4"/>
  <c r="E49" i="4"/>
  <c r="D49" i="4"/>
  <c r="D72" i="4" s="1"/>
  <c r="C49" i="4"/>
  <c r="B49" i="4"/>
  <c r="AG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I35" i="4" s="1"/>
  <c r="B35" i="4"/>
  <c r="AH35" i="4" s="1"/>
  <c r="R34" i="4"/>
  <c r="Q34" i="4"/>
  <c r="P34" i="4"/>
  <c r="M34" i="4"/>
  <c r="L34" i="4"/>
  <c r="K34" i="4"/>
  <c r="J34" i="4"/>
  <c r="I34" i="4"/>
  <c r="H34" i="4"/>
  <c r="G34" i="4"/>
  <c r="AI34" i="4" s="1"/>
  <c r="F34" i="4"/>
  <c r="AH34" i="4" s="1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G6" i="4"/>
  <c r="AF5" i="4"/>
  <c r="AE5" i="4"/>
  <c r="AD5" i="4"/>
  <c r="AB5" i="4"/>
  <c r="AA5" i="4"/>
  <c r="Z5" i="4"/>
  <c r="Y5" i="4"/>
  <c r="X5" i="4"/>
  <c r="W5" i="4"/>
  <c r="V5" i="4"/>
  <c r="T5" i="4"/>
  <c r="S5" i="4"/>
  <c r="R5" i="4"/>
  <c r="Q5" i="4"/>
  <c r="P5" i="4"/>
  <c r="O5" i="4"/>
  <c r="N5" i="4"/>
  <c r="L5" i="4"/>
  <c r="K5" i="4"/>
  <c r="J5" i="4"/>
  <c r="I5" i="4"/>
  <c r="H5" i="4"/>
  <c r="G5" i="4"/>
  <c r="F5" i="4"/>
  <c r="D5" i="4"/>
  <c r="C5" i="4"/>
  <c r="B5" i="4"/>
  <c r="AG4" i="4"/>
  <c r="K4" i="4"/>
  <c r="AG3" i="4"/>
  <c r="AG2" i="4"/>
  <c r="E4" i="6"/>
  <c r="E4" i="5"/>
  <c r="E4" i="4"/>
  <c r="E4" i="7"/>
  <c r="I7" i="5" l="1"/>
  <c r="I71" i="5"/>
  <c r="I81" i="5" s="1"/>
  <c r="AG71" i="6"/>
  <c r="AF81" i="10"/>
  <c r="AH71" i="10"/>
  <c r="AI71" i="10"/>
  <c r="AX211" i="10"/>
  <c r="AF7" i="10"/>
  <c r="A7" i="10" s="1"/>
  <c r="AH73" i="10"/>
  <c r="AI73" i="10"/>
  <c r="AF50" i="9"/>
  <c r="AF91" i="9"/>
  <c r="AV211" i="9"/>
  <c r="AD7" i="9"/>
  <c r="AD81" i="9"/>
  <c r="AE71" i="9"/>
  <c r="AE73" i="9"/>
  <c r="J81" i="5"/>
  <c r="Q81" i="5"/>
  <c r="Y81" i="5"/>
  <c r="AH80" i="5"/>
  <c r="S81" i="5"/>
  <c r="AI80" i="5"/>
  <c r="AD231" i="8"/>
  <c r="AE195" i="8"/>
  <c r="AE190" i="8"/>
  <c r="AD196" i="8"/>
  <c r="AD48" i="8" s="1"/>
  <c r="AD49" i="8" s="1"/>
  <c r="AD90" i="8"/>
  <c r="AC72" i="8"/>
  <c r="AC70" i="8"/>
  <c r="AD188" i="8"/>
  <c r="AE98" i="8"/>
  <c r="AB70" i="8"/>
  <c r="AB72" i="8"/>
  <c r="S79" i="7"/>
  <c r="AI77" i="7"/>
  <c r="R72" i="7"/>
  <c r="AJ210" i="7" s="1"/>
  <c r="Y72" i="7"/>
  <c r="AQ210" i="7" s="1"/>
  <c r="Q70" i="7"/>
  <c r="AH77" i="7"/>
  <c r="Q72" i="7"/>
  <c r="AI210" i="7" s="1"/>
  <c r="AI75" i="7"/>
  <c r="AH75" i="7"/>
  <c r="N70" i="7"/>
  <c r="M70" i="7"/>
  <c r="L72" i="7"/>
  <c r="AD210" i="7" s="1"/>
  <c r="AD79" i="7"/>
  <c r="V79" i="7"/>
  <c r="N79" i="7"/>
  <c r="AC79" i="7"/>
  <c r="U79" i="7"/>
  <c r="M79" i="7"/>
  <c r="AH74" i="7"/>
  <c r="Z79" i="7"/>
  <c r="R79" i="7"/>
  <c r="Y79" i="7"/>
  <c r="Q79" i="7"/>
  <c r="Q80" i="7" s="1"/>
  <c r="AI73" i="7"/>
  <c r="M72" i="7"/>
  <c r="AE210" i="7" s="1"/>
  <c r="N72" i="7"/>
  <c r="AF210" i="7" s="1"/>
  <c r="S70" i="7"/>
  <c r="L70" i="7"/>
  <c r="R70" i="7"/>
  <c r="Y70" i="7"/>
  <c r="P72" i="7"/>
  <c r="AH210" i="7" s="1"/>
  <c r="K70" i="7"/>
  <c r="K72" i="7"/>
  <c r="K7" i="7" s="1"/>
  <c r="J72" i="7"/>
  <c r="AB210" i="7" s="1"/>
  <c r="J70" i="7"/>
  <c r="I79" i="7"/>
  <c r="I70" i="7"/>
  <c r="I72" i="7"/>
  <c r="AA210" i="7" s="1"/>
  <c r="J79" i="7"/>
  <c r="AH76" i="7"/>
  <c r="AI76" i="7"/>
  <c r="H72" i="7"/>
  <c r="Z210" i="7" s="1"/>
  <c r="F70" i="7"/>
  <c r="F5" i="7"/>
  <c r="F72" i="7"/>
  <c r="F7" i="7" s="1"/>
  <c r="E70" i="7"/>
  <c r="E72" i="7"/>
  <c r="W210" i="7" s="1"/>
  <c r="AI53" i="7"/>
  <c r="AI35" i="7"/>
  <c r="D70" i="7"/>
  <c r="D80" i="7" s="1"/>
  <c r="C70" i="7"/>
  <c r="AH35" i="7"/>
  <c r="B70" i="7"/>
  <c r="B72" i="7"/>
  <c r="H4" i="7"/>
  <c r="AG80" i="7"/>
  <c r="AG70" i="7"/>
  <c r="AG3" i="7"/>
  <c r="AG6" i="7" s="1"/>
  <c r="AG72" i="7"/>
  <c r="V210" i="7"/>
  <c r="D7" i="7"/>
  <c r="C90" i="7"/>
  <c r="C5" i="7"/>
  <c r="K5" i="7"/>
  <c r="S5" i="7"/>
  <c r="AA5" i="7"/>
  <c r="G70" i="7"/>
  <c r="O70" i="7"/>
  <c r="C72" i="7"/>
  <c r="S72" i="7"/>
  <c r="E99" i="7"/>
  <c r="AH53" i="7"/>
  <c r="AH65" i="7"/>
  <c r="AH69" i="7"/>
  <c r="H70" i="7"/>
  <c r="P70" i="7"/>
  <c r="S207" i="7"/>
  <c r="D207" i="7"/>
  <c r="AI65" i="7"/>
  <c r="X210" i="7"/>
  <c r="G72" i="7"/>
  <c r="O72" i="7"/>
  <c r="D188" i="7"/>
  <c r="E98" i="7"/>
  <c r="C188" i="7"/>
  <c r="G190" i="7"/>
  <c r="C231" i="7"/>
  <c r="D195" i="7"/>
  <c r="D196" i="7" s="1"/>
  <c r="C196" i="7"/>
  <c r="H4" i="6"/>
  <c r="C81" i="6"/>
  <c r="K81" i="6"/>
  <c r="F81" i="6"/>
  <c r="Y210" i="6"/>
  <c r="G7" i="6"/>
  <c r="Z210" i="6"/>
  <c r="H7" i="6"/>
  <c r="AH210" i="6"/>
  <c r="P7" i="6"/>
  <c r="X210" i="6"/>
  <c r="F7" i="6"/>
  <c r="AF210" i="6"/>
  <c r="N7" i="6"/>
  <c r="AA210" i="6"/>
  <c r="I7" i="6"/>
  <c r="AI210" i="6"/>
  <c r="Q7" i="6"/>
  <c r="I81" i="6"/>
  <c r="U210" i="6"/>
  <c r="C7" i="6"/>
  <c r="AC210" i="6"/>
  <c r="K7" i="6"/>
  <c r="D81" i="6"/>
  <c r="AH36" i="6"/>
  <c r="J73" i="6"/>
  <c r="C205" i="6" s="1"/>
  <c r="R73" i="6"/>
  <c r="P81" i="6"/>
  <c r="D5" i="6"/>
  <c r="L5" i="6"/>
  <c r="T5" i="6"/>
  <c r="AB5" i="6"/>
  <c r="S73" i="6"/>
  <c r="S81" i="6" s="1"/>
  <c r="AH74" i="6"/>
  <c r="B80" i="6"/>
  <c r="H81" i="6"/>
  <c r="Q81" i="6"/>
  <c r="D188" i="6"/>
  <c r="D207" i="6"/>
  <c r="S207" i="6"/>
  <c r="AH54" i="6"/>
  <c r="AH66" i="6"/>
  <c r="AH70" i="6"/>
  <c r="D73" i="6"/>
  <c r="L73" i="6"/>
  <c r="AH75" i="6"/>
  <c r="AI66" i="6"/>
  <c r="AI70" i="6"/>
  <c r="E73" i="6"/>
  <c r="M73" i="6"/>
  <c r="M81" i="6" s="1"/>
  <c r="AH76" i="6"/>
  <c r="F98" i="6"/>
  <c r="B71" i="6"/>
  <c r="J71" i="6"/>
  <c r="J81" i="6" s="1"/>
  <c r="R71" i="6"/>
  <c r="R81" i="6" s="1"/>
  <c r="O73" i="6"/>
  <c r="AH78" i="6"/>
  <c r="E99" i="6"/>
  <c r="D91" i="6"/>
  <c r="N81" i="6"/>
  <c r="AG73" i="6"/>
  <c r="AG81" i="6" s="1"/>
  <c r="C188" i="6"/>
  <c r="F190" i="6"/>
  <c r="D195" i="6"/>
  <c r="C231" i="6"/>
  <c r="D196" i="6"/>
  <c r="C196" i="6"/>
  <c r="H4" i="5"/>
  <c r="Y211" i="5"/>
  <c r="G7" i="5"/>
  <c r="F81" i="5"/>
  <c r="AG211" i="5"/>
  <c r="O7" i="5"/>
  <c r="B206" i="5"/>
  <c r="X211" i="5"/>
  <c r="F7" i="5"/>
  <c r="F100" i="5"/>
  <c r="AG71" i="5"/>
  <c r="AG81" i="5" s="1"/>
  <c r="AF211" i="5"/>
  <c r="N7" i="5"/>
  <c r="AI66" i="5"/>
  <c r="L81" i="5"/>
  <c r="E71" i="5"/>
  <c r="AJ211" i="5"/>
  <c r="R7" i="5"/>
  <c r="C189" i="5"/>
  <c r="D99" i="5"/>
  <c r="AG73" i="5"/>
  <c r="U211" i="5"/>
  <c r="C7" i="5"/>
  <c r="AC211" i="5"/>
  <c r="K7" i="5"/>
  <c r="AK211" i="5"/>
  <c r="S7" i="5"/>
  <c r="K81" i="5"/>
  <c r="AI36" i="5"/>
  <c r="M81" i="5"/>
  <c r="AI54" i="5"/>
  <c r="D5" i="5"/>
  <c r="D71" i="5"/>
  <c r="D81" i="5" s="1"/>
  <c r="L5" i="5"/>
  <c r="L71" i="5"/>
  <c r="T5" i="5"/>
  <c r="AB5" i="5"/>
  <c r="G71" i="5"/>
  <c r="G81" i="5" s="1"/>
  <c r="O71" i="5"/>
  <c r="O81" i="5" s="1"/>
  <c r="H71" i="5"/>
  <c r="H81" i="5" s="1"/>
  <c r="H5" i="5"/>
  <c r="P71" i="5"/>
  <c r="P81" i="5" s="1"/>
  <c r="P5" i="5"/>
  <c r="X5" i="5"/>
  <c r="AF5" i="5"/>
  <c r="AB211" i="5"/>
  <c r="J7" i="5"/>
  <c r="D135" i="5"/>
  <c r="AH36" i="5"/>
  <c r="AH54" i="5"/>
  <c r="AH66" i="5"/>
  <c r="AH70" i="5"/>
  <c r="S208" i="5"/>
  <c r="D208" i="5"/>
  <c r="F191" i="5"/>
  <c r="E197" i="5"/>
  <c r="C197" i="5"/>
  <c r="D197" i="5"/>
  <c r="H232" i="5"/>
  <c r="I196" i="5"/>
  <c r="H4" i="4"/>
  <c r="C80" i="4"/>
  <c r="B72" i="4"/>
  <c r="U210" i="4"/>
  <c r="C7" i="4"/>
  <c r="AC210" i="4"/>
  <c r="K7" i="4"/>
  <c r="AK210" i="4"/>
  <c r="S7" i="4"/>
  <c r="V210" i="4"/>
  <c r="D7" i="4"/>
  <c r="J80" i="4"/>
  <c r="N80" i="4"/>
  <c r="AD210" i="4"/>
  <c r="L7" i="4"/>
  <c r="D80" i="4"/>
  <c r="L80" i="4"/>
  <c r="Q80" i="4"/>
  <c r="Y80" i="4"/>
  <c r="H72" i="4"/>
  <c r="P72" i="4"/>
  <c r="AH79" i="4"/>
  <c r="C188" i="4"/>
  <c r="E70" i="4"/>
  <c r="E80" i="4" s="1"/>
  <c r="M70" i="4"/>
  <c r="I72" i="4"/>
  <c r="I80" i="4" s="1"/>
  <c r="Q72" i="4"/>
  <c r="Y72" i="4"/>
  <c r="AG72" i="4"/>
  <c r="AG80" i="4" s="1"/>
  <c r="D98" i="4"/>
  <c r="J72" i="4"/>
  <c r="R72" i="4"/>
  <c r="B80" i="4"/>
  <c r="D99" i="4"/>
  <c r="S207" i="4"/>
  <c r="D207" i="4"/>
  <c r="AH53" i="4"/>
  <c r="AH65" i="4"/>
  <c r="AH69" i="4"/>
  <c r="AI65" i="4"/>
  <c r="E72" i="4"/>
  <c r="M72" i="4"/>
  <c r="G7" i="4"/>
  <c r="O7" i="4"/>
  <c r="F72" i="4"/>
  <c r="F80" i="4" s="1"/>
  <c r="N72" i="4"/>
  <c r="C196" i="4"/>
  <c r="D195" i="4"/>
  <c r="D190" i="4"/>
  <c r="AE81" i="9" l="1"/>
  <c r="AH81" i="10"/>
  <c r="AI81" i="10"/>
  <c r="AW211" i="9"/>
  <c r="AE7" i="9"/>
  <c r="AF71" i="9"/>
  <c r="AF73" i="9"/>
  <c r="AC80" i="8"/>
  <c r="AU210" i="8"/>
  <c r="AC7" i="8"/>
  <c r="AD72" i="8"/>
  <c r="AD70" i="8"/>
  <c r="AD80" i="8" s="1"/>
  <c r="AF190" i="8"/>
  <c r="AE196" i="8"/>
  <c r="AE48" i="8" s="1"/>
  <c r="AE49" i="8" s="1"/>
  <c r="AE90" i="8"/>
  <c r="AB80" i="8"/>
  <c r="AE231" i="8"/>
  <c r="AF195" i="8"/>
  <c r="AF231" i="8" s="1"/>
  <c r="AE188" i="8"/>
  <c r="AF98" i="8"/>
  <c r="AF188" i="8" s="1"/>
  <c r="AT210" i="8"/>
  <c r="AB7" i="8"/>
  <c r="Y7" i="7"/>
  <c r="R7" i="7"/>
  <c r="S80" i="7"/>
  <c r="R80" i="7"/>
  <c r="Q7" i="7"/>
  <c r="L80" i="7"/>
  <c r="L7" i="7"/>
  <c r="AI79" i="7"/>
  <c r="Y80" i="7"/>
  <c r="N80" i="7"/>
  <c r="M7" i="7"/>
  <c r="M80" i="7"/>
  <c r="N7" i="7"/>
  <c r="P80" i="7"/>
  <c r="P7" i="7"/>
  <c r="AC210" i="7"/>
  <c r="K80" i="7"/>
  <c r="J7" i="7"/>
  <c r="J80" i="7"/>
  <c r="AH79" i="7"/>
  <c r="I80" i="7"/>
  <c r="I7" i="7"/>
  <c r="H80" i="7"/>
  <c r="C205" i="7"/>
  <c r="H7" i="7"/>
  <c r="B205" i="7"/>
  <c r="G80" i="7"/>
  <c r="F80" i="7"/>
  <c r="E7" i="7"/>
  <c r="E80" i="7"/>
  <c r="C80" i="7"/>
  <c r="B80" i="7"/>
  <c r="E188" i="7"/>
  <c r="F98" i="7"/>
  <c r="T210" i="7"/>
  <c r="B7" i="7"/>
  <c r="AG210" i="7"/>
  <c r="O7" i="7"/>
  <c r="Y210" i="7"/>
  <c r="G7" i="7"/>
  <c r="D231" i="7"/>
  <c r="E195" i="7"/>
  <c r="D90" i="7"/>
  <c r="E90" i="7"/>
  <c r="F99" i="7"/>
  <c r="H190" i="7"/>
  <c r="AK210" i="7"/>
  <c r="S7" i="7"/>
  <c r="O80" i="7"/>
  <c r="U210" i="7"/>
  <c r="C7" i="7"/>
  <c r="G190" i="6"/>
  <c r="F99" i="6"/>
  <c r="B73" i="6"/>
  <c r="F188" i="6"/>
  <c r="G98" i="6"/>
  <c r="AG210" i="6"/>
  <c r="O7" i="6"/>
  <c r="AD210" i="6"/>
  <c r="L7" i="6"/>
  <c r="O81" i="6"/>
  <c r="W210" i="6"/>
  <c r="E7" i="6"/>
  <c r="V210" i="6"/>
  <c r="D7" i="6"/>
  <c r="B205" i="6"/>
  <c r="K6" i="6" s="1"/>
  <c r="AE210" i="6"/>
  <c r="M7" i="6"/>
  <c r="D231" i="6"/>
  <c r="E195" i="6"/>
  <c r="E91" i="6" s="1"/>
  <c r="E81" i="6"/>
  <c r="AI80" i="6"/>
  <c r="AH80" i="6"/>
  <c r="L81" i="6"/>
  <c r="E188" i="6"/>
  <c r="AJ210" i="6"/>
  <c r="R7" i="6"/>
  <c r="AK210" i="6"/>
  <c r="S7" i="6"/>
  <c r="AB210" i="6"/>
  <c r="J7" i="6"/>
  <c r="B81" i="6"/>
  <c r="E135" i="5"/>
  <c r="D91" i="5"/>
  <c r="AD211" i="5"/>
  <c r="L7" i="5"/>
  <c r="V211" i="5"/>
  <c r="D7" i="5"/>
  <c r="W211" i="5"/>
  <c r="E7" i="5"/>
  <c r="Z211" i="5"/>
  <c r="H7" i="5"/>
  <c r="F197" i="5"/>
  <c r="G191" i="5"/>
  <c r="T211" i="5"/>
  <c r="B7" i="5"/>
  <c r="B81" i="5"/>
  <c r="D189" i="5"/>
  <c r="E99" i="5"/>
  <c r="J196" i="5"/>
  <c r="I232" i="5"/>
  <c r="AH211" i="5"/>
  <c r="P7" i="5"/>
  <c r="AE211" i="5"/>
  <c r="M7" i="5"/>
  <c r="E81" i="5"/>
  <c r="G100" i="5"/>
  <c r="C206" i="5"/>
  <c r="K6" i="5" s="1"/>
  <c r="W210" i="4"/>
  <c r="E7" i="4"/>
  <c r="D90" i="4"/>
  <c r="E99" i="4"/>
  <c r="AQ210" i="4"/>
  <c r="Y7" i="4"/>
  <c r="T210" i="4"/>
  <c r="B7" i="4"/>
  <c r="AE210" i="4"/>
  <c r="M7" i="4"/>
  <c r="AI210" i="4"/>
  <c r="Q7" i="4"/>
  <c r="X210" i="4"/>
  <c r="C205" i="4"/>
  <c r="B205" i="4"/>
  <c r="K6" i="4" s="1"/>
  <c r="F7" i="4"/>
  <c r="AA210" i="4"/>
  <c r="I7" i="4"/>
  <c r="M80" i="4"/>
  <c r="AF210" i="4"/>
  <c r="N7" i="4"/>
  <c r="AH210" i="4"/>
  <c r="P7" i="4"/>
  <c r="D196" i="4"/>
  <c r="E190" i="4"/>
  <c r="AJ210" i="4"/>
  <c r="R7" i="4"/>
  <c r="Z210" i="4"/>
  <c r="H7" i="4"/>
  <c r="P80" i="4"/>
  <c r="R80" i="4"/>
  <c r="D231" i="4"/>
  <c r="E195" i="4"/>
  <c r="AB210" i="4"/>
  <c r="J7" i="4"/>
  <c r="H80" i="4"/>
  <c r="D188" i="4"/>
  <c r="E98" i="4"/>
  <c r="AF81" i="9" l="1"/>
  <c r="AX211" i="9"/>
  <c r="AF7" i="9"/>
  <c r="A7" i="9" s="1"/>
  <c r="AE70" i="8"/>
  <c r="AE72" i="8"/>
  <c r="AF196" i="8"/>
  <c r="AF48" i="8" s="1"/>
  <c r="AF90" i="8"/>
  <c r="AV210" i="8"/>
  <c r="AD7" i="8"/>
  <c r="K6" i="7"/>
  <c r="I190" i="7"/>
  <c r="G99" i="7"/>
  <c r="F90" i="7"/>
  <c r="F188" i="7"/>
  <c r="G98" i="7"/>
  <c r="E231" i="7"/>
  <c r="F195" i="7"/>
  <c r="E196" i="7"/>
  <c r="T210" i="6"/>
  <c r="B7" i="6"/>
  <c r="G99" i="6"/>
  <c r="F91" i="6"/>
  <c r="G188" i="6"/>
  <c r="H98" i="6"/>
  <c r="H190" i="6"/>
  <c r="E231" i="6"/>
  <c r="F195" i="6"/>
  <c r="E196" i="6"/>
  <c r="H100" i="5"/>
  <c r="K196" i="5"/>
  <c r="J232" i="5"/>
  <c r="E189" i="5"/>
  <c r="F99" i="5"/>
  <c r="G197" i="5"/>
  <c r="H191" i="5"/>
  <c r="F135" i="5"/>
  <c r="E91" i="5"/>
  <c r="E231" i="4"/>
  <c r="F195" i="4"/>
  <c r="F190" i="4"/>
  <c r="E196" i="4"/>
  <c r="E188" i="4"/>
  <c r="F98" i="4"/>
  <c r="F99" i="4"/>
  <c r="E90" i="4"/>
  <c r="AI90" i="8" l="1"/>
  <c r="AH90" i="8"/>
  <c r="AF49" i="8"/>
  <c r="AH48" i="8"/>
  <c r="AI48" i="8"/>
  <c r="AW210" i="8"/>
  <c r="AE7" i="8"/>
  <c r="AE80" i="8"/>
  <c r="G188" i="7"/>
  <c r="H98" i="7"/>
  <c r="F231" i="7"/>
  <c r="G195" i="7"/>
  <c r="F196" i="7"/>
  <c r="H99" i="7"/>
  <c r="G90" i="7"/>
  <c r="J190" i="7"/>
  <c r="F231" i="6"/>
  <c r="G195" i="6"/>
  <c r="F196" i="6"/>
  <c r="I190" i="6"/>
  <c r="I98" i="6"/>
  <c r="G91" i="6"/>
  <c r="H99" i="6"/>
  <c r="H188" i="6" s="1"/>
  <c r="K232" i="5"/>
  <c r="L196" i="5"/>
  <c r="G135" i="5"/>
  <c r="F91" i="5"/>
  <c r="I191" i="5"/>
  <c r="H197" i="5"/>
  <c r="I100" i="5"/>
  <c r="F189" i="5"/>
  <c r="G99" i="5"/>
  <c r="G190" i="4"/>
  <c r="F196" i="4"/>
  <c r="F231" i="4"/>
  <c r="G195" i="4"/>
  <c r="F188" i="4"/>
  <c r="G98" i="4"/>
  <c r="G99" i="4"/>
  <c r="F90" i="4"/>
  <c r="AF72" i="8" l="1"/>
  <c r="AF70" i="8"/>
  <c r="AH49" i="8"/>
  <c r="AI49" i="8"/>
  <c r="G231" i="7"/>
  <c r="H195" i="7"/>
  <c r="G196" i="7"/>
  <c r="H90" i="7"/>
  <c r="I99" i="7"/>
  <c r="H188" i="7"/>
  <c r="I98" i="7"/>
  <c r="K190" i="7"/>
  <c r="J190" i="6"/>
  <c r="I99" i="6"/>
  <c r="I188" i="6" s="1"/>
  <c r="H195" i="6"/>
  <c r="G231" i="6"/>
  <c r="G196" i="6"/>
  <c r="J98" i="6"/>
  <c r="H135" i="5"/>
  <c r="G91" i="5"/>
  <c r="G189" i="5"/>
  <c r="H99" i="5"/>
  <c r="M196" i="5"/>
  <c r="L232" i="5"/>
  <c r="I197" i="5"/>
  <c r="J191" i="5"/>
  <c r="J100" i="5"/>
  <c r="G231" i="4"/>
  <c r="H195" i="4"/>
  <c r="H99" i="4"/>
  <c r="G90" i="4"/>
  <c r="G188" i="4"/>
  <c r="H98" i="4"/>
  <c r="H190" i="4"/>
  <c r="G196" i="4"/>
  <c r="AF80" i="8" l="1"/>
  <c r="AI70" i="8"/>
  <c r="AH70" i="8"/>
  <c r="AX210" i="8"/>
  <c r="AF7" i="8"/>
  <c r="A7" i="8" s="1"/>
  <c r="AI72" i="8"/>
  <c r="AH72" i="8"/>
  <c r="I188" i="7"/>
  <c r="J98" i="7"/>
  <c r="J99" i="7"/>
  <c r="L190" i="7"/>
  <c r="H231" i="7"/>
  <c r="I195" i="7"/>
  <c r="H196" i="7"/>
  <c r="H231" i="6"/>
  <c r="I195" i="6"/>
  <c r="H196" i="6"/>
  <c r="H91" i="6"/>
  <c r="J99" i="6"/>
  <c r="I91" i="6"/>
  <c r="K190" i="6"/>
  <c r="K98" i="6"/>
  <c r="M232" i="5"/>
  <c r="N196" i="5"/>
  <c r="H189" i="5"/>
  <c r="I99" i="5"/>
  <c r="K100" i="5"/>
  <c r="I135" i="5"/>
  <c r="H91" i="5"/>
  <c r="J197" i="5"/>
  <c r="K191" i="5"/>
  <c r="I99" i="4"/>
  <c r="H90" i="4"/>
  <c r="H231" i="4"/>
  <c r="I195" i="4"/>
  <c r="H196" i="4"/>
  <c r="I190" i="4"/>
  <c r="H188" i="4"/>
  <c r="I98" i="4"/>
  <c r="AH80" i="8" l="1"/>
  <c r="AI80" i="8"/>
  <c r="I231" i="7"/>
  <c r="J195" i="7"/>
  <c r="I196" i="7"/>
  <c r="K99" i="7"/>
  <c r="J90" i="7"/>
  <c r="I90" i="7"/>
  <c r="J188" i="7"/>
  <c r="K98" i="7"/>
  <c r="M190" i="7"/>
  <c r="L190" i="6"/>
  <c r="K99" i="6"/>
  <c r="K188" i="6"/>
  <c r="L98" i="6"/>
  <c r="I231" i="6"/>
  <c r="J195" i="6"/>
  <c r="I196" i="6"/>
  <c r="J188" i="6"/>
  <c r="L100" i="5"/>
  <c r="I189" i="5"/>
  <c r="J99" i="5"/>
  <c r="J135" i="5"/>
  <c r="I91" i="5"/>
  <c r="L191" i="5"/>
  <c r="K197" i="5"/>
  <c r="N232" i="5"/>
  <c r="O196" i="5"/>
  <c r="I90" i="4"/>
  <c r="J99" i="4"/>
  <c r="I196" i="4"/>
  <c r="J190" i="4"/>
  <c r="J195" i="4"/>
  <c r="I231" i="4"/>
  <c r="I188" i="4"/>
  <c r="J98" i="4"/>
  <c r="K188" i="7" l="1"/>
  <c r="L98" i="7"/>
  <c r="J231" i="7"/>
  <c r="K195" i="7"/>
  <c r="J196" i="7"/>
  <c r="L99" i="7"/>
  <c r="K90" i="7"/>
  <c r="N190" i="7"/>
  <c r="M98" i="6"/>
  <c r="K195" i="6"/>
  <c r="J231" i="6"/>
  <c r="J196" i="6"/>
  <c r="J91" i="6"/>
  <c r="L99" i="6"/>
  <c r="K91" i="6"/>
  <c r="M190" i="6"/>
  <c r="K135" i="5"/>
  <c r="J91" i="5"/>
  <c r="J189" i="5"/>
  <c r="K99" i="5"/>
  <c r="L197" i="5"/>
  <c r="M191" i="5"/>
  <c r="P196" i="5"/>
  <c r="O232" i="5"/>
  <c r="M100" i="5"/>
  <c r="J188" i="4"/>
  <c r="K98" i="4"/>
  <c r="K195" i="4"/>
  <c r="J231" i="4"/>
  <c r="J196" i="4"/>
  <c r="K190" i="4"/>
  <c r="J90" i="4"/>
  <c r="K99" i="4"/>
  <c r="M99" i="7" l="1"/>
  <c r="L188" i="7"/>
  <c r="M98" i="7"/>
  <c r="K231" i="7"/>
  <c r="L195" i="7"/>
  <c r="L90" i="7" s="1"/>
  <c r="K196" i="7"/>
  <c r="O190" i="7"/>
  <c r="M99" i="6"/>
  <c r="L91" i="6"/>
  <c r="L195" i="6"/>
  <c r="K231" i="6"/>
  <c r="K196" i="6"/>
  <c r="N190" i="6"/>
  <c r="M188" i="6"/>
  <c r="N98" i="6"/>
  <c r="L188" i="6"/>
  <c r="P232" i="5"/>
  <c r="Q196" i="5"/>
  <c r="K189" i="5"/>
  <c r="L99" i="5"/>
  <c r="N191" i="5"/>
  <c r="M197" i="5"/>
  <c r="N100" i="5"/>
  <c r="L135" i="5"/>
  <c r="K91" i="5"/>
  <c r="K90" i="4"/>
  <c r="L99" i="4"/>
  <c r="K196" i="4"/>
  <c r="L190" i="4"/>
  <c r="K231" i="4"/>
  <c r="L195" i="4"/>
  <c r="K188" i="4"/>
  <c r="L98" i="4"/>
  <c r="L231" i="7" l="1"/>
  <c r="M195" i="7"/>
  <c r="L196" i="7"/>
  <c r="M188" i="7"/>
  <c r="N98" i="7"/>
  <c r="P190" i="7"/>
  <c r="M90" i="7"/>
  <c r="N99" i="7"/>
  <c r="O190" i="6"/>
  <c r="L231" i="6"/>
  <c r="M195" i="6"/>
  <c r="L196" i="6"/>
  <c r="O98" i="6"/>
  <c r="N99" i="6"/>
  <c r="M91" i="6"/>
  <c r="O100" i="5"/>
  <c r="N197" i="5"/>
  <c r="O191" i="5"/>
  <c r="L189" i="5"/>
  <c r="M99" i="5"/>
  <c r="R196" i="5"/>
  <c r="Q232" i="5"/>
  <c r="M135" i="5"/>
  <c r="L91" i="5"/>
  <c r="L231" i="4"/>
  <c r="M195" i="4"/>
  <c r="L196" i="4"/>
  <c r="M190" i="4"/>
  <c r="L90" i="4"/>
  <c r="M99" i="4"/>
  <c r="L188" i="4"/>
  <c r="M98" i="4"/>
  <c r="Q190" i="7" l="1"/>
  <c r="N188" i="7"/>
  <c r="O98" i="7"/>
  <c r="M231" i="7"/>
  <c r="N195" i="7"/>
  <c r="M196" i="7"/>
  <c r="O99" i="7"/>
  <c r="O99" i="6"/>
  <c r="N91" i="6"/>
  <c r="O188" i="6"/>
  <c r="P98" i="6"/>
  <c r="N188" i="6"/>
  <c r="M231" i="6"/>
  <c r="N195" i="6"/>
  <c r="M196" i="6"/>
  <c r="P190" i="6"/>
  <c r="S196" i="5"/>
  <c r="R232" i="5"/>
  <c r="M189" i="5"/>
  <c r="N99" i="5"/>
  <c r="P191" i="5"/>
  <c r="O197" i="5"/>
  <c r="P100" i="5"/>
  <c r="N135" i="5"/>
  <c r="M91" i="5"/>
  <c r="M188" i="4"/>
  <c r="N98" i="4"/>
  <c r="M90" i="4"/>
  <c r="N99" i="4"/>
  <c r="N190" i="4"/>
  <c r="M196" i="4"/>
  <c r="M231" i="4"/>
  <c r="N195" i="4"/>
  <c r="O188" i="7" l="1"/>
  <c r="P98" i="7"/>
  <c r="N231" i="7"/>
  <c r="O195" i="7"/>
  <c r="N196" i="7"/>
  <c r="R190" i="7"/>
  <c r="P99" i="7"/>
  <c r="N90" i="7"/>
  <c r="N231" i="6"/>
  <c r="O195" i="6"/>
  <c r="N196" i="6"/>
  <c r="Q98" i="6"/>
  <c r="Q190" i="6"/>
  <c r="P99" i="6"/>
  <c r="O91" i="6"/>
  <c r="Q100" i="5"/>
  <c r="Q191" i="5"/>
  <c r="P197" i="5"/>
  <c r="N189" i="5"/>
  <c r="O99" i="5"/>
  <c r="O135" i="5"/>
  <c r="N91" i="5"/>
  <c r="T196" i="5"/>
  <c r="S232" i="5"/>
  <c r="N231" i="4"/>
  <c r="O195" i="4"/>
  <c r="N188" i="4"/>
  <c r="O98" i="4"/>
  <c r="O190" i="4"/>
  <c r="N196" i="4"/>
  <c r="O99" i="4"/>
  <c r="N90" i="4"/>
  <c r="O231" i="7" l="1"/>
  <c r="P195" i="7"/>
  <c r="O196" i="7"/>
  <c r="P90" i="7"/>
  <c r="Q99" i="7"/>
  <c r="S190" i="7"/>
  <c r="P188" i="7"/>
  <c r="Q98" i="7"/>
  <c r="O90" i="7"/>
  <c r="Q99" i="6"/>
  <c r="P91" i="6"/>
  <c r="R190" i="6"/>
  <c r="Q188" i="6"/>
  <c r="R98" i="6"/>
  <c r="P188" i="6"/>
  <c r="P195" i="6"/>
  <c r="O231" i="6"/>
  <c r="O196" i="6"/>
  <c r="P135" i="5"/>
  <c r="O91" i="5"/>
  <c r="O189" i="5"/>
  <c r="P99" i="5"/>
  <c r="Q197" i="5"/>
  <c r="R191" i="5"/>
  <c r="U196" i="5"/>
  <c r="T232" i="5"/>
  <c r="R100" i="5"/>
  <c r="P99" i="4"/>
  <c r="O90" i="4"/>
  <c r="P190" i="4"/>
  <c r="O196" i="4"/>
  <c r="O188" i="4"/>
  <c r="P98" i="4"/>
  <c r="O231" i="4"/>
  <c r="P195" i="4"/>
  <c r="T190" i="7" l="1"/>
  <c r="R99" i="7"/>
  <c r="Q90" i="7"/>
  <c r="P231" i="7"/>
  <c r="Q195" i="7"/>
  <c r="P196" i="7"/>
  <c r="Q188" i="7"/>
  <c r="R98" i="7"/>
  <c r="P231" i="6"/>
  <c r="Q195" i="6"/>
  <c r="P196" i="6"/>
  <c r="S98" i="6"/>
  <c r="S190" i="6"/>
  <c r="R99" i="6"/>
  <c r="Q91" i="6"/>
  <c r="U232" i="5"/>
  <c r="V196" i="5"/>
  <c r="R197" i="5"/>
  <c r="S191" i="5"/>
  <c r="P189" i="5"/>
  <c r="Q99" i="5"/>
  <c r="S100" i="5"/>
  <c r="Q135" i="5"/>
  <c r="P91" i="5"/>
  <c r="P188" i="4"/>
  <c r="Q98" i="4"/>
  <c r="P231" i="4"/>
  <c r="Q195" i="4"/>
  <c r="P196" i="4"/>
  <c r="Q190" i="4"/>
  <c r="Q99" i="4"/>
  <c r="P90" i="4"/>
  <c r="Q231" i="7" l="1"/>
  <c r="R195" i="7"/>
  <c r="Q196" i="7"/>
  <c r="R90" i="7"/>
  <c r="S99" i="7"/>
  <c r="R188" i="7"/>
  <c r="S98" i="7"/>
  <c r="U190" i="7"/>
  <c r="S99" i="6"/>
  <c r="R91" i="6"/>
  <c r="T190" i="6"/>
  <c r="S188" i="6"/>
  <c r="T98" i="6"/>
  <c r="R188" i="6"/>
  <c r="Q231" i="6"/>
  <c r="R195" i="6"/>
  <c r="Q196" i="6"/>
  <c r="Q189" i="5"/>
  <c r="R99" i="5"/>
  <c r="T100" i="5"/>
  <c r="S197" i="5"/>
  <c r="T191" i="5"/>
  <c r="V232" i="5"/>
  <c r="W196" i="5"/>
  <c r="R135" i="5"/>
  <c r="Q91" i="5"/>
  <c r="Q90" i="4"/>
  <c r="R99" i="4"/>
  <c r="Q196" i="4"/>
  <c r="R190" i="4"/>
  <c r="Q188" i="4"/>
  <c r="R98" i="4"/>
  <c r="R195" i="4"/>
  <c r="Q231" i="4"/>
  <c r="S188" i="7" l="1"/>
  <c r="T98" i="7"/>
  <c r="T99" i="7"/>
  <c r="S90" i="7"/>
  <c r="R231" i="7"/>
  <c r="S195" i="7"/>
  <c r="R196" i="7"/>
  <c r="V190" i="7"/>
  <c r="U98" i="6"/>
  <c r="U190" i="6"/>
  <c r="R231" i="6"/>
  <c r="S195" i="6"/>
  <c r="R196" i="6"/>
  <c r="S91" i="6"/>
  <c r="T99" i="6"/>
  <c r="T197" i="5"/>
  <c r="T49" i="5" s="1"/>
  <c r="U191" i="5"/>
  <c r="U100" i="5"/>
  <c r="X196" i="5"/>
  <c r="W232" i="5"/>
  <c r="R189" i="5"/>
  <c r="S99" i="5"/>
  <c r="S135" i="5"/>
  <c r="R91" i="5"/>
  <c r="R188" i="4"/>
  <c r="S98" i="4"/>
  <c r="S195" i="4"/>
  <c r="R231" i="4"/>
  <c r="R196" i="4"/>
  <c r="S190" i="4"/>
  <c r="R90" i="4"/>
  <c r="S99" i="4"/>
  <c r="S231" i="7" l="1"/>
  <c r="T195" i="7"/>
  <c r="S196" i="7"/>
  <c r="U99" i="7"/>
  <c r="T90" i="7"/>
  <c r="W190" i="7"/>
  <c r="T188" i="7"/>
  <c r="U98" i="7"/>
  <c r="T195" i="6"/>
  <c r="S231" i="6"/>
  <c r="S196" i="6"/>
  <c r="V190" i="6"/>
  <c r="U188" i="6"/>
  <c r="V98" i="6"/>
  <c r="U99" i="6"/>
  <c r="T91" i="6"/>
  <c r="T188" i="6"/>
  <c r="X232" i="5"/>
  <c r="Y196" i="5"/>
  <c r="V100" i="5"/>
  <c r="S189" i="5"/>
  <c r="T99" i="5"/>
  <c r="V191" i="5"/>
  <c r="U197" i="5"/>
  <c r="U49" i="5" s="1"/>
  <c r="U50" i="5" s="1"/>
  <c r="T135" i="5"/>
  <c r="S91" i="5"/>
  <c r="T50" i="5"/>
  <c r="S90" i="4"/>
  <c r="T99" i="4"/>
  <c r="S196" i="4"/>
  <c r="T190" i="4"/>
  <c r="S188" i="4"/>
  <c r="T98" i="4"/>
  <c r="S231" i="4"/>
  <c r="T195" i="4"/>
  <c r="X190" i="7" l="1"/>
  <c r="V99" i="7"/>
  <c r="T231" i="7"/>
  <c r="U195" i="7"/>
  <c r="T196" i="7"/>
  <c r="T48" i="7" s="1"/>
  <c r="U188" i="7"/>
  <c r="V98" i="7"/>
  <c r="V99" i="6"/>
  <c r="V188" i="6"/>
  <c r="W98" i="6"/>
  <c r="W190" i="6"/>
  <c r="T231" i="6"/>
  <c r="U195" i="6"/>
  <c r="T196" i="6"/>
  <c r="T49" i="6" s="1"/>
  <c r="U71" i="5"/>
  <c r="U81" i="5" s="1"/>
  <c r="V197" i="5"/>
  <c r="V49" i="5" s="1"/>
  <c r="W191" i="5"/>
  <c r="T189" i="5"/>
  <c r="U99" i="5"/>
  <c r="T71" i="5"/>
  <c r="W100" i="5"/>
  <c r="Z196" i="5"/>
  <c r="Y232" i="5"/>
  <c r="U135" i="5"/>
  <c r="T91" i="5"/>
  <c r="T188" i="4"/>
  <c r="U98" i="4"/>
  <c r="T231" i="4"/>
  <c r="U195" i="4"/>
  <c r="T196" i="4"/>
  <c r="T48" i="4" s="1"/>
  <c r="U190" i="4"/>
  <c r="T90" i="4"/>
  <c r="U99" i="4"/>
  <c r="T49" i="7" l="1"/>
  <c r="U231" i="7"/>
  <c r="V195" i="7"/>
  <c r="V90" i="7" s="1"/>
  <c r="U196" i="7"/>
  <c r="U48" i="7" s="1"/>
  <c r="U49" i="7" s="1"/>
  <c r="W99" i="7"/>
  <c r="U90" i="7"/>
  <c r="Y190" i="7"/>
  <c r="V188" i="7"/>
  <c r="W98" i="7"/>
  <c r="U231" i="6"/>
  <c r="V195" i="6"/>
  <c r="U196" i="6"/>
  <c r="U49" i="6" s="1"/>
  <c r="U50" i="6" s="1"/>
  <c r="X190" i="6"/>
  <c r="W188" i="6"/>
  <c r="X98" i="6"/>
  <c r="W99" i="6"/>
  <c r="T50" i="6"/>
  <c r="U91" i="6"/>
  <c r="V135" i="5"/>
  <c r="U91" i="5"/>
  <c r="T81" i="5"/>
  <c r="AA196" i="5"/>
  <c r="Z232" i="5"/>
  <c r="U189" i="5"/>
  <c r="V99" i="5"/>
  <c r="X100" i="5"/>
  <c r="W197" i="5"/>
  <c r="W49" i="5" s="1"/>
  <c r="X191" i="5"/>
  <c r="V50" i="5"/>
  <c r="AL211" i="5"/>
  <c r="T7" i="5"/>
  <c r="AM211" i="5"/>
  <c r="U7" i="5"/>
  <c r="V190" i="4"/>
  <c r="U196" i="4"/>
  <c r="U48" i="4" s="1"/>
  <c r="U49" i="4" s="1"/>
  <c r="T49" i="4"/>
  <c r="U231" i="4"/>
  <c r="V195" i="4"/>
  <c r="U188" i="4"/>
  <c r="V98" i="4"/>
  <c r="U90" i="4"/>
  <c r="V99" i="4"/>
  <c r="X99" i="7" l="1"/>
  <c r="U70" i="7"/>
  <c r="U72" i="7"/>
  <c r="W188" i="7"/>
  <c r="X98" i="7"/>
  <c r="V231" i="7"/>
  <c r="W195" i="7"/>
  <c r="V196" i="7"/>
  <c r="V48" i="7" s="1"/>
  <c r="V49" i="7" s="1"/>
  <c r="Z190" i="7"/>
  <c r="T72" i="7"/>
  <c r="T70" i="7"/>
  <c r="X99" i="6"/>
  <c r="X188" i="6" s="1"/>
  <c r="Y98" i="6"/>
  <c r="Y190" i="6"/>
  <c r="U71" i="6"/>
  <c r="U73" i="6"/>
  <c r="T71" i="6"/>
  <c r="T73" i="6"/>
  <c r="V231" i="6"/>
  <c r="W195" i="6"/>
  <c r="V196" i="6"/>
  <c r="V49" i="6" s="1"/>
  <c r="V91" i="6"/>
  <c r="V71" i="5"/>
  <c r="AA232" i="5"/>
  <c r="AB196" i="5"/>
  <c r="Y191" i="5"/>
  <c r="X197" i="5"/>
  <c r="X49" i="5" s="1"/>
  <c r="W50" i="5"/>
  <c r="Y100" i="5"/>
  <c r="V189" i="5"/>
  <c r="W99" i="5"/>
  <c r="W135" i="5"/>
  <c r="V91" i="5"/>
  <c r="V231" i="4"/>
  <c r="W195" i="4"/>
  <c r="W99" i="4"/>
  <c r="V90" i="4"/>
  <c r="T72" i="4"/>
  <c r="T70" i="4"/>
  <c r="U72" i="4"/>
  <c r="U70" i="4"/>
  <c r="U80" i="4" s="1"/>
  <c r="V188" i="4"/>
  <c r="W98" i="4"/>
  <c r="W190" i="4"/>
  <c r="V196" i="4"/>
  <c r="V48" i="4" s="1"/>
  <c r="T80" i="7" l="1"/>
  <c r="W231" i="7"/>
  <c r="X195" i="7"/>
  <c r="W196" i="7"/>
  <c r="W48" i="7" s="1"/>
  <c r="X188" i="7"/>
  <c r="Y98" i="7"/>
  <c r="AM210" i="7"/>
  <c r="U7" i="7"/>
  <c r="AL210" i="7"/>
  <c r="T7" i="7"/>
  <c r="AA190" i="7"/>
  <c r="U80" i="7"/>
  <c r="W90" i="7"/>
  <c r="V72" i="7"/>
  <c r="V70" i="7"/>
  <c r="X90" i="7"/>
  <c r="Y99" i="7"/>
  <c r="AM210" i="6"/>
  <c r="U7" i="6"/>
  <c r="V50" i="6"/>
  <c r="U81" i="6"/>
  <c r="X195" i="6"/>
  <c r="W231" i="6"/>
  <c r="W196" i="6"/>
  <c r="W49" i="6" s="1"/>
  <c r="W50" i="6" s="1"/>
  <c r="Z190" i="6"/>
  <c r="Y188" i="6"/>
  <c r="Z98" i="6"/>
  <c r="AL210" i="6"/>
  <c r="T7" i="6"/>
  <c r="X91" i="6"/>
  <c r="Y99" i="6"/>
  <c r="T81" i="6"/>
  <c r="W91" i="6"/>
  <c r="X50" i="5"/>
  <c r="Y197" i="5"/>
  <c r="Z191" i="5"/>
  <c r="AC196" i="5"/>
  <c r="AB232" i="5"/>
  <c r="Z100" i="5"/>
  <c r="X135" i="5"/>
  <c r="W91" i="5"/>
  <c r="AN211" i="5"/>
  <c r="V7" i="5"/>
  <c r="W189" i="5"/>
  <c r="X99" i="5"/>
  <c r="W71" i="5"/>
  <c r="W81" i="5" s="1"/>
  <c r="V81" i="5"/>
  <c r="X190" i="4"/>
  <c r="W196" i="4"/>
  <c r="W48" i="4" s="1"/>
  <c r="W49" i="4" s="1"/>
  <c r="AL210" i="4"/>
  <c r="T7" i="4"/>
  <c r="V49" i="4"/>
  <c r="X99" i="4"/>
  <c r="W90" i="4"/>
  <c r="W188" i="4"/>
  <c r="X98" i="4"/>
  <c r="W231" i="4"/>
  <c r="X195" i="4"/>
  <c r="T80" i="4"/>
  <c r="AM210" i="4"/>
  <c r="U7" i="4"/>
  <c r="V80" i="7" l="1"/>
  <c r="AB190" i="7"/>
  <c r="Y188" i="7"/>
  <c r="Z98" i="7"/>
  <c r="W49" i="7"/>
  <c r="X231" i="7"/>
  <c r="Y195" i="7"/>
  <c r="X196" i="7"/>
  <c r="X48" i="7" s="1"/>
  <c r="X49" i="7" s="1"/>
  <c r="AN210" i="7"/>
  <c r="V7" i="7"/>
  <c r="Z99" i="7"/>
  <c r="Y90" i="7"/>
  <c r="X231" i="6"/>
  <c r="Y195" i="6"/>
  <c r="X196" i="6"/>
  <c r="X49" i="6" s="1"/>
  <c r="AA98" i="6"/>
  <c r="Y91" i="6"/>
  <c r="Z99" i="6"/>
  <c r="Z188" i="6" s="1"/>
  <c r="AA190" i="6"/>
  <c r="V73" i="6"/>
  <c r="V71" i="6"/>
  <c r="W71" i="6"/>
  <c r="W73" i="6"/>
  <c r="X189" i="5"/>
  <c r="Y99" i="5"/>
  <c r="AA100" i="5"/>
  <c r="AC232" i="5"/>
  <c r="AD196" i="5"/>
  <c r="Z197" i="5"/>
  <c r="Z49" i="5" s="1"/>
  <c r="AA191" i="5"/>
  <c r="AO211" i="5"/>
  <c r="W7" i="5"/>
  <c r="Y135" i="5"/>
  <c r="X91" i="5"/>
  <c r="X71" i="5"/>
  <c r="X231" i="4"/>
  <c r="Y195" i="4"/>
  <c r="V70" i="4"/>
  <c r="V72" i="4"/>
  <c r="X188" i="4"/>
  <c r="Y98" i="4"/>
  <c r="Y99" i="4"/>
  <c r="X90" i="4"/>
  <c r="W72" i="4"/>
  <c r="W70" i="4"/>
  <c r="W80" i="4" s="1"/>
  <c r="X196" i="4"/>
  <c r="X48" i="4" s="1"/>
  <c r="Y190" i="4"/>
  <c r="W72" i="7" l="1"/>
  <c r="W70" i="7"/>
  <c r="Z188" i="7"/>
  <c r="AA98" i="7"/>
  <c r="X72" i="7"/>
  <c r="X70" i="7"/>
  <c r="AC190" i="7"/>
  <c r="AA99" i="7"/>
  <c r="Y231" i="7"/>
  <c r="Z195" i="7"/>
  <c r="Y196" i="7"/>
  <c r="AO210" i="6"/>
  <c r="W7" i="6"/>
  <c r="V81" i="6"/>
  <c r="AA188" i="6"/>
  <c r="AB98" i="6"/>
  <c r="AN210" i="6"/>
  <c r="V7" i="6"/>
  <c r="AB190" i="6"/>
  <c r="X50" i="6"/>
  <c r="Y231" i="6"/>
  <c r="Z195" i="6"/>
  <c r="Y196" i="6"/>
  <c r="Y49" i="6" s="1"/>
  <c r="Y50" i="6" s="1"/>
  <c r="AA99" i="6"/>
  <c r="Z91" i="6"/>
  <c r="W81" i="6"/>
  <c r="AD232" i="5"/>
  <c r="AE196" i="5"/>
  <c r="Z135" i="5"/>
  <c r="Y91" i="5"/>
  <c r="AB100" i="5"/>
  <c r="AP211" i="5"/>
  <c r="X7" i="5"/>
  <c r="AB191" i="5"/>
  <c r="AA197" i="5"/>
  <c r="AA49" i="5" s="1"/>
  <c r="AA50" i="5" s="1"/>
  <c r="Y189" i="5"/>
  <c r="Z99" i="5"/>
  <c r="X81" i="5"/>
  <c r="Z50" i="5"/>
  <c r="X49" i="4"/>
  <c r="Z99" i="4"/>
  <c r="Y90" i="4"/>
  <c r="Z195" i="4"/>
  <c r="Y231" i="4"/>
  <c r="AN210" i="4"/>
  <c r="V7" i="4"/>
  <c r="Y188" i="4"/>
  <c r="Z98" i="4"/>
  <c r="AO210" i="4"/>
  <c r="W7" i="4"/>
  <c r="V80" i="4"/>
  <c r="Y196" i="4"/>
  <c r="Z190" i="4"/>
  <c r="AB99" i="7" l="1"/>
  <c r="AA188" i="7"/>
  <c r="AB98" i="7"/>
  <c r="AD190" i="7"/>
  <c r="W80" i="7"/>
  <c r="Z231" i="7"/>
  <c r="AA195" i="7"/>
  <c r="Z196" i="7"/>
  <c r="Z48" i="7" s="1"/>
  <c r="AO210" i="7"/>
  <c r="W7" i="7"/>
  <c r="AP210" i="7"/>
  <c r="X7" i="7"/>
  <c r="Z90" i="7"/>
  <c r="X80" i="7"/>
  <c r="AC98" i="6"/>
  <c r="X71" i="6"/>
  <c r="X73" i="6"/>
  <c r="AB99" i="6"/>
  <c r="AA91" i="6"/>
  <c r="AC190" i="6"/>
  <c r="Y73" i="6"/>
  <c r="Y71" i="6"/>
  <c r="Y81" i="6" s="1"/>
  <c r="AA195" i="6"/>
  <c r="Z231" i="6"/>
  <c r="Z196" i="6"/>
  <c r="Z49" i="6" s="1"/>
  <c r="Z71" i="5"/>
  <c r="Z81" i="5" s="1"/>
  <c r="AC100" i="5"/>
  <c r="Z189" i="5"/>
  <c r="AA99" i="5"/>
  <c r="AA71" i="5"/>
  <c r="AA135" i="5"/>
  <c r="Z91" i="5"/>
  <c r="AB197" i="5"/>
  <c r="AB49" i="5" s="1"/>
  <c r="AC191" i="5"/>
  <c r="AF196" i="5"/>
  <c r="AF232" i="5" s="1"/>
  <c r="AE232" i="5"/>
  <c r="AA195" i="4"/>
  <c r="Z231" i="4"/>
  <c r="Z188" i="4"/>
  <c r="AA98" i="4"/>
  <c r="Z196" i="4"/>
  <c r="Z48" i="4" s="1"/>
  <c r="AA190" i="4"/>
  <c r="Z90" i="4"/>
  <c r="AA99" i="4"/>
  <c r="X70" i="4"/>
  <c r="X72" i="4"/>
  <c r="AE190" i="7" l="1"/>
  <c r="Z49" i="7"/>
  <c r="AB188" i="7"/>
  <c r="AC98" i="7"/>
  <c r="AA231" i="7"/>
  <c r="AB195" i="7"/>
  <c r="AA196" i="7"/>
  <c r="AA48" i="7" s="1"/>
  <c r="AA49" i="7" s="1"/>
  <c r="AA90" i="7"/>
  <c r="AC99" i="7"/>
  <c r="AB90" i="7"/>
  <c r="AB195" i="6"/>
  <c r="AA231" i="6"/>
  <c r="AA196" i="6"/>
  <c r="AA49" i="6" s="1"/>
  <c r="AA50" i="6" s="1"/>
  <c r="AC99" i="6"/>
  <c r="AB91" i="6"/>
  <c r="AP210" i="6"/>
  <c r="X7" i="6"/>
  <c r="AQ210" i="6"/>
  <c r="Y7" i="6"/>
  <c r="X81" i="6"/>
  <c r="AD190" i="6"/>
  <c r="AD98" i="6"/>
  <c r="Z50" i="6"/>
  <c r="AB188" i="6"/>
  <c r="AD100" i="5"/>
  <c r="AB135" i="5"/>
  <c r="AA91" i="5"/>
  <c r="AB50" i="5"/>
  <c r="AD191" i="5"/>
  <c r="AC197" i="5"/>
  <c r="AC49" i="5" s="1"/>
  <c r="AC50" i="5" s="1"/>
  <c r="AS211" i="5"/>
  <c r="AA7" i="5"/>
  <c r="AA81" i="5"/>
  <c r="AA189" i="5"/>
  <c r="AB99" i="5"/>
  <c r="AR211" i="5"/>
  <c r="Z7" i="5"/>
  <c r="AP210" i="4"/>
  <c r="X7" i="4"/>
  <c r="Z49" i="4"/>
  <c r="X80" i="4"/>
  <c r="AA188" i="4"/>
  <c r="AB98" i="4"/>
  <c r="AA90" i="4"/>
  <c r="AB99" i="4"/>
  <c r="AA196" i="4"/>
  <c r="AA48" i="4" s="1"/>
  <c r="AA49" i="4" s="1"/>
  <c r="AB190" i="4"/>
  <c r="AA231" i="4"/>
  <c r="AB195" i="4"/>
  <c r="AD99" i="7" l="1"/>
  <c r="Z72" i="7"/>
  <c r="Z70" i="7"/>
  <c r="AB231" i="7"/>
  <c r="AC195" i="7"/>
  <c r="AB196" i="7"/>
  <c r="AB48" i="7" s="1"/>
  <c r="AA72" i="7"/>
  <c r="AA70" i="7"/>
  <c r="AC188" i="7"/>
  <c r="AD98" i="7"/>
  <c r="AF190" i="7"/>
  <c r="AE190" i="6"/>
  <c r="AC91" i="6"/>
  <c r="AD99" i="6"/>
  <c r="Z73" i="6"/>
  <c r="Z71" i="6"/>
  <c r="AA73" i="6"/>
  <c r="AA71" i="6"/>
  <c r="AE98" i="6"/>
  <c r="AC188" i="6"/>
  <c r="AB231" i="6"/>
  <c r="AC195" i="6"/>
  <c r="AB196" i="6"/>
  <c r="AB49" i="6" s="1"/>
  <c r="AB189" i="5"/>
  <c r="AC99" i="5"/>
  <c r="AB71" i="5"/>
  <c r="AD197" i="5"/>
  <c r="AD49" i="5" s="1"/>
  <c r="AD50" i="5" s="1"/>
  <c r="AE191" i="5"/>
  <c r="AC71" i="5"/>
  <c r="AC81" i="5" s="1"/>
  <c r="AC135" i="5"/>
  <c r="AB91" i="5"/>
  <c r="AE100" i="5"/>
  <c r="AB196" i="4"/>
  <c r="AB48" i="4" s="1"/>
  <c r="AC190" i="4"/>
  <c r="AB90" i="4"/>
  <c r="AC99" i="4"/>
  <c r="Z70" i="4"/>
  <c r="Z72" i="4"/>
  <c r="AA70" i="4"/>
  <c r="AA80" i="4" s="1"/>
  <c r="AA72" i="4"/>
  <c r="AB188" i="4"/>
  <c r="AC98" i="4"/>
  <c r="AB231" i="4"/>
  <c r="AC195" i="4"/>
  <c r="Z80" i="7" l="1"/>
  <c r="AA80" i="7"/>
  <c r="AD188" i="7"/>
  <c r="AE98" i="7"/>
  <c r="AR210" i="7"/>
  <c r="Z7" i="7"/>
  <c r="AS210" i="7"/>
  <c r="AA7" i="7"/>
  <c r="AB49" i="7"/>
  <c r="AE99" i="7"/>
  <c r="AC231" i="7"/>
  <c r="AD195" i="7"/>
  <c r="AD90" i="7" s="1"/>
  <c r="AC196" i="7"/>
  <c r="AC48" i="7" s="1"/>
  <c r="AC49" i="7" s="1"/>
  <c r="AC90" i="7"/>
  <c r="AC231" i="6"/>
  <c r="AD195" i="6"/>
  <c r="AC196" i="6"/>
  <c r="AC49" i="6" s="1"/>
  <c r="AC50" i="6" s="1"/>
  <c r="Z81" i="6"/>
  <c r="AR210" i="6"/>
  <c r="Z7" i="6"/>
  <c r="AE99" i="6"/>
  <c r="AD91" i="6"/>
  <c r="AE188" i="6"/>
  <c r="AF98" i="6"/>
  <c r="AD188" i="6"/>
  <c r="AA81" i="6"/>
  <c r="AS210" i="6"/>
  <c r="AA7" i="6"/>
  <c r="AB50" i="6"/>
  <c r="AF190" i="6"/>
  <c r="AU211" i="5"/>
  <c r="AC7" i="5"/>
  <c r="AF100" i="5"/>
  <c r="AE197" i="5"/>
  <c r="AE49" i="5" s="1"/>
  <c r="AE50" i="5" s="1"/>
  <c r="AF191" i="5"/>
  <c r="AF197" i="5" s="1"/>
  <c r="AF49" i="5" s="1"/>
  <c r="AD71" i="5"/>
  <c r="AD81" i="5" s="1"/>
  <c r="AB81" i="5"/>
  <c r="AD135" i="5"/>
  <c r="AC91" i="5"/>
  <c r="AT211" i="5"/>
  <c r="AB7" i="5"/>
  <c r="AC189" i="5"/>
  <c r="AD99" i="5"/>
  <c r="AC231" i="4"/>
  <c r="AD195" i="4"/>
  <c r="AR210" i="4"/>
  <c r="Z7" i="4"/>
  <c r="Z80" i="4"/>
  <c r="AC188" i="4"/>
  <c r="AD98" i="4"/>
  <c r="AD99" i="4"/>
  <c r="AC90" i="4"/>
  <c r="AD190" i="4"/>
  <c r="AC196" i="4"/>
  <c r="AC48" i="4" s="1"/>
  <c r="AC49" i="4" s="1"/>
  <c r="AS210" i="4"/>
  <c r="AA7" i="4"/>
  <c r="AB49" i="4"/>
  <c r="AF99" i="7" l="1"/>
  <c r="AE90" i="7"/>
  <c r="AB72" i="7"/>
  <c r="AB70" i="7"/>
  <c r="AE188" i="7"/>
  <c r="AF98" i="7"/>
  <c r="AF188" i="7" s="1"/>
  <c r="AD231" i="7"/>
  <c r="AE195" i="7"/>
  <c r="AD196" i="7"/>
  <c r="AD48" i="7" s="1"/>
  <c r="AD49" i="7" s="1"/>
  <c r="AC72" i="7"/>
  <c r="AC70" i="7"/>
  <c r="AB71" i="6"/>
  <c r="AB73" i="6"/>
  <c r="AF99" i="6"/>
  <c r="AE91" i="6"/>
  <c r="AC71" i="6"/>
  <c r="AC73" i="6"/>
  <c r="AD231" i="6"/>
  <c r="AE195" i="6"/>
  <c r="AD196" i="6"/>
  <c r="AD49" i="6" s="1"/>
  <c r="AD50" i="6" s="1"/>
  <c r="AV211" i="5"/>
  <c r="AD7" i="5"/>
  <c r="AD189" i="5"/>
  <c r="AE99" i="5"/>
  <c r="AF50" i="5"/>
  <c r="AI49" i="5"/>
  <c r="AH49" i="5"/>
  <c r="AE71" i="5"/>
  <c r="AE81" i="5" s="1"/>
  <c r="AE135" i="5"/>
  <c r="AD91" i="5"/>
  <c r="AB72" i="4"/>
  <c r="AB70" i="4"/>
  <c r="AB80" i="4" s="1"/>
  <c r="AC72" i="4"/>
  <c r="AC70" i="4"/>
  <c r="AC80" i="4" s="1"/>
  <c r="AE190" i="4"/>
  <c r="AD196" i="4"/>
  <c r="AD48" i="4" s="1"/>
  <c r="AD49" i="4" s="1"/>
  <c r="AE99" i="4"/>
  <c r="AD90" i="4"/>
  <c r="AD231" i="4"/>
  <c r="AE195" i="4"/>
  <c r="AD188" i="4"/>
  <c r="AE98" i="4"/>
  <c r="AC80" i="7" l="1"/>
  <c r="AB80" i="7"/>
  <c r="AU210" i="7"/>
  <c r="AC7" i="7"/>
  <c r="AT210" i="7"/>
  <c r="AB7" i="7"/>
  <c r="AD72" i="7"/>
  <c r="AD70" i="7"/>
  <c r="AE231" i="7"/>
  <c r="AF195" i="7"/>
  <c r="AE196" i="7"/>
  <c r="AE48" i="7" s="1"/>
  <c r="AE49" i="7" s="1"/>
  <c r="AF90" i="7"/>
  <c r="AF91" i="6"/>
  <c r="AT210" i="6"/>
  <c r="AB7" i="6"/>
  <c r="AB81" i="6"/>
  <c r="AF195" i="6"/>
  <c r="AE231" i="6"/>
  <c r="AE196" i="6"/>
  <c r="AE49" i="6" s="1"/>
  <c r="AE50" i="6" s="1"/>
  <c r="AD73" i="6"/>
  <c r="AD71" i="6"/>
  <c r="AF188" i="6"/>
  <c r="AU210" i="6"/>
  <c r="AC7" i="6"/>
  <c r="AC81" i="6"/>
  <c r="AF71" i="5"/>
  <c r="AI50" i="5"/>
  <c r="AH50" i="5"/>
  <c r="AE189" i="5"/>
  <c r="AF99" i="5"/>
  <c r="AF189" i="5" s="1"/>
  <c r="AF135" i="5"/>
  <c r="AF91" i="5" s="1"/>
  <c r="AE91" i="5"/>
  <c r="AW211" i="5"/>
  <c r="AE7" i="5"/>
  <c r="AF99" i="4"/>
  <c r="AE90" i="4"/>
  <c r="AF190" i="4"/>
  <c r="AE196" i="4"/>
  <c r="AE48" i="4" s="1"/>
  <c r="AE49" i="4" s="1"/>
  <c r="AD70" i="4"/>
  <c r="AD72" i="4"/>
  <c r="AU210" i="4"/>
  <c r="AC7" i="4"/>
  <c r="AE231" i="4"/>
  <c r="AF195" i="4"/>
  <c r="AF231" i="4" s="1"/>
  <c r="AE188" i="4"/>
  <c r="AF98" i="4"/>
  <c r="AF188" i="4" s="1"/>
  <c r="AT210" i="4"/>
  <c r="AB7" i="4"/>
  <c r="AD80" i="7" l="1"/>
  <c r="AE70" i="7"/>
  <c r="AE72" i="7"/>
  <c r="AI90" i="7"/>
  <c r="AH90" i="7"/>
  <c r="AF231" i="7"/>
  <c r="AF196" i="7"/>
  <c r="AF48" i="7" s="1"/>
  <c r="AV210" i="7"/>
  <c r="AD7" i="7"/>
  <c r="AV210" i="6"/>
  <c r="AD7" i="6"/>
  <c r="AE71" i="6"/>
  <c r="AE73" i="6"/>
  <c r="AF231" i="6"/>
  <c r="AF196" i="6"/>
  <c r="AF49" i="6" s="1"/>
  <c r="AD81" i="6"/>
  <c r="AI91" i="6"/>
  <c r="AH91" i="6"/>
  <c r="AH91" i="5"/>
  <c r="AI91" i="5"/>
  <c r="AF81" i="5"/>
  <c r="AH71" i="5"/>
  <c r="AI71" i="5"/>
  <c r="AX211" i="5"/>
  <c r="AF7" i="5"/>
  <c r="A7" i="5" s="1"/>
  <c r="AH73" i="5"/>
  <c r="AI73" i="5"/>
  <c r="AV210" i="4"/>
  <c r="AD7" i="4"/>
  <c r="AD80" i="4"/>
  <c r="AE72" i="4"/>
  <c r="AE70" i="4"/>
  <c r="AE80" i="4" s="1"/>
  <c r="AF196" i="4"/>
  <c r="AF48" i="4" s="1"/>
  <c r="AF90" i="4"/>
  <c r="AF49" i="7" l="1"/>
  <c r="AI48" i="7"/>
  <c r="AH48" i="7"/>
  <c r="AW210" i="7"/>
  <c r="AE7" i="7"/>
  <c r="AE80" i="7"/>
  <c r="AF50" i="6"/>
  <c r="AI49" i="6"/>
  <c r="AH49" i="6"/>
  <c r="AW210" i="6"/>
  <c r="AE7" i="6"/>
  <c r="AE81" i="6"/>
  <c r="AI81" i="5"/>
  <c r="AH81" i="5"/>
  <c r="AI90" i="4"/>
  <c r="AH90" i="4"/>
  <c r="AF49" i="4"/>
  <c r="AH48" i="4"/>
  <c r="AI48" i="4"/>
  <c r="AW210" i="4"/>
  <c r="AE7" i="4"/>
  <c r="AF72" i="7" l="1"/>
  <c r="AF70" i="7"/>
  <c r="AI49" i="7"/>
  <c r="AH49" i="7"/>
  <c r="AF73" i="6"/>
  <c r="AF71" i="6"/>
  <c r="AI50" i="6"/>
  <c r="AH50" i="6"/>
  <c r="AF70" i="4"/>
  <c r="AF72" i="4"/>
  <c r="AI49" i="4"/>
  <c r="AH49" i="4"/>
  <c r="AF80" i="7" l="1"/>
  <c r="AH70" i="7"/>
  <c r="AI70" i="7"/>
  <c r="AX210" i="7"/>
  <c r="AF7" i="7"/>
  <c r="A7" i="7" s="1"/>
  <c r="AI72" i="7"/>
  <c r="AH72" i="7"/>
  <c r="AF81" i="6"/>
  <c r="AH71" i="6"/>
  <c r="AI71" i="6"/>
  <c r="AX210" i="6"/>
  <c r="AF7" i="6"/>
  <c r="A7" i="6" s="1"/>
  <c r="AI73" i="6"/>
  <c r="AH73" i="6"/>
  <c r="AX210" i="4"/>
  <c r="AF7" i="4"/>
  <c r="A7" i="4" s="1"/>
  <c r="AI72" i="4"/>
  <c r="AH72" i="4"/>
  <c r="AF80" i="4"/>
  <c r="AH70" i="4"/>
  <c r="AI70" i="4"/>
  <c r="AH80" i="7" l="1"/>
  <c r="AI80" i="7"/>
  <c r="AH81" i="6"/>
  <c r="AI81" i="6"/>
  <c r="AI80" i="4"/>
  <c r="AH80" i="4"/>
  <c r="AI56" i="14" l="1"/>
  <c r="AH56" i="14"/>
  <c r="B75" i="14"/>
  <c r="B80" i="14" s="1"/>
  <c r="AI80" i="14" l="1"/>
  <c r="AH80" i="14"/>
  <c r="AH75" i="14"/>
  <c r="B81" i="14"/>
  <c r="AI75" i="14"/>
  <c r="AH81" i="14" l="1"/>
  <c r="AI81" i="1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25.2 n data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<sst xmlns="http://schemas.openxmlformats.org/spreadsheetml/2006/main" count="7596" uniqueCount="241">
  <si>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</si>
  <si>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</si>
  <si>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</si>
  <si>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</si>
  <si>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</si>
  <si>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</si>
  <si>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</si>
  <si>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</si>
  <si>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</si>
  <si>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</si>
  <si>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</si>
  <si>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</si>
  <si>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</si>
  <si>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</si>
  <si>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</si>
  <si>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</si>
  <si>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</si>
  <si>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</si>
  <si>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</si>
  <si>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</si>
  <si>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</si>
  <si>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</si>
  <si>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</si>
  <si>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</si>
  <si>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</si>
  <si>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</si>
  <si>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</si>
  <si>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</si>
  <si>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</si>
  <si>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</si>
  <si>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</si>
  <si>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</si>
  <si>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</si>
  <si>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</si>
  <si>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</si>
  <si>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</si>
  <si>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</si>
  <si>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</si>
  <si>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</si>
  <si>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</si>
  <si>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</si>
  <si>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</si>
  <si>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</si>
  <si>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</si>
  <si>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</si>
  <si>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</si>
  <si>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</si>
  <si>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</si>
  <si>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</si>
  <si>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</si>
  <si>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</si>
  <si>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</si>
  <si>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</si>
  <si>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</si>
  <si>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</si>
  <si>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</si>
  <si>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</si>
  <si>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</si>
  <si>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</si>
  <si>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</si>
  <si>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</si>
  <si>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</si>
  <si>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</si>
  <si>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</si>
  <si>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</si>
  <si>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</si>
  <si>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</si>
  <si>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</si>
  <si>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</si>
  <si>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</si>
  <si>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</si>
  <si>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</si>
  <si>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</si>
  <si>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</si>
  <si>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</t>
  </si>
  <si>
    <t>HTD DIE</t>
  </si>
  <si>
    <t>MRS DI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</si>
  <si>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</si>
  <si>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</si>
  <si>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</si>
  <si>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</si>
  <si>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</si>
  <si>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</si>
  <si>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</si>
  <si>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</si>
  <si>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</si>
  <si>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</si>
  <si>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</si>
  <si>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</si>
  <si>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</si>
  <si>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</si>
  <si>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</si>
  <si>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</si>
  <si>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</si>
  <si>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</si>
  <si>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</si>
  <si>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</si>
  <si>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</si>
  <si>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</si>
  <si>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</si>
  <si>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</si>
  <si>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</si>
  <si>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</si>
  <si>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</si>
  <si>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</si>
  <si>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</si>
  <si>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</si>
  <si>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</si>
  <si>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</si>
  <si>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</si>
  <si>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</si>
  <si>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</si>
  <si>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</si>
  <si>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</si>
  <si>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</si>
  <si>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</si>
  <si>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</si>
  <si>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</si>
  <si>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</si>
  <si>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</si>
  <si>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</si>
  <si>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</si>
  <si>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</si>
  <si>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</si>
  <si>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</si>
  <si>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</si>
  <si>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</si>
  <si>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</si>
  <si>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</si>
  <si>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</si>
  <si>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</si>
  <si>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</si>
  <si>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</si>
  <si>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</si>
  <si>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</si>
  <si>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</si>
  <si>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</si>
  <si>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</si>
  <si>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</si>
  <si>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</si>
  <si>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</si>
  <si>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</si>
  <si>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</si>
  <si>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</si>
  <si>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</si>
  <si>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</si>
  <si>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</si>
  <si>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</si>
  <si>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</si>
  <si>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</si>
  <si>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</si>
  <si>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</si>
  <si>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</si>
  <si>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</si>
  <si>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</si>
  <si>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</si>
  <si>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</si>
  <si>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</si>
  <si>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</si>
  <si>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</si>
  <si>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</si>
  <si>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</si>
  <si>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</si>
  <si>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</si>
  <si>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</si>
  <si>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</si>
  <si>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</si>
  <si>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</si>
  <si>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</si>
  <si>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</si>
  <si>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</si>
  <si>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</si>
  <si>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</si>
  <si>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</si>
  <si>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</si>
  <si>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</si>
  <si>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</si>
  <si>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</si>
  <si>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</si>
  <si>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</si>
  <si>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</si>
  <si>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</si>
  <si>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</si>
  <si>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</si>
  <si>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</si>
  <si>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</si>
  <si>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</si>
  <si>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</si>
  <si>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</si>
  <si>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</si>
  <si>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</si>
  <si>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</si>
  <si>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</si>
  <si>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</si>
  <si>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</si>
  <si>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</si>
  <si>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</si>
  <si>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</si>
  <si>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</si>
  <si>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</si>
  <si>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</si>
  <si>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</si>
  <si>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</si>
  <si>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</si>
  <si>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</si>
  <si>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</si>
  <si>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</si>
  <si>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</si>
  <si>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</si>
  <si>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</si>
  <si>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</si>
  <si>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</si>
  <si>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</si>
  <si>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</si>
  <si>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</si>
  <si>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D</t>
  </si>
  <si>
    <t>A</t>
  </si>
  <si>
    <t>T</t>
  </si>
  <si>
    <t>I</t>
  </si>
  <si>
    <t>S</t>
  </si>
  <si>
    <t>U</t>
  </si>
  <si>
    <t>R</t>
  </si>
  <si>
    <t>B</t>
  </si>
  <si>
    <t>Lower Modi (20)</t>
  </si>
  <si>
    <t>2..6</t>
  </si>
  <si>
    <t>2..7</t>
  </si>
  <si>
    <t>IPP+Subs</t>
  </si>
  <si>
    <t>NEA</t>
  </si>
  <si>
    <t>total</t>
  </si>
  <si>
    <t>HRS</t>
  </si>
  <si>
    <t xml:space="preserve"> </t>
  </si>
  <si>
    <t xml:space="preserve">  </t>
  </si>
  <si>
    <t>Spill</t>
  </si>
  <si>
    <t>UTK</t>
  </si>
  <si>
    <t>49..923</t>
  </si>
  <si>
    <t>Y</t>
  </si>
  <si>
    <t>E</t>
  </si>
  <si>
    <t>M</t>
  </si>
  <si>
    <t>P</t>
  </si>
  <si>
    <t>L</t>
  </si>
  <si>
    <t xml:space="preserve">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</si>
</sst>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4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8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6" xfId="0" applyFont="1" applyBorder="1" applyAlignment="1">
      <alignment horizontal="right" vertical="center"/>
    </xf>
    <xf numFmtId="167" fontId="12" fillId="8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30" xfId="0" applyFont="1" applyBorder="1" applyAlignment="1">
      <alignment horizontal="right" vertical="center"/>
    </xf>
    <xf numFmtId="167" fontId="12" fillId="0" borderId="27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31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2" fontId="25" fillId="0" borderId="33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right" vertical="center"/>
    </xf>
    <xf numFmtId="0" fontId="16" fillId="0" borderId="30" xfId="0" applyFont="1" applyBorder="1" applyAlignment="1">
      <alignment horizontal="right" vertical="center"/>
    </xf>
    <xf numFmtId="167" fontId="12" fillId="9" borderId="27" xfId="0" applyNumberFormat="1" applyFont="1" applyFill="1" applyBorder="1" applyAlignment="1" applyProtection="1">
      <alignment horizontal="center" vertical="center"/>
      <protection locked="0"/>
    </xf>
    <xf numFmtId="0" fontId="16" fillId="0" borderId="34" xfId="0" applyFont="1" applyBorder="1" applyAlignment="1">
      <alignment horizontal="left" vertical="center"/>
    </xf>
    <xf numFmtId="167" fontId="16" fillId="0" borderId="35" xfId="0" applyNumberFormat="1" applyFont="1" applyBorder="1" applyAlignment="1">
      <alignment horizontal="center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6" xfId="0" applyFont="1" applyBorder="1" applyAlignment="1">
      <alignment horizontal="right" vertical="center"/>
    </xf>
    <xf numFmtId="2" fontId="26" fillId="0" borderId="20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2" fontId="25" fillId="0" borderId="25" xfId="0" applyNumberFormat="1" applyFont="1" applyBorder="1" applyAlignment="1">
      <alignment horizontal="center" vertical="center"/>
    </xf>
    <xf numFmtId="167" fontId="12" fillId="10" borderId="27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3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right" vertical="center"/>
    </xf>
    <xf numFmtId="167" fontId="12" fillId="0" borderId="20" xfId="0" applyNumberFormat="1" applyFont="1" applyBorder="1" applyAlignment="1">
      <alignment horizontal="center" vertical="center"/>
    </xf>
    <xf numFmtId="2" fontId="12" fillId="0" borderId="3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1" fontId="16" fillId="0" borderId="35" xfId="0" applyNumberFormat="1" applyFont="1" applyBorder="1" applyAlignment="1">
      <alignment horizontal="center" vertical="center"/>
    </xf>
    <xf numFmtId="0" fontId="16" fillId="11" borderId="34" xfId="0" applyFont="1" applyFill="1" applyBorder="1" applyAlignment="1">
      <alignment vertical="center" wrapText="1"/>
    </xf>
    <xf numFmtId="167" fontId="12" fillId="0" borderId="35" xfId="0" applyNumberFormat="1" applyFont="1" applyBorder="1" applyAlignment="1" applyProtection="1">
      <alignment horizontal="center" vertical="center"/>
      <protection locked="0"/>
    </xf>
    <xf numFmtId="2" fontId="25" fillId="0" borderId="39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40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7" fontId="12" fillId="0" borderId="20" xfId="0" applyNumberFormat="1" applyFont="1" applyBorder="1" applyAlignment="1" applyProtection="1">
      <alignment horizontal="center" vertical="center"/>
      <protection locked="0"/>
    </xf>
    <xf numFmtId="167" fontId="12" fillId="0" borderId="43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167" fontId="12" fillId="0" borderId="43" xfId="0" applyNumberFormat="1" applyFont="1" applyBorder="1" applyAlignment="1" applyProtection="1">
      <alignment horizontal="center"/>
      <protection locked="0"/>
    </xf>
    <xf numFmtId="2" fontId="12" fillId="0" borderId="44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6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40" xfId="0" applyFont="1" applyBorder="1" applyAlignment="1">
      <alignment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167" fontId="12" fillId="0" borderId="47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2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 vertical="center"/>
      <protection locked="0"/>
    </xf>
    <xf numFmtId="0" fontId="12" fillId="0" borderId="49" xfId="0" applyFont="1" applyBorder="1" applyAlignment="1">
      <alignment vertical="center"/>
    </xf>
    <xf numFmtId="167" fontId="12" fillId="0" borderId="20" xfId="0" applyNumberFormat="1" applyFont="1" applyBorder="1" applyAlignment="1" applyProtection="1">
      <alignment horizontal="center"/>
      <protection locked="0"/>
    </xf>
    <xf numFmtId="167" fontId="12" fillId="0" borderId="50" xfId="0" applyNumberFormat="1" applyFont="1" applyBorder="1" applyAlignment="1" applyProtection="1">
      <alignment horizontal="center"/>
      <protection locked="0"/>
    </xf>
    <xf numFmtId="2" fontId="0" fillId="0" borderId="2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51" xfId="0" applyFont="1" applyBorder="1" applyAlignment="1">
      <alignment vertical="center"/>
    </xf>
    <xf numFmtId="0" fontId="0" fillId="0" borderId="52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3" xfId="0" applyFont="1" applyBorder="1" applyAlignment="1">
      <alignment vertical="center"/>
    </xf>
    <xf numFmtId="2" fontId="12" fillId="0" borderId="27" xfId="0" applyNumberFormat="1" applyFont="1" applyBorder="1" applyAlignment="1">
      <alignment horizontal="center" vertical="center"/>
    </xf>
    <xf numFmtId="170" fontId="25" fillId="0" borderId="54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170" fontId="25" fillId="0" borderId="43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5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vertical="center"/>
    </xf>
    <xf numFmtId="2" fontId="29" fillId="0" borderId="27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8" fontId="12" fillId="0" borderId="60" xfId="0" applyNumberFormat="1" applyFont="1" applyBorder="1" applyAlignment="1">
      <alignment vertical="center"/>
    </xf>
    <xf numFmtId="168" fontId="12" fillId="0" borderId="20" xfId="0" applyNumberFormat="1" applyFont="1" applyBorder="1" applyAlignment="1">
      <alignment vertical="center"/>
    </xf>
    <xf numFmtId="168" fontId="12" fillId="0" borderId="21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5" borderId="24" xfId="0" applyNumberFormat="1" applyFon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167" fontId="2" fillId="0" borderId="0" xfId="0" applyNumberFormat="1" applyFont="1"/>
    <xf numFmtId="167" fontId="16" fillId="0" borderId="6" xfId="0" applyNumberFormat="1" applyFont="1" applyBorder="1" applyAlignment="1">
      <alignment horizontal="center" vertical="center"/>
    </xf>
    <xf numFmtId="167" fontId="12" fillId="5" borderId="27" xfId="0" applyNumberFormat="1" applyFont="1" applyFill="1" applyBorder="1" applyAlignment="1" applyProtection="1">
      <alignment horizontal="center" vertical="center"/>
      <protection locked="0"/>
    </xf>
    <xf numFmtId="167" fontId="0" fillId="0" borderId="61" xfId="0" applyNumberFormat="1" applyBorder="1"/>
    <xf numFmtId="167" fontId="0" fillId="0" borderId="11" xfId="0" applyNumberFormat="1" applyBorder="1"/>
    <xf numFmtId="0" fontId="0" fillId="0" borderId="62" xfId="0" applyBorder="1" applyAlignment="1">
      <alignment horizontal="center" vertical="center"/>
    </xf>
    <xf numFmtId="167" fontId="0" fillId="0" borderId="5" xfId="0" applyNumberFormat="1" applyBorder="1"/>
    <xf numFmtId="167" fontId="0" fillId="0" borderId="0" xfId="0" applyNumberFormat="1" applyBorder="1"/>
    <xf numFmtId="0" fontId="0" fillId="0" borderId="63" xfId="0" applyBorder="1" applyAlignment="1">
      <alignment horizontal="center" vertical="center"/>
    </xf>
    <xf numFmtId="0" fontId="0" fillId="0" borderId="5" xfId="0" applyNumberFormat="1" applyBorder="1"/>
    <xf numFmtId="20" fontId="0" fillId="0" borderId="0" xfId="0" applyNumberFormat="1" applyBorder="1"/>
    <xf numFmtId="0" fontId="0" fillId="0" borderId="63" xfId="0" applyBorder="1"/>
    <xf numFmtId="0" fontId="27" fillId="0" borderId="63" xfId="0" applyFont="1" applyBorder="1"/>
    <xf numFmtId="0" fontId="0" fillId="0" borderId="64" xfId="0" applyNumberFormat="1" applyBorder="1"/>
    <xf numFmtId="20" fontId="0" fillId="0" borderId="65" xfId="0" applyNumberFormat="1" applyBorder="1"/>
    <xf numFmtId="0" fontId="0" fillId="0" borderId="66" xfId="0" applyBorder="1"/>
    <xf numFmtId="0" fontId="2" fillId="0" borderId="0" xfId="0" applyFont="1"/>
    <xf numFmtId="167" fontId="0" fillId="0" borderId="0" xfId="0" applyNumberFormat="1" applyFill="1" applyBorder="1"/>
    <xf numFmtId="167" fontId="0" fillId="0" borderId="0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1" fillId="10" borderId="0" xfId="0" applyFont="1" applyFill="1" applyAlignment="1">
      <alignment horizontal="center"/>
    </xf>
    <xf numFmtId="168" fontId="12" fillId="0" borderId="20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9" fontId="24" fillId="7" borderId="22" xfId="0" applyNumberFormat="1" applyFont="1" applyFill="1" applyBorder="1" applyAlignment="1">
      <alignment horizontal="center" vertical="center" wrapText="1"/>
    </xf>
    <xf numFmtId="169" fontId="24" fillId="7" borderId="25" xfId="0" applyNumberFormat="1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</cellXfs>
  <cellStyles count="2">
    <cellStyle name="Comma" xfId="1" builtinId="3"/>
    <cellStyle name="Normal" xfId="0" builtinId="0"/>
  </cellStyles>
  <dxfs count="10693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'1'!$T$208:$AX$208</c:f>
              <c:numCache>
                <c:formatCode>General</c:formatCode>
                <c:ptCount val="31"/>
              </c:numCache>
            </c:numRef>
          </c:cat>
          <c:val>
            <c:numRef>
              <c:f>'1'!$T$209:$AX$209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785792"/>
        <c:axId val="358787712"/>
      </c:lineChart>
      <c:catAx>
        <c:axId val="358785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87712"/>
        <c:crosses val="autoZero"/>
        <c:auto val="1"/>
        <c:lblAlgn val="ctr"/>
        <c:lblOffset val="100"/>
        <c:noMultiLvlLbl val="0"/>
      </c:catAx>
      <c:valAx>
        <c:axId val="358787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'2'!$T$208:$AX$208</c:f>
              <c:numCache>
                <c:formatCode>General</c:formatCode>
                <c:ptCount val="31"/>
              </c:numCache>
            </c:numRef>
          </c:cat>
          <c:val>
            <c:numRef>
              <c:f>'2'!$T$209:$AX$209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317312"/>
        <c:axId val="360319232"/>
      </c:lineChart>
      <c:catAx>
        <c:axId val="360317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19232"/>
        <c:crosses val="autoZero"/>
        <c:auto val="1"/>
        <c:lblAlgn val="ctr"/>
        <c:lblOffset val="100"/>
        <c:noMultiLvlLbl val="0"/>
      </c:catAx>
      <c:valAx>
        <c:axId val="360319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'3'!$T$208:$AX$208</c:f>
              <c:numCache>
                <c:formatCode>General</c:formatCode>
                <c:ptCount val="31"/>
              </c:numCache>
            </c:numRef>
          </c:cat>
          <c:val>
            <c:numRef>
              <c:f>'3'!$T$209:$AX$209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329792"/>
        <c:axId val="361331712"/>
      </c:lineChart>
      <c:catAx>
        <c:axId val="361329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31712"/>
        <c:crosses val="autoZero"/>
        <c:auto val="1"/>
        <c:lblAlgn val="ctr"/>
        <c:lblOffset val="100"/>
        <c:noMultiLvlLbl val="0"/>
      </c:catAx>
      <c:valAx>
        <c:axId val="361331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2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'4'!$T$209:$AX$209</c:f>
              <c:numCache>
                <c:formatCode>General</c:formatCode>
                <c:ptCount val="31"/>
              </c:numCache>
            </c:numRef>
          </c:cat>
          <c:val>
            <c:numRef>
              <c:f>'4'!$T$210:$AX$210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805120"/>
        <c:axId val="360807040"/>
      </c:lineChart>
      <c:catAx>
        <c:axId val="360805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07040"/>
        <c:crosses val="autoZero"/>
        <c:auto val="1"/>
        <c:lblAlgn val="ctr"/>
        <c:lblOffset val="100"/>
        <c:noMultiLvlLbl val="0"/>
      </c:catAx>
      <c:valAx>
        <c:axId val="36080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'5'!$T$209:$AX$209</c:f>
              <c:numCache>
                <c:formatCode>General</c:formatCode>
                <c:ptCount val="31"/>
              </c:numCache>
            </c:numRef>
          </c:cat>
          <c:val>
            <c:numRef>
              <c:f>'5'!$T$210:$AX$210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701568"/>
        <c:axId val="362703488"/>
      </c:lineChart>
      <c:catAx>
        <c:axId val="362701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03488"/>
        <c:crosses val="autoZero"/>
        <c:auto val="1"/>
        <c:lblAlgn val="ctr"/>
        <c:lblOffset val="100"/>
        <c:noMultiLvlLbl val="0"/>
      </c:catAx>
      <c:valAx>
        <c:axId val="362703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0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'6'!$T$209:$AX$209</c:f>
              <c:numCache>
                <c:formatCode>General</c:formatCode>
                <c:ptCount val="31"/>
              </c:numCache>
            </c:numRef>
          </c:cat>
          <c:val>
            <c:numRef>
              <c:f>'6'!$T$210:$AX$210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295872"/>
        <c:axId val="363297792"/>
      </c:lineChart>
      <c:catAx>
        <c:axId val="36329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97792"/>
        <c:crosses val="autoZero"/>
        <c:auto val="1"/>
        <c:lblAlgn val="ctr"/>
        <c:lblOffset val="100"/>
        <c:noMultiLvlLbl val="0"/>
      </c:catAx>
      <c:valAx>
        <c:axId val="363297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'7'!$T$209:$AX$209</c:f>
              <c:numCache>
                <c:formatCode>General</c:formatCode>
                <c:ptCount val="31"/>
              </c:numCache>
            </c:numRef>
          </c:cat>
          <c:val>
            <c:numRef>
              <c:f>'7'!$T$210:$AX$210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29216"/>
        <c:axId val="360735488"/>
      </c:lineChart>
      <c:catAx>
        <c:axId val="360729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35488"/>
        <c:crosses val="autoZero"/>
        <c:auto val="1"/>
        <c:lblAlgn val="ctr"/>
        <c:lblOffset val="100"/>
        <c:noMultiLvlLbl val="0"/>
      </c:catAx>
      <c:valAx>
        <c:axId val="360735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'8'!$T$209:$AX$209</c:f>
              <c:numCache>
                <c:formatCode>General</c:formatCode>
                <c:ptCount val="31"/>
              </c:numCache>
            </c:numRef>
          </c:cat>
          <c:val>
            <c:numRef>
              <c:f>'8'!$T$210:$AX$210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115456"/>
        <c:axId val="364117376"/>
      </c:lineChart>
      <c:catAx>
        <c:axId val="364115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17376"/>
        <c:crosses val="autoZero"/>
        <c:auto val="1"/>
        <c:lblAlgn val="ctr"/>
        <c:lblOffset val="100"/>
        <c:noMultiLvlLbl val="0"/>
      </c:catAx>
      <c:valAx>
        <c:axId val="364117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1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'9'!$T$209:$AX$209</c:f>
              <c:numCache>
                <c:formatCode>General</c:formatCode>
                <c:ptCount val="31"/>
              </c:numCache>
            </c:numRef>
          </c:cat>
          <c:val>
            <c:numRef>
              <c:f>'9'!$T$210:$AX$210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865600"/>
        <c:axId val="365884160"/>
      </c:lineChart>
      <c:catAx>
        <c:axId val="365865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84160"/>
        <c:crosses val="autoZero"/>
        <c:auto val="1"/>
        <c:lblAlgn val="ctr"/>
        <c:lblOffset val="100"/>
        <c:noMultiLvlLbl val="0"/>
      </c:catAx>
      <c:valAx>
        <c:axId val="365884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'10'!$T$209:$AX$209</c:f>
              <c:numCache>
                <c:formatCode>General</c:formatCode>
                <c:ptCount val="31"/>
              </c:numCache>
            </c:numRef>
          </c:cat>
          <c:val>
            <c:numRef>
              <c:f>'10'!$T$210:$AX$210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700800"/>
        <c:axId val="366711168"/>
      </c:lineChart>
      <c:catAx>
        <c:axId val="36670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11168"/>
        <c:crosses val="autoZero"/>
        <c:auto val="1"/>
        <c:lblAlgn val="ctr"/>
        <c:lblOffset val="100"/>
        <c:noMultiLvlLbl val="0"/>
      </c:catAx>
      <c:valAx>
        <c:axId val="366711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'11'!$T$209:$AX$209</c:f>
              <c:numCache>
                <c:formatCode>General</c:formatCode>
                <c:ptCount val="31"/>
              </c:numCache>
            </c:numRef>
          </c:cat>
          <c:val>
            <c:numRef>
              <c:f>'11'!$T$210:$AX$210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344192"/>
        <c:axId val="272346112"/>
      </c:lineChart>
      <c:catAx>
        <c:axId val="272344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46112"/>
        <c:crosses val="autoZero"/>
        <c:auto val="1"/>
        <c:lblAlgn val="ctr"/>
        <c:lblOffset val="100"/>
        <c:noMultiLvlLbl val="0"/>
      </c:catAx>
      <c:valAx>
        <c:axId val="272346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4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'12'!$T$209:$AX$209</c:f>
              <c:numCache>
                <c:formatCode>General</c:formatCode>
                <c:ptCount val="31"/>
              </c:numCache>
            </c:numRef>
          </c:cat>
          <c:val>
            <c:numRef>
              <c:f>'12'!$T$210:$AX$210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36704"/>
        <c:axId val="272538624"/>
      </c:lineChart>
      <c:catAx>
        <c:axId val="272536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38624"/>
        <c:crosses val="autoZero"/>
        <c:auto val="1"/>
        <c:lblAlgn val="ctr"/>
        <c:lblOffset val="100"/>
        <c:noMultiLvlLbl val="0"/>
      </c:catAx>
      <c:valAx>
        <c:axId val="272538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'13'!$T$209:$AX$209</c:f>
              <c:numCache>
                <c:formatCode>General</c:formatCode>
                <c:ptCount val="31"/>
              </c:numCache>
            </c:numRef>
          </c:cat>
          <c:val>
            <c:numRef>
              <c:f>'13'!$T$210:$AX$210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574528"/>
        <c:axId val="273580800"/>
      </c:lineChart>
      <c:catAx>
        <c:axId val="273574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80800"/>
        <c:crosses val="autoZero"/>
        <c:auto val="1"/>
        <c:lblAlgn val="ctr"/>
        <c:lblOffset val="100"/>
        <c:noMultiLvlLbl val="0"/>
      </c:catAx>
      <c:valAx>
        <c:axId val="273580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7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'14'!$T$209:$AX$209</c:f>
              <c:numCache>
                <c:formatCode>General</c:formatCode>
                <c:ptCount val="31"/>
              </c:numCache>
            </c:numRef>
          </c:cat>
          <c:val>
            <c:numRef>
              <c:f>'14'!$T$210:$AX$210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46144"/>
        <c:axId val="274648064"/>
      </c:lineChart>
      <c:catAx>
        <c:axId val="27464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648064"/>
        <c:crosses val="autoZero"/>
        <c:auto val="1"/>
        <c:lblAlgn val="ctr"/>
        <c:lblOffset val="100"/>
        <c:noMultiLvlLbl val="0"/>
      </c:catAx>
      <c:valAx>
        <c:axId val="274648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64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'15'!$T$209:$AX$209</c:f>
              <c:numCache>
                <c:formatCode>General</c:formatCode>
                <c:ptCount val="31"/>
              </c:numCache>
            </c:numRef>
          </c:cat>
          <c:val>
            <c:numRef>
              <c:f>'15'!$T$210:$AX$210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564416"/>
        <c:axId val="275582976"/>
      </c:lineChart>
      <c:catAx>
        <c:axId val="275564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82976"/>
        <c:crosses val="autoZero"/>
        <c:auto val="1"/>
        <c:lblAlgn val="ctr"/>
        <c:lblOffset val="100"/>
        <c:noMultiLvlLbl val="0"/>
      </c:catAx>
      <c:valAx>
        <c:axId val="275582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6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'16'!$T$209:$AX$209</c:f>
              <c:numCache>
                <c:formatCode>General</c:formatCode>
                <c:ptCount val="31"/>
              </c:numCache>
            </c:numRef>
          </c:cat>
          <c:val>
            <c:numRef>
              <c:f>'16'!$T$210:$AX$210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2256"/>
        <c:axId val="276274176"/>
      </c:lineChart>
      <c:catAx>
        <c:axId val="276272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4176"/>
        <c:crosses val="autoZero"/>
        <c:auto val="1"/>
        <c:lblAlgn val="ctr"/>
        <c:lblOffset val="100"/>
        <c:noMultiLvlLbl val="0"/>
      </c:catAx>
      <c:valAx>
        <c:axId val="27627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'17'!$T$209:$AX$209</c:f>
              <c:numCache>
                <c:formatCode>General</c:formatCode>
                <c:ptCount val="31"/>
              </c:numCache>
            </c:numRef>
          </c:cat>
          <c:val>
            <c:numRef>
              <c:f>'17'!$T$210:$AX$210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61440"/>
        <c:axId val="274463360"/>
      </c:lineChart>
      <c:catAx>
        <c:axId val="274461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63360"/>
        <c:crosses val="autoZero"/>
        <c:auto val="1"/>
        <c:lblAlgn val="ctr"/>
        <c:lblOffset val="100"/>
        <c:noMultiLvlLbl val="0"/>
      </c:catAx>
      <c:valAx>
        <c:axId val="274463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'18'!$T$209:$AX$209</c:f>
              <c:numCache>
                <c:formatCode>General</c:formatCode>
                <c:ptCount val="31"/>
              </c:numCache>
            </c:numRef>
          </c:cat>
          <c:val>
            <c:numRef>
              <c:f>'18'!$T$210:$AX$210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645952"/>
        <c:axId val="277652224"/>
      </c:lineChart>
      <c:catAx>
        <c:axId val="277645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52224"/>
        <c:crosses val="autoZero"/>
        <c:auto val="1"/>
        <c:lblAlgn val="ctr"/>
        <c:lblOffset val="100"/>
        <c:noMultiLvlLbl val="0"/>
      </c:catAx>
      <c:valAx>
        <c:axId val="277652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4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'19'!$T$209:$AX$209</c:f>
              <c:numCache>
                <c:formatCode>General</c:formatCode>
                <c:ptCount val="31"/>
              </c:numCache>
            </c:numRef>
          </c:cat>
          <c:val>
            <c:numRef>
              <c:f>'19'!$T$210:$AX$210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21792"/>
        <c:axId val="273289984"/>
      </c:lineChart>
      <c:catAx>
        <c:axId val="278321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89984"/>
        <c:crosses val="autoZero"/>
        <c:auto val="1"/>
        <c:lblAlgn val="ctr"/>
        <c:lblOffset val="100"/>
        <c:noMultiLvlLbl val="0"/>
      </c:catAx>
      <c:valAx>
        <c:axId val="273289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2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'20'!$T$209:$AX$209</c:f>
              <c:numCache>
                <c:formatCode>General</c:formatCode>
                <c:ptCount val="31"/>
              </c:numCache>
            </c:numRef>
          </c:cat>
          <c:val>
            <c:numRef>
              <c:f>'20'!$T$210:$AX$210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32160"/>
        <c:axId val="278758912"/>
      </c:lineChart>
      <c:catAx>
        <c:axId val="27873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58912"/>
        <c:crosses val="autoZero"/>
        <c:auto val="1"/>
        <c:lblAlgn val="ctr"/>
        <c:lblOffset val="100"/>
        <c:noMultiLvlLbl val="0"/>
      </c:catAx>
      <c:valAx>
        <c:axId val="278758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3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'21'!$T$209:$AX$209</c:f>
              <c:numCache>
                <c:formatCode>General</c:formatCode>
                <c:ptCount val="31"/>
              </c:numCache>
            </c:numRef>
          </c:cat>
          <c:val>
            <c:numRef>
              <c:f>'21'!$T$210:$AX$210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710336"/>
        <c:axId val="279712512"/>
      </c:lineChart>
      <c:catAx>
        <c:axId val="279710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712512"/>
        <c:crosses val="autoZero"/>
        <c:auto val="1"/>
        <c:lblAlgn val="ctr"/>
        <c:lblOffset val="100"/>
        <c:noMultiLvlLbl val="0"/>
      </c:catAx>
      <c:valAx>
        <c:axId val="279712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7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'22'!$T$209:$AX$209</c:f>
              <c:numCache>
                <c:formatCode>General</c:formatCode>
                <c:ptCount val="31"/>
              </c:numCache>
            </c:numRef>
          </c:cat>
          <c:val>
            <c:numRef>
              <c:f>'22'!$T$210:$AX$210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325504"/>
        <c:axId val="276327424"/>
      </c:lineChart>
      <c:catAx>
        <c:axId val="276325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27424"/>
        <c:crosses val="autoZero"/>
        <c:auto val="1"/>
        <c:lblAlgn val="ctr"/>
        <c:lblOffset val="100"/>
        <c:noMultiLvlLbl val="0"/>
      </c:catAx>
      <c:valAx>
        <c:axId val="276327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2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'23'!$T$209:$AX$209</c:f>
              <c:numCache>
                <c:formatCode>General</c:formatCode>
                <c:ptCount val="31"/>
              </c:numCache>
            </c:numRef>
          </c:cat>
          <c:val>
            <c:numRef>
              <c:f>'23'!$T$210:$AX$210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702976"/>
        <c:axId val="280704896"/>
      </c:lineChart>
      <c:catAx>
        <c:axId val="280702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04896"/>
        <c:crosses val="autoZero"/>
        <c:auto val="1"/>
        <c:lblAlgn val="ctr"/>
        <c:lblOffset val="100"/>
        <c:noMultiLvlLbl val="0"/>
      </c:catAx>
      <c:valAx>
        <c:axId val="28070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'24'!$T$209:$AX$209</c:f>
              <c:numCache>
                <c:formatCode>General</c:formatCode>
                <c:ptCount val="31"/>
              </c:numCache>
            </c:numRef>
          </c:cat>
          <c:val>
            <c:numRef>
              <c:f>'24'!$T$210:$AX$210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536768"/>
        <c:axId val="281538944"/>
      </c:lineChart>
      <c:catAx>
        <c:axId val="281536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38944"/>
        <c:crosses val="autoZero"/>
        <c:auto val="1"/>
        <c:lblAlgn val="ctr"/>
        <c:lblOffset val="100"/>
        <c:noMultiLvlLbl val="0"/>
      </c:catAx>
      <c:valAx>
        <c:axId val="281538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'25'!$T$209:$AX$209</c:f>
              <c:numCache>
                <c:formatCode>General</c:formatCode>
                <c:ptCount val="31"/>
              </c:numCache>
            </c:numRef>
          </c:cat>
          <c:val>
            <c:numRef>
              <c:f>'25'!$T$210:$AX$210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28608"/>
        <c:axId val="282234880"/>
      </c:lineChart>
      <c:catAx>
        <c:axId val="28222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34880"/>
        <c:crosses val="autoZero"/>
        <c:auto val="1"/>
        <c:lblAlgn val="ctr"/>
        <c:lblOffset val="100"/>
        <c:noMultiLvlLbl val="0"/>
      </c:catAx>
      <c:valAx>
        <c:axId val="282234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2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'26'!$T$209:$AX$209</c:f>
              <c:numCache>
                <c:formatCode>General</c:formatCode>
                <c:ptCount val="31"/>
              </c:numCache>
            </c:numRef>
          </c:cat>
          <c:val>
            <c:numRef>
              <c:f>'26'!$T$210:$AX$210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25056"/>
        <c:axId val="282126976"/>
      </c:lineChart>
      <c:catAx>
        <c:axId val="282125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6976"/>
        <c:crosses val="autoZero"/>
        <c:auto val="1"/>
        <c:lblAlgn val="ctr"/>
        <c:lblOffset val="100"/>
        <c:noMultiLvlLbl val="0"/>
      </c:catAx>
      <c:valAx>
        <c:axId val="282126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'27'!$T$209:$AX$209</c:f>
              <c:numCache>
                <c:formatCode>General</c:formatCode>
                <c:ptCount val="31"/>
              </c:numCache>
            </c:numRef>
          </c:cat>
          <c:val>
            <c:numRef>
              <c:f>'27'!$T$210:$AX$210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762048"/>
        <c:axId val="284100096"/>
      </c:lineChart>
      <c:catAx>
        <c:axId val="283762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00096"/>
        <c:crosses val="autoZero"/>
        <c:auto val="1"/>
        <c:lblAlgn val="ctr"/>
        <c:lblOffset val="100"/>
        <c:noMultiLvlLbl val="0"/>
      </c:catAx>
      <c:valAx>
        <c:axId val="284100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6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'28'!$T$209:$AX$209</c:f>
              <c:numCache>
                <c:formatCode>General</c:formatCode>
                <c:ptCount val="31"/>
              </c:numCache>
            </c:numRef>
          </c:cat>
          <c:val>
            <c:numRef>
              <c:f>'28'!$T$210:$AX$210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92704"/>
        <c:axId val="283215360"/>
      </c:lineChart>
      <c:catAx>
        <c:axId val="283192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15360"/>
        <c:crosses val="autoZero"/>
        <c:auto val="1"/>
        <c:lblAlgn val="ctr"/>
        <c:lblOffset val="100"/>
        <c:noMultiLvlLbl val="0"/>
      </c:catAx>
      <c:valAx>
        <c:axId val="283215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9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'29'!$T$209:$AX$209</c:f>
              <c:numCache>
                <c:formatCode>General</c:formatCode>
                <c:ptCount val="31"/>
              </c:numCache>
            </c:numRef>
          </c:cat>
          <c:val>
            <c:numRef>
              <c:f>'29'!$T$210:$AX$210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050752"/>
        <c:axId val="285052928"/>
      </c:lineChart>
      <c:catAx>
        <c:axId val="285050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52928"/>
        <c:crosses val="autoZero"/>
        <c:auto val="1"/>
        <c:lblAlgn val="ctr"/>
        <c:lblOffset val="100"/>
        <c:noMultiLvlLbl val="0"/>
      </c:catAx>
      <c:valAx>
        <c:axId val="285052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5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'30'!$T$209:$AX$209</c:f>
              <c:numCache>
                <c:formatCode>General</c:formatCode>
                <c:ptCount val="31"/>
              </c:numCache>
            </c:numRef>
          </c:cat>
          <c:val>
            <c:numRef>
              <c:f>'30'!$T$210:$AX$210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66304"/>
        <c:axId val="286151808"/>
      </c:lineChart>
      <c:catAx>
        <c:axId val="285666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51808"/>
        <c:crosses val="autoZero"/>
        <c:auto val="1"/>
        <c:lblAlgn val="ctr"/>
        <c:lblOffset val="100"/>
        <c:noMultiLvlLbl val="0"/>
      </c:catAx>
      <c:valAx>
        <c:axId val="286151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'31'!$T$209:$AX$209</c:f>
              <c:numCache>
                <c:formatCode>General</c:formatCode>
                <c:ptCount val="31"/>
              </c:numCache>
            </c:numRef>
          </c:cat>
          <c:val>
            <c:numRef>
              <c:f>'31'!$T$210:$AX$210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849280"/>
        <c:axId val="286851456"/>
      </c:lineChart>
      <c:catAx>
        <c:axId val="28684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1456"/>
        <c:crosses val="autoZero"/>
        <c:auto val="1"/>
        <c:lblAlgn val="ctr"/>
        <c:lblOffset val="100"/>
        <c:noMultiLvlLbl val="0"/>
      </c:catAx>
      <c:valAx>
        <c:axId val="28685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new_sample!$T$209:$AX$209</c:f>
              <c:numCache>
                <c:formatCode>General</c:formatCode>
                <c:ptCount val="31"/>
              </c:numCache>
            </c:numRef>
          </c:cat>
          <c:val>
            <c:numRef>
              <c:f>new_sample!$T$210:$AX$210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867584"/>
        <c:axId val="282869760"/>
      </c:lineChart>
      <c:catAx>
        <c:axId val="282867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69760"/>
        <c:crosses val="autoZero"/>
        <c:auto val="1"/>
        <c:lblAlgn val="ctr"/>
        <c:lblOffset val="100"/>
        <c:noMultiLvlLbl val="0"/>
      </c:catAx>
      <c:valAx>
        <c:axId val="28286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6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sample_new_current!$A$208:$A$212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sample_new_current!$B$208:$B$212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sample_new_current!$S$210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sample_new_current!$T$208:$AX$208</c:f>
              <c:numCache>
                <c:formatCode>General</c:formatCode>
                <c:ptCount val="31"/>
              </c:numCache>
            </c:numRef>
          </c:cat>
          <c:val>
            <c:numRef>
              <c:f>sample_new_current!$T$209:$AX$209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76640"/>
        <c:axId val="365378560"/>
      </c:lineChart>
      <c:catAx>
        <c:axId val="365376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78560"/>
        <c:crosses val="autoZero"/>
        <c:auto val="1"/>
        <c:lblAlgn val="ctr"/>
        <c:lblOffset val="100"/>
        <c:noMultiLvlLbl val="0"/>
      </c:catAx>
      <c:valAx>
        <c:axId val="365378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C22" sqref="AC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"2078/"&amp;"06/"&amp;INT(MID(CELL("filename",D6),FIND("]",CELL("filename",D6))+1,200))</f>
        <v>2078/06/1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AG53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B65</f>
        <v>-35</v>
      </c>
      <c r="C5" s="32">
        <f t="shared" ref="C5:AF5" si="0">C65</f>
        <v>-40</v>
      </c>
      <c r="D5" s="32">
        <f t="shared" si="0"/>
        <v>-54.7</v>
      </c>
      <c r="E5" s="32">
        <f t="shared" si="0"/>
        <v>-100</v>
      </c>
      <c r="F5" s="32">
        <f t="shared" si="0"/>
        <v>-109</v>
      </c>
      <c r="G5" s="32">
        <f t="shared" si="0"/>
        <v>-110</v>
      </c>
      <c r="H5" s="32">
        <f t="shared" si="0"/>
        <v>-113</v>
      </c>
      <c r="I5" s="32">
        <f t="shared" si="0"/>
        <v>-100</v>
      </c>
      <c r="J5" s="32">
        <f t="shared" si="0"/>
        <v>-43</v>
      </c>
      <c r="K5" s="32">
        <f t="shared" si="0"/>
        <v>-44.7</v>
      </c>
      <c r="L5" s="32">
        <f t="shared" si="0"/>
        <v>-45</v>
      </c>
      <c r="M5" s="32">
        <f t="shared" si="0"/>
        <v>-42.3</v>
      </c>
      <c r="N5" s="32">
        <f t="shared" si="0"/>
        <v>-55</v>
      </c>
      <c r="O5" s="32">
        <f t="shared" si="0"/>
        <v>-40.9</v>
      </c>
      <c r="P5" s="32">
        <f t="shared" si="0"/>
        <v>-46.2</v>
      </c>
      <c r="Q5" s="32">
        <f t="shared" si="0"/>
        <v>-47</v>
      </c>
      <c r="R5" s="32">
        <f t="shared" si="0"/>
        <v>-14.8</v>
      </c>
      <c r="S5" s="32">
        <f t="shared" si="0"/>
        <v>-12</v>
      </c>
      <c r="T5" s="32">
        <f t="shared" si="0"/>
        <v>-43.5</v>
      </c>
      <c r="U5" s="32">
        <f t="shared" si="0"/>
        <v>-23.8</v>
      </c>
      <c r="V5" s="32">
        <f t="shared" si="0"/>
        <v>-35.299999999999997</v>
      </c>
      <c r="W5" s="32">
        <f t="shared" si="0"/>
        <v>-25.7</v>
      </c>
      <c r="X5" s="32">
        <f t="shared" si="0"/>
        <v>-25.9</v>
      </c>
      <c r="Y5" s="32">
        <f t="shared" si="0"/>
        <v>-48.1</v>
      </c>
      <c r="Z5" s="32">
        <f t="shared" si="0"/>
        <v>-40.1</v>
      </c>
      <c r="AA5" s="32">
        <f t="shared" si="0"/>
        <v>-12.899999999999999</v>
      </c>
      <c r="AB5" s="32">
        <f t="shared" si="0"/>
        <v>-37</v>
      </c>
      <c r="AC5" s="32">
        <f t="shared" si="0"/>
        <v>-27</v>
      </c>
      <c r="AD5" s="32">
        <f t="shared" si="0"/>
        <v>-12</v>
      </c>
      <c r="AE5" s="32">
        <f t="shared" si="0"/>
        <v>-37</v>
      </c>
      <c r="AF5" s="32">
        <f t="shared" si="0"/>
        <v>-52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864MW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Load=790</v>
      </c>
      <c r="B7" s="37">
        <f t="shared" ref="B7:AF7" si="1">B72</f>
        <v>916.04</v>
      </c>
      <c r="C7" s="37">
        <f t="shared" si="1"/>
        <v>891.04</v>
      </c>
      <c r="D7" s="37">
        <f t="shared" si="1"/>
        <v>865.33999999999992</v>
      </c>
      <c r="E7" s="37">
        <f t="shared" si="1"/>
        <v>816.04</v>
      </c>
      <c r="F7" s="37">
        <f t="shared" si="1"/>
        <v>807.04</v>
      </c>
      <c r="G7" s="37">
        <f t="shared" si="1"/>
        <v>806.04</v>
      </c>
      <c r="H7" s="37">
        <f t="shared" si="1"/>
        <v>803.04</v>
      </c>
      <c r="I7" s="37">
        <f t="shared" si="1"/>
        <v>817.2399999999999</v>
      </c>
      <c r="J7" s="37">
        <f t="shared" si="1"/>
        <v>847.83999999999992</v>
      </c>
      <c r="K7" s="37">
        <f t="shared" si="1"/>
        <v>846.13999999999987</v>
      </c>
      <c r="L7" s="37">
        <f>L72</f>
        <v>863.7399999999999</v>
      </c>
      <c r="M7" s="37">
        <f t="shared" si="1"/>
        <v>835.43999999999994</v>
      </c>
      <c r="N7" s="37">
        <f t="shared" si="1"/>
        <v>823.04</v>
      </c>
      <c r="O7" s="37">
        <f t="shared" si="1"/>
        <v>833.83999999999992</v>
      </c>
      <c r="P7" s="37">
        <f t="shared" si="1"/>
        <v>831.83999999999992</v>
      </c>
      <c r="Q7" s="37">
        <f t="shared" si="1"/>
        <v>799.93999999999994</v>
      </c>
      <c r="R7" s="37">
        <f t="shared" si="1"/>
        <v>816.13999999999987</v>
      </c>
      <c r="S7" s="37">
        <f t="shared" si="1"/>
        <v>843.04</v>
      </c>
      <c r="T7" s="37">
        <f t="shared" si="1"/>
        <v>789.54</v>
      </c>
      <c r="U7" s="37">
        <f t="shared" si="1"/>
        <v>811.83999999999992</v>
      </c>
      <c r="V7" s="37">
        <f t="shared" si="1"/>
        <v>850.93999999999994</v>
      </c>
      <c r="W7" s="37">
        <f t="shared" si="1"/>
        <v>924.63999999999987</v>
      </c>
      <c r="X7" s="37">
        <f t="shared" si="1"/>
        <v>1083.6400000000001</v>
      </c>
      <c r="Y7" s="37">
        <f t="shared" si="1"/>
        <v>1154.94</v>
      </c>
      <c r="Z7" s="37">
        <f t="shared" si="1"/>
        <v>1134.3400000000001</v>
      </c>
      <c r="AA7" s="37">
        <f t="shared" si="1"/>
        <v>1074.74</v>
      </c>
      <c r="AB7" s="37">
        <f t="shared" si="1"/>
        <v>1060.54</v>
      </c>
      <c r="AC7" s="37">
        <f t="shared" si="1"/>
        <v>1045.6399999999999</v>
      </c>
      <c r="AD7" s="37">
        <f t="shared" si="1"/>
        <v>933.83999999999992</v>
      </c>
      <c r="AE7" s="37">
        <f t="shared" si="1"/>
        <v>859.13999999999987</v>
      </c>
      <c r="AF7" s="37">
        <f t="shared" si="1"/>
        <v>844.7399999999999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100</v>
      </c>
      <c r="C11" s="49">
        <v>100</v>
      </c>
      <c r="D11" s="49">
        <v>100</v>
      </c>
      <c r="E11" s="49">
        <v>100</v>
      </c>
      <c r="F11" s="49">
        <v>100</v>
      </c>
      <c r="G11" s="49">
        <v>100</v>
      </c>
      <c r="H11" s="49">
        <v>100</v>
      </c>
      <c r="I11" s="49">
        <v>100</v>
      </c>
      <c r="J11" s="49">
        <v>100</v>
      </c>
      <c r="K11" s="49">
        <v>100</v>
      </c>
      <c r="L11" s="50">
        <v>100</v>
      </c>
      <c r="M11" s="50">
        <v>100</v>
      </c>
      <c r="N11" s="50">
        <v>102</v>
      </c>
      <c r="O11" s="50">
        <v>130</v>
      </c>
      <c r="P11" s="50">
        <v>130</v>
      </c>
      <c r="Q11" s="51">
        <v>100</v>
      </c>
      <c r="R11" s="52">
        <v>100</v>
      </c>
      <c r="S11" s="52">
        <v>124</v>
      </c>
      <c r="T11" s="52">
        <v>120.9</v>
      </c>
      <c r="U11" s="52">
        <v>101.5</v>
      </c>
      <c r="V11" s="52">
        <v>121.8</v>
      </c>
      <c r="W11" s="52">
        <v>140.19999999999999</v>
      </c>
      <c r="X11" s="52">
        <v>238</v>
      </c>
      <c r="Y11" s="53">
        <v>298.39999999999998</v>
      </c>
      <c r="Z11" s="53">
        <v>270</v>
      </c>
      <c r="AA11" s="53">
        <v>215</v>
      </c>
      <c r="AB11" s="53">
        <v>195</v>
      </c>
      <c r="AC11" s="53">
        <v>195</v>
      </c>
      <c r="AD11" s="53">
        <v>140</v>
      </c>
      <c r="AE11" s="53">
        <v>120</v>
      </c>
      <c r="AF11" s="53">
        <v>120</v>
      </c>
      <c r="AG11" s="54">
        <v>456</v>
      </c>
      <c r="AH11" s="55">
        <f>MAX(B11:AF11)</f>
        <v>298.39999999999998</v>
      </c>
      <c r="AI11" s="56">
        <f>MIN(B11:AF11)</f>
        <v>100</v>
      </c>
      <c r="AJ11" s="176">
        <f>AVERAGE(B11:AF11)</f>
        <v>134.2516129032258</v>
      </c>
      <c r="AK11" s="176">
        <f>(456-AJ11)*24</f>
        <v>7721.9612903225807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50">
        <v>60</v>
      </c>
      <c r="M12" s="50">
        <v>60</v>
      </c>
      <c r="N12" s="50">
        <v>60</v>
      </c>
      <c r="O12" s="50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J12" s="176">
        <f>AVERAGE(B36:AF36)</f>
        <v>55.712903225806443</v>
      </c>
      <c r="AK12" s="176">
        <f>(140-AJ12)*24</f>
        <v>2022.8903225806453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J13" s="176">
        <f>AVERAGE(B37:AF37)</f>
        <v>21.206451612903223</v>
      </c>
      <c r="AK13" s="176">
        <f>(70-AJ13)*24-11*70</f>
        <v>401.04516129032254</v>
      </c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45.8</v>
      </c>
      <c r="C14" s="62">
        <v>45.8</v>
      </c>
      <c r="D14" s="62">
        <v>45.8</v>
      </c>
      <c r="E14" s="62">
        <v>45.8</v>
      </c>
      <c r="F14" s="62">
        <v>45.8</v>
      </c>
      <c r="G14" s="62">
        <v>45.8</v>
      </c>
      <c r="H14" s="62">
        <v>45.8</v>
      </c>
      <c r="I14" s="62">
        <v>45.8</v>
      </c>
      <c r="J14" s="62">
        <v>45.8</v>
      </c>
      <c r="K14" s="62">
        <v>45.8</v>
      </c>
      <c r="L14" s="50">
        <v>45.8</v>
      </c>
      <c r="M14" s="50">
        <v>45.8</v>
      </c>
      <c r="N14" s="50">
        <v>45.8</v>
      </c>
      <c r="O14" s="50">
        <v>45.8</v>
      </c>
      <c r="P14" s="50">
        <v>45.7</v>
      </c>
      <c r="Q14" s="50">
        <v>45.7</v>
      </c>
      <c r="R14" s="61">
        <v>45.7</v>
      </c>
      <c r="S14" s="61">
        <v>45.7</v>
      </c>
      <c r="T14" s="61">
        <v>45.7</v>
      </c>
      <c r="U14" s="61">
        <v>45.7</v>
      </c>
      <c r="V14" s="61">
        <v>45.7</v>
      </c>
      <c r="W14" s="61">
        <v>45.7</v>
      </c>
      <c r="X14" s="61">
        <v>45.7</v>
      </c>
      <c r="Y14" s="50">
        <v>45.7</v>
      </c>
      <c r="Z14" s="50">
        <v>45.7</v>
      </c>
      <c r="AA14" s="50">
        <v>45.7</v>
      </c>
      <c r="AB14" s="50">
        <v>45.8</v>
      </c>
      <c r="AC14" s="50">
        <v>45.7</v>
      </c>
      <c r="AD14" s="50">
        <v>45.7</v>
      </c>
      <c r="AE14" s="50">
        <v>45.7</v>
      </c>
      <c r="AF14" s="50">
        <v>45.7</v>
      </c>
      <c r="AG14" s="63">
        <v>50</v>
      </c>
      <c r="AH14" s="55">
        <f t="shared" si="2"/>
        <v>45.8</v>
      </c>
      <c r="AI14" s="56">
        <f t="shared" si="3"/>
        <v>45.7</v>
      </c>
      <c r="AJ14" s="176">
        <f>AVERAGE(B38:AF38)</f>
        <v>48.096774193548377</v>
      </c>
      <c r="AK14" s="176">
        <f>(65-AJ14)*24</f>
        <v>405.67741935483895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26</v>
      </c>
      <c r="AJ15" s="176">
        <f>AVERAGE(B39:AF39)</f>
        <v>32.470967741935482</v>
      </c>
      <c r="AK15" s="176">
        <f>(60-AJ15)*24</f>
        <v>660.69677419354844</v>
      </c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25</v>
      </c>
      <c r="AJ16" s="176">
        <f>AVERAGE(B40:AF40)</f>
        <v>17.912903225806449</v>
      </c>
      <c r="AK16" s="176">
        <f>(29-AJ16)*24</f>
        <v>266.09032258064519</v>
      </c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177">
        <f>SUM(AK11:AK16)</f>
        <v>11478.36129032258</v>
      </c>
      <c r="AL17" s="30">
        <f>AK17/24</f>
        <v>478.26505376344085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26.4</v>
      </c>
      <c r="C18" s="49">
        <v>26.4</v>
      </c>
      <c r="D18" s="49">
        <v>26.4</v>
      </c>
      <c r="E18" s="49">
        <v>26.4</v>
      </c>
      <c r="F18" s="49">
        <v>26.4</v>
      </c>
      <c r="G18" s="49">
        <v>26.4</v>
      </c>
      <c r="H18" s="49">
        <v>26.4</v>
      </c>
      <c r="I18" s="49">
        <v>26.4</v>
      </c>
      <c r="J18" s="49">
        <v>0</v>
      </c>
      <c r="K18" s="49">
        <v>0</v>
      </c>
      <c r="L18" s="50">
        <v>17.899999999999999</v>
      </c>
      <c r="M18" s="50">
        <v>17.899999999999999</v>
      </c>
      <c r="N18" s="50">
        <v>17.899999999999999</v>
      </c>
      <c r="O18" s="50">
        <v>17.899999999999999</v>
      </c>
      <c r="P18" s="50">
        <v>26</v>
      </c>
      <c r="Q18" s="50">
        <v>26</v>
      </c>
      <c r="R18" s="50">
        <v>26</v>
      </c>
      <c r="S18" s="50">
        <v>26.2</v>
      </c>
      <c r="T18" s="50">
        <v>26.2</v>
      </c>
      <c r="U18" s="50">
        <v>26.2</v>
      </c>
      <c r="V18" s="50">
        <v>26.2</v>
      </c>
      <c r="W18" s="50">
        <v>26.2</v>
      </c>
      <c r="X18" s="50">
        <v>26.2</v>
      </c>
      <c r="Y18" s="50">
        <v>26.2</v>
      </c>
      <c r="Z18" s="50">
        <v>26.2</v>
      </c>
      <c r="AA18" s="50">
        <v>26.2</v>
      </c>
      <c r="AB18" s="50">
        <v>26.2</v>
      </c>
      <c r="AC18" s="50">
        <v>26.2</v>
      </c>
      <c r="AD18" s="50">
        <v>26.2</v>
      </c>
      <c r="AE18" s="50">
        <v>26.2</v>
      </c>
      <c r="AF18" s="50">
        <v>26.2</v>
      </c>
      <c r="AG18" s="60">
        <v>30</v>
      </c>
      <c r="AH18" s="55">
        <f t="shared" si="2"/>
        <v>26.4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11.2</v>
      </c>
      <c r="C20" s="49">
        <v>11.2</v>
      </c>
      <c r="D20" s="49">
        <v>11.2</v>
      </c>
      <c r="E20" s="49">
        <v>11.2</v>
      </c>
      <c r="F20" s="49">
        <v>11.2</v>
      </c>
      <c r="G20" s="49">
        <v>11.2</v>
      </c>
      <c r="H20" s="49">
        <v>11.2</v>
      </c>
      <c r="I20" s="49">
        <v>11.2</v>
      </c>
      <c r="J20" s="49">
        <v>11.2</v>
      </c>
      <c r="K20" s="49">
        <v>11.2</v>
      </c>
      <c r="L20" s="50">
        <v>11.2</v>
      </c>
      <c r="M20" s="50">
        <v>11.2</v>
      </c>
      <c r="N20" s="50">
        <v>11.2</v>
      </c>
      <c r="O20" s="50">
        <v>11.2</v>
      </c>
      <c r="P20" s="50">
        <v>11.2</v>
      </c>
      <c r="Q20" s="50">
        <v>11.2</v>
      </c>
      <c r="R20" s="50">
        <v>11.2</v>
      </c>
      <c r="S20" s="50">
        <v>11.2</v>
      </c>
      <c r="T20" s="50">
        <v>11.2</v>
      </c>
      <c r="U20" s="50">
        <v>11.2</v>
      </c>
      <c r="V20" s="50">
        <v>11.2</v>
      </c>
      <c r="W20" s="50">
        <v>11.2</v>
      </c>
      <c r="X20" s="50">
        <v>11.2</v>
      </c>
      <c r="Y20" s="50">
        <v>11.2</v>
      </c>
      <c r="Z20" s="50">
        <v>11.2</v>
      </c>
      <c r="AA20" s="50">
        <v>11.2</v>
      </c>
      <c r="AB20" s="50">
        <v>11.2</v>
      </c>
      <c r="AC20" s="50">
        <v>11.2</v>
      </c>
      <c r="AD20" s="50">
        <v>11.2</v>
      </c>
      <c r="AE20" s="50">
        <v>0</v>
      </c>
      <c r="AF20" s="50">
        <v>0</v>
      </c>
      <c r="AG20" s="60">
        <v>25</v>
      </c>
      <c r="AH20" s="55">
        <f t="shared" si="2"/>
        <v>11.2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0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60">
        <v>23.5</v>
      </c>
      <c r="AH25" s="55">
        <f t="shared" si="2"/>
        <v>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60">
        <v>22.2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49">
        <v>12.2</v>
      </c>
      <c r="C27" s="49">
        <v>12.2</v>
      </c>
      <c r="D27" s="49">
        <v>12.2</v>
      </c>
      <c r="E27" s="49">
        <v>12.2</v>
      </c>
      <c r="F27" s="49">
        <v>12.2</v>
      </c>
      <c r="G27" s="49">
        <v>12.2</v>
      </c>
      <c r="H27" s="49">
        <v>12.2</v>
      </c>
      <c r="I27" s="49">
        <v>12.2</v>
      </c>
      <c r="J27" s="49">
        <v>12.2</v>
      </c>
      <c r="K27" s="49">
        <v>12.2</v>
      </c>
      <c r="L27" s="50">
        <v>12.2</v>
      </c>
      <c r="M27" s="50">
        <v>12.2</v>
      </c>
      <c r="N27" s="50">
        <v>12.2</v>
      </c>
      <c r="O27" s="50">
        <v>12.2</v>
      </c>
      <c r="P27" s="50">
        <v>12.2</v>
      </c>
      <c r="Q27" s="50">
        <v>12.2</v>
      </c>
      <c r="R27" s="50">
        <v>12.2</v>
      </c>
      <c r="S27" s="50">
        <v>12.2</v>
      </c>
      <c r="T27" s="50">
        <v>12.2</v>
      </c>
      <c r="U27" s="50">
        <v>12.2</v>
      </c>
      <c r="V27" s="50">
        <v>12.2</v>
      </c>
      <c r="W27" s="50">
        <v>12.2</v>
      </c>
      <c r="X27" s="50">
        <v>12.2</v>
      </c>
      <c r="Y27" s="50">
        <v>12.2</v>
      </c>
      <c r="Z27" s="50">
        <v>12.2</v>
      </c>
      <c r="AA27" s="50">
        <v>12.2</v>
      </c>
      <c r="AB27" s="50">
        <v>12.2</v>
      </c>
      <c r="AC27" s="50">
        <v>12.2</v>
      </c>
      <c r="AD27" s="50">
        <v>12.2</v>
      </c>
      <c r="AE27" s="50">
        <v>12.2</v>
      </c>
      <c r="AF27" s="50">
        <v>12.2</v>
      </c>
      <c r="AG27" s="60">
        <v>22.1</v>
      </c>
      <c r="AH27" s="55">
        <f t="shared" si="2"/>
        <v>12.2</v>
      </c>
      <c r="AI27" s="56">
        <f t="shared" si="3"/>
        <v>12.2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49">
        <v>12</v>
      </c>
      <c r="J28" s="49">
        <v>12</v>
      </c>
      <c r="K28" s="49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60">
        <v>22.1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8" t="s">
        <v>37</v>
      </c>
      <c r="B29" s="62">
        <v>12</v>
      </c>
      <c r="C29" s="62">
        <v>12</v>
      </c>
      <c r="D29" s="62">
        <v>12</v>
      </c>
      <c r="E29" s="62">
        <v>12</v>
      </c>
      <c r="F29" s="62">
        <v>12</v>
      </c>
      <c r="G29" s="62">
        <v>12</v>
      </c>
      <c r="H29" s="62">
        <v>12</v>
      </c>
      <c r="I29" s="62">
        <v>12</v>
      </c>
      <c r="J29" s="62">
        <v>12</v>
      </c>
      <c r="K29" s="62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3">
        <v>22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64"/>
      <c r="AR29" s="65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66" t="s">
        <v>38</v>
      </c>
      <c r="B30" s="62">
        <v>0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7">
        <v>22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66" t="s">
        <v>39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20</v>
      </c>
      <c r="AH31" s="55">
        <f t="shared" si="2"/>
        <v>0</v>
      </c>
      <c r="AI31" s="56">
        <f t="shared" si="3"/>
        <v>0</v>
      </c>
      <c r="AK31" s="57"/>
      <c r="AL31" s="30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40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15.33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8" t="s">
        <v>41</v>
      </c>
      <c r="B33" s="62">
        <v>230</v>
      </c>
      <c r="C33" s="62">
        <v>230</v>
      </c>
      <c r="D33" s="62">
        <v>230</v>
      </c>
      <c r="E33" s="62">
        <v>230</v>
      </c>
      <c r="F33" s="62">
        <v>230</v>
      </c>
      <c r="G33" s="62">
        <v>230</v>
      </c>
      <c r="H33" s="62">
        <v>230</v>
      </c>
      <c r="I33" s="62">
        <v>230</v>
      </c>
      <c r="J33" s="62">
        <v>230</v>
      </c>
      <c r="K33" s="62">
        <v>230</v>
      </c>
      <c r="L33" s="50">
        <v>230</v>
      </c>
      <c r="M33" s="50">
        <v>230</v>
      </c>
      <c r="N33" s="50">
        <v>230</v>
      </c>
      <c r="O33" s="50">
        <v>230</v>
      </c>
      <c r="P33" s="62">
        <v>230</v>
      </c>
      <c r="Q33" s="62">
        <v>230</v>
      </c>
      <c r="R33" s="62">
        <v>230</v>
      </c>
      <c r="S33" s="62">
        <v>230</v>
      </c>
      <c r="T33" s="62">
        <v>230</v>
      </c>
      <c r="U33" s="62">
        <v>230</v>
      </c>
      <c r="V33" s="62">
        <v>230</v>
      </c>
      <c r="W33" s="62">
        <v>230</v>
      </c>
      <c r="X33" s="62">
        <v>230</v>
      </c>
      <c r="Y33" s="62">
        <v>230</v>
      </c>
      <c r="Z33" s="62">
        <v>230</v>
      </c>
      <c r="AA33" s="62">
        <v>230</v>
      </c>
      <c r="AB33" s="62">
        <v>230</v>
      </c>
      <c r="AC33" s="62">
        <v>230</v>
      </c>
      <c r="AD33" s="62">
        <v>230</v>
      </c>
      <c r="AE33" s="62">
        <v>230</v>
      </c>
      <c r="AF33" s="62">
        <v>230</v>
      </c>
      <c r="AG33" s="67">
        <v>85</v>
      </c>
      <c r="AH33" s="55">
        <f t="shared" si="2"/>
        <v>230</v>
      </c>
      <c r="AI33" s="56">
        <f t="shared" si="3"/>
        <v>230</v>
      </c>
      <c r="AK33" s="57"/>
    </row>
    <row r="34" spans="1:41" ht="15.75" thickBot="1" x14ac:dyDescent="0.3">
      <c r="A34" s="69" t="s">
        <v>42</v>
      </c>
      <c r="B34" s="62">
        <v>151</v>
      </c>
      <c r="C34" s="62">
        <v>151</v>
      </c>
      <c r="D34" s="62">
        <v>151</v>
      </c>
      <c r="E34" s="62">
        <v>151</v>
      </c>
      <c r="F34" s="62">
        <f t="shared" ref="F34:M34" si="4">92.7+58.1</f>
        <v>150.80000000000001</v>
      </c>
      <c r="G34" s="62">
        <f t="shared" si="4"/>
        <v>150.80000000000001</v>
      </c>
      <c r="H34" s="62">
        <f t="shared" si="4"/>
        <v>150.80000000000001</v>
      </c>
      <c r="I34" s="62">
        <f t="shared" si="4"/>
        <v>150.80000000000001</v>
      </c>
      <c r="J34" s="62">
        <f t="shared" si="4"/>
        <v>150.80000000000001</v>
      </c>
      <c r="K34" s="62">
        <f t="shared" si="4"/>
        <v>150.80000000000001</v>
      </c>
      <c r="L34" s="50">
        <f t="shared" si="4"/>
        <v>150.80000000000001</v>
      </c>
      <c r="M34" s="50">
        <f t="shared" si="4"/>
        <v>150.80000000000001</v>
      </c>
      <c r="N34" s="50">
        <v>152.5</v>
      </c>
      <c r="O34" s="50">
        <v>150.6</v>
      </c>
      <c r="P34" s="70">
        <f>60.6+93</f>
        <v>153.6</v>
      </c>
      <c r="Q34" s="70">
        <f>101.4+60.7</f>
        <v>162.10000000000002</v>
      </c>
      <c r="R34" s="70">
        <f>60.7+101.4</f>
        <v>162.10000000000002</v>
      </c>
      <c r="S34" s="70">
        <v>159.5</v>
      </c>
      <c r="T34" s="70">
        <v>161.9</v>
      </c>
      <c r="U34" s="70">
        <v>158.1</v>
      </c>
      <c r="V34" s="70">
        <v>160.6</v>
      </c>
      <c r="W34" s="70">
        <v>158.9</v>
      </c>
      <c r="X34" s="70">
        <v>156.5</v>
      </c>
      <c r="Y34" s="70">
        <v>157.80000000000001</v>
      </c>
      <c r="Z34" s="70">
        <v>158.4</v>
      </c>
      <c r="AA34" s="70">
        <v>158.4</v>
      </c>
      <c r="AB34" s="70">
        <v>159.6</v>
      </c>
      <c r="AC34" s="70">
        <v>160.30000000000001</v>
      </c>
      <c r="AD34" s="70">
        <v>161.30000000000001</v>
      </c>
      <c r="AE34" s="70">
        <v>161.80000000000001</v>
      </c>
      <c r="AF34" s="70">
        <v>162.4</v>
      </c>
      <c r="AG34" s="67">
        <v>240</v>
      </c>
      <c r="AH34" s="55">
        <f t="shared" si="2"/>
        <v>162.4</v>
      </c>
      <c r="AI34" s="56">
        <f t="shared" si="3"/>
        <v>150.6</v>
      </c>
      <c r="AK34" s="57"/>
    </row>
    <row r="35" spans="1:41" ht="15.75" thickBot="1" x14ac:dyDescent="0.3">
      <c r="A35" s="71" t="s">
        <v>43</v>
      </c>
      <c r="B35" s="72">
        <f t="shared" ref="B35:AF35" si="5">SUM(B11:B33)</f>
        <v>679.8</v>
      </c>
      <c r="C35" s="72">
        <f t="shared" si="5"/>
        <v>679.8</v>
      </c>
      <c r="D35" s="72">
        <f t="shared" si="5"/>
        <v>679.8</v>
      </c>
      <c r="E35" s="72">
        <f t="shared" si="5"/>
        <v>679.8</v>
      </c>
      <c r="F35" s="72">
        <f t="shared" si="5"/>
        <v>679.8</v>
      </c>
      <c r="G35" s="72">
        <f t="shared" si="5"/>
        <v>679.8</v>
      </c>
      <c r="H35" s="72">
        <f t="shared" si="5"/>
        <v>679.8</v>
      </c>
      <c r="I35" s="72">
        <f t="shared" si="5"/>
        <v>679.8</v>
      </c>
      <c r="J35" s="72">
        <f t="shared" si="5"/>
        <v>653.4</v>
      </c>
      <c r="K35" s="72">
        <f t="shared" si="5"/>
        <v>653.4</v>
      </c>
      <c r="L35" s="72">
        <f t="shared" si="5"/>
        <v>671.3</v>
      </c>
      <c r="M35" s="72">
        <f t="shared" si="5"/>
        <v>671.3</v>
      </c>
      <c r="N35" s="72">
        <f t="shared" si="5"/>
        <v>673.3</v>
      </c>
      <c r="O35" s="72">
        <f t="shared" si="5"/>
        <v>701.3</v>
      </c>
      <c r="P35" s="72">
        <f t="shared" si="5"/>
        <v>709.3</v>
      </c>
      <c r="Q35" s="72">
        <f t="shared" si="5"/>
        <v>679.3</v>
      </c>
      <c r="R35" s="72">
        <f t="shared" si="5"/>
        <v>657.3</v>
      </c>
      <c r="S35" s="72">
        <f t="shared" si="5"/>
        <v>681.5</v>
      </c>
      <c r="T35" s="72">
        <f t="shared" si="5"/>
        <v>656.4</v>
      </c>
      <c r="U35" s="72">
        <f t="shared" si="5"/>
        <v>659</v>
      </c>
      <c r="V35" s="72">
        <f t="shared" si="5"/>
        <v>679.3</v>
      </c>
      <c r="W35" s="72">
        <f t="shared" si="5"/>
        <v>697.69999999999993</v>
      </c>
      <c r="X35" s="72">
        <f t="shared" si="5"/>
        <v>795.5</v>
      </c>
      <c r="Y35" s="72">
        <f t="shared" si="5"/>
        <v>855.90000000000009</v>
      </c>
      <c r="Z35" s="72">
        <f t="shared" si="5"/>
        <v>827.5</v>
      </c>
      <c r="AA35" s="72">
        <f t="shared" si="5"/>
        <v>772.5</v>
      </c>
      <c r="AB35" s="72">
        <f t="shared" si="5"/>
        <v>752.59999999999991</v>
      </c>
      <c r="AC35" s="72">
        <f t="shared" si="5"/>
        <v>752.5</v>
      </c>
      <c r="AD35" s="72">
        <f t="shared" si="5"/>
        <v>697.5</v>
      </c>
      <c r="AE35" s="72">
        <f t="shared" si="5"/>
        <v>666.3</v>
      </c>
      <c r="AF35" s="72">
        <f t="shared" si="5"/>
        <v>666.3</v>
      </c>
      <c r="AG35" s="67">
        <f>SUM(AG11:AG34)</f>
        <v>1416.83</v>
      </c>
      <c r="AH35" s="55">
        <f t="shared" si="2"/>
        <v>855.90000000000009</v>
      </c>
      <c r="AI35" s="56">
        <f t="shared" si="3"/>
        <v>653.4</v>
      </c>
      <c r="AK35" s="57"/>
    </row>
    <row r="36" spans="1:41" x14ac:dyDescent="0.25">
      <c r="A36" s="58" t="s">
        <v>44</v>
      </c>
      <c r="B36" s="62">
        <v>60</v>
      </c>
      <c r="C36" s="62">
        <v>60</v>
      </c>
      <c r="D36" s="62">
        <v>60</v>
      </c>
      <c r="E36" s="62">
        <v>60</v>
      </c>
      <c r="F36" s="62">
        <v>60</v>
      </c>
      <c r="G36" s="62">
        <v>60</v>
      </c>
      <c r="H36" s="62">
        <v>60</v>
      </c>
      <c r="I36" s="62">
        <v>61.1</v>
      </c>
      <c r="J36" s="62">
        <v>61.1</v>
      </c>
      <c r="K36" s="62">
        <v>61.1</v>
      </c>
      <c r="L36" s="52">
        <v>61.1</v>
      </c>
      <c r="M36" s="52">
        <v>60.9</v>
      </c>
      <c r="N36" s="52">
        <v>70.8</v>
      </c>
      <c r="O36" s="52">
        <v>0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30.3</v>
      </c>
      <c r="W36" s="50">
        <v>65.400000000000006</v>
      </c>
      <c r="X36" s="50">
        <v>106.6</v>
      </c>
      <c r="Y36" s="50">
        <v>129.69999999999999</v>
      </c>
      <c r="Z36" s="50">
        <v>121.8</v>
      </c>
      <c r="AA36" s="50">
        <v>90</v>
      </c>
      <c r="AB36" s="50">
        <v>112.7</v>
      </c>
      <c r="AC36" s="50">
        <v>91.3</v>
      </c>
      <c r="AD36" s="50">
        <v>61.1</v>
      </c>
      <c r="AE36" s="49">
        <v>61.1</v>
      </c>
      <c r="AF36" s="49">
        <v>61</v>
      </c>
      <c r="AG36" s="63">
        <v>144</v>
      </c>
      <c r="AH36" s="55">
        <f t="shared" si="2"/>
        <v>129.69999999999999</v>
      </c>
      <c r="AI36" s="56">
        <f t="shared" si="3"/>
        <v>0</v>
      </c>
      <c r="AK36" s="57"/>
    </row>
    <row r="37" spans="1:41" x14ac:dyDescent="0.25">
      <c r="A37" s="66" t="s">
        <v>45</v>
      </c>
      <c r="B37" s="62">
        <v>35</v>
      </c>
      <c r="C37" s="62">
        <v>35</v>
      </c>
      <c r="D37" s="62">
        <v>35</v>
      </c>
      <c r="E37" s="62">
        <v>35</v>
      </c>
      <c r="F37" s="62">
        <v>35</v>
      </c>
      <c r="G37" s="62">
        <v>35</v>
      </c>
      <c r="H37" s="62">
        <v>35</v>
      </c>
      <c r="I37" s="62">
        <v>34.799999999999997</v>
      </c>
      <c r="J37" s="62">
        <v>34.799999999999997</v>
      </c>
      <c r="K37" s="62">
        <v>34.799999999999997</v>
      </c>
      <c r="L37" s="52">
        <v>34.799999999999997</v>
      </c>
      <c r="M37" s="52">
        <v>24.1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41.5</v>
      </c>
      <c r="AA37" s="52">
        <v>41.5</v>
      </c>
      <c r="AB37" s="52">
        <v>47.3</v>
      </c>
      <c r="AC37" s="52">
        <v>47.3</v>
      </c>
      <c r="AD37" s="52">
        <v>23.8</v>
      </c>
      <c r="AE37" s="62">
        <v>23.9</v>
      </c>
      <c r="AF37" s="62">
        <v>23.8</v>
      </c>
      <c r="AG37" s="67">
        <v>70</v>
      </c>
      <c r="AH37" s="55">
        <f t="shared" si="2"/>
        <v>47.3</v>
      </c>
      <c r="AI37" s="56">
        <f t="shared" si="3"/>
        <v>0</v>
      </c>
      <c r="AK37" s="57"/>
    </row>
    <row r="38" spans="1:41" x14ac:dyDescent="0.25">
      <c r="A38" s="66" t="s">
        <v>46</v>
      </c>
      <c r="B38" s="62">
        <v>37</v>
      </c>
      <c r="C38" s="62">
        <v>45</v>
      </c>
      <c r="D38" s="62">
        <v>34</v>
      </c>
      <c r="E38" s="62">
        <v>34</v>
      </c>
      <c r="F38" s="62">
        <v>34</v>
      </c>
      <c r="G38" s="62">
        <v>34</v>
      </c>
      <c r="H38" s="62">
        <v>34</v>
      </c>
      <c r="I38" s="62">
        <v>34.299999999999997</v>
      </c>
      <c r="J38" s="62">
        <v>34.299999999999997</v>
      </c>
      <c r="K38" s="62">
        <v>34.299999999999997</v>
      </c>
      <c r="L38" s="52">
        <v>34.299999999999997</v>
      </c>
      <c r="M38" s="52">
        <v>34.4</v>
      </c>
      <c r="N38" s="52">
        <v>42.9</v>
      </c>
      <c r="O38" s="52">
        <v>62.2</v>
      </c>
      <c r="P38" s="52">
        <v>57.5</v>
      </c>
      <c r="Q38" s="52">
        <v>59.4</v>
      </c>
      <c r="R38" s="52">
        <v>64.099999999999994</v>
      </c>
      <c r="S38" s="52">
        <v>64.3</v>
      </c>
      <c r="T38" s="52">
        <v>64.3</v>
      </c>
      <c r="U38" s="52">
        <v>64.3</v>
      </c>
      <c r="V38" s="52">
        <v>64.3</v>
      </c>
      <c r="W38" s="52">
        <v>66.3</v>
      </c>
      <c r="X38" s="52">
        <v>67</v>
      </c>
      <c r="Y38" s="52">
        <v>67</v>
      </c>
      <c r="Z38" s="52">
        <v>54.5</v>
      </c>
      <c r="AA38" s="52">
        <v>54.5</v>
      </c>
      <c r="AB38" s="52">
        <v>53.7</v>
      </c>
      <c r="AC38" s="52">
        <v>54</v>
      </c>
      <c r="AD38" s="52">
        <v>36</v>
      </c>
      <c r="AE38" s="62">
        <v>35.5</v>
      </c>
      <c r="AF38" s="62">
        <v>35.6</v>
      </c>
      <c r="AG38" s="67">
        <v>69</v>
      </c>
      <c r="AH38" s="55">
        <f t="shared" si="2"/>
        <v>67</v>
      </c>
      <c r="AI38" s="56">
        <f t="shared" si="3"/>
        <v>34</v>
      </c>
      <c r="AK38" s="57"/>
    </row>
    <row r="39" spans="1:41" x14ac:dyDescent="0.25">
      <c r="A39" s="66" t="s">
        <v>47</v>
      </c>
      <c r="B39" s="62">
        <v>58</v>
      </c>
      <c r="C39" s="62">
        <v>30</v>
      </c>
      <c r="D39" s="62">
        <v>30</v>
      </c>
      <c r="E39" s="62">
        <v>30</v>
      </c>
      <c r="F39" s="62">
        <v>30</v>
      </c>
      <c r="G39" s="62">
        <v>30</v>
      </c>
      <c r="H39" s="62">
        <v>30</v>
      </c>
      <c r="I39" s="62">
        <v>30</v>
      </c>
      <c r="J39" s="62">
        <v>30</v>
      </c>
      <c r="K39" s="62">
        <v>30</v>
      </c>
      <c r="L39" s="52">
        <v>30</v>
      </c>
      <c r="M39" s="52">
        <v>9.8000000000000007</v>
      </c>
      <c r="N39" s="52">
        <v>9.8000000000000007</v>
      </c>
      <c r="O39" s="52">
        <v>30</v>
      </c>
      <c r="P39" s="52">
        <v>30</v>
      </c>
      <c r="Q39" s="52">
        <v>30</v>
      </c>
      <c r="R39" s="52">
        <v>31.3</v>
      </c>
      <c r="S39" s="52">
        <v>31</v>
      </c>
      <c r="T39" s="52">
        <v>31</v>
      </c>
      <c r="U39" s="52">
        <v>31</v>
      </c>
      <c r="V39" s="52">
        <v>31</v>
      </c>
      <c r="W39" s="52">
        <v>31</v>
      </c>
      <c r="X39" s="52">
        <v>50.9</v>
      </c>
      <c r="Y39" s="52">
        <v>60.9</v>
      </c>
      <c r="Z39" s="52">
        <v>39.6</v>
      </c>
      <c r="AA39" s="52">
        <v>39.6</v>
      </c>
      <c r="AB39" s="52">
        <v>39.6</v>
      </c>
      <c r="AC39" s="52">
        <v>39.299999999999997</v>
      </c>
      <c r="AD39" s="52">
        <v>39</v>
      </c>
      <c r="AE39" s="62">
        <v>21.9</v>
      </c>
      <c r="AF39" s="62">
        <v>21.9</v>
      </c>
      <c r="AG39" s="67">
        <v>60</v>
      </c>
      <c r="AH39" s="55">
        <f t="shared" si="2"/>
        <v>60.9</v>
      </c>
      <c r="AI39" s="56">
        <f t="shared" si="3"/>
        <v>9.8000000000000007</v>
      </c>
      <c r="AK39" s="57"/>
    </row>
    <row r="40" spans="1:41" x14ac:dyDescent="0.25">
      <c r="A40" s="66" t="s">
        <v>48</v>
      </c>
      <c r="B40" s="62">
        <v>15</v>
      </c>
      <c r="C40" s="62">
        <v>15</v>
      </c>
      <c r="D40" s="62">
        <v>15</v>
      </c>
      <c r="E40" s="62">
        <v>15</v>
      </c>
      <c r="F40" s="62">
        <v>15</v>
      </c>
      <c r="G40" s="62">
        <v>15</v>
      </c>
      <c r="H40" s="62">
        <v>15</v>
      </c>
      <c r="I40" s="62">
        <v>15</v>
      </c>
      <c r="J40" s="62">
        <v>15</v>
      </c>
      <c r="K40" s="62">
        <v>15</v>
      </c>
      <c r="L40" s="52">
        <v>15</v>
      </c>
      <c r="M40" s="52">
        <v>15</v>
      </c>
      <c r="N40" s="52">
        <v>15</v>
      </c>
      <c r="O40" s="52">
        <v>15</v>
      </c>
      <c r="P40" s="50">
        <v>15</v>
      </c>
      <c r="Q40" s="50">
        <v>15</v>
      </c>
      <c r="R40" s="50">
        <v>15</v>
      </c>
      <c r="S40" s="50">
        <v>15</v>
      </c>
      <c r="T40" s="50">
        <v>15</v>
      </c>
      <c r="U40" s="50">
        <v>15</v>
      </c>
      <c r="V40" s="50">
        <v>15</v>
      </c>
      <c r="W40" s="50">
        <v>23.6</v>
      </c>
      <c r="X40" s="50">
        <v>23.2</v>
      </c>
      <c r="Y40" s="52">
        <v>23.2</v>
      </c>
      <c r="Z40" s="52">
        <v>23.2</v>
      </c>
      <c r="AA40" s="52">
        <v>23.2</v>
      </c>
      <c r="AB40" s="52">
        <v>25.3</v>
      </c>
      <c r="AC40" s="52">
        <v>24.9</v>
      </c>
      <c r="AD40" s="52">
        <v>25</v>
      </c>
      <c r="AE40" s="62">
        <v>24</v>
      </c>
      <c r="AF40" s="62">
        <v>24.7</v>
      </c>
      <c r="AG40" s="67">
        <v>30</v>
      </c>
      <c r="AH40" s="55">
        <f t="shared" si="2"/>
        <v>25.3</v>
      </c>
      <c r="AI40" s="56">
        <f t="shared" si="3"/>
        <v>15</v>
      </c>
      <c r="AK40" s="57"/>
    </row>
    <row r="41" spans="1:41" x14ac:dyDescent="0.25">
      <c r="A41" s="66" t="s">
        <v>49</v>
      </c>
      <c r="B41" s="62">
        <v>0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52">
        <v>0</v>
      </c>
      <c r="M41" s="52">
        <v>0</v>
      </c>
      <c r="N41" s="52">
        <v>0</v>
      </c>
      <c r="O41" s="52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62">
        <v>0</v>
      </c>
      <c r="AF41" s="62">
        <v>0</v>
      </c>
      <c r="AG41" s="67">
        <v>25</v>
      </c>
      <c r="AH41" s="55">
        <f t="shared" si="2"/>
        <v>0</v>
      </c>
      <c r="AI41" s="56">
        <f t="shared" si="3"/>
        <v>0</v>
      </c>
      <c r="AK41" s="57"/>
    </row>
    <row r="42" spans="1:41" x14ac:dyDescent="0.25">
      <c r="A42" s="66" t="s">
        <v>50</v>
      </c>
      <c r="B42" s="73">
        <v>17</v>
      </c>
      <c r="C42" s="73">
        <v>17</v>
      </c>
      <c r="D42" s="73">
        <v>17</v>
      </c>
      <c r="E42" s="73">
        <v>17</v>
      </c>
      <c r="F42" s="73">
        <v>17</v>
      </c>
      <c r="G42" s="73">
        <v>17</v>
      </c>
      <c r="H42" s="73">
        <v>17</v>
      </c>
      <c r="I42" s="73">
        <v>17</v>
      </c>
      <c r="J42" s="73">
        <v>17</v>
      </c>
      <c r="K42" s="73">
        <v>17</v>
      </c>
      <c r="L42" s="52">
        <v>17</v>
      </c>
      <c r="M42" s="52">
        <v>17</v>
      </c>
      <c r="N42" s="52">
        <v>17</v>
      </c>
      <c r="O42" s="52">
        <v>17</v>
      </c>
      <c r="P42" s="50">
        <v>17</v>
      </c>
      <c r="Q42" s="50">
        <v>17</v>
      </c>
      <c r="R42" s="50">
        <v>17</v>
      </c>
      <c r="S42" s="50">
        <v>17</v>
      </c>
      <c r="T42" s="50">
        <v>17</v>
      </c>
      <c r="U42" s="50">
        <v>17</v>
      </c>
      <c r="V42" s="50">
        <v>17</v>
      </c>
      <c r="W42" s="50">
        <v>17</v>
      </c>
      <c r="X42" s="50">
        <v>17</v>
      </c>
      <c r="Y42" s="50">
        <v>17</v>
      </c>
      <c r="Z42" s="50">
        <v>17</v>
      </c>
      <c r="AA42" s="50">
        <v>17</v>
      </c>
      <c r="AB42" s="50">
        <v>17</v>
      </c>
      <c r="AC42" s="50">
        <v>17</v>
      </c>
      <c r="AD42" s="50">
        <v>17</v>
      </c>
      <c r="AE42" s="62">
        <v>17</v>
      </c>
      <c r="AF42" s="62">
        <v>17</v>
      </c>
      <c r="AG42" s="67">
        <v>24</v>
      </c>
      <c r="AH42" s="55">
        <f t="shared" si="2"/>
        <v>17</v>
      </c>
      <c r="AI42" s="56">
        <f t="shared" si="3"/>
        <v>17</v>
      </c>
      <c r="AK42" s="57"/>
    </row>
    <row r="43" spans="1:41" x14ac:dyDescent="0.25">
      <c r="A43" s="66" t="s">
        <v>51</v>
      </c>
      <c r="B43" s="62">
        <v>3</v>
      </c>
      <c r="C43" s="62">
        <v>3</v>
      </c>
      <c r="D43" s="62">
        <v>3</v>
      </c>
      <c r="E43" s="62">
        <v>3</v>
      </c>
      <c r="F43" s="62">
        <v>3</v>
      </c>
      <c r="G43" s="62">
        <v>3</v>
      </c>
      <c r="H43" s="62">
        <v>3</v>
      </c>
      <c r="I43" s="62">
        <v>3</v>
      </c>
      <c r="J43" s="62">
        <v>3</v>
      </c>
      <c r="K43" s="62">
        <v>3</v>
      </c>
      <c r="L43" s="52">
        <v>3</v>
      </c>
      <c r="M43" s="52">
        <v>3</v>
      </c>
      <c r="N43" s="52">
        <v>3</v>
      </c>
      <c r="O43" s="52">
        <v>3</v>
      </c>
      <c r="P43" s="50">
        <v>3</v>
      </c>
      <c r="Q43" s="50">
        <v>0</v>
      </c>
      <c r="R43" s="50">
        <v>0</v>
      </c>
      <c r="S43" s="50">
        <v>0</v>
      </c>
      <c r="T43" s="50">
        <v>3.1</v>
      </c>
      <c r="U43" s="50">
        <v>3.1</v>
      </c>
      <c r="V43" s="50">
        <v>3.1</v>
      </c>
      <c r="W43" s="50">
        <v>3.1</v>
      </c>
      <c r="X43" s="50">
        <v>3.1</v>
      </c>
      <c r="Y43" s="50">
        <v>3.1</v>
      </c>
      <c r="Z43" s="50">
        <v>3.1</v>
      </c>
      <c r="AA43" s="50">
        <v>3.1</v>
      </c>
      <c r="AB43" s="50">
        <v>3.1</v>
      </c>
      <c r="AC43" s="50">
        <v>3.1</v>
      </c>
      <c r="AD43" s="50">
        <v>3.1</v>
      </c>
      <c r="AE43" s="62">
        <v>3.1</v>
      </c>
      <c r="AF43" s="62">
        <v>3.1</v>
      </c>
      <c r="AG43" s="67">
        <v>15</v>
      </c>
      <c r="AH43" s="55">
        <f t="shared" si="2"/>
        <v>3.1</v>
      </c>
      <c r="AI43" s="56">
        <f t="shared" si="3"/>
        <v>0</v>
      </c>
      <c r="AK43" s="57"/>
      <c r="AL43" s="74"/>
      <c r="AO43" s="74"/>
    </row>
    <row r="44" spans="1:41" s="74" customFormat="1" x14ac:dyDescent="0.25">
      <c r="A44" s="66" t="s">
        <v>52</v>
      </c>
      <c r="B44" s="62">
        <v>13</v>
      </c>
      <c r="C44" s="62">
        <v>13</v>
      </c>
      <c r="D44" s="62">
        <v>13</v>
      </c>
      <c r="E44" s="62">
        <v>13</v>
      </c>
      <c r="F44" s="62">
        <v>13</v>
      </c>
      <c r="G44" s="62">
        <v>13</v>
      </c>
      <c r="H44" s="62">
        <v>13</v>
      </c>
      <c r="I44" s="62">
        <v>13</v>
      </c>
      <c r="J44" s="62">
        <v>13</v>
      </c>
      <c r="K44" s="62">
        <v>13</v>
      </c>
      <c r="L44" s="52">
        <v>13</v>
      </c>
      <c r="M44" s="52">
        <v>13</v>
      </c>
      <c r="N44" s="52">
        <v>13</v>
      </c>
      <c r="O44" s="52">
        <v>13</v>
      </c>
      <c r="P44" s="50">
        <v>13</v>
      </c>
      <c r="Q44" s="50">
        <v>13</v>
      </c>
      <c r="R44" s="50">
        <v>13</v>
      </c>
      <c r="S44" s="50">
        <v>13</v>
      </c>
      <c r="T44" s="50">
        <v>13</v>
      </c>
      <c r="U44" s="50">
        <v>13</v>
      </c>
      <c r="V44" s="50">
        <v>13</v>
      </c>
      <c r="W44" s="50">
        <v>13</v>
      </c>
      <c r="X44" s="50">
        <v>13</v>
      </c>
      <c r="Y44" s="50">
        <v>13</v>
      </c>
      <c r="Z44" s="50">
        <v>13</v>
      </c>
      <c r="AA44" s="50">
        <v>13</v>
      </c>
      <c r="AB44" s="50">
        <v>13</v>
      </c>
      <c r="AC44" s="50">
        <v>13</v>
      </c>
      <c r="AD44" s="50">
        <v>13</v>
      </c>
      <c r="AE44" s="62">
        <v>13</v>
      </c>
      <c r="AF44" s="62">
        <v>13</v>
      </c>
      <c r="AG44" s="67">
        <v>14.1</v>
      </c>
      <c r="AH44" s="55">
        <f t="shared" si="2"/>
        <v>13</v>
      </c>
      <c r="AI44" s="56">
        <f t="shared" si="3"/>
        <v>13</v>
      </c>
      <c r="AJ44" s="1"/>
      <c r="AK44" s="57"/>
      <c r="AL44"/>
      <c r="AM44"/>
      <c r="AN44"/>
      <c r="AO44"/>
    </row>
    <row r="45" spans="1:41" x14ac:dyDescent="0.25">
      <c r="A45" s="75" t="s">
        <v>53</v>
      </c>
      <c r="B45" s="73">
        <v>14</v>
      </c>
      <c r="C45" s="73">
        <v>14</v>
      </c>
      <c r="D45" s="73">
        <v>14</v>
      </c>
      <c r="E45" s="73">
        <v>10</v>
      </c>
      <c r="F45" s="73">
        <v>10</v>
      </c>
      <c r="G45" s="73">
        <v>10</v>
      </c>
      <c r="H45" s="73">
        <v>10</v>
      </c>
      <c r="I45" s="73">
        <v>10</v>
      </c>
      <c r="J45" s="73">
        <v>10</v>
      </c>
      <c r="K45" s="73">
        <v>10</v>
      </c>
      <c r="L45" s="52">
        <v>10</v>
      </c>
      <c r="M45" s="52">
        <v>10</v>
      </c>
      <c r="N45" s="52">
        <v>14</v>
      </c>
      <c r="O45" s="52">
        <v>14</v>
      </c>
      <c r="P45" s="50">
        <v>14</v>
      </c>
      <c r="Q45" s="50">
        <v>14</v>
      </c>
      <c r="R45" s="50">
        <v>14</v>
      </c>
      <c r="S45" s="50">
        <v>14</v>
      </c>
      <c r="T45" s="50">
        <v>14</v>
      </c>
      <c r="U45" s="50">
        <v>14</v>
      </c>
      <c r="V45" s="50">
        <v>14</v>
      </c>
      <c r="W45" s="50">
        <v>14</v>
      </c>
      <c r="X45" s="50">
        <v>14</v>
      </c>
      <c r="Y45" s="50">
        <v>14</v>
      </c>
      <c r="Z45" s="50">
        <v>14</v>
      </c>
      <c r="AA45" s="50">
        <v>14</v>
      </c>
      <c r="AB45" s="50">
        <v>14</v>
      </c>
      <c r="AC45" s="50">
        <v>14</v>
      </c>
      <c r="AD45" s="50">
        <v>14</v>
      </c>
      <c r="AE45" s="62">
        <v>14</v>
      </c>
      <c r="AF45" s="62">
        <v>14</v>
      </c>
      <c r="AG45" s="67">
        <v>14</v>
      </c>
      <c r="AH45" s="55">
        <f t="shared" si="2"/>
        <v>14</v>
      </c>
      <c r="AI45" s="56">
        <f t="shared" si="3"/>
        <v>10</v>
      </c>
      <c r="AK45" s="57"/>
    </row>
    <row r="46" spans="1:41" x14ac:dyDescent="0.25">
      <c r="A46" s="66" t="s">
        <v>54</v>
      </c>
      <c r="B46" s="62">
        <v>9.5</v>
      </c>
      <c r="C46" s="62">
        <v>9.5</v>
      </c>
      <c r="D46" s="62">
        <v>9.5</v>
      </c>
      <c r="E46" s="62">
        <v>9.5</v>
      </c>
      <c r="F46" s="62">
        <v>9.5</v>
      </c>
      <c r="G46" s="62">
        <v>9.5</v>
      </c>
      <c r="H46" s="62">
        <v>9.5</v>
      </c>
      <c r="I46" s="62">
        <v>9.5</v>
      </c>
      <c r="J46" s="62">
        <v>9.5</v>
      </c>
      <c r="K46" s="62">
        <v>9.5</v>
      </c>
      <c r="L46" s="52">
        <v>9.5</v>
      </c>
      <c r="M46" s="52">
        <v>9.5</v>
      </c>
      <c r="N46" s="52">
        <v>9.5</v>
      </c>
      <c r="O46" s="52">
        <v>9.5</v>
      </c>
      <c r="P46" s="52">
        <v>9.5</v>
      </c>
      <c r="Q46" s="52">
        <v>9.5</v>
      </c>
      <c r="R46" s="50">
        <v>9.5</v>
      </c>
      <c r="S46" s="50">
        <v>9.5</v>
      </c>
      <c r="T46" s="50">
        <v>9.5</v>
      </c>
      <c r="U46" s="50">
        <v>9.5</v>
      </c>
      <c r="V46" s="50">
        <v>9.5</v>
      </c>
      <c r="W46" s="50">
        <v>9.5</v>
      </c>
      <c r="X46" s="50">
        <v>9.5</v>
      </c>
      <c r="Y46" s="50">
        <v>9.5</v>
      </c>
      <c r="Z46" s="50">
        <v>9.5</v>
      </c>
      <c r="AA46" s="50">
        <v>9.5</v>
      </c>
      <c r="AB46" s="50">
        <v>9.5</v>
      </c>
      <c r="AC46" s="50">
        <v>6.5</v>
      </c>
      <c r="AD46" s="50">
        <v>6.6</v>
      </c>
      <c r="AE46" s="62">
        <v>6.6</v>
      </c>
      <c r="AF46" s="62">
        <v>6.6</v>
      </c>
      <c r="AG46" s="67">
        <v>10.050000000000001</v>
      </c>
      <c r="AH46" s="55">
        <f t="shared" si="2"/>
        <v>9.5</v>
      </c>
      <c r="AI46" s="56">
        <f t="shared" si="3"/>
        <v>6.5</v>
      </c>
      <c r="AK46" s="57"/>
    </row>
    <row r="47" spans="1:41" x14ac:dyDescent="0.25">
      <c r="A47" s="66" t="s">
        <v>55</v>
      </c>
      <c r="B47" s="62">
        <v>6.2</v>
      </c>
      <c r="C47" s="62">
        <v>6.2</v>
      </c>
      <c r="D47" s="62">
        <v>6.2</v>
      </c>
      <c r="E47" s="62">
        <v>6.2</v>
      </c>
      <c r="F47" s="62">
        <v>6.2</v>
      </c>
      <c r="G47" s="62">
        <v>6.2</v>
      </c>
      <c r="H47" s="62">
        <v>6.2</v>
      </c>
      <c r="I47" s="62">
        <v>6.2</v>
      </c>
      <c r="J47" s="62">
        <v>6.2</v>
      </c>
      <c r="K47" s="62">
        <v>6.2</v>
      </c>
      <c r="L47" s="52">
        <v>6.2</v>
      </c>
      <c r="M47" s="52">
        <v>6.2</v>
      </c>
      <c r="N47" s="52">
        <v>6.2</v>
      </c>
      <c r="O47" s="52">
        <v>6.2</v>
      </c>
      <c r="P47" s="50">
        <v>6.2</v>
      </c>
      <c r="Q47" s="50">
        <v>6.2</v>
      </c>
      <c r="R47" s="50">
        <v>6.2</v>
      </c>
      <c r="S47" s="50">
        <v>6.2</v>
      </c>
      <c r="T47" s="50">
        <v>6.2</v>
      </c>
      <c r="U47" s="50">
        <v>6.2</v>
      </c>
      <c r="V47" s="50">
        <v>6.2</v>
      </c>
      <c r="W47" s="50">
        <v>6.2</v>
      </c>
      <c r="X47" s="50">
        <v>6.2</v>
      </c>
      <c r="Y47" s="50">
        <v>6.2</v>
      </c>
      <c r="Z47" s="50">
        <v>6.2</v>
      </c>
      <c r="AA47" s="50">
        <v>6.2</v>
      </c>
      <c r="AB47" s="50">
        <v>6.2</v>
      </c>
      <c r="AC47" s="50">
        <v>6.2</v>
      </c>
      <c r="AD47" s="50">
        <v>6.2</v>
      </c>
      <c r="AE47" s="62">
        <v>6.2</v>
      </c>
      <c r="AF47" s="62">
        <v>6.2</v>
      </c>
      <c r="AG47" s="67">
        <v>6.2</v>
      </c>
      <c r="AH47" s="55">
        <f t="shared" si="2"/>
        <v>6.2</v>
      </c>
      <c r="AI47" s="56">
        <f t="shared" si="3"/>
        <v>6.2</v>
      </c>
      <c r="AK47" s="57"/>
    </row>
    <row r="48" spans="1:41" ht="15.75" thickBot="1" x14ac:dyDescent="0.3">
      <c r="A48" s="68" t="s">
        <v>56</v>
      </c>
      <c r="B48" s="76">
        <v>3.54</v>
      </c>
      <c r="C48" s="76">
        <v>3.54</v>
      </c>
      <c r="D48" s="76">
        <v>3.54</v>
      </c>
      <c r="E48" s="76">
        <v>3.54</v>
      </c>
      <c r="F48" s="76">
        <v>3.54</v>
      </c>
      <c r="G48" s="76">
        <v>3.54</v>
      </c>
      <c r="H48" s="76">
        <v>3.54</v>
      </c>
      <c r="I48" s="76">
        <v>3.54</v>
      </c>
      <c r="J48" s="76">
        <v>3.54</v>
      </c>
      <c r="K48" s="76">
        <v>3.54</v>
      </c>
      <c r="L48" s="76">
        <v>3.54</v>
      </c>
      <c r="M48" s="76">
        <v>3.54</v>
      </c>
      <c r="N48" s="76">
        <v>3.54</v>
      </c>
      <c r="O48" s="76">
        <v>3.54</v>
      </c>
      <c r="P48" s="76">
        <v>3.54</v>
      </c>
      <c r="Q48" s="76">
        <v>3.54</v>
      </c>
      <c r="R48" s="76">
        <v>3.54</v>
      </c>
      <c r="S48" s="76">
        <v>3.54</v>
      </c>
      <c r="T48" s="76">
        <f t="shared" ref="T48:AG48" si="6">T196</f>
        <v>3.54</v>
      </c>
      <c r="U48" s="76">
        <f t="shared" si="6"/>
        <v>3.54</v>
      </c>
      <c r="V48" s="76">
        <f t="shared" si="6"/>
        <v>3.54</v>
      </c>
      <c r="W48" s="76">
        <f t="shared" si="6"/>
        <v>3.54</v>
      </c>
      <c r="X48" s="76">
        <f t="shared" si="6"/>
        <v>3.54</v>
      </c>
      <c r="Y48" s="76">
        <v>3.54</v>
      </c>
      <c r="Z48" s="76">
        <f t="shared" si="6"/>
        <v>3.54</v>
      </c>
      <c r="AA48" s="76">
        <f t="shared" si="6"/>
        <v>3.54</v>
      </c>
      <c r="AB48" s="76">
        <f t="shared" si="6"/>
        <v>3.54</v>
      </c>
      <c r="AC48" s="76">
        <f t="shared" si="6"/>
        <v>3.54</v>
      </c>
      <c r="AD48" s="76">
        <f t="shared" si="6"/>
        <v>3.54</v>
      </c>
      <c r="AE48" s="76">
        <f t="shared" si="6"/>
        <v>3.54</v>
      </c>
      <c r="AF48" s="76">
        <f t="shared" si="6"/>
        <v>3.54</v>
      </c>
      <c r="AG48" s="76">
        <f t="shared" si="6"/>
        <v>8.56</v>
      </c>
      <c r="AH48" s="55">
        <f t="shared" si="2"/>
        <v>3.54</v>
      </c>
      <c r="AI48" s="56">
        <f t="shared" si="3"/>
        <v>3.54</v>
      </c>
      <c r="AK48" s="57"/>
    </row>
    <row r="49" spans="1:37" ht="15.75" thickBot="1" x14ac:dyDescent="0.3">
      <c r="A49" s="71" t="s">
        <v>57</v>
      </c>
      <c r="B49" s="72">
        <f t="shared" ref="B49:AF49" si="7">SUM(B36:B48)</f>
        <v>271.24</v>
      </c>
      <c r="C49" s="72">
        <f t="shared" si="7"/>
        <v>251.23999999999998</v>
      </c>
      <c r="D49" s="72">
        <f t="shared" si="7"/>
        <v>240.23999999999998</v>
      </c>
      <c r="E49" s="72">
        <f t="shared" si="7"/>
        <v>236.23999999999998</v>
      </c>
      <c r="F49" s="72">
        <f t="shared" si="7"/>
        <v>236.23999999999998</v>
      </c>
      <c r="G49" s="72">
        <f t="shared" si="7"/>
        <v>236.23999999999998</v>
      </c>
      <c r="H49" s="72">
        <f t="shared" si="7"/>
        <v>236.23999999999998</v>
      </c>
      <c r="I49" s="72">
        <f t="shared" si="7"/>
        <v>237.43999999999997</v>
      </c>
      <c r="J49" s="72">
        <f t="shared" si="7"/>
        <v>237.43999999999997</v>
      </c>
      <c r="K49" s="72">
        <f t="shared" si="7"/>
        <v>237.43999999999997</v>
      </c>
      <c r="L49" s="72">
        <f t="shared" si="7"/>
        <v>237.43999999999997</v>
      </c>
      <c r="M49" s="72">
        <f t="shared" si="7"/>
        <v>206.44</v>
      </c>
      <c r="N49" s="72">
        <f t="shared" si="7"/>
        <v>204.73999999999998</v>
      </c>
      <c r="O49" s="72">
        <f t="shared" si="7"/>
        <v>173.43999999999997</v>
      </c>
      <c r="P49" s="72">
        <f t="shared" si="7"/>
        <v>168.73999999999998</v>
      </c>
      <c r="Q49" s="72">
        <f t="shared" si="7"/>
        <v>167.64</v>
      </c>
      <c r="R49" s="72">
        <f t="shared" si="7"/>
        <v>173.63999999999996</v>
      </c>
      <c r="S49" s="72">
        <f t="shared" si="7"/>
        <v>173.54</v>
      </c>
      <c r="T49" s="72">
        <f t="shared" si="7"/>
        <v>176.64</v>
      </c>
      <c r="U49" s="72">
        <f t="shared" si="7"/>
        <v>176.64</v>
      </c>
      <c r="V49" s="72">
        <f t="shared" si="7"/>
        <v>206.93999999999997</v>
      </c>
      <c r="W49" s="72">
        <f t="shared" si="7"/>
        <v>252.63999999999996</v>
      </c>
      <c r="X49" s="72">
        <f t="shared" si="7"/>
        <v>314.04000000000002</v>
      </c>
      <c r="Y49" s="72">
        <f t="shared" si="7"/>
        <v>347.14</v>
      </c>
      <c r="Z49" s="72">
        <f t="shared" si="7"/>
        <v>346.94000000000005</v>
      </c>
      <c r="AA49" s="72">
        <f t="shared" si="7"/>
        <v>315.14</v>
      </c>
      <c r="AB49" s="72">
        <f t="shared" si="7"/>
        <v>344.94</v>
      </c>
      <c r="AC49" s="72">
        <f t="shared" si="7"/>
        <v>320.14</v>
      </c>
      <c r="AD49" s="72">
        <f t="shared" si="7"/>
        <v>248.33999999999997</v>
      </c>
      <c r="AE49" s="72">
        <f t="shared" si="7"/>
        <v>229.83999999999997</v>
      </c>
      <c r="AF49" s="72">
        <f t="shared" si="7"/>
        <v>230.43999999999997</v>
      </c>
      <c r="AG49" s="77">
        <f>SUM(AG36:AG48)</f>
        <v>489.91</v>
      </c>
      <c r="AH49" s="55">
        <f t="shared" si="2"/>
        <v>347.14</v>
      </c>
      <c r="AI49" s="56">
        <f t="shared" si="3"/>
        <v>167.64</v>
      </c>
      <c r="AK49" s="57"/>
    </row>
    <row r="50" spans="1:37" x14ac:dyDescent="0.25">
      <c r="A50" s="58" t="s">
        <v>58</v>
      </c>
      <c r="B50" s="62">
        <v>0</v>
      </c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63">
        <v>60</v>
      </c>
      <c r="AH50" s="55">
        <f t="shared" si="2"/>
        <v>0</v>
      </c>
      <c r="AI50" s="56">
        <f t="shared" si="3"/>
        <v>0</v>
      </c>
      <c r="AK50" s="57"/>
    </row>
    <row r="51" spans="1:37" x14ac:dyDescent="0.25">
      <c r="A51" s="66" t="s">
        <v>59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52">
        <v>0</v>
      </c>
      <c r="Q51" s="52">
        <v>0</v>
      </c>
      <c r="R51" s="50">
        <v>0</v>
      </c>
      <c r="S51" s="50">
        <v>0</v>
      </c>
      <c r="T51" s="50">
        <v>0</v>
      </c>
      <c r="U51" s="50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67">
        <v>32</v>
      </c>
      <c r="AH51" s="55">
        <f t="shared" si="2"/>
        <v>0</v>
      </c>
      <c r="AI51" s="56">
        <f t="shared" si="3"/>
        <v>0</v>
      </c>
      <c r="AK51" s="57"/>
    </row>
    <row r="52" spans="1:37" ht="15.75" thickBot="1" x14ac:dyDescent="0.3">
      <c r="A52" s="75" t="s">
        <v>60</v>
      </c>
      <c r="B52" s="73">
        <v>0</v>
      </c>
      <c r="C52" s="73">
        <v>0</v>
      </c>
      <c r="D52" s="73">
        <v>0</v>
      </c>
      <c r="E52" s="73">
        <v>0</v>
      </c>
      <c r="F52" s="73">
        <v>0</v>
      </c>
      <c r="G52" s="73">
        <v>0</v>
      </c>
      <c r="H52" s="73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8">
        <v>0</v>
      </c>
      <c r="Q52" s="78">
        <v>0</v>
      </c>
      <c r="R52" s="50">
        <v>0</v>
      </c>
      <c r="S52" s="50">
        <v>0</v>
      </c>
      <c r="T52" s="50">
        <v>0</v>
      </c>
      <c r="U52" s="50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  <c r="AF52" s="78">
        <v>0</v>
      </c>
      <c r="AG52" s="79">
        <v>14</v>
      </c>
      <c r="AH52" s="55">
        <f t="shared" si="2"/>
        <v>0</v>
      </c>
      <c r="AI52" s="56">
        <f t="shared" si="3"/>
        <v>0</v>
      </c>
      <c r="AK52" s="57"/>
    </row>
    <row r="53" spans="1:37" ht="15.75" thickBot="1" x14ac:dyDescent="0.3">
      <c r="A53" s="71" t="s">
        <v>61</v>
      </c>
      <c r="B53" s="72">
        <f>SUM(B50:B52)</f>
        <v>0</v>
      </c>
      <c r="C53" s="72">
        <f t="shared" ref="C53:AF53" si="8">SUM(C50:C52)</f>
        <v>0</v>
      </c>
      <c r="D53" s="72">
        <f t="shared" si="8"/>
        <v>0</v>
      </c>
      <c r="E53" s="72">
        <f t="shared" si="8"/>
        <v>0</v>
      </c>
      <c r="F53" s="72">
        <f t="shared" si="8"/>
        <v>0</v>
      </c>
      <c r="G53" s="72">
        <f t="shared" si="8"/>
        <v>0</v>
      </c>
      <c r="H53" s="72">
        <f t="shared" si="8"/>
        <v>0</v>
      </c>
      <c r="I53" s="72">
        <f t="shared" si="8"/>
        <v>0</v>
      </c>
      <c r="J53" s="72">
        <f t="shared" si="8"/>
        <v>0</v>
      </c>
      <c r="K53" s="72">
        <f t="shared" si="8"/>
        <v>0</v>
      </c>
      <c r="L53" s="72">
        <f t="shared" si="8"/>
        <v>0</v>
      </c>
      <c r="M53" s="72">
        <f t="shared" si="8"/>
        <v>0</v>
      </c>
      <c r="N53" s="72">
        <f t="shared" si="8"/>
        <v>0</v>
      </c>
      <c r="O53" s="72">
        <f t="shared" si="8"/>
        <v>0</v>
      </c>
      <c r="P53" s="72">
        <f t="shared" si="8"/>
        <v>0</v>
      </c>
      <c r="Q53" s="72">
        <f t="shared" si="8"/>
        <v>0</v>
      </c>
      <c r="R53" s="72">
        <f t="shared" si="8"/>
        <v>0</v>
      </c>
      <c r="S53" s="72">
        <f t="shared" si="8"/>
        <v>0</v>
      </c>
      <c r="T53" s="72">
        <f t="shared" si="8"/>
        <v>0</v>
      </c>
      <c r="U53" s="72">
        <f t="shared" si="8"/>
        <v>0</v>
      </c>
      <c r="V53" s="72">
        <f t="shared" si="8"/>
        <v>0</v>
      </c>
      <c r="W53" s="72">
        <f t="shared" si="8"/>
        <v>0</v>
      </c>
      <c r="X53" s="72">
        <f t="shared" si="8"/>
        <v>0</v>
      </c>
      <c r="Y53" s="72">
        <f t="shared" si="8"/>
        <v>0</v>
      </c>
      <c r="Z53" s="72">
        <f t="shared" si="8"/>
        <v>0</v>
      </c>
      <c r="AA53" s="72">
        <f t="shared" si="8"/>
        <v>0</v>
      </c>
      <c r="AB53" s="72">
        <f t="shared" si="8"/>
        <v>0</v>
      </c>
      <c r="AC53" s="72">
        <f t="shared" si="8"/>
        <v>0</v>
      </c>
      <c r="AD53" s="72">
        <f t="shared" si="8"/>
        <v>0</v>
      </c>
      <c r="AE53" s="72">
        <f t="shared" si="8"/>
        <v>0</v>
      </c>
      <c r="AF53" s="72">
        <f t="shared" si="8"/>
        <v>0</v>
      </c>
      <c r="AG53" s="77">
        <f>SUM(AG50:AG52)</f>
        <v>106</v>
      </c>
      <c r="AH53" s="55">
        <f t="shared" si="2"/>
        <v>0</v>
      </c>
      <c r="AI53" s="56">
        <f t="shared" si="3"/>
        <v>0</v>
      </c>
      <c r="AK53" s="57"/>
    </row>
    <row r="54" spans="1:37" x14ac:dyDescent="0.25">
      <c r="A54" s="58" t="s">
        <v>62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63"/>
      <c r="AH54" s="55">
        <f t="shared" si="2"/>
        <v>0</v>
      </c>
      <c r="AI54" s="56">
        <f t="shared" si="3"/>
        <v>0</v>
      </c>
      <c r="AK54" s="57"/>
    </row>
    <row r="55" spans="1:37" x14ac:dyDescent="0.25">
      <c r="A55" s="66" t="s">
        <v>63</v>
      </c>
      <c r="B55" s="50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80">
        <v>0</v>
      </c>
      <c r="X55" s="80">
        <v>0</v>
      </c>
      <c r="Y55" s="80">
        <v>0</v>
      </c>
      <c r="Z55" s="80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67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64</v>
      </c>
      <c r="B56" s="50">
        <v>-35</v>
      </c>
      <c r="C56" s="52">
        <v>-40</v>
      </c>
      <c r="D56" s="52">
        <v>-54.7</v>
      </c>
      <c r="E56" s="52">
        <v>-100</v>
      </c>
      <c r="F56" s="52">
        <v>-109</v>
      </c>
      <c r="G56" s="52">
        <v>-110</v>
      </c>
      <c r="H56" s="52">
        <v>-113</v>
      </c>
      <c r="I56" s="52">
        <v>-100</v>
      </c>
      <c r="J56" s="52">
        <v>-43</v>
      </c>
      <c r="K56" s="52">
        <v>-44.7</v>
      </c>
      <c r="L56" s="52">
        <v>-45</v>
      </c>
      <c r="M56" s="52">
        <v>-42.3</v>
      </c>
      <c r="N56" s="52">
        <v>-55</v>
      </c>
      <c r="O56" s="52">
        <v>-40.9</v>
      </c>
      <c r="P56" s="52">
        <v>-46.2</v>
      </c>
      <c r="Q56" s="52">
        <v>-47</v>
      </c>
      <c r="R56" s="52">
        <v>-14.8</v>
      </c>
      <c r="S56" s="52">
        <v>-12</v>
      </c>
      <c r="T56" s="52">
        <v>-43.5</v>
      </c>
      <c r="U56" s="52">
        <v>-23.8</v>
      </c>
      <c r="V56" s="52">
        <v>-35.299999999999997</v>
      </c>
      <c r="W56" s="81">
        <v>-25.7</v>
      </c>
      <c r="X56" s="81">
        <v>-25.9</v>
      </c>
      <c r="Y56" s="81">
        <v>-48.1</v>
      </c>
      <c r="Z56" s="81">
        <v>-48.1</v>
      </c>
      <c r="AA56" s="52">
        <v>-20.9</v>
      </c>
      <c r="AB56" s="52">
        <v>-45</v>
      </c>
      <c r="AC56" s="52">
        <v>-35</v>
      </c>
      <c r="AD56" s="52">
        <v>-20</v>
      </c>
      <c r="AE56" s="52">
        <v>-45</v>
      </c>
      <c r="AF56" s="52">
        <v>-60</v>
      </c>
      <c r="AG56" s="82"/>
      <c r="AH56" s="55">
        <f t="shared" si="2"/>
        <v>-12</v>
      </c>
      <c r="AI56" s="56">
        <f t="shared" si="3"/>
        <v>-113</v>
      </c>
      <c r="AK56" s="57"/>
    </row>
    <row r="57" spans="1:37" x14ac:dyDescent="0.25">
      <c r="A57" s="66" t="s">
        <v>65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9">
        <v>0</v>
      </c>
      <c r="AF57" s="59">
        <v>0</v>
      </c>
      <c r="AG57" s="82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6" t="s">
        <v>66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2">
        <v>0</v>
      </c>
      <c r="Q58" s="50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67</v>
      </c>
      <c r="B59" s="50">
        <v>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2">
        <v>0</v>
      </c>
      <c r="Q59" s="50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68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2">
        <v>0</v>
      </c>
      <c r="Q60" s="50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2">
        <v>0</v>
      </c>
      <c r="Q61" s="50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9">
        <v>0</v>
      </c>
      <c r="X61" s="59">
        <v>0</v>
      </c>
      <c r="Y61" s="59">
        <v>0</v>
      </c>
      <c r="Z61" s="59">
        <v>8</v>
      </c>
      <c r="AA61" s="59">
        <v>8</v>
      </c>
      <c r="AB61" s="59">
        <v>8</v>
      </c>
      <c r="AC61" s="59">
        <v>8</v>
      </c>
      <c r="AD61" s="59">
        <v>8</v>
      </c>
      <c r="AE61" s="59">
        <v>8</v>
      </c>
      <c r="AF61" s="59">
        <v>8</v>
      </c>
      <c r="AG61" s="82"/>
      <c r="AH61" s="55">
        <f t="shared" si="2"/>
        <v>8</v>
      </c>
      <c r="AI61" s="56">
        <f t="shared" si="3"/>
        <v>0</v>
      </c>
      <c r="AK61" s="57"/>
    </row>
    <row r="62" spans="1:37" x14ac:dyDescent="0.25">
      <c r="A62" s="66" t="s">
        <v>70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2">
        <v>0</v>
      </c>
      <c r="Q62" s="50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83" t="s">
        <v>71</v>
      </c>
      <c r="B63" s="50">
        <v>0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2">
        <v>0</v>
      </c>
      <c r="Q63" s="50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84">
        <v>0</v>
      </c>
      <c r="X63" s="84">
        <v>0</v>
      </c>
      <c r="Y63" s="84">
        <v>0</v>
      </c>
      <c r="Z63" s="84">
        <v>0</v>
      </c>
      <c r="AA63" s="84">
        <v>0</v>
      </c>
      <c r="AB63" s="84">
        <v>0</v>
      </c>
      <c r="AC63" s="84">
        <v>0</v>
      </c>
      <c r="AD63" s="84">
        <v>0</v>
      </c>
      <c r="AE63" s="84">
        <v>0</v>
      </c>
      <c r="AF63" s="84">
        <v>0</v>
      </c>
      <c r="AG63" s="85"/>
      <c r="AH63" s="55">
        <f t="shared" si="2"/>
        <v>0</v>
      </c>
      <c r="AI63" s="56">
        <f t="shared" si="3"/>
        <v>0</v>
      </c>
      <c r="AK63" s="57"/>
    </row>
    <row r="64" spans="1:37" ht="15.75" thickBot="1" x14ac:dyDescent="0.3">
      <c r="A64" s="83" t="s">
        <v>72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2">
        <v>0</v>
      </c>
      <c r="Q64" s="50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71" t="s">
        <v>73</v>
      </c>
      <c r="B65" s="72">
        <f>SUM(B54:B64)</f>
        <v>-35</v>
      </c>
      <c r="C65" s="72">
        <f t="shared" ref="C65:AF65" si="9">SUM(C54:C64)</f>
        <v>-40</v>
      </c>
      <c r="D65" s="72">
        <f t="shared" si="9"/>
        <v>-54.7</v>
      </c>
      <c r="E65" s="72">
        <f t="shared" si="9"/>
        <v>-100</v>
      </c>
      <c r="F65" s="72">
        <f t="shared" si="9"/>
        <v>-109</v>
      </c>
      <c r="G65" s="72">
        <f t="shared" si="9"/>
        <v>-110</v>
      </c>
      <c r="H65" s="72">
        <f t="shared" si="9"/>
        <v>-113</v>
      </c>
      <c r="I65" s="72">
        <f t="shared" si="9"/>
        <v>-100</v>
      </c>
      <c r="J65" s="72">
        <f t="shared" si="9"/>
        <v>-43</v>
      </c>
      <c r="K65" s="72">
        <f t="shared" si="9"/>
        <v>-44.7</v>
      </c>
      <c r="L65" s="72">
        <f t="shared" si="9"/>
        <v>-45</v>
      </c>
      <c r="M65" s="72">
        <f t="shared" si="9"/>
        <v>-42.3</v>
      </c>
      <c r="N65" s="72">
        <f t="shared" si="9"/>
        <v>-55</v>
      </c>
      <c r="O65" s="72">
        <f t="shared" si="9"/>
        <v>-40.9</v>
      </c>
      <c r="P65" s="72">
        <f t="shared" si="9"/>
        <v>-46.2</v>
      </c>
      <c r="Q65" s="72">
        <f t="shared" si="9"/>
        <v>-47</v>
      </c>
      <c r="R65" s="72">
        <f t="shared" si="9"/>
        <v>-14.8</v>
      </c>
      <c r="S65" s="72">
        <f t="shared" si="9"/>
        <v>-12</v>
      </c>
      <c r="T65" s="72">
        <f t="shared" si="9"/>
        <v>-43.5</v>
      </c>
      <c r="U65" s="72">
        <f t="shared" si="9"/>
        <v>-23.8</v>
      </c>
      <c r="V65" s="72">
        <f t="shared" si="9"/>
        <v>-35.299999999999997</v>
      </c>
      <c r="W65" s="72">
        <f t="shared" si="9"/>
        <v>-25.7</v>
      </c>
      <c r="X65" s="72">
        <f t="shared" si="9"/>
        <v>-25.9</v>
      </c>
      <c r="Y65" s="72">
        <f t="shared" si="9"/>
        <v>-48.1</v>
      </c>
      <c r="Z65" s="72">
        <f t="shared" si="9"/>
        <v>-40.1</v>
      </c>
      <c r="AA65" s="72">
        <f t="shared" si="9"/>
        <v>-12.899999999999999</v>
      </c>
      <c r="AB65" s="72">
        <f t="shared" si="9"/>
        <v>-37</v>
      </c>
      <c r="AC65" s="72">
        <f t="shared" si="9"/>
        <v>-27</v>
      </c>
      <c r="AD65" s="72">
        <f t="shared" si="9"/>
        <v>-12</v>
      </c>
      <c r="AE65" s="72">
        <f t="shared" si="9"/>
        <v>-37</v>
      </c>
      <c r="AF65" s="72">
        <f t="shared" si="9"/>
        <v>-52</v>
      </c>
      <c r="AG65" s="77">
        <f>SUM(AG54:AG64)</f>
        <v>0</v>
      </c>
      <c r="AH65" s="55">
        <f t="shared" si="2"/>
        <v>-12</v>
      </c>
      <c r="AI65" s="56">
        <f t="shared" si="3"/>
        <v>-113</v>
      </c>
      <c r="AK65" s="57"/>
    </row>
    <row r="66" spans="1:88" x14ac:dyDescent="0.25">
      <c r="A66" s="58" t="s">
        <v>74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Z66" s="84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>
        <v>39</v>
      </c>
      <c r="AH66" s="55">
        <f t="shared" si="2"/>
        <v>0</v>
      </c>
      <c r="AI66" s="56">
        <f t="shared" si="3"/>
        <v>0</v>
      </c>
      <c r="AK66" s="57"/>
    </row>
    <row r="67" spans="1:88" x14ac:dyDescent="0.25">
      <c r="A67" s="66" t="s">
        <v>75</v>
      </c>
      <c r="B67" s="61">
        <v>0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82">
        <v>14.4</v>
      </c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83" t="s">
        <v>76</v>
      </c>
      <c r="B68" s="59">
        <v>0</v>
      </c>
      <c r="C68" s="59">
        <v>0</v>
      </c>
      <c r="D68" s="59">
        <v>0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59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5">
        <v>2</v>
      </c>
      <c r="AH68" s="55">
        <f t="shared" si="2"/>
        <v>0</v>
      </c>
      <c r="AI68" s="56">
        <f t="shared" si="3"/>
        <v>0</v>
      </c>
    </row>
    <row r="69" spans="1:88" s="1" customFormat="1" ht="15.75" thickBot="1" x14ac:dyDescent="0.3">
      <c r="A69" s="71" t="s">
        <v>77</v>
      </c>
      <c r="B69" s="72">
        <f>SUM(B66:B68)</f>
        <v>0</v>
      </c>
      <c r="C69" s="72">
        <f t="shared" ref="C69:AF69" si="10">SUM(C66:C68)</f>
        <v>0</v>
      </c>
      <c r="D69" s="72">
        <f t="shared" si="10"/>
        <v>0</v>
      </c>
      <c r="E69" s="72">
        <f t="shared" si="10"/>
        <v>0</v>
      </c>
      <c r="F69" s="72">
        <f t="shared" si="10"/>
        <v>0</v>
      </c>
      <c r="G69" s="72">
        <f t="shared" si="10"/>
        <v>0</v>
      </c>
      <c r="H69" s="72">
        <f t="shared" si="10"/>
        <v>0</v>
      </c>
      <c r="I69" s="72">
        <f t="shared" si="10"/>
        <v>0</v>
      </c>
      <c r="J69" s="72">
        <f t="shared" si="10"/>
        <v>0</v>
      </c>
      <c r="K69" s="72">
        <f t="shared" si="10"/>
        <v>0</v>
      </c>
      <c r="L69" s="72">
        <f t="shared" si="10"/>
        <v>0</v>
      </c>
      <c r="M69" s="72">
        <f t="shared" si="10"/>
        <v>0</v>
      </c>
      <c r="N69" s="72">
        <f t="shared" si="10"/>
        <v>0</v>
      </c>
      <c r="O69" s="72">
        <f t="shared" si="10"/>
        <v>0</v>
      </c>
      <c r="P69" s="72">
        <f t="shared" si="10"/>
        <v>0</v>
      </c>
      <c r="Q69" s="72">
        <f t="shared" si="10"/>
        <v>0</v>
      </c>
      <c r="R69" s="72">
        <f t="shared" si="10"/>
        <v>0</v>
      </c>
      <c r="S69" s="72">
        <f t="shared" si="10"/>
        <v>0</v>
      </c>
      <c r="T69" s="72">
        <f t="shared" si="10"/>
        <v>0</v>
      </c>
      <c r="U69" s="72">
        <f t="shared" si="10"/>
        <v>0</v>
      </c>
      <c r="V69" s="72">
        <f t="shared" si="10"/>
        <v>0</v>
      </c>
      <c r="W69" s="72">
        <f t="shared" si="10"/>
        <v>0</v>
      </c>
      <c r="X69" s="72">
        <f t="shared" si="10"/>
        <v>0</v>
      </c>
      <c r="Y69" s="72">
        <f t="shared" si="10"/>
        <v>0</v>
      </c>
      <c r="Z69" s="72">
        <f t="shared" si="10"/>
        <v>0</v>
      </c>
      <c r="AA69" s="72">
        <f t="shared" si="10"/>
        <v>0</v>
      </c>
      <c r="AB69" s="72">
        <f t="shared" si="10"/>
        <v>0</v>
      </c>
      <c r="AC69" s="72">
        <f t="shared" si="10"/>
        <v>0</v>
      </c>
      <c r="AD69" s="72">
        <f t="shared" si="10"/>
        <v>0</v>
      </c>
      <c r="AE69" s="72">
        <f t="shared" si="10"/>
        <v>0</v>
      </c>
      <c r="AF69" s="72">
        <f t="shared" si="10"/>
        <v>0</v>
      </c>
      <c r="AG69" s="77">
        <f>SUM(AG66:AG68)</f>
        <v>55.4</v>
      </c>
      <c r="AH69" s="55">
        <f t="shared" si="2"/>
        <v>0</v>
      </c>
      <c r="AI69" s="56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71" t="s">
        <v>78</v>
      </c>
      <c r="B70" s="87">
        <f>B65+B53+B49+B35+B69</f>
        <v>916.04</v>
      </c>
      <c r="C70" s="87">
        <f t="shared" ref="C70:AG70" si="11">C65+C53+C49+C35+C69</f>
        <v>891.04</v>
      </c>
      <c r="D70" s="87">
        <f t="shared" si="11"/>
        <v>865.33999999999992</v>
      </c>
      <c r="E70" s="87">
        <f t="shared" si="11"/>
        <v>816.04</v>
      </c>
      <c r="F70" s="87">
        <f t="shared" si="11"/>
        <v>807.04</v>
      </c>
      <c r="G70" s="87">
        <f t="shared" si="11"/>
        <v>806.04</v>
      </c>
      <c r="H70" s="87">
        <f t="shared" si="11"/>
        <v>803.04</v>
      </c>
      <c r="I70" s="87">
        <f t="shared" si="11"/>
        <v>817.2399999999999</v>
      </c>
      <c r="J70" s="87">
        <f t="shared" si="11"/>
        <v>847.83999999999992</v>
      </c>
      <c r="K70" s="87">
        <f t="shared" si="11"/>
        <v>846.13999999999987</v>
      </c>
      <c r="L70" s="87">
        <f t="shared" si="11"/>
        <v>863.7399999999999</v>
      </c>
      <c r="M70" s="87">
        <f t="shared" si="11"/>
        <v>835.43999999999994</v>
      </c>
      <c r="N70" s="87">
        <f t="shared" si="11"/>
        <v>823.04</v>
      </c>
      <c r="O70" s="87">
        <f t="shared" si="11"/>
        <v>833.83999999999992</v>
      </c>
      <c r="P70" s="87">
        <f t="shared" si="11"/>
        <v>831.83999999999992</v>
      </c>
      <c r="Q70" s="87">
        <f t="shared" si="11"/>
        <v>799.93999999999994</v>
      </c>
      <c r="R70" s="87">
        <f t="shared" si="11"/>
        <v>816.13999999999987</v>
      </c>
      <c r="S70" s="87">
        <f t="shared" si="11"/>
        <v>843.04</v>
      </c>
      <c r="T70" s="87">
        <f t="shared" si="11"/>
        <v>789.54</v>
      </c>
      <c r="U70" s="87">
        <f t="shared" si="11"/>
        <v>811.83999999999992</v>
      </c>
      <c r="V70" s="87">
        <f t="shared" si="11"/>
        <v>850.93999999999994</v>
      </c>
      <c r="W70" s="87">
        <f t="shared" si="11"/>
        <v>924.63999999999987</v>
      </c>
      <c r="X70" s="87">
        <f t="shared" si="11"/>
        <v>1083.6400000000001</v>
      </c>
      <c r="Y70" s="87">
        <f t="shared" si="11"/>
        <v>1154.94</v>
      </c>
      <c r="Z70" s="87">
        <f t="shared" si="11"/>
        <v>1134.3400000000001</v>
      </c>
      <c r="AA70" s="87">
        <f t="shared" si="11"/>
        <v>1074.74</v>
      </c>
      <c r="AB70" s="87">
        <f t="shared" si="11"/>
        <v>1060.54</v>
      </c>
      <c r="AC70" s="87">
        <f t="shared" si="11"/>
        <v>1045.6399999999999</v>
      </c>
      <c r="AD70" s="87">
        <f t="shared" si="11"/>
        <v>933.83999999999992</v>
      </c>
      <c r="AE70" s="87">
        <f t="shared" si="11"/>
        <v>859.13999999999987</v>
      </c>
      <c r="AF70" s="87">
        <f t="shared" si="11"/>
        <v>844.7399999999999</v>
      </c>
      <c r="AG70" s="87">
        <f t="shared" si="11"/>
        <v>2068.14</v>
      </c>
      <c r="AH70" s="55">
        <f t="shared" si="2"/>
        <v>1154.94</v>
      </c>
      <c r="AI70" s="56">
        <f t="shared" si="3"/>
        <v>789.54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8" t="s">
        <v>79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77"/>
      <c r="AH71" s="55">
        <f t="shared" si="2"/>
        <v>0</v>
      </c>
      <c r="AI71" s="56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1" t="s">
        <v>80</v>
      </c>
      <c r="B72" s="87">
        <f>B70+B71</f>
        <v>916.04</v>
      </c>
      <c r="C72" s="87">
        <f t="shared" ref="C72:AF72" si="12">C69+C65+C53+C49+C35+C71</f>
        <v>891.04</v>
      </c>
      <c r="D72" s="87">
        <f t="shared" si="12"/>
        <v>865.33999999999992</v>
      </c>
      <c r="E72" s="87">
        <f t="shared" si="12"/>
        <v>816.04</v>
      </c>
      <c r="F72" s="87">
        <f t="shared" si="12"/>
        <v>807.04</v>
      </c>
      <c r="G72" s="87">
        <f t="shared" si="12"/>
        <v>806.04</v>
      </c>
      <c r="H72" s="87">
        <f t="shared" si="12"/>
        <v>803.04</v>
      </c>
      <c r="I72" s="87">
        <f t="shared" si="12"/>
        <v>817.2399999999999</v>
      </c>
      <c r="J72" s="87">
        <f t="shared" si="12"/>
        <v>847.83999999999992</v>
      </c>
      <c r="K72" s="87">
        <f t="shared" si="12"/>
        <v>846.13999999999987</v>
      </c>
      <c r="L72" s="87">
        <f t="shared" si="12"/>
        <v>863.7399999999999</v>
      </c>
      <c r="M72" s="87">
        <f t="shared" si="12"/>
        <v>835.43999999999994</v>
      </c>
      <c r="N72" s="87">
        <f t="shared" si="12"/>
        <v>823.04</v>
      </c>
      <c r="O72" s="87">
        <f t="shared" si="12"/>
        <v>833.83999999999992</v>
      </c>
      <c r="P72" s="87">
        <f t="shared" si="12"/>
        <v>831.83999999999992</v>
      </c>
      <c r="Q72" s="87">
        <f t="shared" si="12"/>
        <v>799.93999999999994</v>
      </c>
      <c r="R72" s="87">
        <f t="shared" si="12"/>
        <v>816.13999999999987</v>
      </c>
      <c r="S72" s="87">
        <f t="shared" si="12"/>
        <v>843.04</v>
      </c>
      <c r="T72" s="87">
        <f t="shared" si="12"/>
        <v>789.54</v>
      </c>
      <c r="U72" s="87">
        <f t="shared" si="12"/>
        <v>811.83999999999992</v>
      </c>
      <c r="V72" s="87">
        <f t="shared" si="12"/>
        <v>850.93999999999994</v>
      </c>
      <c r="W72" s="87">
        <f t="shared" si="12"/>
        <v>924.63999999999987</v>
      </c>
      <c r="X72" s="87">
        <f t="shared" si="12"/>
        <v>1083.6400000000001</v>
      </c>
      <c r="Y72" s="87">
        <f t="shared" si="12"/>
        <v>1154.94</v>
      </c>
      <c r="Z72" s="87">
        <f t="shared" si="12"/>
        <v>1134.3400000000001</v>
      </c>
      <c r="AA72" s="87">
        <f t="shared" si="12"/>
        <v>1074.74</v>
      </c>
      <c r="AB72" s="87">
        <f t="shared" si="12"/>
        <v>1060.54</v>
      </c>
      <c r="AC72" s="87">
        <f t="shared" si="12"/>
        <v>1045.6399999999999</v>
      </c>
      <c r="AD72" s="87">
        <f t="shared" si="12"/>
        <v>933.83999999999992</v>
      </c>
      <c r="AE72" s="87">
        <f t="shared" si="12"/>
        <v>859.13999999999987</v>
      </c>
      <c r="AF72" s="87">
        <f t="shared" si="12"/>
        <v>844.7399999999999</v>
      </c>
      <c r="AG72" s="77">
        <f>AG69+AG65+AG53+AG49+AG35+AG71</f>
        <v>2068.14</v>
      </c>
      <c r="AH72" s="55">
        <f t="shared" si="2"/>
        <v>1154.94</v>
      </c>
      <c r="AI72" s="56">
        <f t="shared" si="3"/>
        <v>789.54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8" t="s">
        <v>65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63"/>
      <c r="AH73" s="55">
        <f t="shared" si="2"/>
        <v>0</v>
      </c>
      <c r="AI73" s="56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66" t="s">
        <v>63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67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3" t="s">
        <v>81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90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82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90"/>
      <c r="AH76" s="55">
        <f t="shared" ref="AH76:AH88" si="13">MAX(B76:AF76)</f>
        <v>0</v>
      </c>
      <c r="AI76" s="56">
        <f t="shared" ref="AI76:AI88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62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90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3" t="s">
        <v>83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50"/>
      <c r="S78" s="50"/>
      <c r="T78" s="50"/>
      <c r="U78" s="50"/>
      <c r="V78" s="50"/>
      <c r="W78" s="50"/>
      <c r="X78" s="50"/>
      <c r="Y78" s="50"/>
      <c r="Z78" s="50"/>
      <c r="AA78" s="84"/>
      <c r="AB78" s="84"/>
      <c r="AC78" s="84"/>
      <c r="AD78" s="84"/>
      <c r="AE78" s="84"/>
      <c r="AF78" s="84"/>
      <c r="AG78" s="85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91" t="s">
        <v>84</v>
      </c>
      <c r="B79" s="72">
        <f t="shared" ref="B79:AG79" si="15">SUM(B73:B78)</f>
        <v>0</v>
      </c>
      <c r="C79" s="72">
        <f t="shared" si="15"/>
        <v>0</v>
      </c>
      <c r="D79" s="72">
        <f t="shared" si="15"/>
        <v>0</v>
      </c>
      <c r="E79" s="72">
        <f t="shared" si="15"/>
        <v>0</v>
      </c>
      <c r="F79" s="72">
        <f t="shared" si="15"/>
        <v>0</v>
      </c>
      <c r="G79" s="72">
        <f t="shared" si="15"/>
        <v>0</v>
      </c>
      <c r="H79" s="72">
        <f t="shared" si="15"/>
        <v>0</v>
      </c>
      <c r="I79" s="72">
        <f t="shared" si="15"/>
        <v>0</v>
      </c>
      <c r="J79" s="72">
        <f t="shared" si="15"/>
        <v>0</v>
      </c>
      <c r="K79" s="72">
        <f t="shared" si="15"/>
        <v>0</v>
      </c>
      <c r="L79" s="72">
        <f t="shared" si="15"/>
        <v>0</v>
      </c>
      <c r="M79" s="72">
        <f t="shared" si="15"/>
        <v>0</v>
      </c>
      <c r="N79" s="72">
        <f t="shared" si="15"/>
        <v>0</v>
      </c>
      <c r="O79" s="72">
        <f t="shared" si="15"/>
        <v>0</v>
      </c>
      <c r="P79" s="72">
        <f t="shared" si="15"/>
        <v>0</v>
      </c>
      <c r="Q79" s="72">
        <f t="shared" si="15"/>
        <v>0</v>
      </c>
      <c r="R79" s="72">
        <f t="shared" si="15"/>
        <v>0</v>
      </c>
      <c r="S79" s="72">
        <f t="shared" si="15"/>
        <v>0</v>
      </c>
      <c r="T79" s="72">
        <f t="shared" si="15"/>
        <v>0</v>
      </c>
      <c r="U79" s="72">
        <f t="shared" si="15"/>
        <v>0</v>
      </c>
      <c r="V79" s="72">
        <f t="shared" si="15"/>
        <v>0</v>
      </c>
      <c r="W79" s="72">
        <f t="shared" si="15"/>
        <v>0</v>
      </c>
      <c r="X79" s="72">
        <f t="shared" si="15"/>
        <v>0</v>
      </c>
      <c r="Y79" s="72">
        <f t="shared" si="15"/>
        <v>0</v>
      </c>
      <c r="Z79" s="72">
        <f t="shared" si="15"/>
        <v>0</v>
      </c>
      <c r="AA79" s="72">
        <f t="shared" si="15"/>
        <v>0</v>
      </c>
      <c r="AB79" s="72">
        <f t="shared" si="15"/>
        <v>0</v>
      </c>
      <c r="AC79" s="72">
        <f t="shared" si="15"/>
        <v>0</v>
      </c>
      <c r="AD79" s="72">
        <f t="shared" si="15"/>
        <v>0</v>
      </c>
      <c r="AE79" s="72">
        <f t="shared" si="15"/>
        <v>0</v>
      </c>
      <c r="AF79" s="72">
        <f t="shared" si="15"/>
        <v>0</v>
      </c>
      <c r="AG79" s="77">
        <f t="shared" si="15"/>
        <v>0</v>
      </c>
      <c r="AH79" s="55">
        <f t="shared" si="13"/>
        <v>0</v>
      </c>
      <c r="AI79" s="56">
        <f t="shared" si="14"/>
        <v>0</v>
      </c>
      <c r="AK79" s="57"/>
    </row>
    <row r="80" spans="1:88" s="1" customFormat="1" ht="15.75" thickBot="1" x14ac:dyDescent="0.3">
      <c r="A80" s="71" t="s">
        <v>85</v>
      </c>
      <c r="B80" s="72">
        <f t="shared" ref="B80:AG80" si="16">SUM(B67:B79)</f>
        <v>1832.08</v>
      </c>
      <c r="C80" s="72">
        <f t="shared" si="16"/>
        <v>1782.08</v>
      </c>
      <c r="D80" s="72">
        <f t="shared" si="16"/>
        <v>1730.6799999999998</v>
      </c>
      <c r="E80" s="72">
        <f t="shared" si="16"/>
        <v>1632.08</v>
      </c>
      <c r="F80" s="72">
        <f t="shared" si="16"/>
        <v>1614.08</v>
      </c>
      <c r="G80" s="72">
        <f t="shared" si="16"/>
        <v>1612.08</v>
      </c>
      <c r="H80" s="72">
        <f t="shared" si="16"/>
        <v>1606.08</v>
      </c>
      <c r="I80" s="72">
        <f t="shared" si="16"/>
        <v>1634.4799999999998</v>
      </c>
      <c r="J80" s="72">
        <f t="shared" si="16"/>
        <v>1695.6799999999998</v>
      </c>
      <c r="K80" s="72">
        <f t="shared" si="16"/>
        <v>1692.2799999999997</v>
      </c>
      <c r="L80" s="72">
        <f t="shared" si="16"/>
        <v>1727.4799999999998</v>
      </c>
      <c r="M80" s="72">
        <f t="shared" si="16"/>
        <v>1670.8799999999999</v>
      </c>
      <c r="N80" s="72">
        <f t="shared" si="16"/>
        <v>1646.08</v>
      </c>
      <c r="O80" s="72">
        <f t="shared" si="16"/>
        <v>1667.6799999999998</v>
      </c>
      <c r="P80" s="72">
        <f t="shared" si="16"/>
        <v>1663.6799999999998</v>
      </c>
      <c r="Q80" s="72">
        <f t="shared" si="16"/>
        <v>1599.8799999999999</v>
      </c>
      <c r="R80" s="72">
        <f t="shared" si="16"/>
        <v>1632.2799999999997</v>
      </c>
      <c r="S80" s="72">
        <f t="shared" si="16"/>
        <v>1686.08</v>
      </c>
      <c r="T80" s="72">
        <f t="shared" si="16"/>
        <v>1579.08</v>
      </c>
      <c r="U80" s="72">
        <f t="shared" si="16"/>
        <v>1623.6799999999998</v>
      </c>
      <c r="V80" s="72">
        <f t="shared" si="16"/>
        <v>1701.8799999999999</v>
      </c>
      <c r="W80" s="72">
        <f t="shared" si="16"/>
        <v>1849.2799999999997</v>
      </c>
      <c r="X80" s="72">
        <f t="shared" si="16"/>
        <v>2167.2800000000002</v>
      </c>
      <c r="Y80" s="72">
        <f t="shared" si="16"/>
        <v>2309.88</v>
      </c>
      <c r="Z80" s="72">
        <f t="shared" si="16"/>
        <v>2268.6800000000003</v>
      </c>
      <c r="AA80" s="72">
        <f t="shared" si="16"/>
        <v>2149.48</v>
      </c>
      <c r="AB80" s="72">
        <f t="shared" si="16"/>
        <v>2121.08</v>
      </c>
      <c r="AC80" s="72">
        <f t="shared" si="16"/>
        <v>2091.2799999999997</v>
      </c>
      <c r="AD80" s="72">
        <f t="shared" si="16"/>
        <v>1867.6799999999998</v>
      </c>
      <c r="AE80" s="72">
        <f t="shared" si="16"/>
        <v>1718.2799999999997</v>
      </c>
      <c r="AF80" s="72">
        <f t="shared" si="16"/>
        <v>1689.4799999999998</v>
      </c>
      <c r="AG80" s="77">
        <f t="shared" si="16"/>
        <v>4208.08</v>
      </c>
      <c r="AH80" s="55">
        <f t="shared" si="13"/>
        <v>2309.88</v>
      </c>
      <c r="AI80" s="56">
        <f t="shared" si="14"/>
        <v>1579.08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2" t="s">
        <v>86</v>
      </c>
      <c r="B81" s="93">
        <v>49.98</v>
      </c>
      <c r="C81" s="93">
        <v>49.9</v>
      </c>
      <c r="D81" s="93">
        <v>50.002000000000002</v>
      </c>
      <c r="E81" s="93">
        <v>50.002000000000002</v>
      </c>
      <c r="F81" s="93">
        <v>49.860999999999997</v>
      </c>
      <c r="G81" s="93">
        <v>49.92</v>
      </c>
      <c r="H81" s="93">
        <v>49.813000000000002</v>
      </c>
      <c r="I81" s="93">
        <v>49.826000000000001</v>
      </c>
      <c r="J81" s="93">
        <v>49.945999999999998</v>
      </c>
      <c r="K81" s="93">
        <v>49.957000000000001</v>
      </c>
      <c r="L81" s="93">
        <v>50.055999999999997</v>
      </c>
      <c r="M81" s="93">
        <v>50.02</v>
      </c>
      <c r="N81" s="93">
        <v>49.96</v>
      </c>
      <c r="O81" s="93">
        <v>50.05</v>
      </c>
      <c r="P81" s="93">
        <v>49.99</v>
      </c>
      <c r="Q81" s="93">
        <v>49.908000000000001</v>
      </c>
      <c r="R81" s="93">
        <v>49.984999999999999</v>
      </c>
      <c r="S81" s="93">
        <v>50.05</v>
      </c>
      <c r="T81" s="93">
        <v>50.03</v>
      </c>
      <c r="U81" s="93">
        <v>49.97</v>
      </c>
      <c r="V81" s="93">
        <v>50.057000000000002</v>
      </c>
      <c r="W81" s="93">
        <v>49.996000000000002</v>
      </c>
      <c r="X81" s="93">
        <v>50.066000000000003</v>
      </c>
      <c r="Y81" s="93">
        <v>50.01</v>
      </c>
      <c r="Z81" s="93">
        <v>49.982999999999997</v>
      </c>
      <c r="AA81" s="93">
        <v>50.029000000000003</v>
      </c>
      <c r="AB81" s="93">
        <v>50.052999999999997</v>
      </c>
      <c r="AC81" s="93">
        <v>50.03</v>
      </c>
      <c r="AD81" s="93">
        <v>50.04</v>
      </c>
      <c r="AE81" s="93">
        <v>50.04</v>
      </c>
      <c r="AF81" s="94">
        <v>50.02</v>
      </c>
      <c r="AG81" s="95"/>
      <c r="AH81" s="55">
        <f t="shared" si="13"/>
        <v>50.066000000000003</v>
      </c>
      <c r="AI81" s="56">
        <f t="shared" si="14"/>
        <v>49.813000000000002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6" t="s">
        <v>87</v>
      </c>
      <c r="B82" s="52">
        <v>126</v>
      </c>
      <c r="C82" s="52">
        <v>127</v>
      </c>
      <c r="D82" s="52">
        <v>128.1</v>
      </c>
      <c r="E82" s="52">
        <v>128.1</v>
      </c>
      <c r="F82" s="52">
        <v>128.19999999999999</v>
      </c>
      <c r="G82" s="52">
        <v>128.80000000000001</v>
      </c>
      <c r="H82" s="52">
        <v>127.8</v>
      </c>
      <c r="I82" s="52">
        <v>127.7</v>
      </c>
      <c r="J82" s="52">
        <v>127.8</v>
      </c>
      <c r="K82" s="52">
        <v>127.9</v>
      </c>
      <c r="L82" s="52">
        <v>127.9</v>
      </c>
      <c r="M82" s="52">
        <v>127.8</v>
      </c>
      <c r="N82" s="52">
        <v>127.1</v>
      </c>
      <c r="O82" s="52">
        <v>127.1</v>
      </c>
      <c r="P82" s="52">
        <v>127.8</v>
      </c>
      <c r="Q82" s="52">
        <v>128</v>
      </c>
      <c r="R82" s="52">
        <v>128.1</v>
      </c>
      <c r="S82" s="52">
        <v>128.30000000000001</v>
      </c>
      <c r="T82" s="97">
        <v>128.1</v>
      </c>
      <c r="U82" s="97">
        <v>128.5</v>
      </c>
      <c r="V82" s="97">
        <v>128.4</v>
      </c>
      <c r="W82" s="97">
        <v>128.5</v>
      </c>
      <c r="X82" s="97">
        <v>127.2</v>
      </c>
      <c r="Y82" s="97">
        <v>128.5</v>
      </c>
      <c r="Z82" s="97">
        <v>126.5</v>
      </c>
      <c r="AA82" s="52">
        <v>126.7</v>
      </c>
      <c r="AB82" s="52">
        <v>127.5</v>
      </c>
      <c r="AC82" s="52">
        <v>127.9</v>
      </c>
      <c r="AD82" s="52">
        <v>128.5</v>
      </c>
      <c r="AE82" s="52">
        <v>128.69999999999999</v>
      </c>
      <c r="AF82" s="98">
        <v>129.19999999999999</v>
      </c>
      <c r="AG82" s="99"/>
      <c r="AH82" s="55">
        <f t="shared" si="13"/>
        <v>129.19999999999999</v>
      </c>
      <c r="AI82" s="56">
        <f t="shared" si="14"/>
        <v>126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88</v>
      </c>
      <c r="B83" s="52">
        <v>130</v>
      </c>
      <c r="C83" s="52">
        <v>131</v>
      </c>
      <c r="D83" s="52">
        <v>131.6</v>
      </c>
      <c r="E83" s="52">
        <v>131.6</v>
      </c>
      <c r="F83" s="52">
        <v>131.4</v>
      </c>
      <c r="G83" s="52">
        <v>131.5</v>
      </c>
      <c r="H83" s="52">
        <v>130.19999999999999</v>
      </c>
      <c r="I83" s="52">
        <v>129.9</v>
      </c>
      <c r="J83" s="52">
        <v>129.80000000000001</v>
      </c>
      <c r="K83" s="52">
        <v>129</v>
      </c>
      <c r="L83" s="52">
        <v>129.69999999999999</v>
      </c>
      <c r="M83" s="52">
        <v>129.6</v>
      </c>
      <c r="N83" s="52">
        <v>129</v>
      </c>
      <c r="O83" s="52">
        <v>129.1</v>
      </c>
      <c r="P83" s="52">
        <v>129.69999999999999</v>
      </c>
      <c r="Q83" s="52">
        <v>130.1</v>
      </c>
      <c r="R83" s="52">
        <v>130.19999999999999</v>
      </c>
      <c r="S83" s="52">
        <v>130.4</v>
      </c>
      <c r="T83" s="97">
        <v>130.30000000000001</v>
      </c>
      <c r="U83" s="97">
        <v>130.6</v>
      </c>
      <c r="V83" s="97">
        <v>130.6</v>
      </c>
      <c r="W83" s="97">
        <v>130.69999999999999</v>
      </c>
      <c r="X83" s="97">
        <v>129.4</v>
      </c>
      <c r="Y83" s="97">
        <v>130.6</v>
      </c>
      <c r="Z83" s="97">
        <v>129.1</v>
      </c>
      <c r="AA83" s="52">
        <v>129.5</v>
      </c>
      <c r="AB83" s="52">
        <v>130.4</v>
      </c>
      <c r="AC83" s="52">
        <v>130.9</v>
      </c>
      <c r="AD83" s="52">
        <v>131.5</v>
      </c>
      <c r="AE83" s="52">
        <v>131.69999999999999</v>
      </c>
      <c r="AF83" s="98">
        <v>132.19999999999999</v>
      </c>
      <c r="AG83" s="99"/>
      <c r="AH83" s="55">
        <f t="shared" si="13"/>
        <v>132.19999999999999</v>
      </c>
      <c r="AI83" s="56">
        <f t="shared" si="14"/>
        <v>129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89</v>
      </c>
      <c r="B84" s="52">
        <v>130</v>
      </c>
      <c r="C84" s="52">
        <v>131</v>
      </c>
      <c r="D84" s="52">
        <v>131.80000000000001</v>
      </c>
      <c r="E84" s="52">
        <v>131.80000000000001</v>
      </c>
      <c r="F84" s="52">
        <v>131.19999999999999</v>
      </c>
      <c r="G84" s="52">
        <v>132.5</v>
      </c>
      <c r="H84" s="52">
        <v>128.1</v>
      </c>
      <c r="I84" s="52">
        <v>128.80000000000001</v>
      </c>
      <c r="J84" s="52">
        <v>129.5</v>
      </c>
      <c r="K84" s="52">
        <v>129.30000000000001</v>
      </c>
      <c r="L84" s="52">
        <v>130.1</v>
      </c>
      <c r="M84" s="52">
        <v>128.80000000000001</v>
      </c>
      <c r="N84" s="52">
        <v>128.80000000000001</v>
      </c>
      <c r="O84" s="52">
        <v>129.6</v>
      </c>
      <c r="P84" s="52">
        <v>127.8</v>
      </c>
      <c r="Q84" s="52">
        <v>127.3</v>
      </c>
      <c r="R84" s="52">
        <v>127.8</v>
      </c>
      <c r="S84" s="52">
        <v>129.19999999999999</v>
      </c>
      <c r="T84" s="52">
        <v>129.5</v>
      </c>
      <c r="U84" s="52">
        <v>127.8</v>
      </c>
      <c r="V84" s="52">
        <v>127.3</v>
      </c>
      <c r="W84" s="97">
        <v>130.19999999999999</v>
      </c>
      <c r="X84" s="97">
        <v>128.80000000000001</v>
      </c>
      <c r="Y84" s="52">
        <v>127.8</v>
      </c>
      <c r="Z84" s="97">
        <v>130.19999999999999</v>
      </c>
      <c r="AA84" s="52">
        <v>129</v>
      </c>
      <c r="AB84" s="52">
        <v>128.80000000000001</v>
      </c>
      <c r="AC84" s="52">
        <v>129.5</v>
      </c>
      <c r="AD84" s="52">
        <v>129.19999999999999</v>
      </c>
      <c r="AE84" s="52">
        <v>129.9</v>
      </c>
      <c r="AF84" s="98">
        <v>127.3</v>
      </c>
      <c r="AG84" s="99"/>
      <c r="AH84" s="55">
        <f t="shared" si="13"/>
        <v>132.5</v>
      </c>
      <c r="AI84" s="56">
        <f t="shared" si="14"/>
        <v>127.3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100" t="s">
        <v>90</v>
      </c>
      <c r="B85" s="52">
        <v>134</v>
      </c>
      <c r="C85" s="52">
        <v>135</v>
      </c>
      <c r="D85" s="52">
        <v>135.69999999999999</v>
      </c>
      <c r="E85" s="52">
        <v>135.69999999999999</v>
      </c>
      <c r="F85" s="52">
        <v>135.6</v>
      </c>
      <c r="G85" s="52">
        <v>136.30000000000001</v>
      </c>
      <c r="H85" s="52">
        <v>132.69999999999999</v>
      </c>
      <c r="I85" s="52">
        <v>133.30000000000001</v>
      </c>
      <c r="J85" s="52">
        <v>133.69999999999999</v>
      </c>
      <c r="K85" s="52">
        <v>133.30000000000001</v>
      </c>
      <c r="L85" s="52">
        <v>133.80000000000001</v>
      </c>
      <c r="M85" s="52">
        <v>132.5</v>
      </c>
      <c r="N85" s="52">
        <v>130.9</v>
      </c>
      <c r="O85" s="52">
        <v>132.6</v>
      </c>
      <c r="P85" s="52">
        <v>130.9</v>
      </c>
      <c r="Q85" s="52">
        <v>130.5</v>
      </c>
      <c r="R85" s="52">
        <v>131</v>
      </c>
      <c r="S85" s="52">
        <v>133</v>
      </c>
      <c r="T85" s="52">
        <v>132.9</v>
      </c>
      <c r="U85" s="52">
        <v>131.5</v>
      </c>
      <c r="V85" s="52">
        <v>131.1</v>
      </c>
      <c r="W85" s="97">
        <v>133.6</v>
      </c>
      <c r="X85" s="97">
        <v>131.4</v>
      </c>
      <c r="Y85" s="52">
        <v>131.5</v>
      </c>
      <c r="Z85" s="97">
        <v>132.5</v>
      </c>
      <c r="AA85" s="52">
        <v>131.80000000000001</v>
      </c>
      <c r="AB85" s="52">
        <v>132</v>
      </c>
      <c r="AC85" s="52">
        <v>132.69999999999999</v>
      </c>
      <c r="AD85" s="52">
        <v>133.1</v>
      </c>
      <c r="AE85" s="52">
        <v>134</v>
      </c>
      <c r="AF85" s="98">
        <v>132.4</v>
      </c>
      <c r="AG85" s="99"/>
      <c r="AH85" s="55">
        <f t="shared" si="13"/>
        <v>136.30000000000001</v>
      </c>
      <c r="AI85" s="56">
        <f t="shared" si="14"/>
        <v>130.5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91</v>
      </c>
      <c r="B86" s="101">
        <v>132</v>
      </c>
      <c r="C86" s="101">
        <v>134</v>
      </c>
      <c r="D86" s="101">
        <v>134.69999999999999</v>
      </c>
      <c r="E86" s="101">
        <v>134.69999999999999</v>
      </c>
      <c r="F86" s="101">
        <v>135.1</v>
      </c>
      <c r="G86" s="101">
        <v>136.19999999999999</v>
      </c>
      <c r="H86" s="101">
        <v>133.80000000000001</v>
      </c>
      <c r="I86" s="101">
        <v>133.9</v>
      </c>
      <c r="J86" s="101">
        <v>134.80000000000001</v>
      </c>
      <c r="K86" s="101">
        <v>134.4</v>
      </c>
      <c r="L86" s="101">
        <v>133.5</v>
      </c>
      <c r="M86" s="101">
        <v>134</v>
      </c>
      <c r="N86" s="101">
        <v>70.8</v>
      </c>
      <c r="O86" s="101">
        <v>0</v>
      </c>
      <c r="P86" s="101">
        <v>130.1</v>
      </c>
      <c r="Q86" s="101">
        <v>130.30000000000001</v>
      </c>
      <c r="R86" s="101">
        <v>128.5</v>
      </c>
      <c r="S86" s="101">
        <v>130.1</v>
      </c>
      <c r="T86" s="101">
        <v>128.69999999999999</v>
      </c>
      <c r="U86" s="101">
        <v>128.30000000000001</v>
      </c>
      <c r="V86" s="101">
        <v>130.1</v>
      </c>
      <c r="W86" s="97">
        <v>134.6</v>
      </c>
      <c r="X86" s="97">
        <v>134.6</v>
      </c>
      <c r="Y86" s="101">
        <v>128.30000000000001</v>
      </c>
      <c r="Z86" s="97">
        <v>133.6</v>
      </c>
      <c r="AA86" s="101">
        <v>132.6</v>
      </c>
      <c r="AB86" s="101">
        <v>133.5</v>
      </c>
      <c r="AC86" s="101">
        <v>132.9</v>
      </c>
      <c r="AD86" s="101">
        <v>132.80000000000001</v>
      </c>
      <c r="AE86" s="101">
        <v>61</v>
      </c>
      <c r="AF86" s="102">
        <v>133.69999999999999</v>
      </c>
      <c r="AG86" s="103"/>
      <c r="AH86" s="55">
        <f t="shared" si="13"/>
        <v>136.19999999999999</v>
      </c>
      <c r="AI86" s="56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6" t="s">
        <v>92</v>
      </c>
      <c r="B87" s="52">
        <v>133</v>
      </c>
      <c r="C87" s="52">
        <v>136</v>
      </c>
      <c r="D87" s="52">
        <v>137.80000000000001</v>
      </c>
      <c r="E87" s="52">
        <v>137.80000000000001</v>
      </c>
      <c r="F87" s="52">
        <v>137.30000000000001</v>
      </c>
      <c r="G87" s="52">
        <v>137.80000000000001</v>
      </c>
      <c r="H87" s="52">
        <v>135.5</v>
      </c>
      <c r="I87" s="52">
        <v>135.5</v>
      </c>
      <c r="J87" s="52">
        <v>136</v>
      </c>
      <c r="K87" s="52">
        <v>135.4</v>
      </c>
      <c r="L87" s="52">
        <v>135</v>
      </c>
      <c r="M87" s="52">
        <v>135</v>
      </c>
      <c r="N87" s="52">
        <v>134.1</v>
      </c>
      <c r="O87" s="52">
        <v>131.69999999999999</v>
      </c>
      <c r="P87" s="52">
        <v>133.4</v>
      </c>
      <c r="Q87" s="52">
        <v>134.1</v>
      </c>
      <c r="R87" s="52">
        <v>131.9</v>
      </c>
      <c r="S87" s="52">
        <v>130.69999999999999</v>
      </c>
      <c r="T87" s="52">
        <v>129.4</v>
      </c>
      <c r="U87" s="52">
        <v>129</v>
      </c>
      <c r="V87" s="52">
        <v>129.1</v>
      </c>
      <c r="W87" s="97">
        <v>132.6</v>
      </c>
      <c r="X87" s="97">
        <v>131.6</v>
      </c>
      <c r="Y87" s="52">
        <v>129</v>
      </c>
      <c r="Z87" s="97">
        <v>128.80000000000001</v>
      </c>
      <c r="AA87" s="52">
        <v>127.6</v>
      </c>
      <c r="AB87" s="52">
        <v>127.9</v>
      </c>
      <c r="AC87" s="52">
        <v>129.5</v>
      </c>
      <c r="AD87" s="52">
        <v>131.4</v>
      </c>
      <c r="AE87" s="52">
        <v>132</v>
      </c>
      <c r="AF87" s="98">
        <v>133.9</v>
      </c>
      <c r="AG87" s="99"/>
      <c r="AH87" s="55">
        <f t="shared" si="13"/>
        <v>137.80000000000001</v>
      </c>
      <c r="AI87" s="56">
        <f t="shared" si="14"/>
        <v>127.6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6" t="s">
        <v>93</v>
      </c>
      <c r="B88" s="104">
        <v>66.400000000000006</v>
      </c>
      <c r="C88" s="104">
        <v>66.5</v>
      </c>
      <c r="D88" s="104">
        <v>67.099999999999994</v>
      </c>
      <c r="E88" s="104">
        <v>67.099999999999994</v>
      </c>
      <c r="F88" s="104">
        <v>66.900000000000006</v>
      </c>
      <c r="G88" s="104">
        <v>66.900000000000006</v>
      </c>
      <c r="H88" s="104">
        <v>66</v>
      </c>
      <c r="I88" s="104">
        <v>66</v>
      </c>
      <c r="J88" s="104">
        <v>65.7</v>
      </c>
      <c r="K88" s="104">
        <v>65.7</v>
      </c>
      <c r="L88" s="104">
        <v>65.7</v>
      </c>
      <c r="M88" s="104">
        <v>65.7</v>
      </c>
      <c r="N88" s="104">
        <v>65.400000000000006</v>
      </c>
      <c r="O88" s="104">
        <v>65.400000000000006</v>
      </c>
      <c r="P88" s="104">
        <v>65.8</v>
      </c>
      <c r="Q88" s="104">
        <v>66</v>
      </c>
      <c r="R88" s="104">
        <v>66.099999999999994</v>
      </c>
      <c r="S88" s="104">
        <v>66.3</v>
      </c>
      <c r="T88" s="104">
        <v>66.2</v>
      </c>
      <c r="U88" s="104">
        <v>66.5</v>
      </c>
      <c r="V88" s="104">
        <v>66.5</v>
      </c>
      <c r="W88" s="104">
        <v>66.5</v>
      </c>
      <c r="X88" s="104">
        <v>65.8</v>
      </c>
      <c r="Y88" s="104">
        <v>66.5</v>
      </c>
      <c r="Z88" s="104">
        <v>65.7</v>
      </c>
      <c r="AA88" s="104">
        <v>66</v>
      </c>
      <c r="AB88" s="104">
        <v>66.5</v>
      </c>
      <c r="AC88" s="104">
        <v>66.900000000000006</v>
      </c>
      <c r="AD88" s="104">
        <v>67.099999999999994</v>
      </c>
      <c r="AE88" s="104">
        <v>67.3</v>
      </c>
      <c r="AF88" s="105">
        <v>67.5</v>
      </c>
      <c r="AG88" s="106"/>
      <c r="AH88" s="55">
        <f t="shared" si="13"/>
        <v>67.5</v>
      </c>
      <c r="AI88" s="56">
        <f t="shared" si="14"/>
        <v>65.400000000000006</v>
      </c>
    </row>
    <row r="89" spans="1:88" ht="15.75" thickBot="1" x14ac:dyDescent="0.3">
      <c r="A89" s="107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9"/>
      <c r="AH89" s="55"/>
      <c r="AI89" s="56"/>
    </row>
    <row r="90" spans="1:88" ht="15.75" thickBot="1" x14ac:dyDescent="0.3">
      <c r="A90" s="110" t="s">
        <v>94</v>
      </c>
      <c r="B90" s="111">
        <f>SUM(B14,B17,B20:B21,B39,B41:B42,B44,B46,B91:B94,B99,B105,B111,B120,B122,B134,B141,B144:B145,B152,B154,B156,B160:B162,B164:B166,B171,B177:B178,B180:B182,B190,B195)</f>
        <v>138.33999999999997</v>
      </c>
      <c r="C90" s="111">
        <f t="shared" ref="C90:AF90" si="17">SUM(C14,C17,C20:C21,C39,C41:C42,C44,C46,C91:C94,C99,C105,C111,C120,C122,C134,C141,C144:C145,C152,C154,C156,C160:C162,C164:C166,C171,C177:C178,C180:C182,C190,C195)</f>
        <v>129.93999999999997</v>
      </c>
      <c r="D90" s="111">
        <f t="shared" si="17"/>
        <v>139.23999999999998</v>
      </c>
      <c r="E90" s="111">
        <f t="shared" si="17"/>
        <v>139.23999999999998</v>
      </c>
      <c r="F90" s="111">
        <f t="shared" si="17"/>
        <v>179.93999999999997</v>
      </c>
      <c r="G90" s="111">
        <f t="shared" si="17"/>
        <v>165.04</v>
      </c>
      <c r="H90" s="111">
        <f t="shared" si="17"/>
        <v>199.23999999999995</v>
      </c>
      <c r="I90" s="111">
        <f t="shared" si="17"/>
        <v>207.43999999999997</v>
      </c>
      <c r="J90" s="111">
        <f t="shared" si="17"/>
        <v>239.23999999999998</v>
      </c>
      <c r="K90" s="111">
        <f t="shared" si="17"/>
        <v>243.03999999999996</v>
      </c>
      <c r="L90" s="111">
        <f t="shared" si="17"/>
        <v>257.24</v>
      </c>
      <c r="M90" s="111">
        <f t="shared" si="17"/>
        <v>241.54</v>
      </c>
      <c r="N90" s="111">
        <f t="shared" si="17"/>
        <v>241.44</v>
      </c>
      <c r="O90" s="111">
        <f t="shared" si="17"/>
        <v>234.43999999999997</v>
      </c>
      <c r="P90" s="111">
        <f t="shared" si="17"/>
        <v>227.73999999999998</v>
      </c>
      <c r="Q90" s="111">
        <f t="shared" si="17"/>
        <v>214.73999999999995</v>
      </c>
      <c r="R90" s="111">
        <f t="shared" si="17"/>
        <v>214.33999999999997</v>
      </c>
      <c r="S90" s="111">
        <f t="shared" si="17"/>
        <v>222.53999999999996</v>
      </c>
      <c r="T90" s="111">
        <f t="shared" si="17"/>
        <v>216.33999999999997</v>
      </c>
      <c r="U90" s="111">
        <f t="shared" si="17"/>
        <v>221.44</v>
      </c>
      <c r="V90" s="111">
        <f t="shared" si="17"/>
        <v>229.04000000000002</v>
      </c>
      <c r="W90" s="111">
        <f t="shared" si="17"/>
        <v>245.73999999999995</v>
      </c>
      <c r="X90" s="111">
        <f t="shared" si="17"/>
        <v>290.34000000000003</v>
      </c>
      <c r="Y90" s="111">
        <f t="shared" si="17"/>
        <v>292.24</v>
      </c>
      <c r="Z90" s="111">
        <f t="shared" si="17"/>
        <v>278.34000000000003</v>
      </c>
      <c r="AA90" s="111">
        <f t="shared" si="17"/>
        <v>256.33999999999997</v>
      </c>
      <c r="AB90" s="111">
        <f t="shared" si="17"/>
        <v>234.23999999999995</v>
      </c>
      <c r="AC90" s="111">
        <f t="shared" si="17"/>
        <v>204.14</v>
      </c>
      <c r="AD90" s="111">
        <f t="shared" si="17"/>
        <v>179.43999999999997</v>
      </c>
      <c r="AE90" s="111">
        <f t="shared" si="17"/>
        <v>135.83999999999997</v>
      </c>
      <c r="AF90" s="111">
        <f t="shared" si="17"/>
        <v>119.63999999999997</v>
      </c>
      <c r="AG90" s="112"/>
      <c r="AH90" s="55">
        <f>MAX(B90:AF90)</f>
        <v>292.24</v>
      </c>
      <c r="AI90" s="56">
        <f>MIN(B90:AF90)</f>
        <v>119.63999999999997</v>
      </c>
    </row>
    <row r="91" spans="1:88" x14ac:dyDescent="0.25">
      <c r="A91" s="113" t="s">
        <v>95</v>
      </c>
      <c r="B91" s="59">
        <v>9</v>
      </c>
      <c r="C91" s="59">
        <v>10.6</v>
      </c>
      <c r="D91" s="59">
        <v>10.199999999999999</v>
      </c>
      <c r="E91" s="59">
        <v>10.199999999999999</v>
      </c>
      <c r="F91" s="114">
        <v>20.7</v>
      </c>
      <c r="G91" s="114">
        <v>21.1</v>
      </c>
      <c r="H91" s="114">
        <v>26.7</v>
      </c>
      <c r="I91" s="114">
        <v>25.9</v>
      </c>
      <c r="J91" s="114">
        <v>14.4</v>
      </c>
      <c r="K91" s="114">
        <v>11.7</v>
      </c>
      <c r="L91" s="115">
        <v>15.9</v>
      </c>
      <c r="M91" s="115">
        <v>22</v>
      </c>
      <c r="N91" s="115">
        <v>22.9</v>
      </c>
      <c r="O91" s="115">
        <v>9</v>
      </c>
      <c r="P91" s="114">
        <v>5.7</v>
      </c>
      <c r="Q91" s="114">
        <v>7.7</v>
      </c>
      <c r="R91" s="114">
        <v>6.1</v>
      </c>
      <c r="S91" s="114">
        <v>0</v>
      </c>
      <c r="T91" s="115">
        <v>9</v>
      </c>
      <c r="U91" s="115">
        <v>1.8</v>
      </c>
      <c r="V91" s="115">
        <v>4.4000000000000004</v>
      </c>
      <c r="W91" s="114">
        <v>14.6</v>
      </c>
      <c r="X91" s="114">
        <v>12.4</v>
      </c>
      <c r="Y91" s="114">
        <v>4</v>
      </c>
      <c r="Z91" s="114">
        <v>24.6</v>
      </c>
      <c r="AA91" s="115">
        <v>15.9</v>
      </c>
      <c r="AB91" s="115">
        <v>26.5</v>
      </c>
      <c r="AC91" s="115">
        <v>13</v>
      </c>
      <c r="AD91" s="115">
        <v>8.1</v>
      </c>
      <c r="AE91" s="115">
        <v>10.6</v>
      </c>
      <c r="AF91" s="116">
        <v>13.4</v>
      </c>
      <c r="AG91" s="117">
        <v>75</v>
      </c>
      <c r="AH91" s="55">
        <f t="shared" ref="AH91:AH96" si="18">IF(ABS(MAX(B91:AF91))&gt;ABS(MIN(B91:AF91)),MAX(B91:AF91),MIN(B91:AF91))</f>
        <v>26.7</v>
      </c>
      <c r="AI91" s="118">
        <f t="shared" ref="AI91:AI96" si="19">INDEX($B$9:$AF$9,1,MATCH(AH91,B91:AF91,0))</f>
        <v>0.25</v>
      </c>
    </row>
    <row r="92" spans="1:88" x14ac:dyDescent="0.25">
      <c r="A92" s="119" t="s">
        <v>96</v>
      </c>
      <c r="B92" s="61">
        <v>-100</v>
      </c>
      <c r="C92" s="61">
        <v>-80</v>
      </c>
      <c r="D92" s="61">
        <v>-81</v>
      </c>
      <c r="E92" s="61">
        <v>-81</v>
      </c>
      <c r="F92" s="61">
        <v>-73</v>
      </c>
      <c r="G92" s="61">
        <v>-57</v>
      </c>
      <c r="H92" s="61">
        <v>-45</v>
      </c>
      <c r="I92" s="61">
        <v>-40</v>
      </c>
      <c r="J92" s="61">
        <v>-25</v>
      </c>
      <c r="K92" s="61">
        <v>-21</v>
      </c>
      <c r="L92" s="61">
        <v>-15</v>
      </c>
      <c r="M92" s="61">
        <f>-6-7.6</f>
        <v>-13.6</v>
      </c>
      <c r="N92" s="61">
        <f>-6.7-8.4</f>
        <v>-15.100000000000001</v>
      </c>
      <c r="O92" s="61">
        <f>-11.9-14.5</f>
        <v>-26.4</v>
      </c>
      <c r="P92" s="61">
        <v>-28.6</v>
      </c>
      <c r="Q92" s="61">
        <v>-34.200000000000003</v>
      </c>
      <c r="R92" s="61">
        <v>-26.7</v>
      </c>
      <c r="S92" s="61">
        <v>-22.4</v>
      </c>
      <c r="T92" s="61">
        <v>-22.3</v>
      </c>
      <c r="U92" s="61">
        <v>-21.1</v>
      </c>
      <c r="V92" s="61">
        <v>-19.7</v>
      </c>
      <c r="W92" s="61">
        <v>-16.8</v>
      </c>
      <c r="X92" s="61">
        <v>-14.6</v>
      </c>
      <c r="Y92" s="61">
        <v>-22.5</v>
      </c>
      <c r="Z92" s="61">
        <v>-22</v>
      </c>
      <c r="AA92" s="52">
        <v>-27.4</v>
      </c>
      <c r="AB92" s="52">
        <v>-37</v>
      </c>
      <c r="AC92" s="52">
        <f>-20.7-25</f>
        <v>-45.7</v>
      </c>
      <c r="AD92" s="52">
        <f>-22.1-26.8</f>
        <v>-48.900000000000006</v>
      </c>
      <c r="AE92" s="52">
        <f>-24.8-30</f>
        <v>-54.8</v>
      </c>
      <c r="AF92" s="120">
        <f>-27.4-33.5</f>
        <v>-60.9</v>
      </c>
      <c r="AG92" s="117">
        <v>240</v>
      </c>
      <c r="AH92" s="55">
        <f t="shared" si="18"/>
        <v>-100</v>
      </c>
      <c r="AI92" s="118">
        <f t="shared" si="19"/>
        <v>4.1666666666666664E-2</v>
      </c>
    </row>
    <row r="93" spans="1:88" x14ac:dyDescent="0.25">
      <c r="A93" s="119" t="s">
        <v>97</v>
      </c>
      <c r="B93" s="61">
        <v>-13</v>
      </c>
      <c r="C93" s="61">
        <v>-12</v>
      </c>
      <c r="D93" s="61">
        <v>-5.6</v>
      </c>
      <c r="E93" s="61">
        <v>-5.6</v>
      </c>
      <c r="F93" s="61">
        <v>2.4</v>
      </c>
      <c r="G93" s="61">
        <v>5.8</v>
      </c>
      <c r="H93" s="61">
        <v>12.2</v>
      </c>
      <c r="I93" s="61">
        <v>13.2</v>
      </c>
      <c r="J93" s="61">
        <v>17.5</v>
      </c>
      <c r="K93" s="61">
        <v>19.100000000000001</v>
      </c>
      <c r="L93" s="61">
        <v>21.1</v>
      </c>
      <c r="M93" s="61">
        <v>18.100000000000001</v>
      </c>
      <c r="N93" s="61">
        <v>18.600000000000001</v>
      </c>
      <c r="O93" s="61">
        <v>14.8</v>
      </c>
      <c r="P93" s="61">
        <v>14.8</v>
      </c>
      <c r="Q93" s="61">
        <v>16.600000000000001</v>
      </c>
      <c r="R93" s="61">
        <v>20.399999999999999</v>
      </c>
      <c r="S93" s="61">
        <v>20.6</v>
      </c>
      <c r="T93" s="61">
        <v>9</v>
      </c>
      <c r="U93" s="61">
        <v>21.6</v>
      </c>
      <c r="V93" s="61">
        <v>21.9</v>
      </c>
      <c r="W93" s="61">
        <v>22.7</v>
      </c>
      <c r="X93" s="61">
        <v>24.5</v>
      </c>
      <c r="Y93" s="61">
        <v>23</v>
      </c>
      <c r="Z93" s="61">
        <v>22.1</v>
      </c>
      <c r="AA93" s="52">
        <v>19.8</v>
      </c>
      <c r="AB93" s="52">
        <v>17.600000000000001</v>
      </c>
      <c r="AC93" s="52">
        <v>15</v>
      </c>
      <c r="AD93" s="52">
        <v>11.9</v>
      </c>
      <c r="AE93" s="52">
        <v>8.6999999999999993</v>
      </c>
      <c r="AF93" s="120">
        <v>7.1</v>
      </c>
      <c r="AG93" s="117">
        <v>60</v>
      </c>
      <c r="AH93" s="55">
        <f t="shared" si="18"/>
        <v>24.5</v>
      </c>
      <c r="AI93" s="118">
        <f t="shared" si="19"/>
        <v>0.77083333333333337</v>
      </c>
    </row>
    <row r="94" spans="1:88" x14ac:dyDescent="0.25">
      <c r="A94" s="121" t="s">
        <v>98</v>
      </c>
      <c r="B94" s="84">
        <v>6</v>
      </c>
      <c r="C94" s="84">
        <v>3</v>
      </c>
      <c r="D94" s="84">
        <v>7.3</v>
      </c>
      <c r="E94" s="84">
        <v>7.3</v>
      </c>
      <c r="F94" s="84">
        <v>21.5</v>
      </c>
      <c r="G94" s="84">
        <v>-13.2</v>
      </c>
      <c r="H94" s="84">
        <v>-3</v>
      </c>
      <c r="I94" s="84">
        <v>0</v>
      </c>
      <c r="J94" s="84">
        <v>24</v>
      </c>
      <c r="K94" s="84">
        <v>24.9</v>
      </c>
      <c r="L94" s="84">
        <v>26.9</v>
      </c>
      <c r="M94" s="84">
        <v>26.9</v>
      </c>
      <c r="N94" s="84">
        <v>26.9</v>
      </c>
      <c r="O94" s="84">
        <v>28.7</v>
      </c>
      <c r="P94" s="84">
        <v>27.6</v>
      </c>
      <c r="Q94" s="84">
        <v>16.399999999999999</v>
      </c>
      <c r="R94" s="84">
        <v>27</v>
      </c>
      <c r="S94" s="84">
        <v>37.1</v>
      </c>
      <c r="T94" s="84">
        <v>33.4</v>
      </c>
      <c r="U94" s="84">
        <v>31.9</v>
      </c>
      <c r="V94" s="84">
        <v>35.200000000000003</v>
      </c>
      <c r="W94" s="84">
        <v>38</v>
      </c>
      <c r="X94" s="84">
        <v>60.9</v>
      </c>
      <c r="Y94" s="84">
        <v>70.599999999999994</v>
      </c>
      <c r="Z94" s="84">
        <v>57.8</v>
      </c>
      <c r="AA94" s="122">
        <v>52.2</v>
      </c>
      <c r="AB94" s="122">
        <v>31.2</v>
      </c>
      <c r="AC94" s="122">
        <v>29.3</v>
      </c>
      <c r="AD94" s="122">
        <v>16</v>
      </c>
      <c r="AE94" s="122">
        <v>7.3</v>
      </c>
      <c r="AF94" s="123">
        <v>-4</v>
      </c>
      <c r="AG94" s="124">
        <v>120</v>
      </c>
      <c r="AH94" s="55">
        <f t="shared" si="18"/>
        <v>70.599999999999994</v>
      </c>
      <c r="AI94" s="118">
        <f t="shared" si="19"/>
        <v>0.79166666666666663</v>
      </c>
    </row>
    <row r="95" spans="1:88" x14ac:dyDescent="0.25">
      <c r="A95" s="121" t="s">
        <v>99</v>
      </c>
      <c r="B95" s="84">
        <v>17</v>
      </c>
      <c r="C95" s="84">
        <v>23</v>
      </c>
      <c r="D95" s="84">
        <v>12.9</v>
      </c>
      <c r="E95" s="84">
        <v>12.9</v>
      </c>
      <c r="F95" s="84">
        <v>-3.3</v>
      </c>
      <c r="G95" s="84">
        <v>1.9</v>
      </c>
      <c r="H95" s="84">
        <v>4.0999999999999996</v>
      </c>
      <c r="I95" s="84">
        <v>7.2</v>
      </c>
      <c r="J95" s="84">
        <v>25.9</v>
      </c>
      <c r="K95" s="84">
        <v>27.1</v>
      </c>
      <c r="L95" s="84">
        <v>25.3</v>
      </c>
      <c r="M95" s="84">
        <v>25.3</v>
      </c>
      <c r="N95" s="84">
        <v>21.4</v>
      </c>
      <c r="O95" s="84">
        <v>27.8</v>
      </c>
      <c r="P95" s="84">
        <v>26.3</v>
      </c>
      <c r="Q95" s="84">
        <v>18.399999999999999</v>
      </c>
      <c r="R95" s="84">
        <v>27.7</v>
      </c>
      <c r="S95" s="84">
        <v>34.299999999999997</v>
      </c>
      <c r="T95" s="84">
        <v>31.7</v>
      </c>
      <c r="U95" s="84">
        <v>30.2</v>
      </c>
      <c r="V95" s="84">
        <v>32.4</v>
      </c>
      <c r="W95" s="84">
        <v>31.2</v>
      </c>
      <c r="X95" s="84">
        <v>45.6</v>
      </c>
      <c r="Y95" s="84">
        <v>51.7</v>
      </c>
      <c r="Z95" s="84">
        <v>43.2</v>
      </c>
      <c r="AA95" s="122">
        <v>43.3</v>
      </c>
      <c r="AB95" s="122">
        <v>26.9</v>
      </c>
      <c r="AC95" s="122">
        <v>27.1</v>
      </c>
      <c r="AD95" s="122">
        <v>23.2</v>
      </c>
      <c r="AE95" s="122">
        <v>15.1</v>
      </c>
      <c r="AF95" s="123">
        <v>7.1</v>
      </c>
      <c r="AG95" s="124"/>
      <c r="AH95" s="55">
        <f t="shared" si="18"/>
        <v>51.7</v>
      </c>
      <c r="AI95" s="118">
        <f t="shared" si="19"/>
        <v>0.79166666666666663</v>
      </c>
    </row>
    <row r="96" spans="1:88" ht="15.75" thickBot="1" x14ac:dyDescent="0.3">
      <c r="A96" s="121" t="s">
        <v>100</v>
      </c>
      <c r="B96" s="84">
        <v>25</v>
      </c>
      <c r="C96" s="84">
        <v>19</v>
      </c>
      <c r="D96" s="84">
        <v>17.7</v>
      </c>
      <c r="E96" s="84">
        <v>17.7</v>
      </c>
      <c r="F96" s="84">
        <v>-7.3</v>
      </c>
      <c r="G96" s="84">
        <v>-8.3000000000000007</v>
      </c>
      <c r="H96" s="84">
        <v>-11.2</v>
      </c>
      <c r="I96" s="84">
        <v>-10.6</v>
      </c>
      <c r="J96" s="84">
        <v>14.4</v>
      </c>
      <c r="K96" s="84">
        <v>23.5</v>
      </c>
      <c r="L96" s="84">
        <v>3.2</v>
      </c>
      <c r="M96" s="84">
        <v>3.2</v>
      </c>
      <c r="N96" s="84">
        <v>19.5</v>
      </c>
      <c r="O96" s="84">
        <v>51.7</v>
      </c>
      <c r="P96" s="84">
        <v>52.6</v>
      </c>
      <c r="Q96" s="84">
        <v>51</v>
      </c>
      <c r="R96" s="84">
        <v>57</v>
      </c>
      <c r="S96" s="84">
        <v>64.2</v>
      </c>
      <c r="T96" s="84">
        <v>53.7</v>
      </c>
      <c r="U96" s="84">
        <v>60</v>
      </c>
      <c r="V96" s="84">
        <v>54.2</v>
      </c>
      <c r="W96" s="84">
        <v>41.6</v>
      </c>
      <c r="X96" s="84">
        <v>43</v>
      </c>
      <c r="Y96" s="84"/>
      <c r="Z96" s="84">
        <v>49.8</v>
      </c>
      <c r="AA96" s="122">
        <v>61.7</v>
      </c>
      <c r="AB96" s="122">
        <v>49.9</v>
      </c>
      <c r="AC96" s="122">
        <v>53.7</v>
      </c>
      <c r="AD96" s="122">
        <v>54.8</v>
      </c>
      <c r="AE96" s="122">
        <v>52.4</v>
      </c>
      <c r="AF96" s="123">
        <v>48.9</v>
      </c>
      <c r="AG96" s="125"/>
      <c r="AH96" s="55">
        <f t="shared" si="18"/>
        <v>64.2</v>
      </c>
      <c r="AI96" s="118">
        <f t="shared" si="19"/>
        <v>0.625</v>
      </c>
    </row>
    <row r="97" spans="1:37" ht="15.75" thickBot="1" x14ac:dyDescent="0.3">
      <c r="A97" s="126" t="s">
        <v>101</v>
      </c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8"/>
      <c r="AH97" s="129"/>
      <c r="AI97" s="56"/>
      <c r="AK97" s="57"/>
    </row>
    <row r="98" spans="1:37" x14ac:dyDescent="0.25">
      <c r="A98" s="130" t="s">
        <v>102</v>
      </c>
      <c r="B98" s="54">
        <v>9.9</v>
      </c>
      <c r="C98" s="131">
        <f t="shared" ref="C98:R103" si="20">B98</f>
        <v>9.9</v>
      </c>
      <c r="D98" s="131">
        <f t="shared" si="20"/>
        <v>9.9</v>
      </c>
      <c r="E98" s="131">
        <f t="shared" si="20"/>
        <v>9.9</v>
      </c>
      <c r="F98" s="131">
        <f t="shared" si="20"/>
        <v>9.9</v>
      </c>
      <c r="G98" s="131">
        <f t="shared" si="20"/>
        <v>9.9</v>
      </c>
      <c r="H98" s="131">
        <f t="shared" si="20"/>
        <v>9.9</v>
      </c>
      <c r="I98" s="131">
        <f t="shared" si="20"/>
        <v>9.9</v>
      </c>
      <c r="J98" s="131">
        <f t="shared" si="20"/>
        <v>9.9</v>
      </c>
      <c r="K98" s="131">
        <f t="shared" si="20"/>
        <v>9.9</v>
      </c>
      <c r="L98" s="131">
        <f t="shared" si="20"/>
        <v>9.9</v>
      </c>
      <c r="M98" s="131">
        <f t="shared" si="20"/>
        <v>9.9</v>
      </c>
      <c r="N98" s="131">
        <f t="shared" si="20"/>
        <v>9.9</v>
      </c>
      <c r="O98" s="131">
        <f t="shared" si="20"/>
        <v>9.9</v>
      </c>
      <c r="P98" s="131">
        <f t="shared" si="20"/>
        <v>9.9</v>
      </c>
      <c r="Q98" s="131">
        <f t="shared" si="20"/>
        <v>9.9</v>
      </c>
      <c r="R98" s="131">
        <f t="shared" si="20"/>
        <v>9.9</v>
      </c>
      <c r="S98" s="131">
        <f t="shared" ref="S98:AF103" si="21">R98</f>
        <v>9.9</v>
      </c>
      <c r="T98" s="131">
        <f t="shared" si="21"/>
        <v>9.9</v>
      </c>
      <c r="U98" s="131">
        <f t="shared" si="21"/>
        <v>9.9</v>
      </c>
      <c r="V98" s="131">
        <f t="shared" si="21"/>
        <v>9.9</v>
      </c>
      <c r="W98" s="131">
        <f t="shared" si="21"/>
        <v>9.9</v>
      </c>
      <c r="X98" s="131">
        <f t="shared" si="21"/>
        <v>9.9</v>
      </c>
      <c r="Y98" s="131">
        <f t="shared" si="21"/>
        <v>9.9</v>
      </c>
      <c r="Z98" s="131">
        <f t="shared" si="21"/>
        <v>9.9</v>
      </c>
      <c r="AA98" s="131">
        <f t="shared" si="21"/>
        <v>9.9</v>
      </c>
      <c r="AB98" s="131">
        <f t="shared" si="21"/>
        <v>9.9</v>
      </c>
      <c r="AC98" s="131">
        <f t="shared" si="21"/>
        <v>9.9</v>
      </c>
      <c r="AD98" s="131">
        <f t="shared" si="21"/>
        <v>9.9</v>
      </c>
      <c r="AE98" s="131">
        <f t="shared" si="21"/>
        <v>9.9</v>
      </c>
      <c r="AF98" s="131">
        <f t="shared" si="21"/>
        <v>9.9</v>
      </c>
      <c r="AG98" s="132">
        <v>9.94</v>
      </c>
      <c r="AH98" s="55"/>
      <c r="AI98" s="56"/>
      <c r="AK98" s="57"/>
    </row>
    <row r="99" spans="1:37" x14ac:dyDescent="0.25">
      <c r="A99" s="119" t="s">
        <v>103</v>
      </c>
      <c r="B99" s="133">
        <v>9.6</v>
      </c>
      <c r="C99" s="134">
        <f t="shared" si="20"/>
        <v>9.6</v>
      </c>
      <c r="D99" s="134">
        <f t="shared" si="20"/>
        <v>9.6</v>
      </c>
      <c r="E99" s="134">
        <f t="shared" si="20"/>
        <v>9.6</v>
      </c>
      <c r="F99" s="134">
        <f t="shared" si="20"/>
        <v>9.6</v>
      </c>
      <c r="G99" s="134">
        <f t="shared" si="20"/>
        <v>9.6</v>
      </c>
      <c r="H99" s="134">
        <f t="shared" si="20"/>
        <v>9.6</v>
      </c>
      <c r="I99" s="134">
        <f t="shared" si="20"/>
        <v>9.6</v>
      </c>
      <c r="J99" s="134">
        <f t="shared" si="20"/>
        <v>9.6</v>
      </c>
      <c r="K99" s="134">
        <f t="shared" si="20"/>
        <v>9.6</v>
      </c>
      <c r="L99" s="134">
        <f t="shared" si="20"/>
        <v>9.6</v>
      </c>
      <c r="M99" s="134">
        <f t="shared" si="20"/>
        <v>9.6</v>
      </c>
      <c r="N99" s="134">
        <f t="shared" si="20"/>
        <v>9.6</v>
      </c>
      <c r="O99" s="134">
        <f t="shared" si="20"/>
        <v>9.6</v>
      </c>
      <c r="P99" s="134">
        <f t="shared" si="20"/>
        <v>9.6</v>
      </c>
      <c r="Q99" s="134">
        <f t="shared" si="20"/>
        <v>9.6</v>
      </c>
      <c r="R99" s="134">
        <f t="shared" si="20"/>
        <v>9.6</v>
      </c>
      <c r="S99" s="134">
        <f t="shared" si="21"/>
        <v>9.6</v>
      </c>
      <c r="T99" s="134">
        <f t="shared" si="21"/>
        <v>9.6</v>
      </c>
      <c r="U99" s="134">
        <f t="shared" si="21"/>
        <v>9.6</v>
      </c>
      <c r="V99" s="134">
        <f t="shared" si="21"/>
        <v>9.6</v>
      </c>
      <c r="W99" s="134">
        <f t="shared" si="21"/>
        <v>9.6</v>
      </c>
      <c r="X99" s="134">
        <f t="shared" si="21"/>
        <v>9.6</v>
      </c>
      <c r="Y99" s="134">
        <f t="shared" si="21"/>
        <v>9.6</v>
      </c>
      <c r="Z99" s="134">
        <f t="shared" si="21"/>
        <v>9.6</v>
      </c>
      <c r="AA99" s="134">
        <f t="shared" si="21"/>
        <v>9.6</v>
      </c>
      <c r="AB99" s="134">
        <f t="shared" si="21"/>
        <v>9.6</v>
      </c>
      <c r="AC99" s="134">
        <f t="shared" si="21"/>
        <v>9.6</v>
      </c>
      <c r="AD99" s="134">
        <f t="shared" si="21"/>
        <v>9.6</v>
      </c>
      <c r="AE99" s="134">
        <f t="shared" si="21"/>
        <v>9.6</v>
      </c>
      <c r="AF99" s="134">
        <f t="shared" si="21"/>
        <v>9.6</v>
      </c>
      <c r="AG99" s="135">
        <v>9.9</v>
      </c>
      <c r="AH99" s="55"/>
      <c r="AI99" s="56"/>
      <c r="AK99" s="57"/>
    </row>
    <row r="100" spans="1:37" x14ac:dyDescent="0.25">
      <c r="A100" s="121" t="s">
        <v>104</v>
      </c>
      <c r="B100" s="133">
        <v>9.98</v>
      </c>
      <c r="C100" s="134">
        <f t="shared" si="20"/>
        <v>9.98</v>
      </c>
      <c r="D100" s="134">
        <f t="shared" si="20"/>
        <v>9.98</v>
      </c>
      <c r="E100" s="134">
        <f t="shared" si="20"/>
        <v>9.98</v>
      </c>
      <c r="F100" s="134">
        <f t="shared" si="20"/>
        <v>9.98</v>
      </c>
      <c r="G100" s="134">
        <f t="shared" si="20"/>
        <v>9.98</v>
      </c>
      <c r="H100" s="134">
        <f t="shared" si="20"/>
        <v>9.98</v>
      </c>
      <c r="I100" s="134">
        <f t="shared" si="20"/>
        <v>9.98</v>
      </c>
      <c r="J100" s="134">
        <f t="shared" si="20"/>
        <v>9.98</v>
      </c>
      <c r="K100" s="134">
        <f t="shared" si="20"/>
        <v>9.98</v>
      </c>
      <c r="L100" s="134">
        <f t="shared" si="20"/>
        <v>9.98</v>
      </c>
      <c r="M100" s="134">
        <f t="shared" si="20"/>
        <v>9.98</v>
      </c>
      <c r="N100" s="134">
        <f t="shared" si="20"/>
        <v>9.98</v>
      </c>
      <c r="O100" s="134">
        <f t="shared" si="20"/>
        <v>9.98</v>
      </c>
      <c r="P100" s="134">
        <f t="shared" si="20"/>
        <v>9.98</v>
      </c>
      <c r="Q100" s="134">
        <f t="shared" si="20"/>
        <v>9.98</v>
      </c>
      <c r="R100" s="134">
        <f t="shared" si="20"/>
        <v>9.98</v>
      </c>
      <c r="S100" s="134">
        <f t="shared" si="21"/>
        <v>9.98</v>
      </c>
      <c r="T100" s="134">
        <f t="shared" si="21"/>
        <v>9.98</v>
      </c>
      <c r="U100" s="134">
        <f t="shared" si="21"/>
        <v>9.98</v>
      </c>
      <c r="V100" s="134">
        <f t="shared" si="21"/>
        <v>9.98</v>
      </c>
      <c r="W100" s="134">
        <f t="shared" si="21"/>
        <v>9.98</v>
      </c>
      <c r="X100" s="134">
        <f t="shared" si="21"/>
        <v>9.98</v>
      </c>
      <c r="Y100" s="134">
        <f t="shared" si="21"/>
        <v>9.98</v>
      </c>
      <c r="Z100" s="134">
        <f t="shared" si="21"/>
        <v>9.98</v>
      </c>
      <c r="AA100" s="134">
        <f t="shared" si="21"/>
        <v>9.98</v>
      </c>
      <c r="AB100" s="134">
        <f t="shared" si="21"/>
        <v>9.98</v>
      </c>
      <c r="AC100" s="134">
        <f t="shared" si="21"/>
        <v>9.98</v>
      </c>
      <c r="AD100" s="134">
        <f t="shared" si="21"/>
        <v>9.98</v>
      </c>
      <c r="AE100" s="134">
        <f t="shared" si="21"/>
        <v>9.98</v>
      </c>
      <c r="AF100" s="134">
        <f t="shared" si="21"/>
        <v>9.98</v>
      </c>
      <c r="AG100" s="136">
        <v>9.6579999999999995</v>
      </c>
      <c r="AH100" s="55"/>
      <c r="AI100" s="56"/>
      <c r="AK100" s="57"/>
    </row>
    <row r="101" spans="1:37" x14ac:dyDescent="0.25">
      <c r="A101" s="121" t="s">
        <v>105</v>
      </c>
      <c r="B101" s="133">
        <v>9.1</v>
      </c>
      <c r="C101" s="134">
        <f t="shared" si="20"/>
        <v>9.1</v>
      </c>
      <c r="D101" s="134">
        <f t="shared" si="20"/>
        <v>9.1</v>
      </c>
      <c r="E101" s="134">
        <f t="shared" si="20"/>
        <v>9.1</v>
      </c>
      <c r="F101" s="134">
        <f t="shared" si="20"/>
        <v>9.1</v>
      </c>
      <c r="G101" s="134">
        <f t="shared" si="20"/>
        <v>9.1</v>
      </c>
      <c r="H101" s="134">
        <f t="shared" si="20"/>
        <v>9.1</v>
      </c>
      <c r="I101" s="134">
        <f t="shared" si="20"/>
        <v>9.1</v>
      </c>
      <c r="J101" s="134">
        <f t="shared" si="20"/>
        <v>9.1</v>
      </c>
      <c r="K101" s="134">
        <f t="shared" si="20"/>
        <v>9.1</v>
      </c>
      <c r="L101" s="134">
        <f t="shared" si="20"/>
        <v>9.1</v>
      </c>
      <c r="M101" s="134">
        <f t="shared" si="20"/>
        <v>9.1</v>
      </c>
      <c r="N101" s="134">
        <f t="shared" si="20"/>
        <v>9.1</v>
      </c>
      <c r="O101" s="134">
        <f t="shared" si="20"/>
        <v>9.1</v>
      </c>
      <c r="P101" s="134">
        <f t="shared" si="20"/>
        <v>9.1</v>
      </c>
      <c r="Q101" s="134">
        <f t="shared" si="20"/>
        <v>9.1</v>
      </c>
      <c r="R101" s="134">
        <f t="shared" si="20"/>
        <v>9.1</v>
      </c>
      <c r="S101" s="134">
        <f t="shared" si="21"/>
        <v>9.1</v>
      </c>
      <c r="T101" s="134">
        <f t="shared" si="21"/>
        <v>9.1</v>
      </c>
      <c r="U101" s="134">
        <f t="shared" si="21"/>
        <v>9.1</v>
      </c>
      <c r="V101" s="134">
        <f t="shared" si="21"/>
        <v>9.1</v>
      </c>
      <c r="W101" s="134">
        <f t="shared" si="21"/>
        <v>9.1</v>
      </c>
      <c r="X101" s="134">
        <f t="shared" si="21"/>
        <v>9.1</v>
      </c>
      <c r="Y101" s="134">
        <f t="shared" si="21"/>
        <v>9.1</v>
      </c>
      <c r="Z101" s="134">
        <f t="shared" si="21"/>
        <v>9.1</v>
      </c>
      <c r="AA101" s="134">
        <f t="shared" si="21"/>
        <v>9.1</v>
      </c>
      <c r="AB101" s="134">
        <f t="shared" si="21"/>
        <v>9.1</v>
      </c>
      <c r="AC101" s="134">
        <f t="shared" si="21"/>
        <v>9.1</v>
      </c>
      <c r="AD101" s="134">
        <f t="shared" si="21"/>
        <v>9.1</v>
      </c>
      <c r="AE101" s="134">
        <f t="shared" si="21"/>
        <v>9.1</v>
      </c>
      <c r="AF101" s="134">
        <f t="shared" si="21"/>
        <v>9.1</v>
      </c>
      <c r="AG101" s="136">
        <v>9.6</v>
      </c>
      <c r="AH101" s="55"/>
      <c r="AI101" s="56"/>
      <c r="AK101" s="57"/>
    </row>
    <row r="102" spans="1:37" x14ac:dyDescent="0.25">
      <c r="A102" s="121" t="s">
        <v>106</v>
      </c>
      <c r="B102" s="133">
        <v>9.18</v>
      </c>
      <c r="C102" s="134">
        <f t="shared" si="20"/>
        <v>9.18</v>
      </c>
      <c r="D102" s="134">
        <f t="shared" si="20"/>
        <v>9.18</v>
      </c>
      <c r="E102" s="134">
        <f t="shared" si="20"/>
        <v>9.18</v>
      </c>
      <c r="F102" s="134">
        <f t="shared" si="20"/>
        <v>9.18</v>
      </c>
      <c r="G102" s="134">
        <f t="shared" si="20"/>
        <v>9.18</v>
      </c>
      <c r="H102" s="134">
        <f t="shared" si="20"/>
        <v>9.18</v>
      </c>
      <c r="I102" s="134">
        <f t="shared" si="20"/>
        <v>9.18</v>
      </c>
      <c r="J102" s="134">
        <f t="shared" si="20"/>
        <v>9.18</v>
      </c>
      <c r="K102" s="134">
        <f t="shared" si="20"/>
        <v>9.18</v>
      </c>
      <c r="L102" s="134">
        <f t="shared" si="20"/>
        <v>9.18</v>
      </c>
      <c r="M102" s="134">
        <f t="shared" si="20"/>
        <v>9.18</v>
      </c>
      <c r="N102" s="134">
        <f t="shared" si="20"/>
        <v>9.18</v>
      </c>
      <c r="O102" s="134">
        <f t="shared" si="20"/>
        <v>9.18</v>
      </c>
      <c r="P102" s="134">
        <f t="shared" si="20"/>
        <v>9.18</v>
      </c>
      <c r="Q102" s="134">
        <f t="shared" si="20"/>
        <v>9.18</v>
      </c>
      <c r="R102" s="134">
        <f t="shared" si="20"/>
        <v>9.18</v>
      </c>
      <c r="S102" s="134">
        <f t="shared" si="21"/>
        <v>9.18</v>
      </c>
      <c r="T102" s="134">
        <f t="shared" si="21"/>
        <v>9.18</v>
      </c>
      <c r="U102" s="134">
        <f t="shared" si="21"/>
        <v>9.18</v>
      </c>
      <c r="V102" s="134">
        <f t="shared" si="21"/>
        <v>9.18</v>
      </c>
      <c r="W102" s="134">
        <f t="shared" si="21"/>
        <v>9.18</v>
      </c>
      <c r="X102" s="134">
        <f t="shared" si="21"/>
        <v>9.18</v>
      </c>
      <c r="Y102" s="134">
        <f t="shared" si="21"/>
        <v>9.18</v>
      </c>
      <c r="Z102" s="134">
        <f t="shared" si="21"/>
        <v>9.18</v>
      </c>
      <c r="AA102" s="134">
        <f t="shared" si="21"/>
        <v>9.18</v>
      </c>
      <c r="AB102" s="134">
        <f t="shared" si="21"/>
        <v>9.18</v>
      </c>
      <c r="AC102" s="134">
        <f t="shared" si="21"/>
        <v>9.18</v>
      </c>
      <c r="AD102" s="134">
        <f t="shared" si="21"/>
        <v>9.18</v>
      </c>
      <c r="AE102" s="134">
        <f t="shared" si="21"/>
        <v>9.18</v>
      </c>
      <c r="AF102" s="134">
        <f t="shared" si="21"/>
        <v>9.18</v>
      </c>
      <c r="AG102" s="136">
        <v>9.51</v>
      </c>
      <c r="AH102" s="55"/>
      <c r="AI102" s="56"/>
      <c r="AK102" s="57"/>
    </row>
    <row r="103" spans="1:37" x14ac:dyDescent="0.25">
      <c r="A103" s="121" t="s">
        <v>107</v>
      </c>
      <c r="B103" s="133">
        <v>7</v>
      </c>
      <c r="C103" s="134">
        <f t="shared" si="20"/>
        <v>7</v>
      </c>
      <c r="D103" s="134">
        <f t="shared" si="20"/>
        <v>7</v>
      </c>
      <c r="E103" s="134">
        <f t="shared" si="20"/>
        <v>7</v>
      </c>
      <c r="F103" s="134">
        <f t="shared" si="20"/>
        <v>7</v>
      </c>
      <c r="G103" s="134">
        <f t="shared" si="20"/>
        <v>7</v>
      </c>
      <c r="H103" s="134">
        <f t="shared" si="20"/>
        <v>7</v>
      </c>
      <c r="I103" s="134">
        <f t="shared" si="20"/>
        <v>7</v>
      </c>
      <c r="J103" s="134">
        <f t="shared" si="20"/>
        <v>7</v>
      </c>
      <c r="K103" s="134">
        <f t="shared" si="20"/>
        <v>7</v>
      </c>
      <c r="L103" s="134">
        <f t="shared" si="20"/>
        <v>7</v>
      </c>
      <c r="M103" s="134">
        <f t="shared" si="20"/>
        <v>7</v>
      </c>
      <c r="N103" s="134">
        <f t="shared" si="20"/>
        <v>7</v>
      </c>
      <c r="O103" s="134">
        <f t="shared" si="20"/>
        <v>7</v>
      </c>
      <c r="P103" s="134">
        <f t="shared" si="20"/>
        <v>7</v>
      </c>
      <c r="Q103" s="134">
        <f t="shared" si="20"/>
        <v>7</v>
      </c>
      <c r="R103" s="134">
        <f t="shared" si="20"/>
        <v>7</v>
      </c>
      <c r="S103" s="134">
        <f t="shared" si="21"/>
        <v>7</v>
      </c>
      <c r="T103" s="134">
        <f t="shared" si="21"/>
        <v>7</v>
      </c>
      <c r="U103" s="134">
        <f t="shared" si="21"/>
        <v>7</v>
      </c>
      <c r="V103" s="134">
        <f t="shared" si="21"/>
        <v>7</v>
      </c>
      <c r="W103" s="134">
        <f t="shared" si="21"/>
        <v>7</v>
      </c>
      <c r="X103" s="134">
        <f t="shared" si="21"/>
        <v>7</v>
      </c>
      <c r="Y103" s="134">
        <f t="shared" si="21"/>
        <v>7</v>
      </c>
      <c r="Z103" s="134">
        <f t="shared" si="21"/>
        <v>7</v>
      </c>
      <c r="AA103" s="134">
        <f t="shared" si="21"/>
        <v>7</v>
      </c>
      <c r="AB103" s="134">
        <f t="shared" si="21"/>
        <v>7</v>
      </c>
      <c r="AC103" s="134">
        <f t="shared" si="21"/>
        <v>7</v>
      </c>
      <c r="AD103" s="134">
        <f t="shared" si="21"/>
        <v>7</v>
      </c>
      <c r="AE103" s="134">
        <f t="shared" si="21"/>
        <v>7</v>
      </c>
      <c r="AF103" s="134">
        <f t="shared" si="21"/>
        <v>7</v>
      </c>
      <c r="AG103" s="136">
        <v>9.4</v>
      </c>
      <c r="AH103" s="55"/>
      <c r="AI103" s="56"/>
      <c r="AK103" s="57"/>
    </row>
    <row r="104" spans="1:37" x14ac:dyDescent="0.25">
      <c r="A104" s="121" t="s">
        <v>108</v>
      </c>
      <c r="B104" s="133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6">
        <v>8.8000000000000007</v>
      </c>
      <c r="AH104" s="55"/>
      <c r="AI104" s="56"/>
      <c r="AK104" s="57"/>
    </row>
    <row r="105" spans="1:37" x14ac:dyDescent="0.25">
      <c r="A105" s="121" t="s">
        <v>109</v>
      </c>
      <c r="B105" s="133">
        <v>2.25</v>
      </c>
      <c r="C105" s="134">
        <f t="shared" ref="C105:R106" si="22">B105</f>
        <v>2.25</v>
      </c>
      <c r="D105" s="134">
        <f t="shared" si="22"/>
        <v>2.25</v>
      </c>
      <c r="E105" s="134">
        <f t="shared" si="22"/>
        <v>2.25</v>
      </c>
      <c r="F105" s="134">
        <f t="shared" si="22"/>
        <v>2.25</v>
      </c>
      <c r="G105" s="134">
        <f t="shared" si="22"/>
        <v>2.25</v>
      </c>
      <c r="H105" s="134">
        <f t="shared" si="22"/>
        <v>2.25</v>
      </c>
      <c r="I105" s="134">
        <f t="shared" si="22"/>
        <v>2.25</v>
      </c>
      <c r="J105" s="134">
        <f t="shared" si="22"/>
        <v>2.25</v>
      </c>
      <c r="K105" s="134">
        <f t="shared" si="22"/>
        <v>2.25</v>
      </c>
      <c r="L105" s="134">
        <f t="shared" si="22"/>
        <v>2.25</v>
      </c>
      <c r="M105" s="134">
        <f t="shared" si="22"/>
        <v>2.25</v>
      </c>
      <c r="N105" s="134">
        <f t="shared" si="22"/>
        <v>2.25</v>
      </c>
      <c r="O105" s="134">
        <f t="shared" si="22"/>
        <v>2.25</v>
      </c>
      <c r="P105" s="134">
        <f t="shared" si="22"/>
        <v>2.25</v>
      </c>
      <c r="Q105" s="134">
        <f t="shared" si="22"/>
        <v>2.25</v>
      </c>
      <c r="R105" s="134">
        <f t="shared" si="22"/>
        <v>2.25</v>
      </c>
      <c r="S105" s="134">
        <f t="shared" ref="S105:AF106" si="23">R105</f>
        <v>2.25</v>
      </c>
      <c r="T105" s="134">
        <f t="shared" si="23"/>
        <v>2.25</v>
      </c>
      <c r="U105" s="134">
        <f t="shared" si="23"/>
        <v>2.25</v>
      </c>
      <c r="V105" s="134">
        <f t="shared" si="23"/>
        <v>2.25</v>
      </c>
      <c r="W105" s="134">
        <f t="shared" si="23"/>
        <v>2.25</v>
      </c>
      <c r="X105" s="134">
        <f t="shared" si="23"/>
        <v>2.25</v>
      </c>
      <c r="Y105" s="134">
        <f t="shared" si="23"/>
        <v>2.25</v>
      </c>
      <c r="Z105" s="134">
        <f t="shared" si="23"/>
        <v>2.25</v>
      </c>
      <c r="AA105" s="134">
        <f t="shared" si="23"/>
        <v>2.25</v>
      </c>
      <c r="AB105" s="134">
        <f t="shared" si="23"/>
        <v>2.25</v>
      </c>
      <c r="AC105" s="134">
        <f t="shared" si="23"/>
        <v>2.25</v>
      </c>
      <c r="AD105" s="134">
        <f t="shared" si="23"/>
        <v>2.25</v>
      </c>
      <c r="AE105" s="134">
        <f t="shared" si="23"/>
        <v>2.25</v>
      </c>
      <c r="AF105" s="134">
        <f t="shared" si="23"/>
        <v>2.25</v>
      </c>
      <c r="AG105" s="136">
        <v>8.5</v>
      </c>
      <c r="AH105" s="55"/>
      <c r="AI105" s="56"/>
      <c r="AK105" s="57"/>
    </row>
    <row r="106" spans="1:37" x14ac:dyDescent="0.25">
      <c r="A106" s="121" t="s">
        <v>110</v>
      </c>
      <c r="B106" s="133">
        <v>1.64</v>
      </c>
      <c r="C106" s="134">
        <f t="shared" si="22"/>
        <v>1.64</v>
      </c>
      <c r="D106" s="134">
        <f t="shared" si="22"/>
        <v>1.64</v>
      </c>
      <c r="E106" s="134">
        <f t="shared" si="22"/>
        <v>1.64</v>
      </c>
      <c r="F106" s="134">
        <f t="shared" si="22"/>
        <v>1.64</v>
      </c>
      <c r="G106" s="134">
        <f t="shared" si="22"/>
        <v>1.64</v>
      </c>
      <c r="H106" s="134">
        <f t="shared" si="22"/>
        <v>1.64</v>
      </c>
      <c r="I106" s="134">
        <f t="shared" si="22"/>
        <v>1.64</v>
      </c>
      <c r="J106" s="134">
        <f t="shared" si="22"/>
        <v>1.64</v>
      </c>
      <c r="K106" s="134">
        <f t="shared" si="22"/>
        <v>1.64</v>
      </c>
      <c r="L106" s="134">
        <f t="shared" si="22"/>
        <v>1.64</v>
      </c>
      <c r="M106" s="134">
        <f t="shared" si="22"/>
        <v>1.64</v>
      </c>
      <c r="N106" s="134">
        <f t="shared" si="22"/>
        <v>1.64</v>
      </c>
      <c r="O106" s="134">
        <f t="shared" si="22"/>
        <v>1.64</v>
      </c>
      <c r="P106" s="134">
        <f t="shared" si="22"/>
        <v>1.64</v>
      </c>
      <c r="Q106" s="134">
        <f t="shared" si="22"/>
        <v>1.64</v>
      </c>
      <c r="R106" s="134">
        <f t="shared" si="22"/>
        <v>1.64</v>
      </c>
      <c r="S106" s="134">
        <f t="shared" si="23"/>
        <v>1.64</v>
      </c>
      <c r="T106" s="134">
        <f t="shared" si="23"/>
        <v>1.64</v>
      </c>
      <c r="U106" s="134">
        <f t="shared" si="23"/>
        <v>1.64</v>
      </c>
      <c r="V106" s="134">
        <f t="shared" si="23"/>
        <v>1.64</v>
      </c>
      <c r="W106" s="134">
        <f t="shared" si="23"/>
        <v>1.64</v>
      </c>
      <c r="X106" s="134">
        <f t="shared" si="23"/>
        <v>1.64</v>
      </c>
      <c r="Y106" s="134">
        <f t="shared" si="23"/>
        <v>1.64</v>
      </c>
      <c r="Z106" s="134">
        <f t="shared" si="23"/>
        <v>1.64</v>
      </c>
      <c r="AA106" s="134">
        <f t="shared" si="23"/>
        <v>1.64</v>
      </c>
      <c r="AB106" s="134">
        <f t="shared" si="23"/>
        <v>1.64</v>
      </c>
      <c r="AC106" s="134">
        <f t="shared" si="23"/>
        <v>1.64</v>
      </c>
      <c r="AD106" s="134">
        <f t="shared" si="23"/>
        <v>1.64</v>
      </c>
      <c r="AE106" s="134">
        <f t="shared" si="23"/>
        <v>1.64</v>
      </c>
      <c r="AF106" s="134">
        <f t="shared" si="23"/>
        <v>1.64</v>
      </c>
      <c r="AG106" s="136">
        <v>8.5</v>
      </c>
      <c r="AH106" s="55"/>
      <c r="AI106" s="56"/>
      <c r="AK106" s="57"/>
    </row>
    <row r="107" spans="1:37" x14ac:dyDescent="0.25">
      <c r="A107" s="121" t="s">
        <v>111</v>
      </c>
      <c r="B107" s="133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6">
        <v>8.4</v>
      </c>
      <c r="AH107" s="55"/>
      <c r="AI107" s="56"/>
      <c r="AK107" s="57"/>
    </row>
    <row r="108" spans="1:37" x14ac:dyDescent="0.25">
      <c r="A108" s="121" t="s">
        <v>112</v>
      </c>
      <c r="B108" s="133">
        <v>1.62</v>
      </c>
      <c r="C108" s="134">
        <f t="shared" ref="C108:R115" si="24">B108</f>
        <v>1.62</v>
      </c>
      <c r="D108" s="134">
        <f t="shared" si="24"/>
        <v>1.62</v>
      </c>
      <c r="E108" s="134">
        <f t="shared" si="24"/>
        <v>1.62</v>
      </c>
      <c r="F108" s="134">
        <f t="shared" si="24"/>
        <v>1.62</v>
      </c>
      <c r="G108" s="134">
        <f t="shared" si="24"/>
        <v>1.62</v>
      </c>
      <c r="H108" s="134">
        <f t="shared" si="24"/>
        <v>1.62</v>
      </c>
      <c r="I108" s="134">
        <f t="shared" si="24"/>
        <v>1.62</v>
      </c>
      <c r="J108" s="134">
        <f t="shared" si="24"/>
        <v>1.62</v>
      </c>
      <c r="K108" s="134">
        <f t="shared" si="24"/>
        <v>1.62</v>
      </c>
      <c r="L108" s="134">
        <f t="shared" si="24"/>
        <v>1.62</v>
      </c>
      <c r="M108" s="134">
        <f t="shared" si="24"/>
        <v>1.62</v>
      </c>
      <c r="N108" s="134">
        <f t="shared" si="24"/>
        <v>1.62</v>
      </c>
      <c r="O108" s="134">
        <f t="shared" si="24"/>
        <v>1.62</v>
      </c>
      <c r="P108" s="134">
        <f t="shared" si="24"/>
        <v>1.62</v>
      </c>
      <c r="Q108" s="134">
        <f t="shared" si="24"/>
        <v>1.62</v>
      </c>
      <c r="R108" s="134">
        <f t="shared" si="24"/>
        <v>1.62</v>
      </c>
      <c r="S108" s="134">
        <f t="shared" ref="S108:AF123" si="25">R108</f>
        <v>1.62</v>
      </c>
      <c r="T108" s="134">
        <f t="shared" si="25"/>
        <v>1.62</v>
      </c>
      <c r="U108" s="134">
        <f t="shared" si="25"/>
        <v>1.62</v>
      </c>
      <c r="V108" s="134">
        <f t="shared" si="25"/>
        <v>1.62</v>
      </c>
      <c r="W108" s="134">
        <f t="shared" si="25"/>
        <v>1.62</v>
      </c>
      <c r="X108" s="134">
        <f t="shared" si="25"/>
        <v>1.62</v>
      </c>
      <c r="Y108" s="134">
        <f t="shared" si="25"/>
        <v>1.62</v>
      </c>
      <c r="Z108" s="134">
        <f t="shared" si="25"/>
        <v>1.62</v>
      </c>
      <c r="AA108" s="134">
        <f t="shared" si="25"/>
        <v>1.62</v>
      </c>
      <c r="AB108" s="134">
        <f t="shared" si="25"/>
        <v>1.62</v>
      </c>
      <c r="AC108" s="134">
        <f t="shared" si="25"/>
        <v>1.62</v>
      </c>
      <c r="AD108" s="134">
        <f t="shared" si="25"/>
        <v>1.62</v>
      </c>
      <c r="AE108" s="134">
        <f t="shared" si="25"/>
        <v>1.62</v>
      </c>
      <c r="AF108" s="134">
        <f t="shared" si="25"/>
        <v>1.62</v>
      </c>
      <c r="AG108" s="136">
        <v>8</v>
      </c>
      <c r="AH108" s="55"/>
      <c r="AI108" s="56"/>
      <c r="AK108" s="57"/>
    </row>
    <row r="109" spans="1:37" x14ac:dyDescent="0.25">
      <c r="A109" s="121" t="s">
        <v>113</v>
      </c>
      <c r="B109" s="133">
        <v>8.36</v>
      </c>
      <c r="C109" s="134">
        <f t="shared" si="24"/>
        <v>8.36</v>
      </c>
      <c r="D109" s="134">
        <f t="shared" si="24"/>
        <v>8.36</v>
      </c>
      <c r="E109" s="134">
        <f t="shared" si="24"/>
        <v>8.36</v>
      </c>
      <c r="F109" s="134">
        <f t="shared" si="24"/>
        <v>8.36</v>
      </c>
      <c r="G109" s="134">
        <f t="shared" si="24"/>
        <v>8.36</v>
      </c>
      <c r="H109" s="134">
        <f t="shared" si="24"/>
        <v>8.36</v>
      </c>
      <c r="I109" s="134">
        <f t="shared" si="24"/>
        <v>8.36</v>
      </c>
      <c r="J109" s="134">
        <f t="shared" si="24"/>
        <v>8.36</v>
      </c>
      <c r="K109" s="134">
        <f t="shared" si="24"/>
        <v>8.36</v>
      </c>
      <c r="L109" s="134">
        <f t="shared" si="24"/>
        <v>8.36</v>
      </c>
      <c r="M109" s="134">
        <f t="shared" si="24"/>
        <v>8.36</v>
      </c>
      <c r="N109" s="134">
        <f t="shared" si="24"/>
        <v>8.36</v>
      </c>
      <c r="O109" s="134">
        <f t="shared" si="24"/>
        <v>8.36</v>
      </c>
      <c r="P109" s="134">
        <f t="shared" si="24"/>
        <v>8.36</v>
      </c>
      <c r="Q109" s="134">
        <f t="shared" si="24"/>
        <v>8.36</v>
      </c>
      <c r="R109" s="134">
        <f t="shared" si="24"/>
        <v>8.36</v>
      </c>
      <c r="S109" s="134">
        <f t="shared" si="25"/>
        <v>8.36</v>
      </c>
      <c r="T109" s="134">
        <f t="shared" si="25"/>
        <v>8.36</v>
      </c>
      <c r="U109" s="134">
        <f t="shared" si="25"/>
        <v>8.36</v>
      </c>
      <c r="V109" s="134">
        <f t="shared" si="25"/>
        <v>8.36</v>
      </c>
      <c r="W109" s="134">
        <f t="shared" si="25"/>
        <v>8.36</v>
      </c>
      <c r="X109" s="134">
        <f t="shared" si="25"/>
        <v>8.36</v>
      </c>
      <c r="Y109" s="134">
        <f t="shared" si="25"/>
        <v>8.36</v>
      </c>
      <c r="Z109" s="134">
        <f t="shared" si="25"/>
        <v>8.36</v>
      </c>
      <c r="AA109" s="134">
        <f t="shared" si="25"/>
        <v>8.36</v>
      </c>
      <c r="AB109" s="134">
        <f t="shared" si="25"/>
        <v>8.36</v>
      </c>
      <c r="AC109" s="134">
        <f t="shared" si="25"/>
        <v>8.36</v>
      </c>
      <c r="AD109" s="134">
        <f t="shared" si="25"/>
        <v>8.36</v>
      </c>
      <c r="AE109" s="134">
        <f t="shared" si="25"/>
        <v>8.36</v>
      </c>
      <c r="AF109" s="134">
        <f t="shared" si="25"/>
        <v>8.36</v>
      </c>
      <c r="AG109" s="136">
        <v>8</v>
      </c>
      <c r="AH109" s="55"/>
      <c r="AI109" s="56"/>
      <c r="AK109" s="57"/>
    </row>
    <row r="110" spans="1:37" x14ac:dyDescent="0.25">
      <c r="A110" s="121" t="s">
        <v>114</v>
      </c>
      <c r="B110" s="133">
        <v>8</v>
      </c>
      <c r="C110" s="134">
        <f t="shared" si="24"/>
        <v>8</v>
      </c>
      <c r="D110" s="134">
        <f t="shared" si="24"/>
        <v>8</v>
      </c>
      <c r="E110" s="134">
        <f t="shared" si="24"/>
        <v>8</v>
      </c>
      <c r="F110" s="134">
        <f t="shared" si="24"/>
        <v>8</v>
      </c>
      <c r="G110" s="134">
        <f t="shared" si="24"/>
        <v>8</v>
      </c>
      <c r="H110" s="134">
        <f t="shared" si="24"/>
        <v>8</v>
      </c>
      <c r="I110" s="134">
        <v>5.4</v>
      </c>
      <c r="J110" s="134">
        <f t="shared" si="24"/>
        <v>5.4</v>
      </c>
      <c r="K110" s="134">
        <f t="shared" si="24"/>
        <v>5.4</v>
      </c>
      <c r="L110" s="134">
        <f t="shared" si="24"/>
        <v>5.4</v>
      </c>
      <c r="M110" s="134">
        <f t="shared" si="24"/>
        <v>5.4</v>
      </c>
      <c r="N110" s="134">
        <f t="shared" si="24"/>
        <v>5.4</v>
      </c>
      <c r="O110" s="134">
        <f t="shared" si="24"/>
        <v>5.4</v>
      </c>
      <c r="P110" s="134">
        <f t="shared" si="24"/>
        <v>5.4</v>
      </c>
      <c r="Q110" s="134">
        <f t="shared" si="24"/>
        <v>5.4</v>
      </c>
      <c r="R110" s="134">
        <f t="shared" si="24"/>
        <v>5.4</v>
      </c>
      <c r="S110" s="134">
        <f t="shared" si="25"/>
        <v>5.4</v>
      </c>
      <c r="T110" s="134">
        <f t="shared" si="25"/>
        <v>5.4</v>
      </c>
      <c r="U110" s="134">
        <f t="shared" si="25"/>
        <v>5.4</v>
      </c>
      <c r="V110" s="134">
        <f t="shared" si="25"/>
        <v>5.4</v>
      </c>
      <c r="W110" s="134">
        <f t="shared" si="25"/>
        <v>5.4</v>
      </c>
      <c r="X110" s="134">
        <f t="shared" si="25"/>
        <v>5.4</v>
      </c>
      <c r="Y110" s="134">
        <f t="shared" si="25"/>
        <v>5.4</v>
      </c>
      <c r="Z110" s="134">
        <f t="shared" si="25"/>
        <v>5.4</v>
      </c>
      <c r="AA110" s="134">
        <f t="shared" si="25"/>
        <v>5.4</v>
      </c>
      <c r="AB110" s="134">
        <f t="shared" si="25"/>
        <v>5.4</v>
      </c>
      <c r="AC110" s="134">
        <f t="shared" si="25"/>
        <v>5.4</v>
      </c>
      <c r="AD110" s="134">
        <f t="shared" si="25"/>
        <v>5.4</v>
      </c>
      <c r="AE110" s="134">
        <f t="shared" si="25"/>
        <v>5.4</v>
      </c>
      <c r="AF110" s="134">
        <f t="shared" si="25"/>
        <v>5.4</v>
      </c>
      <c r="AG110" s="136">
        <v>8</v>
      </c>
      <c r="AH110" s="55"/>
      <c r="AI110" s="56"/>
      <c r="AK110" s="57"/>
    </row>
    <row r="111" spans="1:37" x14ac:dyDescent="0.25">
      <c r="A111" s="121" t="s">
        <v>115</v>
      </c>
      <c r="B111" s="133">
        <v>6.57</v>
      </c>
      <c r="C111" s="134">
        <f t="shared" si="24"/>
        <v>6.57</v>
      </c>
      <c r="D111" s="134">
        <f t="shared" si="24"/>
        <v>6.57</v>
      </c>
      <c r="E111" s="134">
        <f t="shared" si="24"/>
        <v>6.57</v>
      </c>
      <c r="F111" s="134">
        <f t="shared" si="24"/>
        <v>6.57</v>
      </c>
      <c r="G111" s="134">
        <f t="shared" si="24"/>
        <v>6.57</v>
      </c>
      <c r="H111" s="134">
        <f t="shared" si="24"/>
        <v>6.57</v>
      </c>
      <c r="I111" s="134">
        <f t="shared" si="24"/>
        <v>6.57</v>
      </c>
      <c r="J111" s="134">
        <f t="shared" si="24"/>
        <v>6.57</v>
      </c>
      <c r="K111" s="134">
        <f t="shared" si="24"/>
        <v>6.57</v>
      </c>
      <c r="L111" s="134">
        <f t="shared" si="24"/>
        <v>6.57</v>
      </c>
      <c r="M111" s="134">
        <f t="shared" si="24"/>
        <v>6.57</v>
      </c>
      <c r="N111" s="134">
        <f t="shared" si="24"/>
        <v>6.57</v>
      </c>
      <c r="O111" s="134">
        <f t="shared" si="24"/>
        <v>6.57</v>
      </c>
      <c r="P111" s="134">
        <f t="shared" si="24"/>
        <v>6.57</v>
      </c>
      <c r="Q111" s="134">
        <f t="shared" si="24"/>
        <v>6.57</v>
      </c>
      <c r="R111" s="134">
        <f t="shared" si="24"/>
        <v>6.57</v>
      </c>
      <c r="S111" s="134">
        <f t="shared" si="25"/>
        <v>6.57</v>
      </c>
      <c r="T111" s="134">
        <f t="shared" si="25"/>
        <v>6.57</v>
      </c>
      <c r="U111" s="134">
        <f t="shared" si="25"/>
        <v>6.57</v>
      </c>
      <c r="V111" s="134">
        <f t="shared" si="25"/>
        <v>6.57</v>
      </c>
      <c r="W111" s="134">
        <f t="shared" si="25"/>
        <v>6.57</v>
      </c>
      <c r="X111" s="134">
        <f t="shared" si="25"/>
        <v>6.57</v>
      </c>
      <c r="Y111" s="134">
        <f t="shared" si="25"/>
        <v>6.57</v>
      </c>
      <c r="Z111" s="134">
        <f t="shared" si="25"/>
        <v>6.57</v>
      </c>
      <c r="AA111" s="134">
        <f t="shared" si="25"/>
        <v>6.57</v>
      </c>
      <c r="AB111" s="134">
        <f t="shared" si="25"/>
        <v>6.57</v>
      </c>
      <c r="AC111" s="134">
        <f t="shared" si="25"/>
        <v>6.57</v>
      </c>
      <c r="AD111" s="134">
        <f t="shared" si="25"/>
        <v>6.57</v>
      </c>
      <c r="AE111" s="134">
        <f t="shared" si="25"/>
        <v>6.57</v>
      </c>
      <c r="AF111" s="134">
        <f t="shared" si="25"/>
        <v>6.57</v>
      </c>
      <c r="AG111" s="136">
        <v>7.8</v>
      </c>
      <c r="AH111" s="55"/>
      <c r="AI111" s="56"/>
      <c r="AK111" s="57"/>
    </row>
    <row r="112" spans="1:37" x14ac:dyDescent="0.25">
      <c r="A112" s="121" t="s">
        <v>116</v>
      </c>
      <c r="B112" s="133">
        <v>3.43</v>
      </c>
      <c r="C112" s="134">
        <f t="shared" si="24"/>
        <v>3.43</v>
      </c>
      <c r="D112" s="134">
        <f t="shared" si="24"/>
        <v>3.43</v>
      </c>
      <c r="E112" s="134">
        <f t="shared" si="24"/>
        <v>3.43</v>
      </c>
      <c r="F112" s="134">
        <f t="shared" si="24"/>
        <v>3.43</v>
      </c>
      <c r="G112" s="134">
        <f t="shared" si="24"/>
        <v>3.43</v>
      </c>
      <c r="H112" s="134">
        <f t="shared" si="24"/>
        <v>3.43</v>
      </c>
      <c r="I112" s="134">
        <f t="shared" si="24"/>
        <v>3.43</v>
      </c>
      <c r="J112" s="134">
        <f t="shared" si="24"/>
        <v>3.43</v>
      </c>
      <c r="K112" s="134">
        <f t="shared" si="24"/>
        <v>3.43</v>
      </c>
      <c r="L112" s="134">
        <f t="shared" si="24"/>
        <v>3.43</v>
      </c>
      <c r="M112" s="134">
        <f t="shared" si="24"/>
        <v>3.43</v>
      </c>
      <c r="N112" s="134">
        <f t="shared" si="24"/>
        <v>3.43</v>
      </c>
      <c r="O112" s="134">
        <f t="shared" si="24"/>
        <v>3.43</v>
      </c>
      <c r="P112" s="134">
        <f t="shared" si="24"/>
        <v>3.43</v>
      </c>
      <c r="Q112" s="134">
        <f t="shared" si="24"/>
        <v>3.43</v>
      </c>
      <c r="R112" s="134">
        <f t="shared" si="24"/>
        <v>3.43</v>
      </c>
      <c r="S112" s="134">
        <f t="shared" si="25"/>
        <v>3.43</v>
      </c>
      <c r="T112" s="134">
        <f t="shared" si="25"/>
        <v>3.43</v>
      </c>
      <c r="U112" s="134">
        <f t="shared" si="25"/>
        <v>3.43</v>
      </c>
      <c r="V112" s="134">
        <f t="shared" si="25"/>
        <v>3.43</v>
      </c>
      <c r="W112" s="134">
        <f t="shared" si="25"/>
        <v>3.43</v>
      </c>
      <c r="X112" s="134">
        <f t="shared" si="25"/>
        <v>3.43</v>
      </c>
      <c r="Y112" s="134">
        <f t="shared" si="25"/>
        <v>3.43</v>
      </c>
      <c r="Z112" s="134">
        <f t="shared" si="25"/>
        <v>3.43</v>
      </c>
      <c r="AA112" s="134">
        <f t="shared" si="25"/>
        <v>3.43</v>
      </c>
      <c r="AB112" s="134">
        <f t="shared" si="25"/>
        <v>3.43</v>
      </c>
      <c r="AC112" s="134">
        <f t="shared" si="25"/>
        <v>3.43</v>
      </c>
      <c r="AD112" s="134">
        <f t="shared" si="25"/>
        <v>3.43</v>
      </c>
      <c r="AE112" s="134">
        <f t="shared" si="25"/>
        <v>3.43</v>
      </c>
      <c r="AF112" s="134">
        <f t="shared" si="25"/>
        <v>3.43</v>
      </c>
      <c r="AG112" s="136">
        <v>7.6</v>
      </c>
      <c r="AH112" s="55"/>
      <c r="AI112" s="56"/>
      <c r="AK112" s="57"/>
    </row>
    <row r="113" spans="1:37" x14ac:dyDescent="0.25">
      <c r="A113" s="121" t="s">
        <v>117</v>
      </c>
      <c r="B113" s="133">
        <v>2.96</v>
      </c>
      <c r="C113" s="134">
        <f t="shared" si="24"/>
        <v>2.96</v>
      </c>
      <c r="D113" s="134">
        <f t="shared" si="24"/>
        <v>2.96</v>
      </c>
      <c r="E113" s="134">
        <f t="shared" si="24"/>
        <v>2.96</v>
      </c>
      <c r="F113" s="134">
        <f t="shared" si="24"/>
        <v>2.96</v>
      </c>
      <c r="G113" s="134">
        <f t="shared" si="24"/>
        <v>2.96</v>
      </c>
      <c r="H113" s="134">
        <f t="shared" si="24"/>
        <v>2.96</v>
      </c>
      <c r="I113" s="134">
        <f t="shared" si="24"/>
        <v>2.96</v>
      </c>
      <c r="J113" s="134">
        <f t="shared" si="24"/>
        <v>2.96</v>
      </c>
      <c r="K113" s="134">
        <f t="shared" si="24"/>
        <v>2.96</v>
      </c>
      <c r="L113" s="134">
        <f t="shared" si="24"/>
        <v>2.96</v>
      </c>
      <c r="M113" s="134">
        <f t="shared" si="24"/>
        <v>2.96</v>
      </c>
      <c r="N113" s="134">
        <f t="shared" si="24"/>
        <v>2.96</v>
      </c>
      <c r="O113" s="134">
        <f t="shared" si="24"/>
        <v>2.96</v>
      </c>
      <c r="P113" s="134">
        <f t="shared" si="24"/>
        <v>2.96</v>
      </c>
      <c r="Q113" s="134">
        <f t="shared" si="24"/>
        <v>2.96</v>
      </c>
      <c r="R113" s="134">
        <f t="shared" si="24"/>
        <v>2.96</v>
      </c>
      <c r="S113" s="134">
        <f t="shared" si="25"/>
        <v>2.96</v>
      </c>
      <c r="T113" s="134">
        <f t="shared" si="25"/>
        <v>2.96</v>
      </c>
      <c r="U113" s="134">
        <f t="shared" si="25"/>
        <v>2.96</v>
      </c>
      <c r="V113" s="134">
        <f t="shared" si="25"/>
        <v>2.96</v>
      </c>
      <c r="W113" s="134">
        <f t="shared" si="25"/>
        <v>2.96</v>
      </c>
      <c r="X113" s="134">
        <f t="shared" si="25"/>
        <v>2.96</v>
      </c>
      <c r="Y113" s="134">
        <f t="shared" si="25"/>
        <v>2.96</v>
      </c>
      <c r="Z113" s="134">
        <f t="shared" si="25"/>
        <v>2.96</v>
      </c>
      <c r="AA113" s="134">
        <f t="shared" si="25"/>
        <v>2.96</v>
      </c>
      <c r="AB113" s="134">
        <f t="shared" si="25"/>
        <v>2.96</v>
      </c>
      <c r="AC113" s="134">
        <f t="shared" si="25"/>
        <v>2.96</v>
      </c>
      <c r="AD113" s="134">
        <f t="shared" si="25"/>
        <v>2.96</v>
      </c>
      <c r="AE113" s="134">
        <f t="shared" si="25"/>
        <v>2.96</v>
      </c>
      <c r="AF113" s="134">
        <f t="shared" si="25"/>
        <v>2.96</v>
      </c>
      <c r="AG113" s="136">
        <v>7.5</v>
      </c>
      <c r="AH113" s="55"/>
      <c r="AI113" s="56"/>
      <c r="AK113" s="57"/>
    </row>
    <row r="114" spans="1:37" x14ac:dyDescent="0.25">
      <c r="A114" s="121" t="s">
        <v>118</v>
      </c>
      <c r="B114" s="133">
        <v>8</v>
      </c>
      <c r="C114" s="134">
        <f t="shared" si="24"/>
        <v>8</v>
      </c>
      <c r="D114" s="134">
        <f t="shared" si="24"/>
        <v>8</v>
      </c>
      <c r="E114" s="134">
        <f t="shared" si="24"/>
        <v>8</v>
      </c>
      <c r="F114" s="134">
        <f t="shared" si="24"/>
        <v>8</v>
      </c>
      <c r="G114" s="134">
        <f t="shared" si="24"/>
        <v>8</v>
      </c>
      <c r="H114" s="134">
        <f t="shared" si="24"/>
        <v>8</v>
      </c>
      <c r="I114" s="134">
        <f t="shared" si="24"/>
        <v>8</v>
      </c>
      <c r="J114" s="134">
        <f t="shared" si="24"/>
        <v>8</v>
      </c>
      <c r="K114" s="134">
        <f t="shared" si="24"/>
        <v>8</v>
      </c>
      <c r="L114" s="134">
        <f t="shared" si="24"/>
        <v>8</v>
      </c>
      <c r="M114" s="134">
        <f t="shared" si="24"/>
        <v>8</v>
      </c>
      <c r="N114" s="134">
        <f t="shared" si="24"/>
        <v>8</v>
      </c>
      <c r="O114" s="134">
        <f t="shared" si="24"/>
        <v>8</v>
      </c>
      <c r="P114" s="134">
        <f t="shared" si="24"/>
        <v>8</v>
      </c>
      <c r="Q114" s="134">
        <f t="shared" si="24"/>
        <v>8</v>
      </c>
      <c r="R114" s="134">
        <f t="shared" si="24"/>
        <v>8</v>
      </c>
      <c r="S114" s="134">
        <f t="shared" si="25"/>
        <v>8</v>
      </c>
      <c r="T114" s="134">
        <f t="shared" si="25"/>
        <v>8</v>
      </c>
      <c r="U114" s="134">
        <f t="shared" si="25"/>
        <v>8</v>
      </c>
      <c r="V114" s="134">
        <f t="shared" si="25"/>
        <v>8</v>
      </c>
      <c r="W114" s="134">
        <f t="shared" si="25"/>
        <v>8</v>
      </c>
      <c r="X114" s="134">
        <f t="shared" si="25"/>
        <v>8</v>
      </c>
      <c r="Y114" s="134">
        <f t="shared" si="25"/>
        <v>8</v>
      </c>
      <c r="Z114" s="134">
        <f t="shared" si="25"/>
        <v>8</v>
      </c>
      <c r="AA114" s="134">
        <f t="shared" si="25"/>
        <v>8</v>
      </c>
      <c r="AB114" s="134">
        <f t="shared" si="25"/>
        <v>8</v>
      </c>
      <c r="AC114" s="134">
        <f t="shared" si="25"/>
        <v>8</v>
      </c>
      <c r="AD114" s="134">
        <f t="shared" si="25"/>
        <v>8</v>
      </c>
      <c r="AE114" s="134">
        <f t="shared" si="25"/>
        <v>8</v>
      </c>
      <c r="AF114" s="134">
        <f t="shared" si="25"/>
        <v>8</v>
      </c>
      <c r="AG114" s="136">
        <v>7.5</v>
      </c>
      <c r="AH114" s="55"/>
      <c r="AI114" s="56"/>
      <c r="AK114" s="57"/>
    </row>
    <row r="115" spans="1:37" x14ac:dyDescent="0.25">
      <c r="A115" s="121" t="s">
        <v>119</v>
      </c>
      <c r="B115" s="133">
        <v>7</v>
      </c>
      <c r="C115" s="134">
        <f>B115</f>
        <v>7</v>
      </c>
      <c r="D115" s="134">
        <f t="shared" si="24"/>
        <v>7</v>
      </c>
      <c r="E115" s="134">
        <f t="shared" si="24"/>
        <v>7</v>
      </c>
      <c r="F115" s="134">
        <f t="shared" si="24"/>
        <v>7</v>
      </c>
      <c r="G115" s="134">
        <f t="shared" si="24"/>
        <v>7</v>
      </c>
      <c r="H115" s="134">
        <f t="shared" si="24"/>
        <v>7</v>
      </c>
      <c r="I115" s="134">
        <f t="shared" si="24"/>
        <v>7</v>
      </c>
      <c r="J115" s="134">
        <f t="shared" si="24"/>
        <v>7</v>
      </c>
      <c r="K115" s="134">
        <f t="shared" si="24"/>
        <v>7</v>
      </c>
      <c r="L115" s="134">
        <f t="shared" si="24"/>
        <v>7</v>
      </c>
      <c r="M115" s="134">
        <f t="shared" si="24"/>
        <v>7</v>
      </c>
      <c r="N115" s="134">
        <f t="shared" si="24"/>
        <v>7</v>
      </c>
      <c r="O115" s="134">
        <f t="shared" si="24"/>
        <v>7</v>
      </c>
      <c r="P115" s="134">
        <f t="shared" si="24"/>
        <v>7</v>
      </c>
      <c r="Q115" s="134">
        <f t="shared" si="24"/>
        <v>7</v>
      </c>
      <c r="R115" s="134">
        <f t="shared" si="24"/>
        <v>7</v>
      </c>
      <c r="S115" s="134">
        <f t="shared" si="25"/>
        <v>7</v>
      </c>
      <c r="T115" s="134">
        <f t="shared" si="25"/>
        <v>7</v>
      </c>
      <c r="U115" s="134">
        <f t="shared" si="25"/>
        <v>7</v>
      </c>
      <c r="V115" s="134">
        <f t="shared" si="25"/>
        <v>7</v>
      </c>
      <c r="W115" s="134">
        <f t="shared" si="25"/>
        <v>7</v>
      </c>
      <c r="X115" s="134">
        <f t="shared" si="25"/>
        <v>7</v>
      </c>
      <c r="Y115" s="134">
        <f t="shared" si="25"/>
        <v>7</v>
      </c>
      <c r="Z115" s="134">
        <f t="shared" si="25"/>
        <v>7</v>
      </c>
      <c r="AA115" s="134">
        <f t="shared" si="25"/>
        <v>7</v>
      </c>
      <c r="AB115" s="134">
        <f t="shared" si="25"/>
        <v>7</v>
      </c>
      <c r="AC115" s="134">
        <f t="shared" si="25"/>
        <v>7</v>
      </c>
      <c r="AD115" s="134">
        <f t="shared" si="25"/>
        <v>7</v>
      </c>
      <c r="AE115" s="134">
        <f t="shared" si="25"/>
        <v>7</v>
      </c>
      <c r="AF115" s="134">
        <f t="shared" si="25"/>
        <v>7</v>
      </c>
      <c r="AG115" s="136">
        <v>7</v>
      </c>
      <c r="AH115" s="55"/>
      <c r="AI115" s="56"/>
      <c r="AK115" s="57"/>
    </row>
    <row r="116" spans="1:37" x14ac:dyDescent="0.25">
      <c r="A116" s="121" t="s">
        <v>120</v>
      </c>
      <c r="B116" s="133">
        <v>3.47</v>
      </c>
      <c r="C116" s="134">
        <f t="shared" ref="C116:R125" si="26">B116</f>
        <v>3.47</v>
      </c>
      <c r="D116" s="134">
        <f t="shared" si="26"/>
        <v>3.47</v>
      </c>
      <c r="E116" s="134">
        <f t="shared" si="26"/>
        <v>3.47</v>
      </c>
      <c r="F116" s="134">
        <f t="shared" si="26"/>
        <v>3.47</v>
      </c>
      <c r="G116" s="134">
        <f t="shared" si="26"/>
        <v>3.47</v>
      </c>
      <c r="H116" s="134">
        <f t="shared" si="26"/>
        <v>3.47</v>
      </c>
      <c r="I116" s="134">
        <f t="shared" si="26"/>
        <v>3.47</v>
      </c>
      <c r="J116" s="134">
        <f t="shared" si="26"/>
        <v>3.47</v>
      </c>
      <c r="K116" s="134">
        <f t="shared" si="26"/>
        <v>3.47</v>
      </c>
      <c r="L116" s="134">
        <f t="shared" si="26"/>
        <v>3.47</v>
      </c>
      <c r="M116" s="134">
        <f t="shared" si="26"/>
        <v>3.47</v>
      </c>
      <c r="N116" s="134">
        <f t="shared" si="26"/>
        <v>3.47</v>
      </c>
      <c r="O116" s="134">
        <f t="shared" si="26"/>
        <v>3.47</v>
      </c>
      <c r="P116" s="134">
        <f t="shared" si="26"/>
        <v>3.47</v>
      </c>
      <c r="Q116" s="134">
        <f t="shared" si="26"/>
        <v>3.47</v>
      </c>
      <c r="R116" s="134">
        <f t="shared" si="26"/>
        <v>3.47</v>
      </c>
      <c r="S116" s="134">
        <f t="shared" si="25"/>
        <v>3.47</v>
      </c>
      <c r="T116" s="134">
        <f t="shared" si="25"/>
        <v>3.47</v>
      </c>
      <c r="U116" s="134">
        <f t="shared" si="25"/>
        <v>3.47</v>
      </c>
      <c r="V116" s="134">
        <f t="shared" si="25"/>
        <v>3.47</v>
      </c>
      <c r="W116" s="134">
        <f t="shared" si="25"/>
        <v>3.47</v>
      </c>
      <c r="X116" s="134">
        <f t="shared" si="25"/>
        <v>3.47</v>
      </c>
      <c r="Y116" s="134">
        <f t="shared" si="25"/>
        <v>3.47</v>
      </c>
      <c r="Z116" s="134">
        <f t="shared" si="25"/>
        <v>3.47</v>
      </c>
      <c r="AA116" s="134">
        <f t="shared" si="25"/>
        <v>3.47</v>
      </c>
      <c r="AB116" s="134">
        <f t="shared" si="25"/>
        <v>3.47</v>
      </c>
      <c r="AC116" s="134">
        <f t="shared" si="25"/>
        <v>3.47</v>
      </c>
      <c r="AD116" s="134">
        <f t="shared" si="25"/>
        <v>3.47</v>
      </c>
      <c r="AE116" s="134">
        <f t="shared" si="25"/>
        <v>3.47</v>
      </c>
      <c r="AF116" s="134">
        <f t="shared" si="25"/>
        <v>3.47</v>
      </c>
      <c r="AG116" s="136">
        <v>7</v>
      </c>
      <c r="AH116" s="55"/>
      <c r="AI116" s="56"/>
      <c r="AK116" s="57"/>
    </row>
    <row r="117" spans="1:37" x14ac:dyDescent="0.25">
      <c r="A117" s="121" t="s">
        <v>121</v>
      </c>
      <c r="B117" s="133">
        <v>2.1</v>
      </c>
      <c r="C117" s="134">
        <f t="shared" si="26"/>
        <v>2.1</v>
      </c>
      <c r="D117" s="134">
        <f t="shared" si="26"/>
        <v>2.1</v>
      </c>
      <c r="E117" s="134">
        <f t="shared" si="26"/>
        <v>2.1</v>
      </c>
      <c r="F117" s="134">
        <f t="shared" si="26"/>
        <v>2.1</v>
      </c>
      <c r="G117" s="134">
        <f t="shared" si="26"/>
        <v>2.1</v>
      </c>
      <c r="H117" s="134">
        <f t="shared" si="26"/>
        <v>2.1</v>
      </c>
      <c r="I117" s="134">
        <f t="shared" si="26"/>
        <v>2.1</v>
      </c>
      <c r="J117" s="134">
        <f t="shared" si="26"/>
        <v>2.1</v>
      </c>
      <c r="K117" s="134">
        <f t="shared" si="26"/>
        <v>2.1</v>
      </c>
      <c r="L117" s="134">
        <f t="shared" si="26"/>
        <v>2.1</v>
      </c>
      <c r="M117" s="134">
        <f t="shared" si="26"/>
        <v>2.1</v>
      </c>
      <c r="N117" s="134">
        <f t="shared" si="26"/>
        <v>2.1</v>
      </c>
      <c r="O117" s="134">
        <f t="shared" si="26"/>
        <v>2.1</v>
      </c>
      <c r="P117" s="134">
        <f t="shared" si="26"/>
        <v>2.1</v>
      </c>
      <c r="Q117" s="134">
        <f t="shared" si="26"/>
        <v>2.1</v>
      </c>
      <c r="R117" s="134">
        <f t="shared" si="26"/>
        <v>2.1</v>
      </c>
      <c r="S117" s="134">
        <f t="shared" si="25"/>
        <v>2.1</v>
      </c>
      <c r="T117" s="134">
        <f t="shared" si="25"/>
        <v>2.1</v>
      </c>
      <c r="U117" s="134">
        <f t="shared" si="25"/>
        <v>2.1</v>
      </c>
      <c r="V117" s="134">
        <f t="shared" si="25"/>
        <v>2.1</v>
      </c>
      <c r="W117" s="134">
        <f t="shared" si="25"/>
        <v>2.1</v>
      </c>
      <c r="X117" s="134">
        <f t="shared" si="25"/>
        <v>2.1</v>
      </c>
      <c r="Y117" s="134">
        <f t="shared" si="25"/>
        <v>2.1</v>
      </c>
      <c r="Z117" s="134">
        <f t="shared" si="25"/>
        <v>2.1</v>
      </c>
      <c r="AA117" s="134">
        <f t="shared" si="25"/>
        <v>2.1</v>
      </c>
      <c r="AB117" s="134">
        <f t="shared" si="25"/>
        <v>2.1</v>
      </c>
      <c r="AC117" s="134">
        <f t="shared" si="25"/>
        <v>2.1</v>
      </c>
      <c r="AD117" s="134">
        <f t="shared" si="25"/>
        <v>2.1</v>
      </c>
      <c r="AE117" s="134">
        <f t="shared" si="25"/>
        <v>2.1</v>
      </c>
      <c r="AF117" s="134">
        <f t="shared" si="25"/>
        <v>2.1</v>
      </c>
      <c r="AG117" s="136">
        <v>7</v>
      </c>
      <c r="AH117" s="55"/>
      <c r="AI117" s="56"/>
      <c r="AK117" s="57"/>
    </row>
    <row r="118" spans="1:37" x14ac:dyDescent="0.25">
      <c r="A118" s="121" t="s">
        <v>122</v>
      </c>
      <c r="B118" s="133">
        <v>9.3000000000000007</v>
      </c>
      <c r="C118" s="134">
        <f t="shared" si="26"/>
        <v>9.3000000000000007</v>
      </c>
      <c r="D118" s="134">
        <f t="shared" si="26"/>
        <v>9.3000000000000007</v>
      </c>
      <c r="E118" s="134">
        <f t="shared" si="26"/>
        <v>9.3000000000000007</v>
      </c>
      <c r="F118" s="134">
        <f t="shared" si="26"/>
        <v>9.3000000000000007</v>
      </c>
      <c r="G118" s="134">
        <f t="shared" si="26"/>
        <v>9.3000000000000007</v>
      </c>
      <c r="H118" s="134">
        <f t="shared" si="26"/>
        <v>9.3000000000000007</v>
      </c>
      <c r="I118" s="134">
        <f t="shared" si="26"/>
        <v>9.3000000000000007</v>
      </c>
      <c r="J118" s="134">
        <f t="shared" si="26"/>
        <v>9.3000000000000007</v>
      </c>
      <c r="K118" s="134">
        <f t="shared" si="26"/>
        <v>9.3000000000000007</v>
      </c>
      <c r="L118" s="134">
        <f t="shared" si="26"/>
        <v>9.3000000000000007</v>
      </c>
      <c r="M118" s="134">
        <f t="shared" si="26"/>
        <v>9.3000000000000007</v>
      </c>
      <c r="N118" s="134">
        <f t="shared" si="26"/>
        <v>9.3000000000000007</v>
      </c>
      <c r="O118" s="134">
        <f t="shared" si="26"/>
        <v>9.3000000000000007</v>
      </c>
      <c r="P118" s="134">
        <f t="shared" si="26"/>
        <v>9.3000000000000007</v>
      </c>
      <c r="Q118" s="134">
        <f t="shared" si="26"/>
        <v>9.3000000000000007</v>
      </c>
      <c r="R118" s="134">
        <f t="shared" si="26"/>
        <v>9.3000000000000007</v>
      </c>
      <c r="S118" s="134">
        <f t="shared" si="25"/>
        <v>9.3000000000000007</v>
      </c>
      <c r="T118" s="134">
        <f t="shared" si="25"/>
        <v>9.3000000000000007</v>
      </c>
      <c r="U118" s="134">
        <f t="shared" si="25"/>
        <v>9.3000000000000007</v>
      </c>
      <c r="V118" s="134">
        <f t="shared" si="25"/>
        <v>9.3000000000000007</v>
      </c>
      <c r="W118" s="134">
        <f t="shared" si="25"/>
        <v>9.3000000000000007</v>
      </c>
      <c r="X118" s="134">
        <f t="shared" si="25"/>
        <v>9.3000000000000007</v>
      </c>
      <c r="Y118" s="134">
        <f t="shared" si="25"/>
        <v>9.3000000000000007</v>
      </c>
      <c r="Z118" s="134">
        <f t="shared" si="25"/>
        <v>9.3000000000000007</v>
      </c>
      <c r="AA118" s="134">
        <f t="shared" si="25"/>
        <v>9.3000000000000007</v>
      </c>
      <c r="AB118" s="134">
        <f t="shared" si="25"/>
        <v>9.3000000000000007</v>
      </c>
      <c r="AC118" s="134">
        <f t="shared" si="25"/>
        <v>9.3000000000000007</v>
      </c>
      <c r="AD118" s="134">
        <f t="shared" si="25"/>
        <v>9.3000000000000007</v>
      </c>
      <c r="AE118" s="134">
        <f t="shared" si="25"/>
        <v>9.3000000000000007</v>
      </c>
      <c r="AF118" s="134">
        <f t="shared" si="25"/>
        <v>9.3000000000000007</v>
      </c>
      <c r="AG118" s="136">
        <v>7</v>
      </c>
      <c r="AH118" s="55"/>
      <c r="AI118" s="56"/>
      <c r="AK118" s="57"/>
    </row>
    <row r="119" spans="1:37" x14ac:dyDescent="0.25">
      <c r="A119" s="121" t="s">
        <v>123</v>
      </c>
      <c r="B119" s="133">
        <v>0</v>
      </c>
      <c r="C119" s="134">
        <f t="shared" si="26"/>
        <v>0</v>
      </c>
      <c r="D119" s="134">
        <f t="shared" si="26"/>
        <v>0</v>
      </c>
      <c r="E119" s="134">
        <f t="shared" si="26"/>
        <v>0</v>
      </c>
      <c r="F119" s="134">
        <f t="shared" si="26"/>
        <v>0</v>
      </c>
      <c r="G119" s="134">
        <f t="shared" si="26"/>
        <v>0</v>
      </c>
      <c r="H119" s="134">
        <f t="shared" si="26"/>
        <v>0</v>
      </c>
      <c r="I119" s="134">
        <f t="shared" si="26"/>
        <v>0</v>
      </c>
      <c r="J119" s="134">
        <f t="shared" si="26"/>
        <v>0</v>
      </c>
      <c r="K119" s="134">
        <f t="shared" si="26"/>
        <v>0</v>
      </c>
      <c r="L119" s="134">
        <f t="shared" si="26"/>
        <v>0</v>
      </c>
      <c r="M119" s="134">
        <f t="shared" si="26"/>
        <v>0</v>
      </c>
      <c r="N119" s="134">
        <f t="shared" si="26"/>
        <v>0</v>
      </c>
      <c r="O119" s="134">
        <f t="shared" si="26"/>
        <v>0</v>
      </c>
      <c r="P119" s="134">
        <f t="shared" si="26"/>
        <v>0</v>
      </c>
      <c r="Q119" s="134">
        <f t="shared" si="26"/>
        <v>0</v>
      </c>
      <c r="R119" s="134">
        <f t="shared" si="26"/>
        <v>0</v>
      </c>
      <c r="S119" s="134">
        <f t="shared" si="25"/>
        <v>0</v>
      </c>
      <c r="T119" s="134">
        <f t="shared" si="25"/>
        <v>0</v>
      </c>
      <c r="U119" s="134">
        <f t="shared" si="25"/>
        <v>0</v>
      </c>
      <c r="V119" s="134">
        <f t="shared" si="25"/>
        <v>0</v>
      </c>
      <c r="W119" s="134">
        <f t="shared" si="25"/>
        <v>0</v>
      </c>
      <c r="X119" s="134">
        <f t="shared" si="25"/>
        <v>0</v>
      </c>
      <c r="Y119" s="134">
        <f t="shared" si="25"/>
        <v>0</v>
      </c>
      <c r="Z119" s="134">
        <f t="shared" si="25"/>
        <v>0</v>
      </c>
      <c r="AA119" s="134">
        <f t="shared" si="25"/>
        <v>0</v>
      </c>
      <c r="AB119" s="134">
        <f t="shared" si="25"/>
        <v>0</v>
      </c>
      <c r="AC119" s="134">
        <f t="shared" si="25"/>
        <v>0</v>
      </c>
      <c r="AD119" s="134">
        <f t="shared" si="25"/>
        <v>0</v>
      </c>
      <c r="AE119" s="134">
        <f t="shared" si="25"/>
        <v>0</v>
      </c>
      <c r="AF119" s="134">
        <f t="shared" si="25"/>
        <v>0</v>
      </c>
      <c r="AG119" s="136">
        <v>6.6</v>
      </c>
      <c r="AH119" s="55"/>
      <c r="AI119" s="56"/>
      <c r="AK119" s="57"/>
    </row>
    <row r="120" spans="1:37" x14ac:dyDescent="0.25">
      <c r="A120" s="121" t="s">
        <v>124</v>
      </c>
      <c r="B120" s="133">
        <v>0</v>
      </c>
      <c r="C120" s="134">
        <f t="shared" si="26"/>
        <v>0</v>
      </c>
      <c r="D120" s="134">
        <f t="shared" si="26"/>
        <v>0</v>
      </c>
      <c r="E120" s="134">
        <f t="shared" si="26"/>
        <v>0</v>
      </c>
      <c r="F120" s="134">
        <f t="shared" si="26"/>
        <v>0</v>
      </c>
      <c r="G120" s="134">
        <f t="shared" si="26"/>
        <v>0</v>
      </c>
      <c r="H120" s="134">
        <f t="shared" si="26"/>
        <v>0</v>
      </c>
      <c r="I120" s="134">
        <f t="shared" si="26"/>
        <v>0</v>
      </c>
      <c r="J120" s="134">
        <f t="shared" si="26"/>
        <v>0</v>
      </c>
      <c r="K120" s="134">
        <f t="shared" si="26"/>
        <v>0</v>
      </c>
      <c r="L120" s="134">
        <f t="shared" si="26"/>
        <v>0</v>
      </c>
      <c r="M120" s="134">
        <f t="shared" si="26"/>
        <v>0</v>
      </c>
      <c r="N120" s="134">
        <f t="shared" si="26"/>
        <v>0</v>
      </c>
      <c r="O120" s="134">
        <f t="shared" si="26"/>
        <v>0</v>
      </c>
      <c r="P120" s="134">
        <f t="shared" si="26"/>
        <v>0</v>
      </c>
      <c r="Q120" s="134">
        <f t="shared" si="26"/>
        <v>0</v>
      </c>
      <c r="R120" s="134">
        <f t="shared" si="26"/>
        <v>0</v>
      </c>
      <c r="S120" s="134">
        <f t="shared" si="25"/>
        <v>0</v>
      </c>
      <c r="T120" s="134">
        <f t="shared" si="25"/>
        <v>0</v>
      </c>
      <c r="U120" s="134">
        <f t="shared" si="25"/>
        <v>0</v>
      </c>
      <c r="V120" s="134">
        <f t="shared" si="25"/>
        <v>0</v>
      </c>
      <c r="W120" s="134">
        <f t="shared" si="25"/>
        <v>0</v>
      </c>
      <c r="X120" s="134">
        <f t="shared" si="25"/>
        <v>0</v>
      </c>
      <c r="Y120" s="134">
        <f t="shared" si="25"/>
        <v>0</v>
      </c>
      <c r="Z120" s="134">
        <f t="shared" si="25"/>
        <v>0</v>
      </c>
      <c r="AA120" s="134">
        <f t="shared" si="25"/>
        <v>0</v>
      </c>
      <c r="AB120" s="134">
        <f t="shared" si="25"/>
        <v>0</v>
      </c>
      <c r="AC120" s="134">
        <f t="shared" si="25"/>
        <v>0</v>
      </c>
      <c r="AD120" s="134">
        <f t="shared" si="25"/>
        <v>0</v>
      </c>
      <c r="AE120" s="134">
        <f t="shared" si="25"/>
        <v>0</v>
      </c>
      <c r="AF120" s="134">
        <f t="shared" si="25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125</v>
      </c>
      <c r="B121" s="133">
        <v>5</v>
      </c>
      <c r="C121" s="134">
        <f t="shared" si="26"/>
        <v>5</v>
      </c>
      <c r="D121" s="134">
        <f t="shared" si="26"/>
        <v>5</v>
      </c>
      <c r="E121" s="134">
        <f t="shared" si="26"/>
        <v>5</v>
      </c>
      <c r="F121" s="134">
        <f t="shared" si="26"/>
        <v>5</v>
      </c>
      <c r="G121" s="134">
        <f t="shared" si="26"/>
        <v>5</v>
      </c>
      <c r="H121" s="134">
        <f t="shared" si="26"/>
        <v>5</v>
      </c>
      <c r="I121" s="134">
        <f t="shared" si="26"/>
        <v>5</v>
      </c>
      <c r="J121" s="134">
        <f t="shared" si="26"/>
        <v>5</v>
      </c>
      <c r="K121" s="134">
        <f t="shared" si="26"/>
        <v>5</v>
      </c>
      <c r="L121" s="134">
        <f t="shared" si="26"/>
        <v>5</v>
      </c>
      <c r="M121" s="134">
        <f t="shared" si="26"/>
        <v>5</v>
      </c>
      <c r="N121" s="134">
        <f t="shared" si="26"/>
        <v>5</v>
      </c>
      <c r="O121" s="134">
        <f t="shared" si="26"/>
        <v>5</v>
      </c>
      <c r="P121" s="134">
        <f t="shared" si="26"/>
        <v>5</v>
      </c>
      <c r="Q121" s="134">
        <f t="shared" si="26"/>
        <v>5</v>
      </c>
      <c r="R121" s="134">
        <f t="shared" si="26"/>
        <v>5</v>
      </c>
      <c r="S121" s="134">
        <f t="shared" si="25"/>
        <v>5</v>
      </c>
      <c r="T121" s="134">
        <f t="shared" si="25"/>
        <v>5</v>
      </c>
      <c r="U121" s="134">
        <f t="shared" si="25"/>
        <v>5</v>
      </c>
      <c r="V121" s="134">
        <f t="shared" si="25"/>
        <v>5</v>
      </c>
      <c r="W121" s="134">
        <f t="shared" si="25"/>
        <v>5</v>
      </c>
      <c r="X121" s="134">
        <f t="shared" si="25"/>
        <v>5</v>
      </c>
      <c r="Y121" s="134">
        <f t="shared" si="25"/>
        <v>5</v>
      </c>
      <c r="Z121" s="134">
        <f t="shared" si="25"/>
        <v>5</v>
      </c>
      <c r="AA121" s="134">
        <f t="shared" si="25"/>
        <v>5</v>
      </c>
      <c r="AB121" s="134">
        <f t="shared" si="25"/>
        <v>5</v>
      </c>
      <c r="AC121" s="134">
        <f t="shared" si="25"/>
        <v>5</v>
      </c>
      <c r="AD121" s="134">
        <f t="shared" si="25"/>
        <v>5</v>
      </c>
      <c r="AE121" s="134">
        <f t="shared" si="25"/>
        <v>5</v>
      </c>
      <c r="AF121" s="134">
        <f t="shared" si="25"/>
        <v>5</v>
      </c>
      <c r="AG121" s="136">
        <v>6.4</v>
      </c>
      <c r="AH121" s="55"/>
      <c r="AI121" s="56"/>
      <c r="AK121" s="57"/>
    </row>
    <row r="122" spans="1:37" x14ac:dyDescent="0.25">
      <c r="A122" s="121" t="s">
        <v>126</v>
      </c>
      <c r="B122" s="133">
        <v>1</v>
      </c>
      <c r="C122" s="134">
        <f t="shared" si="26"/>
        <v>1</v>
      </c>
      <c r="D122" s="134">
        <f t="shared" si="26"/>
        <v>1</v>
      </c>
      <c r="E122" s="134">
        <f t="shared" si="26"/>
        <v>1</v>
      </c>
      <c r="F122" s="134">
        <f t="shared" si="26"/>
        <v>1</v>
      </c>
      <c r="G122" s="134">
        <f t="shared" si="26"/>
        <v>1</v>
      </c>
      <c r="H122" s="134">
        <f t="shared" si="26"/>
        <v>1</v>
      </c>
      <c r="I122" s="134">
        <f t="shared" si="26"/>
        <v>1</v>
      </c>
      <c r="J122" s="134">
        <f t="shared" si="26"/>
        <v>1</v>
      </c>
      <c r="K122" s="134">
        <f t="shared" si="26"/>
        <v>1</v>
      </c>
      <c r="L122" s="134">
        <f t="shared" si="26"/>
        <v>1</v>
      </c>
      <c r="M122" s="134">
        <f t="shared" si="26"/>
        <v>1</v>
      </c>
      <c r="N122" s="134">
        <f t="shared" si="26"/>
        <v>1</v>
      </c>
      <c r="O122" s="134">
        <f t="shared" si="26"/>
        <v>1</v>
      </c>
      <c r="P122" s="134">
        <f t="shared" si="26"/>
        <v>1</v>
      </c>
      <c r="Q122" s="134">
        <f t="shared" si="26"/>
        <v>1</v>
      </c>
      <c r="R122" s="134">
        <f t="shared" si="26"/>
        <v>1</v>
      </c>
      <c r="S122" s="134">
        <f t="shared" si="25"/>
        <v>1</v>
      </c>
      <c r="T122" s="134">
        <f t="shared" si="25"/>
        <v>1</v>
      </c>
      <c r="U122" s="134">
        <f t="shared" si="25"/>
        <v>1</v>
      </c>
      <c r="V122" s="134">
        <f t="shared" si="25"/>
        <v>1</v>
      </c>
      <c r="W122" s="134">
        <f t="shared" si="25"/>
        <v>1</v>
      </c>
      <c r="X122" s="134">
        <f t="shared" si="25"/>
        <v>1</v>
      </c>
      <c r="Y122" s="134">
        <f t="shared" si="25"/>
        <v>1</v>
      </c>
      <c r="Z122" s="134">
        <f t="shared" si="25"/>
        <v>1</v>
      </c>
      <c r="AA122" s="134">
        <f t="shared" si="25"/>
        <v>1</v>
      </c>
      <c r="AB122" s="134">
        <f t="shared" si="25"/>
        <v>1</v>
      </c>
      <c r="AC122" s="134">
        <f t="shared" si="25"/>
        <v>1</v>
      </c>
      <c r="AD122" s="134">
        <f t="shared" si="25"/>
        <v>1</v>
      </c>
      <c r="AE122" s="134">
        <f t="shared" si="25"/>
        <v>1</v>
      </c>
      <c r="AF122" s="134">
        <f t="shared" si="25"/>
        <v>1</v>
      </c>
      <c r="AG122" s="136">
        <v>6</v>
      </c>
      <c r="AH122" s="55"/>
      <c r="AI122" s="56"/>
      <c r="AK122" s="57"/>
    </row>
    <row r="123" spans="1:37" x14ac:dyDescent="0.25">
      <c r="A123" s="121" t="s">
        <v>127</v>
      </c>
      <c r="B123" s="133">
        <v>1.58</v>
      </c>
      <c r="C123" s="134">
        <f t="shared" si="26"/>
        <v>1.58</v>
      </c>
      <c r="D123" s="134">
        <f t="shared" si="26"/>
        <v>1.58</v>
      </c>
      <c r="E123" s="134">
        <f t="shared" si="26"/>
        <v>1.58</v>
      </c>
      <c r="F123" s="134">
        <f t="shared" si="26"/>
        <v>1.58</v>
      </c>
      <c r="G123" s="134">
        <f t="shared" si="26"/>
        <v>1.58</v>
      </c>
      <c r="H123" s="134">
        <f t="shared" si="26"/>
        <v>1.58</v>
      </c>
      <c r="I123" s="134">
        <f t="shared" si="26"/>
        <v>1.58</v>
      </c>
      <c r="J123" s="134">
        <f t="shared" si="26"/>
        <v>1.58</v>
      </c>
      <c r="K123" s="134">
        <f t="shared" si="26"/>
        <v>1.58</v>
      </c>
      <c r="L123" s="134">
        <f t="shared" si="26"/>
        <v>1.58</v>
      </c>
      <c r="M123" s="134">
        <f t="shared" si="26"/>
        <v>1.58</v>
      </c>
      <c r="N123" s="134">
        <f t="shared" si="26"/>
        <v>1.58</v>
      </c>
      <c r="O123" s="134">
        <f t="shared" si="26"/>
        <v>1.58</v>
      </c>
      <c r="P123" s="134">
        <f t="shared" si="26"/>
        <v>1.58</v>
      </c>
      <c r="Q123" s="134">
        <f t="shared" si="26"/>
        <v>1.58</v>
      </c>
      <c r="R123" s="134">
        <f t="shared" si="26"/>
        <v>1.58</v>
      </c>
      <c r="S123" s="134">
        <f t="shared" si="25"/>
        <v>1.58</v>
      </c>
      <c r="T123" s="134">
        <f t="shared" si="25"/>
        <v>1.58</v>
      </c>
      <c r="U123" s="134">
        <f t="shared" si="25"/>
        <v>1.58</v>
      </c>
      <c r="V123" s="134">
        <f t="shared" si="25"/>
        <v>1.58</v>
      </c>
      <c r="W123" s="134">
        <f t="shared" si="25"/>
        <v>1.58</v>
      </c>
      <c r="X123" s="134">
        <f t="shared" si="25"/>
        <v>1.58</v>
      </c>
      <c r="Y123" s="134">
        <f t="shared" si="25"/>
        <v>1.58</v>
      </c>
      <c r="Z123" s="134">
        <f t="shared" si="25"/>
        <v>1.58</v>
      </c>
      <c r="AA123" s="134">
        <f t="shared" si="25"/>
        <v>1.58</v>
      </c>
      <c r="AB123" s="134">
        <f t="shared" si="25"/>
        <v>1.58</v>
      </c>
      <c r="AC123" s="134">
        <f t="shared" si="25"/>
        <v>1.58</v>
      </c>
      <c r="AD123" s="134">
        <f t="shared" si="25"/>
        <v>1.58</v>
      </c>
      <c r="AE123" s="134">
        <f t="shared" si="25"/>
        <v>1.58</v>
      </c>
      <c r="AF123" s="134">
        <f t="shared" si="25"/>
        <v>1.58</v>
      </c>
      <c r="AG123" s="136">
        <v>5.0999999999999996</v>
      </c>
      <c r="AH123" s="55"/>
      <c r="AI123" s="56"/>
      <c r="AK123" s="57"/>
    </row>
    <row r="124" spans="1:37" x14ac:dyDescent="0.25">
      <c r="A124" s="121" t="s">
        <v>128</v>
      </c>
      <c r="B124" s="133">
        <v>1.46</v>
      </c>
      <c r="C124" s="134">
        <f t="shared" si="26"/>
        <v>1.46</v>
      </c>
      <c r="D124" s="134">
        <f t="shared" si="26"/>
        <v>1.46</v>
      </c>
      <c r="E124" s="134">
        <f t="shared" si="26"/>
        <v>1.46</v>
      </c>
      <c r="F124" s="134">
        <f t="shared" si="26"/>
        <v>1.46</v>
      </c>
      <c r="G124" s="134">
        <f t="shared" si="26"/>
        <v>1.46</v>
      </c>
      <c r="H124" s="134">
        <f t="shared" si="26"/>
        <v>1.46</v>
      </c>
      <c r="I124" s="134">
        <f t="shared" si="26"/>
        <v>1.46</v>
      </c>
      <c r="J124" s="134">
        <f t="shared" si="26"/>
        <v>1.46</v>
      </c>
      <c r="K124" s="134">
        <f t="shared" si="26"/>
        <v>1.46</v>
      </c>
      <c r="L124" s="134">
        <f t="shared" si="26"/>
        <v>1.46</v>
      </c>
      <c r="M124" s="134">
        <f t="shared" si="26"/>
        <v>1.46</v>
      </c>
      <c r="N124" s="134">
        <f t="shared" si="26"/>
        <v>1.46</v>
      </c>
      <c r="O124" s="134">
        <f t="shared" si="26"/>
        <v>1.46</v>
      </c>
      <c r="P124" s="134">
        <f t="shared" si="26"/>
        <v>1.46</v>
      </c>
      <c r="Q124" s="134">
        <f t="shared" si="26"/>
        <v>1.46</v>
      </c>
      <c r="R124" s="134">
        <f t="shared" si="26"/>
        <v>1.46</v>
      </c>
      <c r="S124" s="134">
        <f t="shared" ref="S124:AF125" si="27">R124</f>
        <v>1.46</v>
      </c>
      <c r="T124" s="134">
        <f t="shared" si="27"/>
        <v>1.46</v>
      </c>
      <c r="U124" s="134">
        <f t="shared" si="27"/>
        <v>1.46</v>
      </c>
      <c r="V124" s="134">
        <f t="shared" si="27"/>
        <v>1.46</v>
      </c>
      <c r="W124" s="134">
        <f t="shared" si="27"/>
        <v>1.46</v>
      </c>
      <c r="X124" s="134">
        <f t="shared" si="27"/>
        <v>1.46</v>
      </c>
      <c r="Y124" s="134">
        <f t="shared" si="27"/>
        <v>1.46</v>
      </c>
      <c r="Z124" s="134">
        <f t="shared" si="27"/>
        <v>1.46</v>
      </c>
      <c r="AA124" s="134">
        <f t="shared" si="27"/>
        <v>1.46</v>
      </c>
      <c r="AB124" s="134">
        <f t="shared" si="27"/>
        <v>1.46</v>
      </c>
      <c r="AC124" s="134">
        <f t="shared" si="27"/>
        <v>1.46</v>
      </c>
      <c r="AD124" s="134">
        <f t="shared" si="27"/>
        <v>1.46</v>
      </c>
      <c r="AE124" s="134">
        <f t="shared" si="27"/>
        <v>1.46</v>
      </c>
      <c r="AF124" s="134">
        <f t="shared" si="27"/>
        <v>1.46</v>
      </c>
      <c r="AG124" s="136">
        <v>5</v>
      </c>
      <c r="AH124" s="55"/>
      <c r="AI124" s="56"/>
      <c r="AK124" s="57"/>
    </row>
    <row r="125" spans="1:37" x14ac:dyDescent="0.25">
      <c r="A125" s="119" t="s">
        <v>129</v>
      </c>
      <c r="B125" s="133">
        <v>1.48</v>
      </c>
      <c r="C125" s="134">
        <f t="shared" si="26"/>
        <v>1.48</v>
      </c>
      <c r="D125" s="134">
        <f t="shared" si="26"/>
        <v>1.48</v>
      </c>
      <c r="E125" s="134">
        <f t="shared" si="26"/>
        <v>1.48</v>
      </c>
      <c r="F125" s="134">
        <f t="shared" si="26"/>
        <v>1.48</v>
      </c>
      <c r="G125" s="134">
        <f t="shared" si="26"/>
        <v>1.48</v>
      </c>
      <c r="H125" s="134">
        <f t="shared" si="26"/>
        <v>1.48</v>
      </c>
      <c r="I125" s="134">
        <f t="shared" si="26"/>
        <v>1.48</v>
      </c>
      <c r="J125" s="134">
        <f t="shared" si="26"/>
        <v>1.48</v>
      </c>
      <c r="K125" s="134">
        <f t="shared" si="26"/>
        <v>1.48</v>
      </c>
      <c r="L125" s="134">
        <f t="shared" si="26"/>
        <v>1.48</v>
      </c>
      <c r="M125" s="134">
        <f t="shared" si="26"/>
        <v>1.48</v>
      </c>
      <c r="N125" s="134">
        <f t="shared" si="26"/>
        <v>1.48</v>
      </c>
      <c r="O125" s="134">
        <f t="shared" si="26"/>
        <v>1.48</v>
      </c>
      <c r="P125" s="134">
        <f t="shared" si="26"/>
        <v>1.48</v>
      </c>
      <c r="Q125" s="134">
        <f t="shared" si="26"/>
        <v>1.48</v>
      </c>
      <c r="R125" s="134">
        <f t="shared" si="26"/>
        <v>1.48</v>
      </c>
      <c r="S125" s="134">
        <f t="shared" si="27"/>
        <v>1.48</v>
      </c>
      <c r="T125" s="134">
        <f t="shared" si="27"/>
        <v>1.48</v>
      </c>
      <c r="U125" s="134">
        <f t="shared" si="27"/>
        <v>1.48</v>
      </c>
      <c r="V125" s="134">
        <f t="shared" si="27"/>
        <v>1.48</v>
      </c>
      <c r="W125" s="134">
        <f t="shared" si="27"/>
        <v>1.48</v>
      </c>
      <c r="X125" s="134">
        <f t="shared" si="27"/>
        <v>1.48</v>
      </c>
      <c r="Y125" s="134">
        <f t="shared" si="27"/>
        <v>1.48</v>
      </c>
      <c r="Z125" s="134">
        <f t="shared" si="27"/>
        <v>1.48</v>
      </c>
      <c r="AA125" s="134">
        <f t="shared" si="27"/>
        <v>1.48</v>
      </c>
      <c r="AB125" s="134">
        <f t="shared" si="27"/>
        <v>1.48</v>
      </c>
      <c r="AC125" s="134">
        <f t="shared" si="27"/>
        <v>1.48</v>
      </c>
      <c r="AD125" s="134">
        <f t="shared" si="27"/>
        <v>1.48</v>
      </c>
      <c r="AE125" s="134">
        <f t="shared" si="27"/>
        <v>1.48</v>
      </c>
      <c r="AF125" s="134">
        <f t="shared" si="27"/>
        <v>1.48</v>
      </c>
      <c r="AG125" s="135">
        <v>5</v>
      </c>
      <c r="AH125" s="55"/>
      <c r="AI125" s="56"/>
      <c r="AK125" s="57"/>
    </row>
    <row r="126" spans="1:37" x14ac:dyDescent="0.25">
      <c r="A126" s="121" t="s">
        <v>130</v>
      </c>
      <c r="B126" s="133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6">
        <v>5</v>
      </c>
      <c r="AH126" s="55"/>
      <c r="AI126" s="56"/>
      <c r="AK126" s="57"/>
    </row>
    <row r="127" spans="1:37" x14ac:dyDescent="0.25">
      <c r="A127" s="121" t="s">
        <v>131</v>
      </c>
      <c r="B127" s="133">
        <v>2.2000000000000002</v>
      </c>
      <c r="C127" s="134">
        <f t="shared" ref="C127:R134" si="28">B127</f>
        <v>2.2000000000000002</v>
      </c>
      <c r="D127" s="134">
        <f t="shared" si="28"/>
        <v>2.2000000000000002</v>
      </c>
      <c r="E127" s="134">
        <f t="shared" si="28"/>
        <v>2.2000000000000002</v>
      </c>
      <c r="F127" s="134">
        <f t="shared" si="28"/>
        <v>2.2000000000000002</v>
      </c>
      <c r="G127" s="134">
        <f t="shared" si="28"/>
        <v>2.2000000000000002</v>
      </c>
      <c r="H127" s="134">
        <f t="shared" si="28"/>
        <v>2.2000000000000002</v>
      </c>
      <c r="I127" s="134">
        <f t="shared" si="28"/>
        <v>2.2000000000000002</v>
      </c>
      <c r="J127" s="134">
        <f t="shared" si="28"/>
        <v>2.2000000000000002</v>
      </c>
      <c r="K127" s="134">
        <f t="shared" si="28"/>
        <v>2.2000000000000002</v>
      </c>
      <c r="L127" s="134">
        <f t="shared" si="28"/>
        <v>2.2000000000000002</v>
      </c>
      <c r="M127" s="134">
        <f t="shared" si="28"/>
        <v>2.2000000000000002</v>
      </c>
      <c r="N127" s="134">
        <f t="shared" si="28"/>
        <v>2.2000000000000002</v>
      </c>
      <c r="O127" s="134">
        <f t="shared" si="28"/>
        <v>2.2000000000000002</v>
      </c>
      <c r="P127" s="134">
        <f t="shared" si="28"/>
        <v>2.2000000000000002</v>
      </c>
      <c r="Q127" s="134">
        <f t="shared" si="28"/>
        <v>2.2000000000000002</v>
      </c>
      <c r="R127" s="134">
        <f t="shared" si="28"/>
        <v>2.2000000000000002</v>
      </c>
      <c r="S127" s="134">
        <f t="shared" ref="S127:AF134" si="29">R127</f>
        <v>2.2000000000000002</v>
      </c>
      <c r="T127" s="134">
        <f t="shared" si="29"/>
        <v>2.2000000000000002</v>
      </c>
      <c r="U127" s="134">
        <f t="shared" si="29"/>
        <v>2.2000000000000002</v>
      </c>
      <c r="V127" s="134">
        <f t="shared" si="29"/>
        <v>2.2000000000000002</v>
      </c>
      <c r="W127" s="134">
        <f t="shared" si="29"/>
        <v>2.2000000000000002</v>
      </c>
      <c r="X127" s="134">
        <f t="shared" si="29"/>
        <v>2.2000000000000002</v>
      </c>
      <c r="Y127" s="134">
        <f t="shared" si="29"/>
        <v>2.2000000000000002</v>
      </c>
      <c r="Z127" s="134">
        <f t="shared" si="29"/>
        <v>2.2000000000000002</v>
      </c>
      <c r="AA127" s="134">
        <f t="shared" si="29"/>
        <v>2.2000000000000002</v>
      </c>
      <c r="AB127" s="134">
        <f t="shared" si="29"/>
        <v>2.2000000000000002</v>
      </c>
      <c r="AC127" s="134">
        <f t="shared" si="29"/>
        <v>2.2000000000000002</v>
      </c>
      <c r="AD127" s="134">
        <f t="shared" si="29"/>
        <v>2.2000000000000002</v>
      </c>
      <c r="AE127" s="134">
        <f t="shared" si="29"/>
        <v>2.2000000000000002</v>
      </c>
      <c r="AF127" s="134">
        <f t="shared" si="29"/>
        <v>2.2000000000000002</v>
      </c>
      <c r="AG127" s="136">
        <v>5</v>
      </c>
      <c r="AH127" s="55"/>
      <c r="AI127" s="56"/>
      <c r="AK127" s="57"/>
    </row>
    <row r="128" spans="1:37" x14ac:dyDescent="0.25">
      <c r="A128" s="121" t="s">
        <v>132</v>
      </c>
      <c r="B128" s="133">
        <v>2</v>
      </c>
      <c r="C128" s="134">
        <f t="shared" si="28"/>
        <v>2</v>
      </c>
      <c r="D128" s="134">
        <f t="shared" si="28"/>
        <v>2</v>
      </c>
      <c r="E128" s="134">
        <f t="shared" si="28"/>
        <v>2</v>
      </c>
      <c r="F128" s="134">
        <f t="shared" si="28"/>
        <v>2</v>
      </c>
      <c r="G128" s="134">
        <f t="shared" si="28"/>
        <v>2</v>
      </c>
      <c r="H128" s="134">
        <f t="shared" si="28"/>
        <v>2</v>
      </c>
      <c r="I128" s="134">
        <f t="shared" si="28"/>
        <v>2</v>
      </c>
      <c r="J128" s="134">
        <f t="shared" si="28"/>
        <v>2</v>
      </c>
      <c r="K128" s="134">
        <f t="shared" si="28"/>
        <v>2</v>
      </c>
      <c r="L128" s="134">
        <f t="shared" si="28"/>
        <v>2</v>
      </c>
      <c r="M128" s="134">
        <f t="shared" si="28"/>
        <v>2</v>
      </c>
      <c r="N128" s="134">
        <f t="shared" si="28"/>
        <v>2</v>
      </c>
      <c r="O128" s="134">
        <f t="shared" si="28"/>
        <v>2</v>
      </c>
      <c r="P128" s="134">
        <f t="shared" si="28"/>
        <v>2</v>
      </c>
      <c r="Q128" s="134">
        <f t="shared" si="28"/>
        <v>2</v>
      </c>
      <c r="R128" s="134">
        <f t="shared" si="28"/>
        <v>2</v>
      </c>
      <c r="S128" s="134">
        <f t="shared" si="29"/>
        <v>2</v>
      </c>
      <c r="T128" s="134">
        <f t="shared" si="29"/>
        <v>2</v>
      </c>
      <c r="U128" s="134">
        <f t="shared" si="29"/>
        <v>2</v>
      </c>
      <c r="V128" s="134">
        <f t="shared" si="29"/>
        <v>2</v>
      </c>
      <c r="W128" s="134">
        <f t="shared" si="29"/>
        <v>2</v>
      </c>
      <c r="X128" s="134">
        <f t="shared" si="29"/>
        <v>2</v>
      </c>
      <c r="Y128" s="134">
        <f t="shared" si="29"/>
        <v>2</v>
      </c>
      <c r="Z128" s="134">
        <f t="shared" si="29"/>
        <v>2</v>
      </c>
      <c r="AA128" s="134">
        <f t="shared" si="29"/>
        <v>2</v>
      </c>
      <c r="AB128" s="134">
        <f t="shared" si="29"/>
        <v>2</v>
      </c>
      <c r="AC128" s="134">
        <f t="shared" si="29"/>
        <v>2</v>
      </c>
      <c r="AD128" s="134">
        <f t="shared" si="29"/>
        <v>2</v>
      </c>
      <c r="AE128" s="134">
        <f t="shared" si="29"/>
        <v>2</v>
      </c>
      <c r="AF128" s="134">
        <f t="shared" si="29"/>
        <v>2</v>
      </c>
      <c r="AG128" s="136">
        <v>5</v>
      </c>
      <c r="AH128" s="55"/>
      <c r="AI128" s="56"/>
      <c r="AK128" s="57"/>
    </row>
    <row r="129" spans="1:37" x14ac:dyDescent="0.25">
      <c r="A129" s="121" t="s">
        <v>133</v>
      </c>
      <c r="B129" s="133">
        <v>1.25</v>
      </c>
      <c r="C129" s="134">
        <f t="shared" si="28"/>
        <v>1.25</v>
      </c>
      <c r="D129" s="134">
        <f t="shared" si="28"/>
        <v>1.25</v>
      </c>
      <c r="E129" s="134">
        <f t="shared" si="28"/>
        <v>1.25</v>
      </c>
      <c r="F129" s="134">
        <f t="shared" si="28"/>
        <v>1.25</v>
      </c>
      <c r="G129" s="134">
        <f t="shared" si="28"/>
        <v>1.25</v>
      </c>
      <c r="H129" s="134">
        <f t="shared" si="28"/>
        <v>1.25</v>
      </c>
      <c r="I129" s="134">
        <f t="shared" si="28"/>
        <v>1.25</v>
      </c>
      <c r="J129" s="134">
        <f t="shared" si="28"/>
        <v>1.25</v>
      </c>
      <c r="K129" s="134">
        <f t="shared" si="28"/>
        <v>1.25</v>
      </c>
      <c r="L129" s="134">
        <f t="shared" si="28"/>
        <v>1.25</v>
      </c>
      <c r="M129" s="134">
        <f t="shared" si="28"/>
        <v>1.25</v>
      </c>
      <c r="N129" s="134">
        <f t="shared" si="28"/>
        <v>1.25</v>
      </c>
      <c r="O129" s="134">
        <f t="shared" si="28"/>
        <v>1.25</v>
      </c>
      <c r="P129" s="134">
        <f t="shared" si="28"/>
        <v>1.25</v>
      </c>
      <c r="Q129" s="134">
        <f t="shared" si="28"/>
        <v>1.25</v>
      </c>
      <c r="R129" s="134">
        <f t="shared" si="28"/>
        <v>1.25</v>
      </c>
      <c r="S129" s="134">
        <f t="shared" si="29"/>
        <v>1.25</v>
      </c>
      <c r="T129" s="134">
        <f t="shared" si="29"/>
        <v>1.25</v>
      </c>
      <c r="U129" s="134">
        <f t="shared" si="29"/>
        <v>1.25</v>
      </c>
      <c r="V129" s="134">
        <f t="shared" si="29"/>
        <v>1.25</v>
      </c>
      <c r="W129" s="134">
        <f t="shared" si="29"/>
        <v>1.25</v>
      </c>
      <c r="X129" s="134">
        <f t="shared" si="29"/>
        <v>1.25</v>
      </c>
      <c r="Y129" s="134">
        <f t="shared" si="29"/>
        <v>1.25</v>
      </c>
      <c r="Z129" s="134">
        <f t="shared" si="29"/>
        <v>1.25</v>
      </c>
      <c r="AA129" s="134">
        <f t="shared" si="29"/>
        <v>1.25</v>
      </c>
      <c r="AB129" s="134">
        <f t="shared" si="29"/>
        <v>1.25</v>
      </c>
      <c r="AC129" s="134">
        <f t="shared" si="29"/>
        <v>1.25</v>
      </c>
      <c r="AD129" s="134">
        <f t="shared" si="29"/>
        <v>1.25</v>
      </c>
      <c r="AE129" s="134">
        <f t="shared" si="29"/>
        <v>1.25</v>
      </c>
      <c r="AF129" s="134">
        <f t="shared" si="29"/>
        <v>1.25</v>
      </c>
      <c r="AG129" s="136">
        <v>5</v>
      </c>
      <c r="AH129" s="55"/>
      <c r="AI129" s="56"/>
      <c r="AK129" s="57"/>
    </row>
    <row r="130" spans="1:37" x14ac:dyDescent="0.25">
      <c r="A130" s="121" t="s">
        <v>134</v>
      </c>
      <c r="B130" s="133">
        <v>1.1499999999999999</v>
      </c>
      <c r="C130" s="134">
        <f t="shared" si="28"/>
        <v>1.1499999999999999</v>
      </c>
      <c r="D130" s="134">
        <f t="shared" si="28"/>
        <v>1.1499999999999999</v>
      </c>
      <c r="E130" s="134">
        <f t="shared" si="28"/>
        <v>1.1499999999999999</v>
      </c>
      <c r="F130" s="134">
        <f t="shared" si="28"/>
        <v>1.1499999999999999</v>
      </c>
      <c r="G130" s="134">
        <f t="shared" si="28"/>
        <v>1.1499999999999999</v>
      </c>
      <c r="H130" s="134">
        <f t="shared" si="28"/>
        <v>1.1499999999999999</v>
      </c>
      <c r="I130" s="134">
        <f t="shared" si="28"/>
        <v>1.1499999999999999</v>
      </c>
      <c r="J130" s="134">
        <f t="shared" si="28"/>
        <v>1.1499999999999999</v>
      </c>
      <c r="K130" s="134">
        <f t="shared" si="28"/>
        <v>1.1499999999999999</v>
      </c>
      <c r="L130" s="134">
        <f t="shared" si="28"/>
        <v>1.1499999999999999</v>
      </c>
      <c r="M130" s="134">
        <f t="shared" si="28"/>
        <v>1.1499999999999999</v>
      </c>
      <c r="N130" s="134">
        <f t="shared" si="28"/>
        <v>1.1499999999999999</v>
      </c>
      <c r="O130" s="134">
        <f t="shared" si="28"/>
        <v>1.1499999999999999</v>
      </c>
      <c r="P130" s="134">
        <f t="shared" si="28"/>
        <v>1.1499999999999999</v>
      </c>
      <c r="Q130" s="134">
        <f t="shared" si="28"/>
        <v>1.1499999999999999</v>
      </c>
      <c r="R130" s="134">
        <f t="shared" si="28"/>
        <v>1.1499999999999999</v>
      </c>
      <c r="S130" s="134">
        <f t="shared" si="29"/>
        <v>1.1499999999999999</v>
      </c>
      <c r="T130" s="134">
        <f t="shared" si="29"/>
        <v>1.1499999999999999</v>
      </c>
      <c r="U130" s="134">
        <f t="shared" si="29"/>
        <v>1.1499999999999999</v>
      </c>
      <c r="V130" s="134">
        <f t="shared" si="29"/>
        <v>1.1499999999999999</v>
      </c>
      <c r="W130" s="134">
        <f t="shared" si="29"/>
        <v>1.1499999999999999</v>
      </c>
      <c r="X130" s="134">
        <f t="shared" si="29"/>
        <v>1.1499999999999999</v>
      </c>
      <c r="Y130" s="134">
        <f t="shared" si="29"/>
        <v>1.1499999999999999</v>
      </c>
      <c r="Z130" s="134">
        <f t="shared" si="29"/>
        <v>1.1499999999999999</v>
      </c>
      <c r="AA130" s="134">
        <f t="shared" si="29"/>
        <v>1.1499999999999999</v>
      </c>
      <c r="AB130" s="134">
        <f t="shared" si="29"/>
        <v>1.1499999999999999</v>
      </c>
      <c r="AC130" s="134">
        <f t="shared" si="29"/>
        <v>1.1499999999999999</v>
      </c>
      <c r="AD130" s="134">
        <f t="shared" si="29"/>
        <v>1.1499999999999999</v>
      </c>
      <c r="AE130" s="134">
        <f t="shared" si="29"/>
        <v>1.1499999999999999</v>
      </c>
      <c r="AF130" s="134">
        <f t="shared" si="29"/>
        <v>1.1499999999999999</v>
      </c>
      <c r="AG130" s="136">
        <v>5</v>
      </c>
      <c r="AH130" s="55"/>
      <c r="AI130" s="56"/>
      <c r="AK130" s="57"/>
    </row>
    <row r="131" spans="1:37" x14ac:dyDescent="0.25">
      <c r="A131" s="121" t="s">
        <v>135</v>
      </c>
      <c r="B131" s="133">
        <v>2.133</v>
      </c>
      <c r="C131" s="134">
        <f t="shared" si="28"/>
        <v>2.133</v>
      </c>
      <c r="D131" s="134">
        <f t="shared" si="28"/>
        <v>2.133</v>
      </c>
      <c r="E131" s="134">
        <f t="shared" si="28"/>
        <v>2.133</v>
      </c>
      <c r="F131" s="134">
        <f t="shared" si="28"/>
        <v>2.133</v>
      </c>
      <c r="G131" s="134">
        <f t="shared" si="28"/>
        <v>2.133</v>
      </c>
      <c r="H131" s="134">
        <f t="shared" si="28"/>
        <v>2.133</v>
      </c>
      <c r="I131" s="134">
        <f t="shared" si="28"/>
        <v>2.133</v>
      </c>
      <c r="J131" s="134">
        <f t="shared" si="28"/>
        <v>2.133</v>
      </c>
      <c r="K131" s="134">
        <f t="shared" si="28"/>
        <v>2.133</v>
      </c>
      <c r="L131" s="134">
        <f t="shared" si="28"/>
        <v>2.133</v>
      </c>
      <c r="M131" s="134">
        <f t="shared" si="28"/>
        <v>2.133</v>
      </c>
      <c r="N131" s="134">
        <f t="shared" si="28"/>
        <v>2.133</v>
      </c>
      <c r="O131" s="134">
        <f t="shared" si="28"/>
        <v>2.133</v>
      </c>
      <c r="P131" s="134">
        <f t="shared" si="28"/>
        <v>2.133</v>
      </c>
      <c r="Q131" s="134">
        <f t="shared" si="28"/>
        <v>2.133</v>
      </c>
      <c r="R131" s="134">
        <f t="shared" si="28"/>
        <v>2.133</v>
      </c>
      <c r="S131" s="134">
        <f t="shared" si="29"/>
        <v>2.133</v>
      </c>
      <c r="T131" s="134">
        <f t="shared" si="29"/>
        <v>2.133</v>
      </c>
      <c r="U131" s="134">
        <f t="shared" si="29"/>
        <v>2.133</v>
      </c>
      <c r="V131" s="134">
        <f t="shared" si="29"/>
        <v>2.133</v>
      </c>
      <c r="W131" s="134">
        <f t="shared" si="29"/>
        <v>2.133</v>
      </c>
      <c r="X131" s="134">
        <f t="shared" si="29"/>
        <v>2.133</v>
      </c>
      <c r="Y131" s="134">
        <f t="shared" si="29"/>
        <v>2.133</v>
      </c>
      <c r="Z131" s="134">
        <f t="shared" si="29"/>
        <v>2.133</v>
      </c>
      <c r="AA131" s="134">
        <f t="shared" si="29"/>
        <v>2.133</v>
      </c>
      <c r="AB131" s="134">
        <f t="shared" si="29"/>
        <v>2.133</v>
      </c>
      <c r="AC131" s="134">
        <f t="shared" si="29"/>
        <v>2.133</v>
      </c>
      <c r="AD131" s="134">
        <f t="shared" si="29"/>
        <v>2.133</v>
      </c>
      <c r="AE131" s="134">
        <f t="shared" si="29"/>
        <v>2.133</v>
      </c>
      <c r="AF131" s="134">
        <f t="shared" si="29"/>
        <v>2.133</v>
      </c>
      <c r="AG131" s="136">
        <v>4.9930000000000003</v>
      </c>
      <c r="AH131" s="55"/>
      <c r="AI131" s="56"/>
      <c r="AK131" s="57"/>
    </row>
    <row r="132" spans="1:37" x14ac:dyDescent="0.25">
      <c r="A132" s="121" t="s">
        <v>136</v>
      </c>
      <c r="B132" s="133">
        <v>2.09</v>
      </c>
      <c r="C132" s="134">
        <f t="shared" si="28"/>
        <v>2.09</v>
      </c>
      <c r="D132" s="134">
        <f t="shared" si="28"/>
        <v>2.09</v>
      </c>
      <c r="E132" s="134">
        <f t="shared" si="28"/>
        <v>2.09</v>
      </c>
      <c r="F132" s="134">
        <f t="shared" si="28"/>
        <v>2.09</v>
      </c>
      <c r="G132" s="134">
        <f t="shared" si="28"/>
        <v>2.09</v>
      </c>
      <c r="H132" s="134">
        <f t="shared" si="28"/>
        <v>2.09</v>
      </c>
      <c r="I132" s="134">
        <f t="shared" si="28"/>
        <v>2.09</v>
      </c>
      <c r="J132" s="134">
        <f t="shared" si="28"/>
        <v>2.09</v>
      </c>
      <c r="K132" s="134">
        <f t="shared" si="28"/>
        <v>2.09</v>
      </c>
      <c r="L132" s="134">
        <f t="shared" si="28"/>
        <v>2.09</v>
      </c>
      <c r="M132" s="134">
        <f t="shared" si="28"/>
        <v>2.09</v>
      </c>
      <c r="N132" s="134">
        <f t="shared" si="28"/>
        <v>2.09</v>
      </c>
      <c r="O132" s="134">
        <f t="shared" si="28"/>
        <v>2.09</v>
      </c>
      <c r="P132" s="134">
        <f t="shared" si="28"/>
        <v>2.09</v>
      </c>
      <c r="Q132" s="134">
        <f t="shared" si="28"/>
        <v>2.09</v>
      </c>
      <c r="R132" s="134">
        <f t="shared" si="28"/>
        <v>2.09</v>
      </c>
      <c r="S132" s="134">
        <f t="shared" si="29"/>
        <v>2.09</v>
      </c>
      <c r="T132" s="134">
        <f t="shared" si="29"/>
        <v>2.09</v>
      </c>
      <c r="U132" s="134">
        <f t="shared" si="29"/>
        <v>2.09</v>
      </c>
      <c r="V132" s="134">
        <f t="shared" si="29"/>
        <v>2.09</v>
      </c>
      <c r="W132" s="134">
        <f t="shared" si="29"/>
        <v>2.09</v>
      </c>
      <c r="X132" s="134">
        <f t="shared" si="29"/>
        <v>2.09</v>
      </c>
      <c r="Y132" s="134">
        <f t="shared" si="29"/>
        <v>2.09</v>
      </c>
      <c r="Z132" s="134">
        <f t="shared" si="29"/>
        <v>2.09</v>
      </c>
      <c r="AA132" s="134">
        <f t="shared" si="29"/>
        <v>2.09</v>
      </c>
      <c r="AB132" s="134">
        <f t="shared" si="29"/>
        <v>2.09</v>
      </c>
      <c r="AC132" s="134">
        <f t="shared" si="29"/>
        <v>2.09</v>
      </c>
      <c r="AD132" s="134">
        <f t="shared" si="29"/>
        <v>2.09</v>
      </c>
      <c r="AE132" s="134">
        <f t="shared" si="29"/>
        <v>2.09</v>
      </c>
      <c r="AF132" s="134">
        <f t="shared" si="29"/>
        <v>2.09</v>
      </c>
      <c r="AG132" s="136">
        <v>4.9800000000000004</v>
      </c>
      <c r="AH132" s="55"/>
      <c r="AI132" s="56"/>
      <c r="AK132" s="57"/>
    </row>
    <row r="133" spans="1:37" x14ac:dyDescent="0.25">
      <c r="A133" s="121" t="s">
        <v>137</v>
      </c>
      <c r="B133" s="133">
        <v>1.1399999999999999</v>
      </c>
      <c r="C133" s="134">
        <f t="shared" si="28"/>
        <v>1.1399999999999999</v>
      </c>
      <c r="D133" s="134">
        <f t="shared" si="28"/>
        <v>1.1399999999999999</v>
      </c>
      <c r="E133" s="134">
        <f t="shared" si="28"/>
        <v>1.1399999999999999</v>
      </c>
      <c r="F133" s="134">
        <f t="shared" si="28"/>
        <v>1.1399999999999999</v>
      </c>
      <c r="G133" s="134">
        <f t="shared" si="28"/>
        <v>1.1399999999999999</v>
      </c>
      <c r="H133" s="134">
        <f t="shared" si="28"/>
        <v>1.1399999999999999</v>
      </c>
      <c r="I133" s="134">
        <f t="shared" si="28"/>
        <v>1.1399999999999999</v>
      </c>
      <c r="J133" s="134">
        <f t="shared" si="28"/>
        <v>1.1399999999999999</v>
      </c>
      <c r="K133" s="134">
        <f t="shared" si="28"/>
        <v>1.1399999999999999</v>
      </c>
      <c r="L133" s="134">
        <f t="shared" si="28"/>
        <v>1.1399999999999999</v>
      </c>
      <c r="M133" s="134">
        <f t="shared" si="28"/>
        <v>1.1399999999999999</v>
      </c>
      <c r="N133" s="134">
        <f t="shared" si="28"/>
        <v>1.1399999999999999</v>
      </c>
      <c r="O133" s="134">
        <f t="shared" si="28"/>
        <v>1.1399999999999999</v>
      </c>
      <c r="P133" s="134">
        <f t="shared" si="28"/>
        <v>1.1399999999999999</v>
      </c>
      <c r="Q133" s="134">
        <f t="shared" si="28"/>
        <v>1.1399999999999999</v>
      </c>
      <c r="R133" s="134">
        <f t="shared" si="28"/>
        <v>1.1399999999999999</v>
      </c>
      <c r="S133" s="134">
        <f t="shared" si="29"/>
        <v>1.1399999999999999</v>
      </c>
      <c r="T133" s="134">
        <f t="shared" si="29"/>
        <v>1.1399999999999999</v>
      </c>
      <c r="U133" s="134">
        <f t="shared" si="29"/>
        <v>1.1399999999999999</v>
      </c>
      <c r="V133" s="134">
        <f t="shared" si="29"/>
        <v>1.1399999999999999</v>
      </c>
      <c r="W133" s="134">
        <f t="shared" si="29"/>
        <v>1.1399999999999999</v>
      </c>
      <c r="X133" s="134">
        <f t="shared" si="29"/>
        <v>1.1399999999999999</v>
      </c>
      <c r="Y133" s="134">
        <f t="shared" si="29"/>
        <v>1.1399999999999999</v>
      </c>
      <c r="Z133" s="134">
        <f t="shared" si="29"/>
        <v>1.1399999999999999</v>
      </c>
      <c r="AA133" s="134">
        <f t="shared" si="29"/>
        <v>1.1399999999999999</v>
      </c>
      <c r="AB133" s="134">
        <f t="shared" si="29"/>
        <v>1.1399999999999999</v>
      </c>
      <c r="AC133" s="134">
        <f t="shared" si="29"/>
        <v>1.1399999999999999</v>
      </c>
      <c r="AD133" s="134">
        <f t="shared" si="29"/>
        <v>1.1399999999999999</v>
      </c>
      <c r="AE133" s="134">
        <f t="shared" si="29"/>
        <v>1.1399999999999999</v>
      </c>
      <c r="AF133" s="134">
        <f t="shared" si="29"/>
        <v>1.1399999999999999</v>
      </c>
      <c r="AG133" s="136">
        <v>4.95</v>
      </c>
      <c r="AH133" s="55"/>
      <c r="AI133" s="56"/>
      <c r="AK133" s="57"/>
    </row>
    <row r="134" spans="1:37" x14ac:dyDescent="0.25">
      <c r="A134" s="121" t="s">
        <v>138</v>
      </c>
      <c r="B134" s="133">
        <v>0.82</v>
      </c>
      <c r="C134" s="134">
        <f t="shared" si="28"/>
        <v>0.82</v>
      </c>
      <c r="D134" s="134">
        <f t="shared" si="28"/>
        <v>0.82</v>
      </c>
      <c r="E134" s="134">
        <f t="shared" si="28"/>
        <v>0.82</v>
      </c>
      <c r="F134" s="134">
        <f t="shared" si="28"/>
        <v>0.82</v>
      </c>
      <c r="G134" s="134">
        <f t="shared" si="28"/>
        <v>0.82</v>
      </c>
      <c r="H134" s="134">
        <f t="shared" si="28"/>
        <v>0.82</v>
      </c>
      <c r="I134" s="134">
        <f t="shared" si="28"/>
        <v>0.82</v>
      </c>
      <c r="J134" s="134">
        <f t="shared" si="28"/>
        <v>0.82</v>
      </c>
      <c r="K134" s="134">
        <f t="shared" si="28"/>
        <v>0.82</v>
      </c>
      <c r="L134" s="134">
        <f t="shared" si="28"/>
        <v>0.82</v>
      </c>
      <c r="M134" s="134">
        <f t="shared" si="28"/>
        <v>0.82</v>
      </c>
      <c r="N134" s="134">
        <f t="shared" si="28"/>
        <v>0.82</v>
      </c>
      <c r="O134" s="134">
        <f t="shared" si="28"/>
        <v>0.82</v>
      </c>
      <c r="P134" s="134">
        <f t="shared" si="28"/>
        <v>0.82</v>
      </c>
      <c r="Q134" s="134">
        <f t="shared" si="28"/>
        <v>0.82</v>
      </c>
      <c r="R134" s="134">
        <f t="shared" si="28"/>
        <v>0.82</v>
      </c>
      <c r="S134" s="134">
        <f t="shared" si="29"/>
        <v>0.82</v>
      </c>
      <c r="T134" s="134">
        <f t="shared" si="29"/>
        <v>0.82</v>
      </c>
      <c r="U134" s="134">
        <f t="shared" si="29"/>
        <v>0.82</v>
      </c>
      <c r="V134" s="134">
        <f t="shared" si="29"/>
        <v>0.82</v>
      </c>
      <c r="W134" s="134">
        <f t="shared" si="29"/>
        <v>0.82</v>
      </c>
      <c r="X134" s="134">
        <f t="shared" si="29"/>
        <v>0.82</v>
      </c>
      <c r="Y134" s="134">
        <f t="shared" si="29"/>
        <v>0.82</v>
      </c>
      <c r="Z134" s="134">
        <f t="shared" si="29"/>
        <v>0.82</v>
      </c>
      <c r="AA134" s="134">
        <f t="shared" si="29"/>
        <v>0.82</v>
      </c>
      <c r="AB134" s="134">
        <f t="shared" si="29"/>
        <v>0.82</v>
      </c>
      <c r="AC134" s="134">
        <f t="shared" si="29"/>
        <v>0.82</v>
      </c>
      <c r="AD134" s="134">
        <f t="shared" si="29"/>
        <v>0.82</v>
      </c>
      <c r="AE134" s="134">
        <f t="shared" si="29"/>
        <v>0.82</v>
      </c>
      <c r="AF134" s="134">
        <f t="shared" si="29"/>
        <v>0.82</v>
      </c>
      <c r="AG134" s="136">
        <v>4.95</v>
      </c>
      <c r="AH134" s="55"/>
      <c r="AI134" s="56"/>
      <c r="AK134" s="57"/>
    </row>
    <row r="135" spans="1:37" x14ac:dyDescent="0.25">
      <c r="A135" s="121" t="s">
        <v>139</v>
      </c>
      <c r="B135" s="133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6">
        <v>4.8</v>
      </c>
      <c r="AH135" s="55"/>
      <c r="AI135" s="56"/>
      <c r="AK135" s="57"/>
    </row>
    <row r="136" spans="1:37" x14ac:dyDescent="0.25">
      <c r="A136" s="121" t="s">
        <v>140</v>
      </c>
      <c r="B136" s="133">
        <v>2</v>
      </c>
      <c r="C136" s="134">
        <f t="shared" ref="C136:R142" si="30">B136</f>
        <v>2</v>
      </c>
      <c r="D136" s="134">
        <f t="shared" si="30"/>
        <v>2</v>
      </c>
      <c r="E136" s="134">
        <f t="shared" si="30"/>
        <v>2</v>
      </c>
      <c r="F136" s="134">
        <f t="shared" si="30"/>
        <v>2</v>
      </c>
      <c r="G136" s="134">
        <f t="shared" si="30"/>
        <v>2</v>
      </c>
      <c r="H136" s="134">
        <f t="shared" si="30"/>
        <v>2</v>
      </c>
      <c r="I136" s="134">
        <f t="shared" si="30"/>
        <v>2</v>
      </c>
      <c r="J136" s="134">
        <f t="shared" si="30"/>
        <v>2</v>
      </c>
      <c r="K136" s="134">
        <f t="shared" si="30"/>
        <v>2</v>
      </c>
      <c r="L136" s="134">
        <f t="shared" si="30"/>
        <v>2</v>
      </c>
      <c r="M136" s="134">
        <f t="shared" si="30"/>
        <v>2</v>
      </c>
      <c r="N136" s="134">
        <f t="shared" si="30"/>
        <v>2</v>
      </c>
      <c r="O136" s="134">
        <f t="shared" si="30"/>
        <v>2</v>
      </c>
      <c r="P136" s="134">
        <f t="shared" si="30"/>
        <v>2</v>
      </c>
      <c r="Q136" s="134">
        <f t="shared" si="30"/>
        <v>2</v>
      </c>
      <c r="R136" s="134">
        <f t="shared" si="30"/>
        <v>2</v>
      </c>
      <c r="S136" s="134">
        <f t="shared" ref="S136:AF142" si="31">R136</f>
        <v>2</v>
      </c>
      <c r="T136" s="134">
        <f t="shared" si="31"/>
        <v>2</v>
      </c>
      <c r="U136" s="134">
        <f t="shared" si="31"/>
        <v>2</v>
      </c>
      <c r="V136" s="134">
        <f t="shared" si="31"/>
        <v>2</v>
      </c>
      <c r="W136" s="134">
        <f t="shared" si="31"/>
        <v>2</v>
      </c>
      <c r="X136" s="134">
        <f t="shared" si="31"/>
        <v>2</v>
      </c>
      <c r="Y136" s="134">
        <f t="shared" si="31"/>
        <v>2</v>
      </c>
      <c r="Z136" s="134">
        <f t="shared" si="31"/>
        <v>2</v>
      </c>
      <c r="AA136" s="134">
        <f t="shared" si="31"/>
        <v>2</v>
      </c>
      <c r="AB136" s="134">
        <f t="shared" si="31"/>
        <v>2</v>
      </c>
      <c r="AC136" s="134">
        <f t="shared" si="31"/>
        <v>2</v>
      </c>
      <c r="AD136" s="134">
        <f t="shared" si="31"/>
        <v>2</v>
      </c>
      <c r="AE136" s="134">
        <f t="shared" si="31"/>
        <v>2</v>
      </c>
      <c r="AF136" s="134">
        <f t="shared" si="31"/>
        <v>2</v>
      </c>
      <c r="AG136" s="136">
        <v>4.8</v>
      </c>
      <c r="AH136" s="55"/>
      <c r="AI136" s="56"/>
      <c r="AK136" s="57"/>
    </row>
    <row r="137" spans="1:37" x14ac:dyDescent="0.25">
      <c r="A137" s="121" t="s">
        <v>141</v>
      </c>
      <c r="B137" s="133">
        <v>5.61</v>
      </c>
      <c r="C137" s="134">
        <f t="shared" si="30"/>
        <v>5.61</v>
      </c>
      <c r="D137" s="134">
        <f t="shared" si="30"/>
        <v>5.61</v>
      </c>
      <c r="E137" s="134">
        <f t="shared" si="30"/>
        <v>5.61</v>
      </c>
      <c r="F137" s="134">
        <f t="shared" si="30"/>
        <v>5.61</v>
      </c>
      <c r="G137" s="134">
        <f t="shared" si="30"/>
        <v>5.61</v>
      </c>
      <c r="H137" s="134">
        <f t="shared" si="30"/>
        <v>5.61</v>
      </c>
      <c r="I137" s="134">
        <f t="shared" si="30"/>
        <v>5.61</v>
      </c>
      <c r="J137" s="134">
        <f t="shared" si="30"/>
        <v>5.61</v>
      </c>
      <c r="K137" s="134">
        <f t="shared" si="30"/>
        <v>5.61</v>
      </c>
      <c r="L137" s="134">
        <f t="shared" si="30"/>
        <v>5.61</v>
      </c>
      <c r="M137" s="134">
        <f t="shared" si="30"/>
        <v>5.61</v>
      </c>
      <c r="N137" s="134">
        <f t="shared" si="30"/>
        <v>5.61</v>
      </c>
      <c r="O137" s="134">
        <f t="shared" si="30"/>
        <v>5.61</v>
      </c>
      <c r="P137" s="134">
        <f t="shared" si="30"/>
        <v>5.61</v>
      </c>
      <c r="Q137" s="134">
        <f t="shared" si="30"/>
        <v>5.61</v>
      </c>
      <c r="R137" s="134">
        <f t="shared" si="30"/>
        <v>5.61</v>
      </c>
      <c r="S137" s="134">
        <f t="shared" si="31"/>
        <v>5.61</v>
      </c>
      <c r="T137" s="134">
        <f t="shared" si="31"/>
        <v>5.61</v>
      </c>
      <c r="U137" s="134">
        <f t="shared" si="31"/>
        <v>5.61</v>
      </c>
      <c r="V137" s="134">
        <f t="shared" si="31"/>
        <v>5.61</v>
      </c>
      <c r="W137" s="134">
        <f t="shared" si="31"/>
        <v>5.61</v>
      </c>
      <c r="X137" s="134">
        <f t="shared" si="31"/>
        <v>5.61</v>
      </c>
      <c r="Y137" s="134">
        <f t="shared" si="31"/>
        <v>5.61</v>
      </c>
      <c r="Z137" s="134">
        <f t="shared" si="31"/>
        <v>5.61</v>
      </c>
      <c r="AA137" s="134">
        <f t="shared" si="31"/>
        <v>5.61</v>
      </c>
      <c r="AB137" s="134">
        <f t="shared" si="31"/>
        <v>5.61</v>
      </c>
      <c r="AC137" s="134">
        <f t="shared" si="31"/>
        <v>5.61</v>
      </c>
      <c r="AD137" s="134">
        <f t="shared" si="31"/>
        <v>5.61</v>
      </c>
      <c r="AE137" s="134">
        <f t="shared" si="31"/>
        <v>5.61</v>
      </c>
      <c r="AF137" s="134">
        <f t="shared" si="31"/>
        <v>5.61</v>
      </c>
      <c r="AG137" s="136">
        <v>4.8</v>
      </c>
      <c r="AH137" s="55"/>
      <c r="AI137" s="56"/>
      <c r="AK137" s="57"/>
    </row>
    <row r="138" spans="1:37" x14ac:dyDescent="0.25">
      <c r="A138" s="121" t="s">
        <v>142</v>
      </c>
      <c r="B138" s="133">
        <v>1.25</v>
      </c>
      <c r="C138" s="134">
        <f t="shared" si="30"/>
        <v>1.25</v>
      </c>
      <c r="D138" s="134">
        <f t="shared" si="30"/>
        <v>1.25</v>
      </c>
      <c r="E138" s="134">
        <f t="shared" si="30"/>
        <v>1.25</v>
      </c>
      <c r="F138" s="134">
        <f t="shared" si="30"/>
        <v>1.25</v>
      </c>
      <c r="G138" s="134">
        <f t="shared" si="30"/>
        <v>1.25</v>
      </c>
      <c r="H138" s="134">
        <f t="shared" si="30"/>
        <v>1.25</v>
      </c>
      <c r="I138" s="134">
        <f t="shared" si="30"/>
        <v>1.25</v>
      </c>
      <c r="J138" s="134">
        <f t="shared" si="30"/>
        <v>1.25</v>
      </c>
      <c r="K138" s="134">
        <f t="shared" si="30"/>
        <v>1.25</v>
      </c>
      <c r="L138" s="134">
        <f t="shared" si="30"/>
        <v>1.25</v>
      </c>
      <c r="M138" s="134">
        <f t="shared" si="30"/>
        <v>1.25</v>
      </c>
      <c r="N138" s="134">
        <f t="shared" si="30"/>
        <v>1.25</v>
      </c>
      <c r="O138" s="134">
        <f t="shared" si="30"/>
        <v>1.25</v>
      </c>
      <c r="P138" s="134">
        <f t="shared" si="30"/>
        <v>1.25</v>
      </c>
      <c r="Q138" s="134">
        <f t="shared" si="30"/>
        <v>1.25</v>
      </c>
      <c r="R138" s="134">
        <f t="shared" si="30"/>
        <v>1.25</v>
      </c>
      <c r="S138" s="134">
        <f t="shared" si="31"/>
        <v>1.25</v>
      </c>
      <c r="T138" s="134">
        <f t="shared" si="31"/>
        <v>1.25</v>
      </c>
      <c r="U138" s="134">
        <f t="shared" si="31"/>
        <v>1.25</v>
      </c>
      <c r="V138" s="134">
        <f t="shared" si="31"/>
        <v>1.25</v>
      </c>
      <c r="W138" s="134">
        <f t="shared" si="31"/>
        <v>1.25</v>
      </c>
      <c r="X138" s="134">
        <f t="shared" si="31"/>
        <v>1.25</v>
      </c>
      <c r="Y138" s="134">
        <f t="shared" si="31"/>
        <v>1.25</v>
      </c>
      <c r="Z138" s="134">
        <f t="shared" si="31"/>
        <v>1.25</v>
      </c>
      <c r="AA138" s="134">
        <f t="shared" si="31"/>
        <v>1.25</v>
      </c>
      <c r="AB138" s="134">
        <f t="shared" si="31"/>
        <v>1.25</v>
      </c>
      <c r="AC138" s="134">
        <f t="shared" si="31"/>
        <v>1.25</v>
      </c>
      <c r="AD138" s="134">
        <f t="shared" si="31"/>
        <v>1.25</v>
      </c>
      <c r="AE138" s="134">
        <f t="shared" si="31"/>
        <v>1.25</v>
      </c>
      <c r="AF138" s="134">
        <f t="shared" si="31"/>
        <v>1.25</v>
      </c>
      <c r="AG138" s="136">
        <v>4.5</v>
      </c>
      <c r="AH138" s="55"/>
      <c r="AI138" s="56"/>
      <c r="AK138" s="57"/>
    </row>
    <row r="139" spans="1:37" x14ac:dyDescent="0.25">
      <c r="A139" s="121" t="s">
        <v>143</v>
      </c>
      <c r="B139" s="133">
        <v>1.25</v>
      </c>
      <c r="C139" s="134">
        <f t="shared" si="30"/>
        <v>1.25</v>
      </c>
      <c r="D139" s="134">
        <f t="shared" si="30"/>
        <v>1.25</v>
      </c>
      <c r="E139" s="134">
        <f t="shared" si="30"/>
        <v>1.25</v>
      </c>
      <c r="F139" s="134">
        <f t="shared" si="30"/>
        <v>1.25</v>
      </c>
      <c r="G139" s="134">
        <f t="shared" si="30"/>
        <v>1.25</v>
      </c>
      <c r="H139" s="134">
        <f t="shared" si="30"/>
        <v>1.25</v>
      </c>
      <c r="I139" s="134">
        <f t="shared" si="30"/>
        <v>1.25</v>
      </c>
      <c r="J139" s="134">
        <f t="shared" si="30"/>
        <v>1.25</v>
      </c>
      <c r="K139" s="134">
        <f t="shared" si="30"/>
        <v>1.25</v>
      </c>
      <c r="L139" s="134">
        <f t="shared" si="30"/>
        <v>1.25</v>
      </c>
      <c r="M139" s="134">
        <f t="shared" si="30"/>
        <v>1.25</v>
      </c>
      <c r="N139" s="134">
        <f t="shared" si="30"/>
        <v>1.25</v>
      </c>
      <c r="O139" s="134">
        <f t="shared" si="30"/>
        <v>1.25</v>
      </c>
      <c r="P139" s="134">
        <f t="shared" si="30"/>
        <v>1.25</v>
      </c>
      <c r="Q139" s="134">
        <f t="shared" si="30"/>
        <v>1.25</v>
      </c>
      <c r="R139" s="134">
        <f t="shared" si="30"/>
        <v>1.25</v>
      </c>
      <c r="S139" s="134">
        <f t="shared" si="31"/>
        <v>1.25</v>
      </c>
      <c r="T139" s="134">
        <f t="shared" si="31"/>
        <v>1.25</v>
      </c>
      <c r="U139" s="134">
        <f t="shared" si="31"/>
        <v>1.25</v>
      </c>
      <c r="V139" s="134">
        <f t="shared" si="31"/>
        <v>1.25</v>
      </c>
      <c r="W139" s="134">
        <f t="shared" si="31"/>
        <v>1.25</v>
      </c>
      <c r="X139" s="134">
        <f t="shared" si="31"/>
        <v>1.25</v>
      </c>
      <c r="Y139" s="134">
        <f t="shared" si="31"/>
        <v>1.25</v>
      </c>
      <c r="Z139" s="134">
        <f t="shared" si="31"/>
        <v>1.25</v>
      </c>
      <c r="AA139" s="134">
        <f t="shared" si="31"/>
        <v>1.25</v>
      </c>
      <c r="AB139" s="134">
        <f t="shared" si="31"/>
        <v>1.25</v>
      </c>
      <c r="AC139" s="134">
        <f t="shared" si="31"/>
        <v>1.25</v>
      </c>
      <c r="AD139" s="134">
        <f t="shared" si="31"/>
        <v>1.25</v>
      </c>
      <c r="AE139" s="134">
        <f t="shared" si="31"/>
        <v>1.25</v>
      </c>
      <c r="AF139" s="134">
        <f t="shared" si="31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144</v>
      </c>
      <c r="B140" s="133">
        <v>1.46</v>
      </c>
      <c r="C140" s="134">
        <f t="shared" si="30"/>
        <v>1.46</v>
      </c>
      <c r="D140" s="134">
        <f t="shared" si="30"/>
        <v>1.46</v>
      </c>
      <c r="E140" s="134">
        <f t="shared" si="30"/>
        <v>1.46</v>
      </c>
      <c r="F140" s="134">
        <f t="shared" si="30"/>
        <v>1.46</v>
      </c>
      <c r="G140" s="134">
        <f t="shared" si="30"/>
        <v>1.46</v>
      </c>
      <c r="H140" s="134">
        <f t="shared" si="30"/>
        <v>1.46</v>
      </c>
      <c r="I140" s="134">
        <f t="shared" si="30"/>
        <v>1.46</v>
      </c>
      <c r="J140" s="134">
        <f t="shared" si="30"/>
        <v>1.46</v>
      </c>
      <c r="K140" s="134">
        <f t="shared" si="30"/>
        <v>1.46</v>
      </c>
      <c r="L140" s="134">
        <f t="shared" si="30"/>
        <v>1.46</v>
      </c>
      <c r="M140" s="134">
        <f t="shared" si="30"/>
        <v>1.46</v>
      </c>
      <c r="N140" s="134">
        <f t="shared" si="30"/>
        <v>1.46</v>
      </c>
      <c r="O140" s="134">
        <f t="shared" si="30"/>
        <v>1.46</v>
      </c>
      <c r="P140" s="134">
        <f t="shared" si="30"/>
        <v>1.46</v>
      </c>
      <c r="Q140" s="134">
        <f t="shared" si="30"/>
        <v>1.46</v>
      </c>
      <c r="R140" s="134">
        <f t="shared" si="30"/>
        <v>1.46</v>
      </c>
      <c r="S140" s="134">
        <f t="shared" si="31"/>
        <v>1.46</v>
      </c>
      <c r="T140" s="134">
        <f t="shared" si="31"/>
        <v>1.46</v>
      </c>
      <c r="U140" s="134">
        <f t="shared" si="31"/>
        <v>1.46</v>
      </c>
      <c r="V140" s="134">
        <f t="shared" si="31"/>
        <v>1.46</v>
      </c>
      <c r="W140" s="134">
        <f t="shared" si="31"/>
        <v>1.46</v>
      </c>
      <c r="X140" s="134">
        <f t="shared" si="31"/>
        <v>1.46</v>
      </c>
      <c r="Y140" s="134">
        <f t="shared" si="31"/>
        <v>1.46</v>
      </c>
      <c r="Z140" s="134">
        <f t="shared" si="31"/>
        <v>1.46</v>
      </c>
      <c r="AA140" s="134">
        <f t="shared" si="31"/>
        <v>1.46</v>
      </c>
      <c r="AB140" s="134">
        <f t="shared" si="31"/>
        <v>1.46</v>
      </c>
      <c r="AC140" s="134">
        <f t="shared" si="31"/>
        <v>1.46</v>
      </c>
      <c r="AD140" s="134">
        <f t="shared" si="31"/>
        <v>1.46</v>
      </c>
      <c r="AE140" s="134">
        <f t="shared" si="31"/>
        <v>1.46</v>
      </c>
      <c r="AF140" s="134">
        <f t="shared" si="31"/>
        <v>1.46</v>
      </c>
      <c r="AG140" s="136">
        <v>4.4550000000000001</v>
      </c>
      <c r="AH140" s="55"/>
      <c r="AI140" s="56"/>
      <c r="AK140" s="57"/>
    </row>
    <row r="141" spans="1:37" x14ac:dyDescent="0.25">
      <c r="A141" s="121" t="s">
        <v>145</v>
      </c>
      <c r="B141" s="133">
        <v>3</v>
      </c>
      <c r="C141" s="134">
        <f t="shared" si="30"/>
        <v>3</v>
      </c>
      <c r="D141" s="134">
        <f t="shared" si="30"/>
        <v>3</v>
      </c>
      <c r="E141" s="134">
        <f t="shared" si="30"/>
        <v>3</v>
      </c>
      <c r="F141" s="134">
        <f t="shared" si="30"/>
        <v>3</v>
      </c>
      <c r="G141" s="134">
        <f t="shared" si="30"/>
        <v>3</v>
      </c>
      <c r="H141" s="134">
        <f t="shared" si="30"/>
        <v>3</v>
      </c>
      <c r="I141" s="134">
        <f t="shared" si="30"/>
        <v>3</v>
      </c>
      <c r="J141" s="134">
        <f t="shared" si="30"/>
        <v>3</v>
      </c>
      <c r="K141" s="134">
        <f t="shared" si="30"/>
        <v>3</v>
      </c>
      <c r="L141" s="134">
        <f t="shared" si="30"/>
        <v>3</v>
      </c>
      <c r="M141" s="134">
        <f t="shared" si="30"/>
        <v>3</v>
      </c>
      <c r="N141" s="134">
        <f t="shared" si="30"/>
        <v>3</v>
      </c>
      <c r="O141" s="134">
        <f t="shared" si="30"/>
        <v>3</v>
      </c>
      <c r="P141" s="134">
        <f t="shared" si="30"/>
        <v>3</v>
      </c>
      <c r="Q141" s="134">
        <f t="shared" si="30"/>
        <v>3</v>
      </c>
      <c r="R141" s="134">
        <f t="shared" si="30"/>
        <v>3</v>
      </c>
      <c r="S141" s="134">
        <f t="shared" si="31"/>
        <v>3</v>
      </c>
      <c r="T141" s="134">
        <f t="shared" si="31"/>
        <v>3</v>
      </c>
      <c r="U141" s="134">
        <f t="shared" si="31"/>
        <v>3</v>
      </c>
      <c r="V141" s="134">
        <f t="shared" si="31"/>
        <v>3</v>
      </c>
      <c r="W141" s="134">
        <f t="shared" si="31"/>
        <v>3</v>
      </c>
      <c r="X141" s="134">
        <f t="shared" si="31"/>
        <v>3</v>
      </c>
      <c r="Y141" s="134">
        <f t="shared" si="31"/>
        <v>3</v>
      </c>
      <c r="Z141" s="134">
        <f t="shared" si="31"/>
        <v>3</v>
      </c>
      <c r="AA141" s="134">
        <f t="shared" si="31"/>
        <v>3</v>
      </c>
      <c r="AB141" s="134">
        <f t="shared" si="31"/>
        <v>3</v>
      </c>
      <c r="AC141" s="134">
        <f t="shared" si="31"/>
        <v>3</v>
      </c>
      <c r="AD141" s="134">
        <f t="shared" si="31"/>
        <v>3</v>
      </c>
      <c r="AE141" s="134">
        <f t="shared" si="31"/>
        <v>3</v>
      </c>
      <c r="AF141" s="134">
        <f t="shared" si="31"/>
        <v>3</v>
      </c>
      <c r="AG141" s="136">
        <v>4.41</v>
      </c>
      <c r="AH141" s="55"/>
      <c r="AI141" s="56"/>
      <c r="AK141" s="57"/>
    </row>
    <row r="142" spans="1:37" x14ac:dyDescent="0.25">
      <c r="A142" s="121" t="s">
        <v>146</v>
      </c>
      <c r="B142" s="133">
        <v>3.3</v>
      </c>
      <c r="C142" s="134">
        <f t="shared" si="30"/>
        <v>3.3</v>
      </c>
      <c r="D142" s="134">
        <f t="shared" si="30"/>
        <v>3.3</v>
      </c>
      <c r="E142" s="134">
        <f t="shared" si="30"/>
        <v>3.3</v>
      </c>
      <c r="F142" s="134">
        <f t="shared" si="30"/>
        <v>3.3</v>
      </c>
      <c r="G142" s="134">
        <f t="shared" si="30"/>
        <v>3.3</v>
      </c>
      <c r="H142" s="134">
        <f t="shared" si="30"/>
        <v>3.3</v>
      </c>
      <c r="I142" s="134">
        <f t="shared" si="30"/>
        <v>3.3</v>
      </c>
      <c r="J142" s="134">
        <f t="shared" si="30"/>
        <v>3.3</v>
      </c>
      <c r="K142" s="134">
        <f t="shared" si="30"/>
        <v>3.3</v>
      </c>
      <c r="L142" s="134">
        <f t="shared" si="30"/>
        <v>3.3</v>
      </c>
      <c r="M142" s="134">
        <f t="shared" si="30"/>
        <v>3.3</v>
      </c>
      <c r="N142" s="134">
        <f t="shared" si="30"/>
        <v>3.3</v>
      </c>
      <c r="O142" s="134">
        <f t="shared" si="30"/>
        <v>3.3</v>
      </c>
      <c r="P142" s="134">
        <f t="shared" si="30"/>
        <v>3.3</v>
      </c>
      <c r="Q142" s="134">
        <f t="shared" si="30"/>
        <v>3.3</v>
      </c>
      <c r="R142" s="134">
        <f t="shared" si="30"/>
        <v>3.3</v>
      </c>
      <c r="S142" s="134">
        <f t="shared" si="31"/>
        <v>3.3</v>
      </c>
      <c r="T142" s="134">
        <f t="shared" si="31"/>
        <v>3.3</v>
      </c>
      <c r="U142" s="134">
        <f t="shared" si="31"/>
        <v>3.3</v>
      </c>
      <c r="V142" s="134">
        <f t="shared" si="31"/>
        <v>3.3</v>
      </c>
      <c r="W142" s="134">
        <f t="shared" si="31"/>
        <v>3.3</v>
      </c>
      <c r="X142" s="134">
        <f t="shared" si="31"/>
        <v>3.3</v>
      </c>
      <c r="Y142" s="134">
        <f t="shared" si="31"/>
        <v>3.3</v>
      </c>
      <c r="Z142" s="134">
        <f t="shared" si="31"/>
        <v>3.3</v>
      </c>
      <c r="AA142" s="134">
        <f t="shared" si="31"/>
        <v>3.3</v>
      </c>
      <c r="AB142" s="134">
        <f t="shared" si="31"/>
        <v>3.3</v>
      </c>
      <c r="AC142" s="134">
        <f t="shared" si="31"/>
        <v>3.3</v>
      </c>
      <c r="AD142" s="134">
        <f t="shared" si="31"/>
        <v>3.3</v>
      </c>
      <c r="AE142" s="134">
        <f t="shared" si="31"/>
        <v>3.3</v>
      </c>
      <c r="AF142" s="134">
        <f t="shared" si="31"/>
        <v>3.3</v>
      </c>
      <c r="AG142" s="136">
        <v>4.4000000000000004</v>
      </c>
      <c r="AH142" s="55"/>
      <c r="AI142" s="56"/>
      <c r="AK142" s="57"/>
    </row>
    <row r="143" spans="1:37" x14ac:dyDescent="0.25">
      <c r="A143" s="121" t="s">
        <v>147</v>
      </c>
      <c r="B143" s="133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6">
        <v>4.3600000000000003</v>
      </c>
      <c r="AH143" s="55"/>
      <c r="AI143" s="56"/>
      <c r="AK143" s="57"/>
    </row>
    <row r="144" spans="1:37" x14ac:dyDescent="0.25">
      <c r="A144" s="121" t="s">
        <v>148</v>
      </c>
      <c r="B144" s="133">
        <v>1.76</v>
      </c>
      <c r="C144" s="134">
        <f t="shared" ref="C144:R145" si="32">B144</f>
        <v>1.76</v>
      </c>
      <c r="D144" s="134">
        <f t="shared" si="32"/>
        <v>1.76</v>
      </c>
      <c r="E144" s="134">
        <f t="shared" si="32"/>
        <v>1.76</v>
      </c>
      <c r="F144" s="134">
        <f t="shared" si="32"/>
        <v>1.76</v>
      </c>
      <c r="G144" s="134">
        <f t="shared" si="32"/>
        <v>1.76</v>
      </c>
      <c r="H144" s="134">
        <f t="shared" si="32"/>
        <v>1.76</v>
      </c>
      <c r="I144" s="134">
        <f t="shared" si="32"/>
        <v>1.76</v>
      </c>
      <c r="J144" s="134">
        <f t="shared" si="32"/>
        <v>1.76</v>
      </c>
      <c r="K144" s="134">
        <f t="shared" si="32"/>
        <v>1.76</v>
      </c>
      <c r="L144" s="134">
        <f t="shared" si="32"/>
        <v>1.76</v>
      </c>
      <c r="M144" s="134">
        <f t="shared" si="32"/>
        <v>1.76</v>
      </c>
      <c r="N144" s="134">
        <f t="shared" si="32"/>
        <v>1.76</v>
      </c>
      <c r="O144" s="134">
        <f t="shared" si="32"/>
        <v>1.76</v>
      </c>
      <c r="P144" s="134">
        <f t="shared" si="32"/>
        <v>1.76</v>
      </c>
      <c r="Q144" s="134">
        <f t="shared" si="32"/>
        <v>1.76</v>
      </c>
      <c r="R144" s="134">
        <f t="shared" si="32"/>
        <v>1.76</v>
      </c>
      <c r="S144" s="134">
        <f t="shared" ref="S144:AF145" si="33">R144</f>
        <v>1.76</v>
      </c>
      <c r="T144" s="134">
        <f t="shared" si="33"/>
        <v>1.76</v>
      </c>
      <c r="U144" s="134">
        <f t="shared" si="33"/>
        <v>1.76</v>
      </c>
      <c r="V144" s="134">
        <f t="shared" si="33"/>
        <v>1.76</v>
      </c>
      <c r="W144" s="134">
        <f t="shared" si="33"/>
        <v>1.76</v>
      </c>
      <c r="X144" s="134">
        <f t="shared" si="33"/>
        <v>1.76</v>
      </c>
      <c r="Y144" s="134">
        <f t="shared" si="33"/>
        <v>1.76</v>
      </c>
      <c r="Z144" s="134">
        <f t="shared" si="33"/>
        <v>1.76</v>
      </c>
      <c r="AA144" s="134">
        <f t="shared" si="33"/>
        <v>1.76</v>
      </c>
      <c r="AB144" s="134">
        <f t="shared" si="33"/>
        <v>1.76</v>
      </c>
      <c r="AC144" s="134">
        <f t="shared" si="33"/>
        <v>1.76</v>
      </c>
      <c r="AD144" s="134">
        <f t="shared" si="33"/>
        <v>1.76</v>
      </c>
      <c r="AE144" s="134">
        <f t="shared" si="33"/>
        <v>1.76</v>
      </c>
      <c r="AF144" s="134">
        <f t="shared" si="33"/>
        <v>1.76</v>
      </c>
      <c r="AG144" s="136">
        <v>4.2</v>
      </c>
      <c r="AH144" s="55"/>
      <c r="AI144" s="56"/>
      <c r="AK144" s="57"/>
    </row>
    <row r="145" spans="1:37" x14ac:dyDescent="0.25">
      <c r="A145" s="121" t="s">
        <v>149</v>
      </c>
      <c r="B145" s="133">
        <v>0</v>
      </c>
      <c r="C145" s="134">
        <f t="shared" si="32"/>
        <v>0</v>
      </c>
      <c r="D145" s="134">
        <f t="shared" si="32"/>
        <v>0</v>
      </c>
      <c r="E145" s="134">
        <f t="shared" si="32"/>
        <v>0</v>
      </c>
      <c r="F145" s="134">
        <f t="shared" si="32"/>
        <v>0</v>
      </c>
      <c r="G145" s="134">
        <f t="shared" si="32"/>
        <v>0</v>
      </c>
      <c r="H145" s="134">
        <f t="shared" si="32"/>
        <v>0</v>
      </c>
      <c r="I145" s="134">
        <f t="shared" si="32"/>
        <v>0</v>
      </c>
      <c r="J145" s="134">
        <f t="shared" si="32"/>
        <v>0</v>
      </c>
      <c r="K145" s="134">
        <f t="shared" si="32"/>
        <v>0</v>
      </c>
      <c r="L145" s="134">
        <f t="shared" si="32"/>
        <v>0</v>
      </c>
      <c r="M145" s="134">
        <f t="shared" si="32"/>
        <v>0</v>
      </c>
      <c r="N145" s="134">
        <f t="shared" si="32"/>
        <v>0</v>
      </c>
      <c r="O145" s="134">
        <f t="shared" si="32"/>
        <v>0</v>
      </c>
      <c r="P145" s="134">
        <f t="shared" si="32"/>
        <v>0</v>
      </c>
      <c r="Q145" s="134">
        <f t="shared" si="32"/>
        <v>0</v>
      </c>
      <c r="R145" s="134">
        <f t="shared" si="32"/>
        <v>0</v>
      </c>
      <c r="S145" s="134">
        <f t="shared" si="33"/>
        <v>0</v>
      </c>
      <c r="T145" s="134">
        <f t="shared" si="33"/>
        <v>0</v>
      </c>
      <c r="U145" s="134">
        <f t="shared" si="33"/>
        <v>0</v>
      </c>
      <c r="V145" s="134">
        <f t="shared" si="33"/>
        <v>0</v>
      </c>
      <c r="W145" s="134">
        <f t="shared" si="33"/>
        <v>0</v>
      </c>
      <c r="X145" s="134">
        <f t="shared" si="33"/>
        <v>0</v>
      </c>
      <c r="Y145" s="134">
        <f t="shared" si="33"/>
        <v>0</v>
      </c>
      <c r="Z145" s="134">
        <f t="shared" si="33"/>
        <v>0</v>
      </c>
      <c r="AA145" s="134">
        <f t="shared" si="33"/>
        <v>0</v>
      </c>
      <c r="AB145" s="134">
        <f t="shared" si="33"/>
        <v>0</v>
      </c>
      <c r="AC145" s="134">
        <f t="shared" si="33"/>
        <v>0</v>
      </c>
      <c r="AD145" s="134">
        <f t="shared" si="33"/>
        <v>0</v>
      </c>
      <c r="AE145" s="134">
        <f t="shared" si="33"/>
        <v>0</v>
      </c>
      <c r="AF145" s="134">
        <f t="shared" si="33"/>
        <v>0</v>
      </c>
      <c r="AG145" s="136">
        <v>4</v>
      </c>
      <c r="AH145" s="55"/>
      <c r="AI145" s="56"/>
      <c r="AK145" s="57"/>
    </row>
    <row r="146" spans="1:37" x14ac:dyDescent="0.25">
      <c r="A146" s="121" t="s">
        <v>150</v>
      </c>
      <c r="B146" s="133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6">
        <v>4</v>
      </c>
      <c r="AH146" s="55"/>
      <c r="AI146" s="56"/>
      <c r="AK146" s="57"/>
    </row>
    <row r="147" spans="1:37" x14ac:dyDescent="0.25">
      <c r="A147" s="121" t="s">
        <v>151</v>
      </c>
      <c r="B147" s="133">
        <v>0.1</v>
      </c>
      <c r="C147" s="134">
        <f t="shared" ref="C147:R150" si="34">B147</f>
        <v>0.1</v>
      </c>
      <c r="D147" s="134">
        <f t="shared" si="34"/>
        <v>0.1</v>
      </c>
      <c r="E147" s="134">
        <f t="shared" si="34"/>
        <v>0.1</v>
      </c>
      <c r="F147" s="134">
        <f t="shared" si="34"/>
        <v>0.1</v>
      </c>
      <c r="G147" s="134">
        <f t="shared" si="34"/>
        <v>0.1</v>
      </c>
      <c r="H147" s="134">
        <f t="shared" si="34"/>
        <v>0.1</v>
      </c>
      <c r="I147" s="134">
        <f t="shared" si="34"/>
        <v>0.1</v>
      </c>
      <c r="J147" s="134">
        <f t="shared" si="34"/>
        <v>0.1</v>
      </c>
      <c r="K147" s="134">
        <f t="shared" si="34"/>
        <v>0.1</v>
      </c>
      <c r="L147" s="134">
        <f t="shared" si="34"/>
        <v>0.1</v>
      </c>
      <c r="M147" s="134">
        <f t="shared" si="34"/>
        <v>0.1</v>
      </c>
      <c r="N147" s="134">
        <f t="shared" si="34"/>
        <v>0.1</v>
      </c>
      <c r="O147" s="134">
        <f t="shared" si="34"/>
        <v>0.1</v>
      </c>
      <c r="P147" s="134">
        <f t="shared" si="34"/>
        <v>0.1</v>
      </c>
      <c r="Q147" s="134">
        <f t="shared" si="34"/>
        <v>0.1</v>
      </c>
      <c r="R147" s="134">
        <f t="shared" si="34"/>
        <v>0.1</v>
      </c>
      <c r="S147" s="134">
        <f t="shared" ref="S147:AF150" si="35">R147</f>
        <v>0.1</v>
      </c>
      <c r="T147" s="134">
        <f t="shared" si="35"/>
        <v>0.1</v>
      </c>
      <c r="U147" s="134">
        <f t="shared" si="35"/>
        <v>0.1</v>
      </c>
      <c r="V147" s="134">
        <f t="shared" si="35"/>
        <v>0.1</v>
      </c>
      <c r="W147" s="134">
        <f t="shared" si="35"/>
        <v>0.1</v>
      </c>
      <c r="X147" s="134">
        <f t="shared" si="35"/>
        <v>0.1</v>
      </c>
      <c r="Y147" s="134">
        <f t="shared" si="35"/>
        <v>0.1</v>
      </c>
      <c r="Z147" s="134">
        <f t="shared" si="35"/>
        <v>0.1</v>
      </c>
      <c r="AA147" s="134">
        <f t="shared" si="35"/>
        <v>0.1</v>
      </c>
      <c r="AB147" s="134">
        <f t="shared" si="35"/>
        <v>0.1</v>
      </c>
      <c r="AC147" s="134">
        <f t="shared" si="35"/>
        <v>0.1</v>
      </c>
      <c r="AD147" s="134">
        <f t="shared" si="35"/>
        <v>0.1</v>
      </c>
      <c r="AE147" s="134">
        <f t="shared" si="35"/>
        <v>0.1</v>
      </c>
      <c r="AF147" s="134">
        <f t="shared" si="35"/>
        <v>0.1</v>
      </c>
      <c r="AG147" s="136">
        <v>4</v>
      </c>
      <c r="AH147" s="55"/>
      <c r="AI147" s="56"/>
      <c r="AK147" s="57"/>
    </row>
    <row r="148" spans="1:37" x14ac:dyDescent="0.25">
      <c r="A148" s="121" t="s">
        <v>152</v>
      </c>
      <c r="B148" s="133">
        <v>2.0499999999999998</v>
      </c>
      <c r="C148" s="134">
        <f t="shared" si="34"/>
        <v>2.0499999999999998</v>
      </c>
      <c r="D148" s="134">
        <f t="shared" si="34"/>
        <v>2.0499999999999998</v>
      </c>
      <c r="E148" s="134">
        <f t="shared" si="34"/>
        <v>2.0499999999999998</v>
      </c>
      <c r="F148" s="134">
        <f t="shared" si="34"/>
        <v>2.0499999999999998</v>
      </c>
      <c r="G148" s="134">
        <f t="shared" si="34"/>
        <v>2.0499999999999998</v>
      </c>
      <c r="H148" s="134">
        <f t="shared" si="34"/>
        <v>2.0499999999999998</v>
      </c>
      <c r="I148" s="134">
        <f t="shared" si="34"/>
        <v>2.0499999999999998</v>
      </c>
      <c r="J148" s="134">
        <f t="shared" si="34"/>
        <v>2.0499999999999998</v>
      </c>
      <c r="K148" s="134">
        <f t="shared" si="34"/>
        <v>2.0499999999999998</v>
      </c>
      <c r="L148" s="134">
        <f t="shared" si="34"/>
        <v>2.0499999999999998</v>
      </c>
      <c r="M148" s="134">
        <f t="shared" si="34"/>
        <v>2.0499999999999998</v>
      </c>
      <c r="N148" s="134">
        <f t="shared" si="34"/>
        <v>2.0499999999999998</v>
      </c>
      <c r="O148" s="134">
        <f t="shared" si="34"/>
        <v>2.0499999999999998</v>
      </c>
      <c r="P148" s="134">
        <f t="shared" si="34"/>
        <v>2.0499999999999998</v>
      </c>
      <c r="Q148" s="134">
        <f t="shared" si="34"/>
        <v>2.0499999999999998</v>
      </c>
      <c r="R148" s="134">
        <f t="shared" si="34"/>
        <v>2.0499999999999998</v>
      </c>
      <c r="S148" s="134">
        <f t="shared" si="35"/>
        <v>2.0499999999999998</v>
      </c>
      <c r="T148" s="134">
        <f t="shared" si="35"/>
        <v>2.0499999999999998</v>
      </c>
      <c r="U148" s="134">
        <f t="shared" si="35"/>
        <v>2.0499999999999998</v>
      </c>
      <c r="V148" s="134">
        <f t="shared" si="35"/>
        <v>2.0499999999999998</v>
      </c>
      <c r="W148" s="134">
        <f t="shared" si="35"/>
        <v>2.0499999999999998</v>
      </c>
      <c r="X148" s="134">
        <f t="shared" si="35"/>
        <v>2.0499999999999998</v>
      </c>
      <c r="Y148" s="134">
        <f t="shared" si="35"/>
        <v>2.0499999999999998</v>
      </c>
      <c r="Z148" s="134">
        <f t="shared" si="35"/>
        <v>2.0499999999999998</v>
      </c>
      <c r="AA148" s="134">
        <f t="shared" si="35"/>
        <v>2.0499999999999998</v>
      </c>
      <c r="AB148" s="134">
        <f t="shared" si="35"/>
        <v>2.0499999999999998</v>
      </c>
      <c r="AC148" s="134">
        <f t="shared" si="35"/>
        <v>2.0499999999999998</v>
      </c>
      <c r="AD148" s="134">
        <f t="shared" si="35"/>
        <v>2.0499999999999998</v>
      </c>
      <c r="AE148" s="134">
        <f t="shared" si="35"/>
        <v>2.0499999999999998</v>
      </c>
      <c r="AF148" s="134">
        <f t="shared" si="35"/>
        <v>2.0499999999999998</v>
      </c>
      <c r="AG148" s="136">
        <v>4</v>
      </c>
      <c r="AH148" s="55"/>
      <c r="AI148" s="56"/>
      <c r="AK148" s="57"/>
    </row>
    <row r="149" spans="1:37" x14ac:dyDescent="0.25">
      <c r="A149" s="121" t="s">
        <v>153</v>
      </c>
      <c r="B149" s="133">
        <v>2.7</v>
      </c>
      <c r="C149" s="134">
        <f t="shared" si="34"/>
        <v>2.7</v>
      </c>
      <c r="D149" s="134">
        <f t="shared" si="34"/>
        <v>2.7</v>
      </c>
      <c r="E149" s="134">
        <f t="shared" si="34"/>
        <v>2.7</v>
      </c>
      <c r="F149" s="134">
        <f t="shared" si="34"/>
        <v>2.7</v>
      </c>
      <c r="G149" s="134">
        <f t="shared" si="34"/>
        <v>2.7</v>
      </c>
      <c r="H149" s="134">
        <f t="shared" si="34"/>
        <v>2.7</v>
      </c>
      <c r="I149" s="134">
        <f t="shared" si="34"/>
        <v>2.7</v>
      </c>
      <c r="J149" s="134">
        <f t="shared" si="34"/>
        <v>2.7</v>
      </c>
      <c r="K149" s="134">
        <f t="shared" si="34"/>
        <v>2.7</v>
      </c>
      <c r="L149" s="134">
        <f t="shared" si="34"/>
        <v>2.7</v>
      </c>
      <c r="M149" s="134">
        <f t="shared" si="34"/>
        <v>2.7</v>
      </c>
      <c r="N149" s="134">
        <f t="shared" si="34"/>
        <v>2.7</v>
      </c>
      <c r="O149" s="134">
        <f t="shared" si="34"/>
        <v>2.7</v>
      </c>
      <c r="P149" s="134">
        <f t="shared" si="34"/>
        <v>2.7</v>
      </c>
      <c r="Q149" s="134">
        <f t="shared" si="34"/>
        <v>2.7</v>
      </c>
      <c r="R149" s="134">
        <f t="shared" si="34"/>
        <v>2.7</v>
      </c>
      <c r="S149" s="134">
        <f t="shared" si="35"/>
        <v>2.7</v>
      </c>
      <c r="T149" s="134">
        <f t="shared" si="35"/>
        <v>2.7</v>
      </c>
      <c r="U149" s="134">
        <f t="shared" si="35"/>
        <v>2.7</v>
      </c>
      <c r="V149" s="134">
        <f t="shared" si="35"/>
        <v>2.7</v>
      </c>
      <c r="W149" s="134">
        <f t="shared" si="35"/>
        <v>2.7</v>
      </c>
      <c r="X149" s="134">
        <f t="shared" si="35"/>
        <v>2.7</v>
      </c>
      <c r="Y149" s="134">
        <f t="shared" si="35"/>
        <v>2.7</v>
      </c>
      <c r="Z149" s="134">
        <f t="shared" si="35"/>
        <v>2.7</v>
      </c>
      <c r="AA149" s="134">
        <f t="shared" si="35"/>
        <v>2.7</v>
      </c>
      <c r="AB149" s="134">
        <f t="shared" si="35"/>
        <v>2.7</v>
      </c>
      <c r="AC149" s="134">
        <f t="shared" si="35"/>
        <v>2.7</v>
      </c>
      <c r="AD149" s="134">
        <f t="shared" si="35"/>
        <v>2.7</v>
      </c>
      <c r="AE149" s="134">
        <f t="shared" si="35"/>
        <v>2.7</v>
      </c>
      <c r="AF149" s="134">
        <f t="shared" si="35"/>
        <v>2.7</v>
      </c>
      <c r="AG149" s="136">
        <v>4</v>
      </c>
      <c r="AH149" s="55"/>
      <c r="AI149" s="56"/>
      <c r="AK149" s="57"/>
    </row>
    <row r="150" spans="1:37" x14ac:dyDescent="0.25">
      <c r="A150" s="121" t="s">
        <v>154</v>
      </c>
      <c r="B150" s="133">
        <v>2.15</v>
      </c>
      <c r="C150" s="134">
        <f t="shared" si="34"/>
        <v>2.15</v>
      </c>
      <c r="D150" s="134">
        <f t="shared" si="34"/>
        <v>2.15</v>
      </c>
      <c r="E150" s="134">
        <f t="shared" si="34"/>
        <v>2.15</v>
      </c>
      <c r="F150" s="134">
        <f t="shared" si="34"/>
        <v>2.15</v>
      </c>
      <c r="G150" s="134">
        <f t="shared" si="34"/>
        <v>2.15</v>
      </c>
      <c r="H150" s="134">
        <f t="shared" si="34"/>
        <v>2.15</v>
      </c>
      <c r="I150" s="134">
        <f t="shared" si="34"/>
        <v>2.15</v>
      </c>
      <c r="J150" s="134">
        <f t="shared" si="34"/>
        <v>2.15</v>
      </c>
      <c r="K150" s="134">
        <f t="shared" si="34"/>
        <v>2.15</v>
      </c>
      <c r="L150" s="134">
        <f t="shared" si="34"/>
        <v>2.15</v>
      </c>
      <c r="M150" s="134">
        <f t="shared" si="34"/>
        <v>2.15</v>
      </c>
      <c r="N150" s="134">
        <f t="shared" si="34"/>
        <v>2.15</v>
      </c>
      <c r="O150" s="134">
        <f t="shared" si="34"/>
        <v>2.15</v>
      </c>
      <c r="P150" s="134">
        <f t="shared" si="34"/>
        <v>2.15</v>
      </c>
      <c r="Q150" s="134">
        <f t="shared" si="34"/>
        <v>2.15</v>
      </c>
      <c r="R150" s="134">
        <f t="shared" si="34"/>
        <v>2.15</v>
      </c>
      <c r="S150" s="134">
        <f t="shared" si="35"/>
        <v>2.15</v>
      </c>
      <c r="T150" s="134">
        <f t="shared" si="35"/>
        <v>2.15</v>
      </c>
      <c r="U150" s="134">
        <f t="shared" si="35"/>
        <v>2.15</v>
      </c>
      <c r="V150" s="134">
        <f t="shared" si="35"/>
        <v>2.15</v>
      </c>
      <c r="W150" s="134">
        <f t="shared" si="35"/>
        <v>2.15</v>
      </c>
      <c r="X150" s="134">
        <f t="shared" si="35"/>
        <v>2.15</v>
      </c>
      <c r="Y150" s="134">
        <f t="shared" si="35"/>
        <v>2.15</v>
      </c>
      <c r="Z150" s="134">
        <f t="shared" si="35"/>
        <v>2.15</v>
      </c>
      <c r="AA150" s="134">
        <f t="shared" si="35"/>
        <v>2.15</v>
      </c>
      <c r="AB150" s="134">
        <f t="shared" si="35"/>
        <v>2.15</v>
      </c>
      <c r="AC150" s="134">
        <f t="shared" si="35"/>
        <v>2.15</v>
      </c>
      <c r="AD150" s="134">
        <f t="shared" si="35"/>
        <v>2.15</v>
      </c>
      <c r="AE150" s="134">
        <f t="shared" si="35"/>
        <v>2.15</v>
      </c>
      <c r="AF150" s="134">
        <f t="shared" si="35"/>
        <v>2.15</v>
      </c>
      <c r="AG150" s="136">
        <v>4</v>
      </c>
      <c r="AH150" s="55"/>
      <c r="AI150" s="56"/>
      <c r="AK150" s="57"/>
    </row>
    <row r="151" spans="1:37" x14ac:dyDescent="0.25">
      <c r="A151" s="121" t="s">
        <v>155</v>
      </c>
      <c r="B151" s="133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6">
        <v>4</v>
      </c>
      <c r="AH151" s="55"/>
      <c r="AI151" s="56"/>
      <c r="AK151" s="57"/>
    </row>
    <row r="152" spans="1:37" x14ac:dyDescent="0.25">
      <c r="A152" s="121" t="s">
        <v>156</v>
      </c>
      <c r="B152" s="133">
        <v>0.9</v>
      </c>
      <c r="C152" s="134">
        <f t="shared" ref="C152:R164" si="36">B152</f>
        <v>0.9</v>
      </c>
      <c r="D152" s="134">
        <f t="shared" si="36"/>
        <v>0.9</v>
      </c>
      <c r="E152" s="134">
        <f t="shared" si="36"/>
        <v>0.9</v>
      </c>
      <c r="F152" s="134">
        <f t="shared" si="36"/>
        <v>0.9</v>
      </c>
      <c r="G152" s="134">
        <f t="shared" si="36"/>
        <v>0.9</v>
      </c>
      <c r="H152" s="134">
        <f t="shared" si="36"/>
        <v>0.9</v>
      </c>
      <c r="I152" s="134">
        <f t="shared" si="36"/>
        <v>0.9</v>
      </c>
      <c r="J152" s="134">
        <f t="shared" si="36"/>
        <v>0.9</v>
      </c>
      <c r="K152" s="134">
        <f t="shared" si="36"/>
        <v>0.9</v>
      </c>
      <c r="L152" s="134">
        <f t="shared" si="36"/>
        <v>0.9</v>
      </c>
      <c r="M152" s="134">
        <f t="shared" si="36"/>
        <v>0.9</v>
      </c>
      <c r="N152" s="134">
        <f t="shared" si="36"/>
        <v>0.9</v>
      </c>
      <c r="O152" s="134">
        <f t="shared" si="36"/>
        <v>0.9</v>
      </c>
      <c r="P152" s="134">
        <f t="shared" si="36"/>
        <v>0.9</v>
      </c>
      <c r="Q152" s="134">
        <f t="shared" si="36"/>
        <v>0.9</v>
      </c>
      <c r="R152" s="134">
        <f t="shared" si="36"/>
        <v>0.9</v>
      </c>
      <c r="S152" s="134">
        <f t="shared" ref="R152:AF164" si="37">R152</f>
        <v>0.9</v>
      </c>
      <c r="T152" s="134">
        <f t="shared" si="37"/>
        <v>0.9</v>
      </c>
      <c r="U152" s="134">
        <f t="shared" si="37"/>
        <v>0.9</v>
      </c>
      <c r="V152" s="134">
        <f t="shared" si="37"/>
        <v>0.9</v>
      </c>
      <c r="W152" s="134">
        <f t="shared" si="37"/>
        <v>0.9</v>
      </c>
      <c r="X152" s="134">
        <f t="shared" si="37"/>
        <v>0.9</v>
      </c>
      <c r="Y152" s="134">
        <f t="shared" si="37"/>
        <v>0.9</v>
      </c>
      <c r="Z152" s="134">
        <f t="shared" si="37"/>
        <v>0.9</v>
      </c>
      <c r="AA152" s="134">
        <f t="shared" si="37"/>
        <v>0.9</v>
      </c>
      <c r="AB152" s="134">
        <f t="shared" si="37"/>
        <v>0.9</v>
      </c>
      <c r="AC152" s="134">
        <f t="shared" si="37"/>
        <v>0.9</v>
      </c>
      <c r="AD152" s="134">
        <f t="shared" si="37"/>
        <v>0.9</v>
      </c>
      <c r="AE152" s="134">
        <f t="shared" si="37"/>
        <v>0.9</v>
      </c>
      <c r="AF152" s="134">
        <f t="shared" si="37"/>
        <v>0.9</v>
      </c>
      <c r="AG152" s="136">
        <v>4</v>
      </c>
      <c r="AH152" s="55"/>
      <c r="AI152" s="56"/>
      <c r="AK152" s="57"/>
    </row>
    <row r="153" spans="1:37" x14ac:dyDescent="0.25">
      <c r="A153" s="121" t="s">
        <v>157</v>
      </c>
      <c r="B153" s="133">
        <v>1.08</v>
      </c>
      <c r="C153" s="134">
        <f t="shared" si="36"/>
        <v>1.08</v>
      </c>
      <c r="D153" s="134">
        <f t="shared" si="36"/>
        <v>1.08</v>
      </c>
      <c r="E153" s="134">
        <f t="shared" si="36"/>
        <v>1.08</v>
      </c>
      <c r="F153" s="134">
        <f t="shared" si="36"/>
        <v>1.08</v>
      </c>
      <c r="G153" s="134">
        <f t="shared" si="36"/>
        <v>1.08</v>
      </c>
      <c r="H153" s="134">
        <f t="shared" si="36"/>
        <v>1.08</v>
      </c>
      <c r="I153" s="134">
        <f t="shared" si="36"/>
        <v>1.08</v>
      </c>
      <c r="J153" s="134">
        <f t="shared" si="36"/>
        <v>1.08</v>
      </c>
      <c r="K153" s="134">
        <f t="shared" si="36"/>
        <v>1.08</v>
      </c>
      <c r="L153" s="134">
        <f t="shared" si="36"/>
        <v>1.08</v>
      </c>
      <c r="M153" s="134">
        <f t="shared" si="36"/>
        <v>1.08</v>
      </c>
      <c r="N153" s="134">
        <f t="shared" si="36"/>
        <v>1.08</v>
      </c>
      <c r="O153" s="134">
        <f t="shared" si="36"/>
        <v>1.08</v>
      </c>
      <c r="P153" s="134">
        <f t="shared" si="36"/>
        <v>1.08</v>
      </c>
      <c r="Q153" s="134">
        <f t="shared" si="36"/>
        <v>1.08</v>
      </c>
      <c r="R153" s="134">
        <f t="shared" si="36"/>
        <v>1.08</v>
      </c>
      <c r="S153" s="134">
        <f t="shared" si="37"/>
        <v>1.08</v>
      </c>
      <c r="T153" s="134">
        <f t="shared" si="37"/>
        <v>1.08</v>
      </c>
      <c r="U153" s="134">
        <f t="shared" si="37"/>
        <v>1.08</v>
      </c>
      <c r="V153" s="134">
        <f t="shared" si="37"/>
        <v>1.08</v>
      </c>
      <c r="W153" s="134">
        <f t="shared" si="37"/>
        <v>1.08</v>
      </c>
      <c r="X153" s="134">
        <f t="shared" si="37"/>
        <v>1.08</v>
      </c>
      <c r="Y153" s="134">
        <f t="shared" si="37"/>
        <v>1.08</v>
      </c>
      <c r="Z153" s="134">
        <f t="shared" si="37"/>
        <v>1.08</v>
      </c>
      <c r="AA153" s="134">
        <f t="shared" si="37"/>
        <v>1.08</v>
      </c>
      <c r="AB153" s="134">
        <f t="shared" si="37"/>
        <v>1.08</v>
      </c>
      <c r="AC153" s="134">
        <f t="shared" si="37"/>
        <v>1.08</v>
      </c>
      <c r="AD153" s="134">
        <f t="shared" si="37"/>
        <v>1.08</v>
      </c>
      <c r="AE153" s="134">
        <f t="shared" si="37"/>
        <v>1.08</v>
      </c>
      <c r="AF153" s="134">
        <f t="shared" si="37"/>
        <v>1.08</v>
      </c>
      <c r="AG153" s="136">
        <v>3.75</v>
      </c>
      <c r="AH153" s="55"/>
      <c r="AI153" s="56"/>
      <c r="AK153" s="57"/>
    </row>
    <row r="154" spans="1:37" x14ac:dyDescent="0.25">
      <c r="A154" s="121" t="s">
        <v>158</v>
      </c>
      <c r="B154" s="133">
        <v>2.37</v>
      </c>
      <c r="C154" s="134">
        <f t="shared" si="36"/>
        <v>2.37</v>
      </c>
      <c r="D154" s="134">
        <f t="shared" si="36"/>
        <v>2.37</v>
      </c>
      <c r="E154" s="134">
        <f t="shared" si="36"/>
        <v>2.37</v>
      </c>
      <c r="F154" s="134">
        <f t="shared" si="36"/>
        <v>2.37</v>
      </c>
      <c r="G154" s="134">
        <f t="shared" si="36"/>
        <v>2.37</v>
      </c>
      <c r="H154" s="134">
        <f t="shared" si="36"/>
        <v>2.37</v>
      </c>
      <c r="I154" s="134">
        <f t="shared" si="36"/>
        <v>2.37</v>
      </c>
      <c r="J154" s="134">
        <f t="shared" si="36"/>
        <v>2.37</v>
      </c>
      <c r="K154" s="134">
        <f t="shared" si="36"/>
        <v>2.37</v>
      </c>
      <c r="L154" s="134">
        <f t="shared" si="36"/>
        <v>2.37</v>
      </c>
      <c r="M154" s="134">
        <f t="shared" si="36"/>
        <v>2.37</v>
      </c>
      <c r="N154" s="134">
        <f t="shared" si="36"/>
        <v>2.37</v>
      </c>
      <c r="O154" s="134">
        <f t="shared" si="36"/>
        <v>2.37</v>
      </c>
      <c r="P154" s="134">
        <f t="shared" si="36"/>
        <v>2.37</v>
      </c>
      <c r="Q154" s="134">
        <f t="shared" si="36"/>
        <v>2.37</v>
      </c>
      <c r="R154" s="134">
        <f t="shared" si="36"/>
        <v>2.37</v>
      </c>
      <c r="S154" s="134">
        <f t="shared" si="37"/>
        <v>2.37</v>
      </c>
      <c r="T154" s="134">
        <f t="shared" si="37"/>
        <v>2.37</v>
      </c>
      <c r="U154" s="134">
        <f t="shared" si="37"/>
        <v>2.37</v>
      </c>
      <c r="V154" s="134">
        <f t="shared" si="37"/>
        <v>2.37</v>
      </c>
      <c r="W154" s="134">
        <f t="shared" si="37"/>
        <v>2.37</v>
      </c>
      <c r="X154" s="134">
        <f t="shared" si="37"/>
        <v>2.37</v>
      </c>
      <c r="Y154" s="134">
        <f t="shared" si="37"/>
        <v>2.37</v>
      </c>
      <c r="Z154" s="134">
        <f t="shared" si="37"/>
        <v>2.37</v>
      </c>
      <c r="AA154" s="134">
        <f t="shared" si="37"/>
        <v>2.37</v>
      </c>
      <c r="AB154" s="134">
        <f t="shared" si="37"/>
        <v>2.37</v>
      </c>
      <c r="AC154" s="134">
        <f t="shared" si="37"/>
        <v>2.37</v>
      </c>
      <c r="AD154" s="134">
        <f t="shared" si="37"/>
        <v>2.37</v>
      </c>
      <c r="AE154" s="134">
        <f t="shared" si="37"/>
        <v>2.37</v>
      </c>
      <c r="AF154" s="134">
        <f t="shared" si="37"/>
        <v>2.37</v>
      </c>
      <c r="AG154" s="136">
        <v>3.52</v>
      </c>
      <c r="AH154" s="55"/>
      <c r="AI154" s="56"/>
      <c r="AK154" s="57"/>
    </row>
    <row r="155" spans="1:37" x14ac:dyDescent="0.25">
      <c r="A155" s="121" t="s">
        <v>159</v>
      </c>
      <c r="B155" s="133">
        <v>1.81</v>
      </c>
      <c r="C155" s="134">
        <f t="shared" si="36"/>
        <v>1.81</v>
      </c>
      <c r="D155" s="134">
        <f t="shared" si="36"/>
        <v>1.81</v>
      </c>
      <c r="E155" s="134">
        <f t="shared" si="36"/>
        <v>1.81</v>
      </c>
      <c r="F155" s="134">
        <f t="shared" si="36"/>
        <v>1.81</v>
      </c>
      <c r="G155" s="134">
        <f t="shared" si="36"/>
        <v>1.81</v>
      </c>
      <c r="H155" s="134">
        <f t="shared" si="36"/>
        <v>1.81</v>
      </c>
      <c r="I155" s="134">
        <f t="shared" si="36"/>
        <v>1.81</v>
      </c>
      <c r="J155" s="134">
        <f t="shared" si="36"/>
        <v>1.81</v>
      </c>
      <c r="K155" s="134">
        <f t="shared" si="36"/>
        <v>1.81</v>
      </c>
      <c r="L155" s="134">
        <f t="shared" si="36"/>
        <v>1.81</v>
      </c>
      <c r="M155" s="134">
        <f t="shared" si="36"/>
        <v>1.81</v>
      </c>
      <c r="N155" s="134">
        <f t="shared" si="36"/>
        <v>1.81</v>
      </c>
      <c r="O155" s="134">
        <f t="shared" si="36"/>
        <v>1.81</v>
      </c>
      <c r="P155" s="134">
        <f t="shared" si="36"/>
        <v>1.81</v>
      </c>
      <c r="Q155" s="134">
        <f t="shared" si="36"/>
        <v>1.81</v>
      </c>
      <c r="R155" s="134">
        <f t="shared" si="36"/>
        <v>1.81</v>
      </c>
      <c r="S155" s="134">
        <f t="shared" si="37"/>
        <v>1.81</v>
      </c>
      <c r="T155" s="134">
        <f t="shared" si="37"/>
        <v>1.81</v>
      </c>
      <c r="U155" s="134">
        <f t="shared" si="37"/>
        <v>1.81</v>
      </c>
      <c r="V155" s="134">
        <f t="shared" si="37"/>
        <v>1.81</v>
      </c>
      <c r="W155" s="134">
        <f t="shared" si="37"/>
        <v>1.81</v>
      </c>
      <c r="X155" s="134">
        <f t="shared" si="37"/>
        <v>1.81</v>
      </c>
      <c r="Y155" s="134">
        <f t="shared" si="37"/>
        <v>1.81</v>
      </c>
      <c r="Z155" s="134">
        <f t="shared" si="37"/>
        <v>1.81</v>
      </c>
      <c r="AA155" s="134">
        <f t="shared" si="37"/>
        <v>1.81</v>
      </c>
      <c r="AB155" s="134">
        <f t="shared" si="37"/>
        <v>1.81</v>
      </c>
      <c r="AC155" s="134">
        <f t="shared" si="37"/>
        <v>1.81</v>
      </c>
      <c r="AD155" s="134">
        <f t="shared" si="37"/>
        <v>1.81</v>
      </c>
      <c r="AE155" s="134">
        <f t="shared" si="37"/>
        <v>1.81</v>
      </c>
      <c r="AF155" s="134">
        <f t="shared" si="37"/>
        <v>1.81</v>
      </c>
      <c r="AG155" s="136">
        <v>3.33</v>
      </c>
      <c r="AH155" s="55"/>
      <c r="AI155" s="56"/>
      <c r="AK155" s="57"/>
    </row>
    <row r="156" spans="1:37" x14ac:dyDescent="0.25">
      <c r="A156" s="121" t="s">
        <v>160</v>
      </c>
      <c r="B156" s="133">
        <v>1.0900000000000001</v>
      </c>
      <c r="C156" s="134">
        <f t="shared" si="36"/>
        <v>1.0900000000000001</v>
      </c>
      <c r="D156" s="134">
        <f t="shared" si="36"/>
        <v>1.0900000000000001</v>
      </c>
      <c r="E156" s="134">
        <f t="shared" si="36"/>
        <v>1.0900000000000001</v>
      </c>
      <c r="F156" s="134">
        <f t="shared" si="36"/>
        <v>1.0900000000000001</v>
      </c>
      <c r="G156" s="134">
        <f t="shared" si="36"/>
        <v>1.0900000000000001</v>
      </c>
      <c r="H156" s="134">
        <f t="shared" si="36"/>
        <v>1.0900000000000001</v>
      </c>
      <c r="I156" s="134">
        <f t="shared" si="36"/>
        <v>1.0900000000000001</v>
      </c>
      <c r="J156" s="134">
        <f t="shared" si="36"/>
        <v>1.0900000000000001</v>
      </c>
      <c r="K156" s="134">
        <f t="shared" si="36"/>
        <v>1.0900000000000001</v>
      </c>
      <c r="L156" s="134">
        <f t="shared" si="36"/>
        <v>1.0900000000000001</v>
      </c>
      <c r="M156" s="134">
        <f t="shared" si="36"/>
        <v>1.0900000000000001</v>
      </c>
      <c r="N156" s="134">
        <f t="shared" si="36"/>
        <v>1.0900000000000001</v>
      </c>
      <c r="O156" s="134">
        <f t="shared" si="36"/>
        <v>1.0900000000000001</v>
      </c>
      <c r="P156" s="134">
        <f t="shared" si="36"/>
        <v>1.0900000000000001</v>
      </c>
      <c r="Q156" s="134">
        <f t="shared" si="36"/>
        <v>1.0900000000000001</v>
      </c>
      <c r="R156" s="134">
        <f t="shared" si="36"/>
        <v>1.0900000000000001</v>
      </c>
      <c r="S156" s="134">
        <f t="shared" si="37"/>
        <v>1.0900000000000001</v>
      </c>
      <c r="T156" s="134">
        <f t="shared" si="37"/>
        <v>1.0900000000000001</v>
      </c>
      <c r="U156" s="134">
        <f t="shared" si="37"/>
        <v>1.0900000000000001</v>
      </c>
      <c r="V156" s="134">
        <f t="shared" si="37"/>
        <v>1.0900000000000001</v>
      </c>
      <c r="W156" s="134">
        <f t="shared" si="37"/>
        <v>1.0900000000000001</v>
      </c>
      <c r="X156" s="134">
        <f t="shared" si="37"/>
        <v>1.0900000000000001</v>
      </c>
      <c r="Y156" s="134">
        <f t="shared" si="37"/>
        <v>1.0900000000000001</v>
      </c>
      <c r="Z156" s="134">
        <f t="shared" si="37"/>
        <v>1.0900000000000001</v>
      </c>
      <c r="AA156" s="134">
        <f t="shared" si="37"/>
        <v>1.0900000000000001</v>
      </c>
      <c r="AB156" s="134">
        <f t="shared" si="37"/>
        <v>1.0900000000000001</v>
      </c>
      <c r="AC156" s="134">
        <f t="shared" si="37"/>
        <v>1.0900000000000001</v>
      </c>
      <c r="AD156" s="134">
        <f t="shared" si="37"/>
        <v>1.0900000000000001</v>
      </c>
      <c r="AE156" s="134">
        <f t="shared" si="37"/>
        <v>1.0900000000000001</v>
      </c>
      <c r="AF156" s="134">
        <f t="shared" si="37"/>
        <v>1.0900000000000001</v>
      </c>
      <c r="AG156" s="136">
        <v>3.2</v>
      </c>
      <c r="AH156" s="55"/>
      <c r="AI156" s="56"/>
      <c r="AK156" s="57"/>
    </row>
    <row r="157" spans="1:37" x14ac:dyDescent="0.25">
      <c r="A157" s="121" t="s">
        <v>161</v>
      </c>
      <c r="B157" s="133">
        <v>1.58</v>
      </c>
      <c r="C157" s="134">
        <f t="shared" si="36"/>
        <v>1.58</v>
      </c>
      <c r="D157" s="134">
        <f t="shared" si="36"/>
        <v>1.58</v>
      </c>
      <c r="E157" s="134">
        <f t="shared" si="36"/>
        <v>1.58</v>
      </c>
      <c r="F157" s="134">
        <f t="shared" si="36"/>
        <v>1.58</v>
      </c>
      <c r="G157" s="134">
        <f t="shared" si="36"/>
        <v>1.58</v>
      </c>
      <c r="H157" s="134">
        <f t="shared" si="36"/>
        <v>1.58</v>
      </c>
      <c r="I157" s="134">
        <f t="shared" si="36"/>
        <v>1.58</v>
      </c>
      <c r="J157" s="134">
        <f t="shared" si="36"/>
        <v>1.58</v>
      </c>
      <c r="K157" s="134">
        <f t="shared" si="36"/>
        <v>1.58</v>
      </c>
      <c r="L157" s="134">
        <f t="shared" si="36"/>
        <v>1.58</v>
      </c>
      <c r="M157" s="134">
        <f t="shared" si="36"/>
        <v>1.58</v>
      </c>
      <c r="N157" s="134">
        <f t="shared" si="36"/>
        <v>1.58</v>
      </c>
      <c r="O157" s="134">
        <f t="shared" si="36"/>
        <v>1.58</v>
      </c>
      <c r="P157" s="134">
        <f t="shared" si="36"/>
        <v>1.58</v>
      </c>
      <c r="Q157" s="134">
        <f t="shared" si="36"/>
        <v>1.58</v>
      </c>
      <c r="R157" s="134">
        <f t="shared" si="36"/>
        <v>1.58</v>
      </c>
      <c r="S157" s="134">
        <f t="shared" si="37"/>
        <v>1.58</v>
      </c>
      <c r="T157" s="134">
        <f t="shared" si="37"/>
        <v>1.58</v>
      </c>
      <c r="U157" s="134">
        <f t="shared" si="37"/>
        <v>1.58</v>
      </c>
      <c r="V157" s="134">
        <f t="shared" si="37"/>
        <v>1.58</v>
      </c>
      <c r="W157" s="134">
        <f t="shared" si="37"/>
        <v>1.58</v>
      </c>
      <c r="X157" s="134">
        <f t="shared" si="37"/>
        <v>1.58</v>
      </c>
      <c r="Y157" s="134">
        <f t="shared" si="37"/>
        <v>1.58</v>
      </c>
      <c r="Z157" s="134">
        <f t="shared" si="37"/>
        <v>1.58</v>
      </c>
      <c r="AA157" s="134">
        <f t="shared" si="37"/>
        <v>1.58</v>
      </c>
      <c r="AB157" s="134">
        <f t="shared" si="37"/>
        <v>1.58</v>
      </c>
      <c r="AC157" s="134">
        <f t="shared" si="37"/>
        <v>1.58</v>
      </c>
      <c r="AD157" s="134">
        <f t="shared" si="37"/>
        <v>1.58</v>
      </c>
      <c r="AE157" s="134">
        <f t="shared" si="37"/>
        <v>1.58</v>
      </c>
      <c r="AF157" s="134">
        <f t="shared" si="37"/>
        <v>1.58</v>
      </c>
      <c r="AG157" s="136">
        <v>3</v>
      </c>
      <c r="AH157" s="55"/>
      <c r="AI157" s="56"/>
      <c r="AK157" s="57"/>
    </row>
    <row r="158" spans="1:37" x14ac:dyDescent="0.25">
      <c r="A158" s="121" t="s">
        <v>162</v>
      </c>
      <c r="B158" s="133">
        <v>2</v>
      </c>
      <c r="C158" s="134">
        <f t="shared" si="36"/>
        <v>2</v>
      </c>
      <c r="D158" s="134">
        <f t="shared" si="36"/>
        <v>2</v>
      </c>
      <c r="E158" s="134">
        <f t="shared" si="36"/>
        <v>2</v>
      </c>
      <c r="F158" s="134">
        <f t="shared" si="36"/>
        <v>2</v>
      </c>
      <c r="G158" s="134">
        <f t="shared" si="36"/>
        <v>2</v>
      </c>
      <c r="H158" s="134">
        <f t="shared" si="36"/>
        <v>2</v>
      </c>
      <c r="I158" s="134">
        <f t="shared" si="36"/>
        <v>2</v>
      </c>
      <c r="J158" s="134">
        <f t="shared" si="36"/>
        <v>2</v>
      </c>
      <c r="K158" s="134">
        <f t="shared" si="36"/>
        <v>2</v>
      </c>
      <c r="L158" s="134">
        <f t="shared" si="36"/>
        <v>2</v>
      </c>
      <c r="M158" s="134">
        <f t="shared" si="36"/>
        <v>2</v>
      </c>
      <c r="N158" s="134">
        <f t="shared" si="36"/>
        <v>2</v>
      </c>
      <c r="O158" s="134">
        <f t="shared" si="36"/>
        <v>2</v>
      </c>
      <c r="P158" s="134">
        <f t="shared" si="36"/>
        <v>2</v>
      </c>
      <c r="Q158" s="134">
        <f t="shared" si="36"/>
        <v>2</v>
      </c>
      <c r="R158" s="134">
        <f t="shared" si="36"/>
        <v>2</v>
      </c>
      <c r="S158" s="134">
        <f t="shared" si="37"/>
        <v>2</v>
      </c>
      <c r="T158" s="134">
        <f t="shared" si="37"/>
        <v>2</v>
      </c>
      <c r="U158" s="134">
        <f t="shared" si="37"/>
        <v>2</v>
      </c>
      <c r="V158" s="134">
        <f t="shared" si="37"/>
        <v>2</v>
      </c>
      <c r="W158" s="134">
        <f t="shared" si="37"/>
        <v>2</v>
      </c>
      <c r="X158" s="134">
        <f t="shared" si="37"/>
        <v>2</v>
      </c>
      <c r="Y158" s="134">
        <f t="shared" si="37"/>
        <v>2</v>
      </c>
      <c r="Z158" s="134">
        <f t="shared" si="37"/>
        <v>2</v>
      </c>
      <c r="AA158" s="134">
        <f t="shared" si="37"/>
        <v>2</v>
      </c>
      <c r="AB158" s="134">
        <f t="shared" si="37"/>
        <v>2</v>
      </c>
      <c r="AC158" s="134">
        <f t="shared" si="37"/>
        <v>2</v>
      </c>
      <c r="AD158" s="134">
        <f t="shared" si="37"/>
        <v>2</v>
      </c>
      <c r="AE158" s="134">
        <f t="shared" si="37"/>
        <v>2</v>
      </c>
      <c r="AF158" s="134">
        <f t="shared" si="37"/>
        <v>2</v>
      </c>
      <c r="AG158" s="136">
        <v>3</v>
      </c>
      <c r="AH158" s="55"/>
      <c r="AI158" s="56"/>
      <c r="AK158" s="57"/>
    </row>
    <row r="159" spans="1:37" x14ac:dyDescent="0.25">
      <c r="A159" s="121" t="s">
        <v>163</v>
      </c>
      <c r="B159" s="133">
        <v>0.47</v>
      </c>
      <c r="C159" s="134">
        <f t="shared" si="36"/>
        <v>0.47</v>
      </c>
      <c r="D159" s="134">
        <f t="shared" si="36"/>
        <v>0.47</v>
      </c>
      <c r="E159" s="134">
        <f t="shared" si="36"/>
        <v>0.47</v>
      </c>
      <c r="F159" s="134">
        <f t="shared" si="36"/>
        <v>0.47</v>
      </c>
      <c r="G159" s="134">
        <f t="shared" si="36"/>
        <v>0.47</v>
      </c>
      <c r="H159" s="134">
        <f t="shared" si="36"/>
        <v>0.47</v>
      </c>
      <c r="I159" s="134">
        <f t="shared" si="36"/>
        <v>0.47</v>
      </c>
      <c r="J159" s="134">
        <f t="shared" si="36"/>
        <v>0.47</v>
      </c>
      <c r="K159" s="134">
        <f t="shared" si="36"/>
        <v>0.47</v>
      </c>
      <c r="L159" s="134">
        <f t="shared" si="36"/>
        <v>0.47</v>
      </c>
      <c r="M159" s="134">
        <f t="shared" si="36"/>
        <v>0.47</v>
      </c>
      <c r="N159" s="134">
        <f t="shared" si="36"/>
        <v>0.47</v>
      </c>
      <c r="O159" s="134">
        <f t="shared" si="36"/>
        <v>0.47</v>
      </c>
      <c r="P159" s="134">
        <f t="shared" si="36"/>
        <v>0.47</v>
      </c>
      <c r="Q159" s="134">
        <f t="shared" si="36"/>
        <v>0.47</v>
      </c>
      <c r="R159" s="134">
        <f t="shared" si="36"/>
        <v>0.47</v>
      </c>
      <c r="S159" s="134">
        <f t="shared" si="37"/>
        <v>0.47</v>
      </c>
      <c r="T159" s="134">
        <f t="shared" si="37"/>
        <v>0.47</v>
      </c>
      <c r="U159" s="134">
        <f t="shared" si="37"/>
        <v>0.47</v>
      </c>
      <c r="V159" s="134">
        <f t="shared" si="37"/>
        <v>0.47</v>
      </c>
      <c r="W159" s="134">
        <f t="shared" si="37"/>
        <v>0.47</v>
      </c>
      <c r="X159" s="134">
        <f t="shared" si="37"/>
        <v>0.47</v>
      </c>
      <c r="Y159" s="134">
        <f t="shared" si="37"/>
        <v>0.47</v>
      </c>
      <c r="Z159" s="134">
        <f t="shared" si="37"/>
        <v>0.47</v>
      </c>
      <c r="AA159" s="134">
        <f t="shared" si="37"/>
        <v>0.47</v>
      </c>
      <c r="AB159" s="134">
        <f t="shared" si="37"/>
        <v>0.47</v>
      </c>
      <c r="AC159" s="134">
        <f t="shared" si="37"/>
        <v>0.47</v>
      </c>
      <c r="AD159" s="134">
        <f t="shared" si="37"/>
        <v>0.47</v>
      </c>
      <c r="AE159" s="134">
        <f t="shared" si="37"/>
        <v>0.47</v>
      </c>
      <c r="AF159" s="134">
        <f t="shared" si="37"/>
        <v>0.47</v>
      </c>
      <c r="AG159" s="136">
        <v>3</v>
      </c>
      <c r="AH159" s="55"/>
      <c r="AI159" s="56"/>
      <c r="AK159" s="57"/>
    </row>
    <row r="160" spans="1:37" x14ac:dyDescent="0.25">
      <c r="A160" s="121" t="s">
        <v>164</v>
      </c>
      <c r="B160" s="133">
        <v>0</v>
      </c>
      <c r="C160" s="134">
        <f t="shared" si="36"/>
        <v>0</v>
      </c>
      <c r="D160" s="134">
        <f t="shared" si="36"/>
        <v>0</v>
      </c>
      <c r="E160" s="134">
        <f t="shared" si="36"/>
        <v>0</v>
      </c>
      <c r="F160" s="134">
        <f t="shared" si="36"/>
        <v>0</v>
      </c>
      <c r="G160" s="134">
        <f t="shared" si="36"/>
        <v>0</v>
      </c>
      <c r="H160" s="134">
        <f t="shared" si="36"/>
        <v>0</v>
      </c>
      <c r="I160" s="134">
        <f t="shared" si="36"/>
        <v>0</v>
      </c>
      <c r="J160" s="134">
        <f t="shared" si="36"/>
        <v>0</v>
      </c>
      <c r="K160" s="134">
        <f t="shared" si="36"/>
        <v>0</v>
      </c>
      <c r="L160" s="134">
        <f t="shared" si="36"/>
        <v>0</v>
      </c>
      <c r="M160" s="134">
        <f t="shared" si="36"/>
        <v>0</v>
      </c>
      <c r="N160" s="134">
        <f t="shared" si="36"/>
        <v>0</v>
      </c>
      <c r="O160" s="134">
        <f t="shared" si="36"/>
        <v>0</v>
      </c>
      <c r="P160" s="134">
        <f t="shared" si="36"/>
        <v>0</v>
      </c>
      <c r="Q160" s="134">
        <f t="shared" si="36"/>
        <v>0</v>
      </c>
      <c r="R160" s="134">
        <f t="shared" si="36"/>
        <v>0</v>
      </c>
      <c r="S160" s="134">
        <f t="shared" si="37"/>
        <v>0</v>
      </c>
      <c r="T160" s="134">
        <f t="shared" si="37"/>
        <v>0</v>
      </c>
      <c r="U160" s="134">
        <f t="shared" si="37"/>
        <v>0</v>
      </c>
      <c r="V160" s="134">
        <f t="shared" si="37"/>
        <v>0</v>
      </c>
      <c r="W160" s="134">
        <f t="shared" si="37"/>
        <v>0</v>
      </c>
      <c r="X160" s="134">
        <f t="shared" si="37"/>
        <v>0</v>
      </c>
      <c r="Y160" s="134">
        <f t="shared" si="37"/>
        <v>0</v>
      </c>
      <c r="Z160" s="134">
        <f t="shared" si="37"/>
        <v>0</v>
      </c>
      <c r="AA160" s="134">
        <f t="shared" si="37"/>
        <v>0</v>
      </c>
      <c r="AB160" s="134">
        <f t="shared" si="37"/>
        <v>0</v>
      </c>
      <c r="AC160" s="134">
        <f t="shared" si="37"/>
        <v>0</v>
      </c>
      <c r="AD160" s="134">
        <f t="shared" si="37"/>
        <v>0</v>
      </c>
      <c r="AE160" s="134">
        <f t="shared" si="37"/>
        <v>0</v>
      </c>
      <c r="AF160" s="134">
        <f t="shared" si="37"/>
        <v>0</v>
      </c>
      <c r="AG160" s="136">
        <v>3</v>
      </c>
      <c r="AH160" s="55"/>
      <c r="AI160" s="56"/>
      <c r="AK160" s="57"/>
    </row>
    <row r="161" spans="1:37" x14ac:dyDescent="0.25">
      <c r="A161" s="121" t="s">
        <v>165</v>
      </c>
      <c r="B161" s="133">
        <v>0</v>
      </c>
      <c r="C161" s="134">
        <f t="shared" si="36"/>
        <v>0</v>
      </c>
      <c r="D161" s="134">
        <f t="shared" si="36"/>
        <v>0</v>
      </c>
      <c r="E161" s="134">
        <f t="shared" si="36"/>
        <v>0</v>
      </c>
      <c r="F161" s="134">
        <f t="shared" si="36"/>
        <v>0</v>
      </c>
      <c r="G161" s="134">
        <f t="shared" si="36"/>
        <v>0</v>
      </c>
      <c r="H161" s="134">
        <f t="shared" si="36"/>
        <v>0</v>
      </c>
      <c r="I161" s="134">
        <f t="shared" si="36"/>
        <v>0</v>
      </c>
      <c r="J161" s="134">
        <f t="shared" si="36"/>
        <v>0</v>
      </c>
      <c r="K161" s="134">
        <f t="shared" si="36"/>
        <v>0</v>
      </c>
      <c r="L161" s="134">
        <f t="shared" si="36"/>
        <v>0</v>
      </c>
      <c r="M161" s="134">
        <f t="shared" si="36"/>
        <v>0</v>
      </c>
      <c r="N161" s="134">
        <f t="shared" si="36"/>
        <v>0</v>
      </c>
      <c r="O161" s="134">
        <f t="shared" si="36"/>
        <v>0</v>
      </c>
      <c r="P161" s="134">
        <f t="shared" si="36"/>
        <v>0</v>
      </c>
      <c r="Q161" s="134">
        <f t="shared" si="36"/>
        <v>0</v>
      </c>
      <c r="R161" s="134">
        <f t="shared" si="37"/>
        <v>0</v>
      </c>
      <c r="S161" s="134">
        <f t="shared" si="37"/>
        <v>0</v>
      </c>
      <c r="T161" s="134">
        <f t="shared" si="37"/>
        <v>0</v>
      </c>
      <c r="U161" s="134">
        <f t="shared" si="37"/>
        <v>0</v>
      </c>
      <c r="V161" s="134">
        <f t="shared" si="37"/>
        <v>0</v>
      </c>
      <c r="W161" s="134">
        <f t="shared" si="37"/>
        <v>0</v>
      </c>
      <c r="X161" s="134">
        <f t="shared" si="37"/>
        <v>0</v>
      </c>
      <c r="Y161" s="134">
        <f t="shared" si="37"/>
        <v>0</v>
      </c>
      <c r="Z161" s="134">
        <f t="shared" si="37"/>
        <v>0</v>
      </c>
      <c r="AA161" s="134">
        <f t="shared" si="37"/>
        <v>0</v>
      </c>
      <c r="AB161" s="134">
        <f t="shared" si="37"/>
        <v>0</v>
      </c>
      <c r="AC161" s="134">
        <f t="shared" si="37"/>
        <v>0</v>
      </c>
      <c r="AD161" s="134">
        <f t="shared" si="37"/>
        <v>0</v>
      </c>
      <c r="AE161" s="134">
        <f t="shared" si="37"/>
        <v>0</v>
      </c>
      <c r="AF161" s="134">
        <f t="shared" si="37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166</v>
      </c>
      <c r="B162" s="133">
        <v>0.8</v>
      </c>
      <c r="C162" s="134">
        <f t="shared" si="36"/>
        <v>0.8</v>
      </c>
      <c r="D162" s="134">
        <f t="shared" si="36"/>
        <v>0.8</v>
      </c>
      <c r="E162" s="134">
        <f t="shared" si="36"/>
        <v>0.8</v>
      </c>
      <c r="F162" s="134">
        <f t="shared" si="36"/>
        <v>0.8</v>
      </c>
      <c r="G162" s="134">
        <f t="shared" si="36"/>
        <v>0.8</v>
      </c>
      <c r="H162" s="134">
        <f t="shared" si="36"/>
        <v>0.8</v>
      </c>
      <c r="I162" s="134">
        <f t="shared" si="36"/>
        <v>0.8</v>
      </c>
      <c r="J162" s="134">
        <f t="shared" si="36"/>
        <v>0.8</v>
      </c>
      <c r="K162" s="134">
        <f t="shared" si="36"/>
        <v>0.8</v>
      </c>
      <c r="L162" s="134">
        <f t="shared" si="36"/>
        <v>0.8</v>
      </c>
      <c r="M162" s="134">
        <f t="shared" si="36"/>
        <v>0.8</v>
      </c>
      <c r="N162" s="134">
        <f t="shared" si="36"/>
        <v>0.8</v>
      </c>
      <c r="O162" s="134">
        <f t="shared" si="36"/>
        <v>0.8</v>
      </c>
      <c r="P162" s="134">
        <f t="shared" si="36"/>
        <v>0.8</v>
      </c>
      <c r="Q162" s="134">
        <f t="shared" si="36"/>
        <v>0.8</v>
      </c>
      <c r="R162" s="134">
        <f t="shared" si="37"/>
        <v>0.8</v>
      </c>
      <c r="S162" s="134">
        <f t="shared" si="37"/>
        <v>0.8</v>
      </c>
      <c r="T162" s="134">
        <f t="shared" si="37"/>
        <v>0.8</v>
      </c>
      <c r="U162" s="134">
        <f t="shared" si="37"/>
        <v>0.8</v>
      </c>
      <c r="V162" s="134">
        <f t="shared" si="37"/>
        <v>0.8</v>
      </c>
      <c r="W162" s="134">
        <f t="shared" si="37"/>
        <v>0.8</v>
      </c>
      <c r="X162" s="134">
        <f t="shared" si="37"/>
        <v>0.8</v>
      </c>
      <c r="Y162" s="134">
        <f t="shared" si="37"/>
        <v>0.8</v>
      </c>
      <c r="Z162" s="134">
        <f t="shared" si="37"/>
        <v>0.8</v>
      </c>
      <c r="AA162" s="134">
        <f t="shared" si="37"/>
        <v>0.8</v>
      </c>
      <c r="AB162" s="134">
        <f t="shared" si="37"/>
        <v>0.8</v>
      </c>
      <c r="AC162" s="134">
        <f t="shared" si="37"/>
        <v>0.8</v>
      </c>
      <c r="AD162" s="134">
        <f t="shared" si="37"/>
        <v>0.8</v>
      </c>
      <c r="AE162" s="134">
        <f t="shared" si="37"/>
        <v>0.8</v>
      </c>
      <c r="AF162" s="134">
        <f t="shared" si="37"/>
        <v>0.8</v>
      </c>
      <c r="AG162" s="136">
        <v>3</v>
      </c>
      <c r="AH162" s="55"/>
      <c r="AI162" s="56"/>
      <c r="AK162" s="57"/>
    </row>
    <row r="163" spans="1:37" x14ac:dyDescent="0.25">
      <c r="A163" s="121" t="s">
        <v>167</v>
      </c>
      <c r="B163" s="133">
        <v>1.5</v>
      </c>
      <c r="C163" s="134">
        <f t="shared" si="36"/>
        <v>1.5</v>
      </c>
      <c r="D163" s="134">
        <f t="shared" si="36"/>
        <v>1.5</v>
      </c>
      <c r="E163" s="134">
        <f t="shared" si="36"/>
        <v>1.5</v>
      </c>
      <c r="F163" s="134">
        <f t="shared" si="36"/>
        <v>1.5</v>
      </c>
      <c r="G163" s="134">
        <f t="shared" si="36"/>
        <v>1.5</v>
      </c>
      <c r="H163" s="134">
        <f t="shared" si="36"/>
        <v>1.5</v>
      </c>
      <c r="I163" s="134">
        <f t="shared" si="36"/>
        <v>1.5</v>
      </c>
      <c r="J163" s="134">
        <f t="shared" si="36"/>
        <v>1.5</v>
      </c>
      <c r="K163" s="134">
        <f t="shared" si="36"/>
        <v>1.5</v>
      </c>
      <c r="L163" s="134">
        <f t="shared" si="36"/>
        <v>1.5</v>
      </c>
      <c r="M163" s="134">
        <f t="shared" si="36"/>
        <v>1.5</v>
      </c>
      <c r="N163" s="134">
        <f t="shared" si="36"/>
        <v>1.5</v>
      </c>
      <c r="O163" s="134">
        <f t="shared" si="36"/>
        <v>1.5</v>
      </c>
      <c r="P163" s="134">
        <f t="shared" si="36"/>
        <v>1.5</v>
      </c>
      <c r="Q163" s="134">
        <f t="shared" si="36"/>
        <v>1.5</v>
      </c>
      <c r="R163" s="134">
        <f t="shared" si="37"/>
        <v>1.5</v>
      </c>
      <c r="S163" s="134">
        <f t="shared" si="37"/>
        <v>1.5</v>
      </c>
      <c r="T163" s="134">
        <f t="shared" si="37"/>
        <v>1.5</v>
      </c>
      <c r="U163" s="134">
        <f t="shared" si="37"/>
        <v>1.5</v>
      </c>
      <c r="V163" s="134">
        <f t="shared" si="37"/>
        <v>1.5</v>
      </c>
      <c r="W163" s="134">
        <f t="shared" si="37"/>
        <v>1.5</v>
      </c>
      <c r="X163" s="134">
        <f t="shared" si="37"/>
        <v>1.5</v>
      </c>
      <c r="Y163" s="134">
        <f t="shared" si="37"/>
        <v>1.5</v>
      </c>
      <c r="Z163" s="134">
        <f t="shared" si="37"/>
        <v>1.5</v>
      </c>
      <c r="AA163" s="134">
        <f t="shared" si="37"/>
        <v>1.5</v>
      </c>
      <c r="AB163" s="134">
        <f t="shared" si="37"/>
        <v>1.5</v>
      </c>
      <c r="AC163" s="134">
        <f t="shared" si="37"/>
        <v>1.5</v>
      </c>
      <c r="AD163" s="134">
        <f t="shared" si="37"/>
        <v>1.5</v>
      </c>
      <c r="AE163" s="134">
        <f t="shared" si="37"/>
        <v>1.5</v>
      </c>
      <c r="AF163" s="134">
        <f t="shared" si="37"/>
        <v>1.5</v>
      </c>
      <c r="AG163" s="136">
        <v>3</v>
      </c>
      <c r="AH163" s="55"/>
      <c r="AI163" s="56"/>
      <c r="AK163" s="57"/>
    </row>
    <row r="164" spans="1:37" x14ac:dyDescent="0.25">
      <c r="A164" s="121" t="s">
        <v>168</v>
      </c>
      <c r="B164" s="133">
        <v>1</v>
      </c>
      <c r="C164" s="134">
        <f t="shared" si="36"/>
        <v>1</v>
      </c>
      <c r="D164" s="134">
        <f t="shared" si="36"/>
        <v>1</v>
      </c>
      <c r="E164" s="134">
        <f t="shared" si="36"/>
        <v>1</v>
      </c>
      <c r="F164" s="134">
        <f t="shared" si="36"/>
        <v>1</v>
      </c>
      <c r="G164" s="134">
        <f t="shared" si="36"/>
        <v>1</v>
      </c>
      <c r="H164" s="134">
        <f t="shared" si="36"/>
        <v>1</v>
      </c>
      <c r="I164" s="134">
        <f t="shared" si="36"/>
        <v>1</v>
      </c>
      <c r="J164" s="134">
        <f t="shared" si="36"/>
        <v>1</v>
      </c>
      <c r="K164" s="134">
        <f t="shared" si="36"/>
        <v>1</v>
      </c>
      <c r="L164" s="134">
        <f t="shared" si="36"/>
        <v>1</v>
      </c>
      <c r="M164" s="134">
        <f t="shared" si="36"/>
        <v>1</v>
      </c>
      <c r="N164" s="134">
        <f t="shared" si="36"/>
        <v>1</v>
      </c>
      <c r="O164" s="134">
        <f t="shared" si="36"/>
        <v>1</v>
      </c>
      <c r="P164" s="134">
        <f t="shared" si="36"/>
        <v>1</v>
      </c>
      <c r="Q164" s="134">
        <f t="shared" si="36"/>
        <v>1</v>
      </c>
      <c r="R164" s="134">
        <f t="shared" si="37"/>
        <v>1</v>
      </c>
      <c r="S164" s="134">
        <f t="shared" si="37"/>
        <v>1</v>
      </c>
      <c r="T164" s="134">
        <f t="shared" si="37"/>
        <v>1</v>
      </c>
      <c r="U164" s="134">
        <f t="shared" si="37"/>
        <v>1</v>
      </c>
      <c r="V164" s="134">
        <f t="shared" si="37"/>
        <v>1</v>
      </c>
      <c r="W164" s="134">
        <f t="shared" si="37"/>
        <v>1</v>
      </c>
      <c r="X164" s="134">
        <f t="shared" si="37"/>
        <v>1</v>
      </c>
      <c r="Y164" s="134">
        <f t="shared" si="37"/>
        <v>1</v>
      </c>
      <c r="Z164" s="134">
        <f t="shared" si="37"/>
        <v>1</v>
      </c>
      <c r="AA164" s="134">
        <f t="shared" si="37"/>
        <v>1</v>
      </c>
      <c r="AB164" s="134">
        <f t="shared" si="37"/>
        <v>1</v>
      </c>
      <c r="AC164" s="134">
        <f t="shared" si="37"/>
        <v>1</v>
      </c>
      <c r="AD164" s="134">
        <f t="shared" si="37"/>
        <v>1</v>
      </c>
      <c r="AE164" s="134">
        <f t="shared" si="37"/>
        <v>1</v>
      </c>
      <c r="AF164" s="134">
        <f t="shared" si="37"/>
        <v>1</v>
      </c>
      <c r="AG164" s="136">
        <v>3</v>
      </c>
      <c r="AH164" s="55"/>
      <c r="AI164" s="56"/>
      <c r="AK164" s="57"/>
    </row>
    <row r="165" spans="1:37" x14ac:dyDescent="0.25">
      <c r="A165" s="121" t="s">
        <v>169</v>
      </c>
      <c r="B165" s="133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6">
        <v>2.83</v>
      </c>
      <c r="AH165" s="55"/>
      <c r="AI165" s="56"/>
      <c r="AK165" s="57"/>
    </row>
    <row r="166" spans="1:37" x14ac:dyDescent="0.25">
      <c r="A166" s="121" t="s">
        <v>170</v>
      </c>
      <c r="B166" s="133">
        <v>1</v>
      </c>
      <c r="C166" s="134">
        <f t="shared" ref="C166:R173" si="38">B166</f>
        <v>1</v>
      </c>
      <c r="D166" s="134">
        <f t="shared" si="38"/>
        <v>1</v>
      </c>
      <c r="E166" s="134">
        <f t="shared" si="38"/>
        <v>1</v>
      </c>
      <c r="F166" s="134">
        <f t="shared" si="38"/>
        <v>1</v>
      </c>
      <c r="G166" s="134">
        <f t="shared" si="38"/>
        <v>1</v>
      </c>
      <c r="H166" s="134">
        <f t="shared" si="38"/>
        <v>1</v>
      </c>
      <c r="I166" s="134">
        <f t="shared" si="38"/>
        <v>1</v>
      </c>
      <c r="J166" s="134">
        <f t="shared" si="38"/>
        <v>1</v>
      </c>
      <c r="K166" s="134">
        <f t="shared" si="38"/>
        <v>1</v>
      </c>
      <c r="L166" s="134">
        <f t="shared" si="38"/>
        <v>1</v>
      </c>
      <c r="M166" s="134">
        <f t="shared" si="38"/>
        <v>1</v>
      </c>
      <c r="N166" s="134">
        <f t="shared" si="38"/>
        <v>1</v>
      </c>
      <c r="O166" s="134">
        <f t="shared" si="38"/>
        <v>1</v>
      </c>
      <c r="P166" s="134">
        <f t="shared" si="38"/>
        <v>1</v>
      </c>
      <c r="Q166" s="134">
        <f t="shared" si="38"/>
        <v>1</v>
      </c>
      <c r="R166" s="134">
        <f t="shared" si="38"/>
        <v>1</v>
      </c>
      <c r="S166" s="134">
        <f t="shared" ref="R166:AF173" si="39">R166</f>
        <v>1</v>
      </c>
      <c r="T166" s="134">
        <f t="shared" si="39"/>
        <v>1</v>
      </c>
      <c r="U166" s="134">
        <f t="shared" si="39"/>
        <v>1</v>
      </c>
      <c r="V166" s="134">
        <f t="shared" si="39"/>
        <v>1</v>
      </c>
      <c r="W166" s="134">
        <f t="shared" si="39"/>
        <v>1</v>
      </c>
      <c r="X166" s="134">
        <f t="shared" si="39"/>
        <v>1</v>
      </c>
      <c r="Y166" s="134">
        <f t="shared" si="39"/>
        <v>1</v>
      </c>
      <c r="Z166" s="134">
        <f t="shared" si="39"/>
        <v>1</v>
      </c>
      <c r="AA166" s="134">
        <f t="shared" si="39"/>
        <v>1</v>
      </c>
      <c r="AB166" s="134">
        <f t="shared" si="39"/>
        <v>1</v>
      </c>
      <c r="AC166" s="134">
        <f t="shared" si="39"/>
        <v>1</v>
      </c>
      <c r="AD166" s="134">
        <f t="shared" si="39"/>
        <v>1</v>
      </c>
      <c r="AE166" s="134">
        <f t="shared" si="39"/>
        <v>1</v>
      </c>
      <c r="AF166" s="134">
        <f t="shared" si="39"/>
        <v>1</v>
      </c>
      <c r="AG166" s="136">
        <v>2.5</v>
      </c>
      <c r="AH166" s="55"/>
      <c r="AI166" s="56"/>
      <c r="AK166" s="57"/>
    </row>
    <row r="167" spans="1:37" x14ac:dyDescent="0.25">
      <c r="A167" s="121" t="s">
        <v>171</v>
      </c>
      <c r="B167" s="133">
        <v>0.42</v>
      </c>
      <c r="C167" s="134">
        <f t="shared" si="38"/>
        <v>0.42</v>
      </c>
      <c r="D167" s="134">
        <f t="shared" si="38"/>
        <v>0.42</v>
      </c>
      <c r="E167" s="134">
        <f t="shared" si="38"/>
        <v>0.42</v>
      </c>
      <c r="F167" s="134">
        <f t="shared" si="38"/>
        <v>0.42</v>
      </c>
      <c r="G167" s="134">
        <f t="shared" si="38"/>
        <v>0.42</v>
      </c>
      <c r="H167" s="134">
        <f t="shared" si="38"/>
        <v>0.42</v>
      </c>
      <c r="I167" s="134">
        <f t="shared" si="38"/>
        <v>0.42</v>
      </c>
      <c r="J167" s="134">
        <f t="shared" si="38"/>
        <v>0.42</v>
      </c>
      <c r="K167" s="134">
        <f t="shared" si="38"/>
        <v>0.42</v>
      </c>
      <c r="L167" s="134">
        <f t="shared" si="38"/>
        <v>0.42</v>
      </c>
      <c r="M167" s="134">
        <f t="shared" si="38"/>
        <v>0.42</v>
      </c>
      <c r="N167" s="134">
        <f t="shared" si="38"/>
        <v>0.42</v>
      </c>
      <c r="O167" s="134">
        <f t="shared" si="38"/>
        <v>0.42</v>
      </c>
      <c r="P167" s="134">
        <f t="shared" si="38"/>
        <v>0.42</v>
      </c>
      <c r="Q167" s="134">
        <f t="shared" si="38"/>
        <v>0.42</v>
      </c>
      <c r="R167" s="134">
        <f t="shared" si="39"/>
        <v>0.42</v>
      </c>
      <c r="S167" s="134">
        <f t="shared" si="39"/>
        <v>0.42</v>
      </c>
      <c r="T167" s="134">
        <f t="shared" si="39"/>
        <v>0.42</v>
      </c>
      <c r="U167" s="134">
        <f t="shared" si="39"/>
        <v>0.42</v>
      </c>
      <c r="V167" s="134">
        <f t="shared" si="39"/>
        <v>0.42</v>
      </c>
      <c r="W167" s="134">
        <f t="shared" si="39"/>
        <v>0.42</v>
      </c>
      <c r="X167" s="134">
        <f t="shared" si="39"/>
        <v>0.42</v>
      </c>
      <c r="Y167" s="134">
        <f t="shared" si="39"/>
        <v>0.42</v>
      </c>
      <c r="Z167" s="134">
        <f t="shared" si="39"/>
        <v>0.42</v>
      </c>
      <c r="AA167" s="134">
        <f t="shared" si="39"/>
        <v>0.42</v>
      </c>
      <c r="AB167" s="134">
        <f t="shared" si="39"/>
        <v>0.42</v>
      </c>
      <c r="AC167" s="134">
        <f t="shared" si="39"/>
        <v>0.42</v>
      </c>
      <c r="AD167" s="134">
        <f t="shared" si="39"/>
        <v>0.42</v>
      </c>
      <c r="AE167" s="134">
        <f t="shared" si="39"/>
        <v>0.42</v>
      </c>
      <c r="AF167" s="134">
        <f t="shared" si="39"/>
        <v>0.42</v>
      </c>
      <c r="AG167" s="136">
        <v>2.5</v>
      </c>
      <c r="AH167" s="55"/>
      <c r="AI167" s="56"/>
      <c r="AK167" s="57"/>
    </row>
    <row r="168" spans="1:37" x14ac:dyDescent="0.25">
      <c r="A168" s="121" t="s">
        <v>172</v>
      </c>
      <c r="B168" s="133">
        <v>0.46</v>
      </c>
      <c r="C168" s="134">
        <f t="shared" si="38"/>
        <v>0.46</v>
      </c>
      <c r="D168" s="134">
        <f t="shared" si="38"/>
        <v>0.46</v>
      </c>
      <c r="E168" s="134">
        <f t="shared" si="38"/>
        <v>0.46</v>
      </c>
      <c r="F168" s="134">
        <f t="shared" si="38"/>
        <v>0.46</v>
      </c>
      <c r="G168" s="134">
        <f t="shared" si="38"/>
        <v>0.46</v>
      </c>
      <c r="H168" s="134">
        <f t="shared" si="38"/>
        <v>0.46</v>
      </c>
      <c r="I168" s="134">
        <f t="shared" si="38"/>
        <v>0.46</v>
      </c>
      <c r="J168" s="134">
        <f t="shared" si="38"/>
        <v>0.46</v>
      </c>
      <c r="K168" s="134">
        <f t="shared" si="38"/>
        <v>0.46</v>
      </c>
      <c r="L168" s="134">
        <f t="shared" si="38"/>
        <v>0.46</v>
      </c>
      <c r="M168" s="134">
        <f t="shared" si="38"/>
        <v>0.46</v>
      </c>
      <c r="N168" s="134">
        <f t="shared" si="38"/>
        <v>0.46</v>
      </c>
      <c r="O168" s="134">
        <f t="shared" si="38"/>
        <v>0.46</v>
      </c>
      <c r="P168" s="134">
        <f t="shared" si="38"/>
        <v>0.46</v>
      </c>
      <c r="Q168" s="134">
        <f t="shared" si="38"/>
        <v>0.46</v>
      </c>
      <c r="R168" s="134">
        <f t="shared" si="39"/>
        <v>0.46</v>
      </c>
      <c r="S168" s="134">
        <f t="shared" si="39"/>
        <v>0.46</v>
      </c>
      <c r="T168" s="134">
        <f t="shared" si="39"/>
        <v>0.46</v>
      </c>
      <c r="U168" s="134">
        <f t="shared" si="39"/>
        <v>0.46</v>
      </c>
      <c r="V168" s="134">
        <f t="shared" si="39"/>
        <v>0.46</v>
      </c>
      <c r="W168" s="134">
        <f t="shared" si="39"/>
        <v>0.46</v>
      </c>
      <c r="X168" s="134">
        <f t="shared" si="39"/>
        <v>0.46</v>
      </c>
      <c r="Y168" s="134">
        <f t="shared" si="39"/>
        <v>0.46</v>
      </c>
      <c r="Z168" s="134">
        <f t="shared" si="39"/>
        <v>0.46</v>
      </c>
      <c r="AA168" s="134">
        <f t="shared" si="39"/>
        <v>0.46</v>
      </c>
      <c r="AB168" s="134">
        <f t="shared" si="39"/>
        <v>0.46</v>
      </c>
      <c r="AC168" s="134">
        <f t="shared" si="39"/>
        <v>0.46</v>
      </c>
      <c r="AD168" s="134">
        <f t="shared" si="39"/>
        <v>0.46</v>
      </c>
      <c r="AE168" s="134">
        <f t="shared" si="39"/>
        <v>0.46</v>
      </c>
      <c r="AF168" s="134">
        <f t="shared" si="39"/>
        <v>0.46</v>
      </c>
      <c r="AG168" s="136">
        <v>2.4</v>
      </c>
      <c r="AH168" s="55"/>
      <c r="AI168" s="56"/>
      <c r="AK168" s="57"/>
    </row>
    <row r="169" spans="1:37" x14ac:dyDescent="0.25">
      <c r="A169" s="121" t="s">
        <v>173</v>
      </c>
      <c r="B169" s="133">
        <v>0.85</v>
      </c>
      <c r="C169" s="134">
        <f t="shared" si="38"/>
        <v>0.85</v>
      </c>
      <c r="D169" s="134">
        <f t="shared" si="38"/>
        <v>0.85</v>
      </c>
      <c r="E169" s="134">
        <f t="shared" si="38"/>
        <v>0.85</v>
      </c>
      <c r="F169" s="134">
        <f t="shared" si="38"/>
        <v>0.85</v>
      </c>
      <c r="G169" s="134">
        <f t="shared" si="38"/>
        <v>0.85</v>
      </c>
      <c r="H169" s="134">
        <f t="shared" si="38"/>
        <v>0.85</v>
      </c>
      <c r="I169" s="134">
        <f t="shared" si="38"/>
        <v>0.85</v>
      </c>
      <c r="J169" s="134">
        <f t="shared" si="38"/>
        <v>0.85</v>
      </c>
      <c r="K169" s="134">
        <f t="shared" si="38"/>
        <v>0.85</v>
      </c>
      <c r="L169" s="134">
        <f t="shared" si="38"/>
        <v>0.85</v>
      </c>
      <c r="M169" s="134">
        <f t="shared" si="38"/>
        <v>0.85</v>
      </c>
      <c r="N169" s="134">
        <f t="shared" si="38"/>
        <v>0.85</v>
      </c>
      <c r="O169" s="134">
        <f t="shared" si="38"/>
        <v>0.85</v>
      </c>
      <c r="P169" s="134">
        <f t="shared" si="38"/>
        <v>0.85</v>
      </c>
      <c r="Q169" s="134">
        <f t="shared" si="38"/>
        <v>0.85</v>
      </c>
      <c r="R169" s="134">
        <f t="shared" si="39"/>
        <v>0.85</v>
      </c>
      <c r="S169" s="134">
        <f t="shared" si="39"/>
        <v>0.85</v>
      </c>
      <c r="T169" s="134">
        <f t="shared" si="39"/>
        <v>0.85</v>
      </c>
      <c r="U169" s="134">
        <f t="shared" si="39"/>
        <v>0.85</v>
      </c>
      <c r="V169" s="134">
        <f t="shared" si="39"/>
        <v>0.85</v>
      </c>
      <c r="W169" s="134">
        <f t="shared" si="39"/>
        <v>0.85</v>
      </c>
      <c r="X169" s="134">
        <f t="shared" si="39"/>
        <v>0.85</v>
      </c>
      <c r="Y169" s="134">
        <f t="shared" si="39"/>
        <v>0.85</v>
      </c>
      <c r="Z169" s="134">
        <f t="shared" si="39"/>
        <v>0.85</v>
      </c>
      <c r="AA169" s="134">
        <f t="shared" si="39"/>
        <v>0.85</v>
      </c>
      <c r="AB169" s="134">
        <f t="shared" si="39"/>
        <v>0.85</v>
      </c>
      <c r="AC169" s="134">
        <f t="shared" si="39"/>
        <v>0.85</v>
      </c>
      <c r="AD169" s="134">
        <f t="shared" si="39"/>
        <v>0.85</v>
      </c>
      <c r="AE169" s="134">
        <f t="shared" si="39"/>
        <v>0.85</v>
      </c>
      <c r="AF169" s="134">
        <f t="shared" si="39"/>
        <v>0.85</v>
      </c>
      <c r="AG169" s="136">
        <v>2.4</v>
      </c>
      <c r="AH169" s="55"/>
      <c r="AI169" s="56"/>
      <c r="AK169" s="57"/>
    </row>
    <row r="170" spans="1:37" x14ac:dyDescent="0.25">
      <c r="A170" s="121" t="s">
        <v>174</v>
      </c>
      <c r="B170" s="133">
        <v>0.9</v>
      </c>
      <c r="C170" s="134">
        <f t="shared" si="38"/>
        <v>0.9</v>
      </c>
      <c r="D170" s="134">
        <f t="shared" si="38"/>
        <v>0.9</v>
      </c>
      <c r="E170" s="134">
        <f t="shared" si="38"/>
        <v>0.9</v>
      </c>
      <c r="F170" s="134">
        <f t="shared" si="38"/>
        <v>0.9</v>
      </c>
      <c r="G170" s="134">
        <f t="shared" si="38"/>
        <v>0.9</v>
      </c>
      <c r="H170" s="134">
        <f t="shared" si="38"/>
        <v>0.9</v>
      </c>
      <c r="I170" s="134">
        <f t="shared" si="38"/>
        <v>0.9</v>
      </c>
      <c r="J170" s="134">
        <f t="shared" si="38"/>
        <v>0.9</v>
      </c>
      <c r="K170" s="134">
        <f t="shared" si="38"/>
        <v>0.9</v>
      </c>
      <c r="L170" s="134">
        <f t="shared" si="38"/>
        <v>0.9</v>
      </c>
      <c r="M170" s="134">
        <f t="shared" si="38"/>
        <v>0.9</v>
      </c>
      <c r="N170" s="134">
        <f t="shared" si="38"/>
        <v>0.9</v>
      </c>
      <c r="O170" s="134">
        <f t="shared" si="38"/>
        <v>0.9</v>
      </c>
      <c r="P170" s="134">
        <f t="shared" si="38"/>
        <v>0.9</v>
      </c>
      <c r="Q170" s="134">
        <f t="shared" si="38"/>
        <v>0.9</v>
      </c>
      <c r="R170" s="134">
        <f t="shared" si="39"/>
        <v>0.9</v>
      </c>
      <c r="S170" s="134">
        <f t="shared" si="39"/>
        <v>0.9</v>
      </c>
      <c r="T170" s="134">
        <f t="shared" si="39"/>
        <v>0.9</v>
      </c>
      <c r="U170" s="134">
        <f t="shared" si="39"/>
        <v>0.9</v>
      </c>
      <c r="V170" s="134">
        <f t="shared" si="39"/>
        <v>0.9</v>
      </c>
      <c r="W170" s="134">
        <f t="shared" si="39"/>
        <v>0.9</v>
      </c>
      <c r="X170" s="134">
        <f t="shared" si="39"/>
        <v>0.9</v>
      </c>
      <c r="Y170" s="134">
        <f t="shared" si="39"/>
        <v>0.9</v>
      </c>
      <c r="Z170" s="134">
        <f t="shared" si="39"/>
        <v>0.9</v>
      </c>
      <c r="AA170" s="134">
        <f t="shared" si="39"/>
        <v>0.9</v>
      </c>
      <c r="AB170" s="134">
        <f t="shared" si="39"/>
        <v>0.9</v>
      </c>
      <c r="AC170" s="134">
        <f t="shared" si="39"/>
        <v>0.9</v>
      </c>
      <c r="AD170" s="134">
        <f t="shared" si="39"/>
        <v>0.9</v>
      </c>
      <c r="AE170" s="134">
        <f t="shared" si="39"/>
        <v>0.9</v>
      </c>
      <c r="AF170" s="134">
        <f t="shared" si="39"/>
        <v>0.9</v>
      </c>
      <c r="AG170" s="136">
        <v>2.2000000000000002</v>
      </c>
      <c r="AH170" s="55"/>
      <c r="AI170" s="56"/>
      <c r="AK170" s="57"/>
    </row>
    <row r="171" spans="1:37" x14ac:dyDescent="0.25">
      <c r="A171" s="121" t="s">
        <v>175</v>
      </c>
      <c r="B171" s="133">
        <v>0.44</v>
      </c>
      <c r="C171" s="134">
        <f t="shared" si="38"/>
        <v>0.44</v>
      </c>
      <c r="D171" s="134">
        <f t="shared" si="38"/>
        <v>0.44</v>
      </c>
      <c r="E171" s="134">
        <f t="shared" si="38"/>
        <v>0.44</v>
      </c>
      <c r="F171" s="134">
        <f t="shared" si="38"/>
        <v>0.44</v>
      </c>
      <c r="G171" s="134">
        <f t="shared" si="38"/>
        <v>0.44</v>
      </c>
      <c r="H171" s="134">
        <f t="shared" si="38"/>
        <v>0.44</v>
      </c>
      <c r="I171" s="134">
        <f t="shared" si="38"/>
        <v>0.44</v>
      </c>
      <c r="J171" s="134">
        <f t="shared" si="38"/>
        <v>0.44</v>
      </c>
      <c r="K171" s="134">
        <f t="shared" si="38"/>
        <v>0.44</v>
      </c>
      <c r="L171" s="134">
        <f t="shared" si="38"/>
        <v>0.44</v>
      </c>
      <c r="M171" s="134">
        <f t="shared" si="38"/>
        <v>0.44</v>
      </c>
      <c r="N171" s="134">
        <f t="shared" si="38"/>
        <v>0.44</v>
      </c>
      <c r="O171" s="134">
        <f t="shared" si="38"/>
        <v>0.44</v>
      </c>
      <c r="P171" s="134">
        <f t="shared" si="38"/>
        <v>0.44</v>
      </c>
      <c r="Q171" s="134">
        <f t="shared" si="38"/>
        <v>0.44</v>
      </c>
      <c r="R171" s="134">
        <f t="shared" si="39"/>
        <v>0.44</v>
      </c>
      <c r="S171" s="134">
        <f t="shared" si="39"/>
        <v>0.44</v>
      </c>
      <c r="T171" s="134">
        <f t="shared" si="39"/>
        <v>0.44</v>
      </c>
      <c r="U171" s="134">
        <f t="shared" si="39"/>
        <v>0.44</v>
      </c>
      <c r="V171" s="134">
        <f t="shared" si="39"/>
        <v>0.44</v>
      </c>
      <c r="W171" s="134">
        <f t="shared" si="39"/>
        <v>0.44</v>
      </c>
      <c r="X171" s="134">
        <f t="shared" si="39"/>
        <v>0.44</v>
      </c>
      <c r="Y171" s="134">
        <f t="shared" si="39"/>
        <v>0.44</v>
      </c>
      <c r="Z171" s="134">
        <f t="shared" si="39"/>
        <v>0.44</v>
      </c>
      <c r="AA171" s="134">
        <f t="shared" si="39"/>
        <v>0.44</v>
      </c>
      <c r="AB171" s="134">
        <f t="shared" si="39"/>
        <v>0.44</v>
      </c>
      <c r="AC171" s="134">
        <f t="shared" si="39"/>
        <v>0.44</v>
      </c>
      <c r="AD171" s="134">
        <f t="shared" si="39"/>
        <v>0.44</v>
      </c>
      <c r="AE171" s="134">
        <f t="shared" si="39"/>
        <v>0.44</v>
      </c>
      <c r="AF171" s="134">
        <f t="shared" si="39"/>
        <v>0.44</v>
      </c>
      <c r="AG171" s="136">
        <v>2</v>
      </c>
      <c r="AH171" s="55"/>
      <c r="AI171" s="56"/>
      <c r="AK171" s="57"/>
    </row>
    <row r="172" spans="1:37" x14ac:dyDescent="0.25">
      <c r="A172" s="121" t="s">
        <v>176</v>
      </c>
      <c r="B172" s="133">
        <v>2.1</v>
      </c>
      <c r="C172" s="134">
        <f t="shared" si="38"/>
        <v>2.1</v>
      </c>
      <c r="D172" s="134">
        <f t="shared" si="38"/>
        <v>2.1</v>
      </c>
      <c r="E172" s="134">
        <f t="shared" si="38"/>
        <v>2.1</v>
      </c>
      <c r="F172" s="134">
        <f t="shared" si="38"/>
        <v>2.1</v>
      </c>
      <c r="G172" s="134">
        <f t="shared" si="38"/>
        <v>2.1</v>
      </c>
      <c r="H172" s="134">
        <f t="shared" si="38"/>
        <v>2.1</v>
      </c>
      <c r="I172" s="134">
        <f t="shared" si="38"/>
        <v>2.1</v>
      </c>
      <c r="J172" s="134">
        <f t="shared" si="38"/>
        <v>2.1</v>
      </c>
      <c r="K172" s="134">
        <f t="shared" si="38"/>
        <v>2.1</v>
      </c>
      <c r="L172" s="134">
        <f t="shared" si="38"/>
        <v>2.1</v>
      </c>
      <c r="M172" s="134">
        <f t="shared" si="38"/>
        <v>2.1</v>
      </c>
      <c r="N172" s="134">
        <f t="shared" si="38"/>
        <v>2.1</v>
      </c>
      <c r="O172" s="134">
        <f t="shared" si="38"/>
        <v>2.1</v>
      </c>
      <c r="P172" s="134">
        <f t="shared" si="38"/>
        <v>2.1</v>
      </c>
      <c r="Q172" s="134">
        <f t="shared" si="38"/>
        <v>2.1</v>
      </c>
      <c r="R172" s="134">
        <f t="shared" si="39"/>
        <v>2.1</v>
      </c>
      <c r="S172" s="134">
        <f t="shared" si="39"/>
        <v>2.1</v>
      </c>
      <c r="T172" s="134">
        <f t="shared" si="39"/>
        <v>2.1</v>
      </c>
      <c r="U172" s="134">
        <f t="shared" si="39"/>
        <v>2.1</v>
      </c>
      <c r="V172" s="134">
        <f t="shared" si="39"/>
        <v>2.1</v>
      </c>
      <c r="W172" s="134">
        <f t="shared" si="39"/>
        <v>2.1</v>
      </c>
      <c r="X172" s="134">
        <f t="shared" si="39"/>
        <v>2.1</v>
      </c>
      <c r="Y172" s="134">
        <f t="shared" si="39"/>
        <v>2.1</v>
      </c>
      <c r="Z172" s="134">
        <f t="shared" si="39"/>
        <v>2.1</v>
      </c>
      <c r="AA172" s="134">
        <f t="shared" si="39"/>
        <v>2.1</v>
      </c>
      <c r="AB172" s="134">
        <f t="shared" si="39"/>
        <v>2.1</v>
      </c>
      <c r="AC172" s="134">
        <f t="shared" si="39"/>
        <v>2.1</v>
      </c>
      <c r="AD172" s="134">
        <f t="shared" si="39"/>
        <v>2.1</v>
      </c>
      <c r="AE172" s="134">
        <f t="shared" si="39"/>
        <v>2.1</v>
      </c>
      <c r="AF172" s="134">
        <f t="shared" si="39"/>
        <v>2.1</v>
      </c>
      <c r="AG172" s="136">
        <v>2</v>
      </c>
      <c r="AH172" s="55"/>
      <c r="AI172" s="56"/>
      <c r="AK172" s="57"/>
    </row>
    <row r="173" spans="1:37" x14ac:dyDescent="0.25">
      <c r="A173" s="121" t="s">
        <v>177</v>
      </c>
      <c r="B173" s="133">
        <v>0.9</v>
      </c>
      <c r="C173" s="134">
        <f t="shared" si="38"/>
        <v>0.9</v>
      </c>
      <c r="D173" s="134">
        <f t="shared" si="38"/>
        <v>0.9</v>
      </c>
      <c r="E173" s="134">
        <f t="shared" si="38"/>
        <v>0.9</v>
      </c>
      <c r="F173" s="134">
        <f t="shared" si="38"/>
        <v>0.9</v>
      </c>
      <c r="G173" s="134">
        <f t="shared" si="38"/>
        <v>0.9</v>
      </c>
      <c r="H173" s="134">
        <f t="shared" si="38"/>
        <v>0.9</v>
      </c>
      <c r="I173" s="134">
        <f t="shared" si="38"/>
        <v>0.9</v>
      </c>
      <c r="J173" s="134">
        <f t="shared" si="38"/>
        <v>0.9</v>
      </c>
      <c r="K173" s="134">
        <f t="shared" si="38"/>
        <v>0.9</v>
      </c>
      <c r="L173" s="134">
        <f t="shared" si="38"/>
        <v>0.9</v>
      </c>
      <c r="M173" s="134">
        <f t="shared" si="38"/>
        <v>0.9</v>
      </c>
      <c r="N173" s="134">
        <f t="shared" si="38"/>
        <v>0.9</v>
      </c>
      <c r="O173" s="134">
        <f t="shared" si="38"/>
        <v>0.9</v>
      </c>
      <c r="P173" s="134">
        <f t="shared" si="38"/>
        <v>0.9</v>
      </c>
      <c r="Q173" s="134">
        <f t="shared" si="38"/>
        <v>0.9</v>
      </c>
      <c r="R173" s="134">
        <f t="shared" si="39"/>
        <v>0.9</v>
      </c>
      <c r="S173" s="134">
        <f t="shared" si="39"/>
        <v>0.9</v>
      </c>
      <c r="T173" s="134">
        <f t="shared" si="39"/>
        <v>0.9</v>
      </c>
      <c r="U173" s="134">
        <f t="shared" si="39"/>
        <v>0.9</v>
      </c>
      <c r="V173" s="134">
        <f t="shared" si="39"/>
        <v>0.9</v>
      </c>
      <c r="W173" s="134">
        <f t="shared" si="39"/>
        <v>0.9</v>
      </c>
      <c r="X173" s="134">
        <f t="shared" si="39"/>
        <v>0.9</v>
      </c>
      <c r="Y173" s="134">
        <f t="shared" si="39"/>
        <v>0.9</v>
      </c>
      <c r="Z173" s="134">
        <f t="shared" si="39"/>
        <v>0.9</v>
      </c>
      <c r="AA173" s="134">
        <f t="shared" si="39"/>
        <v>0.9</v>
      </c>
      <c r="AB173" s="134">
        <f t="shared" si="39"/>
        <v>0.9</v>
      </c>
      <c r="AC173" s="134">
        <f t="shared" si="39"/>
        <v>0.9</v>
      </c>
      <c r="AD173" s="134">
        <f t="shared" si="39"/>
        <v>0.9</v>
      </c>
      <c r="AE173" s="134">
        <f t="shared" si="39"/>
        <v>0.9</v>
      </c>
      <c r="AF173" s="134">
        <f t="shared" si="39"/>
        <v>0.9</v>
      </c>
      <c r="AG173" s="136">
        <v>2</v>
      </c>
      <c r="AH173" s="55"/>
      <c r="AI173" s="56"/>
      <c r="AK173" s="57"/>
    </row>
    <row r="174" spans="1:37" x14ac:dyDescent="0.25">
      <c r="A174" s="121" t="s">
        <v>178</v>
      </c>
      <c r="B174" s="133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6">
        <v>1.8</v>
      </c>
      <c r="AH174" s="55"/>
      <c r="AI174" s="56"/>
      <c r="AK174" s="57"/>
    </row>
    <row r="175" spans="1:37" x14ac:dyDescent="0.25">
      <c r="A175" s="121" t="s">
        <v>179</v>
      </c>
      <c r="B175" s="133">
        <v>0.57999999999999996</v>
      </c>
      <c r="C175" s="134">
        <f t="shared" ref="C175:R187" si="40">B175</f>
        <v>0.57999999999999996</v>
      </c>
      <c r="D175" s="134">
        <f t="shared" si="40"/>
        <v>0.57999999999999996</v>
      </c>
      <c r="E175" s="134">
        <f t="shared" si="40"/>
        <v>0.57999999999999996</v>
      </c>
      <c r="F175" s="134">
        <f t="shared" si="40"/>
        <v>0.57999999999999996</v>
      </c>
      <c r="G175" s="134">
        <f t="shared" si="40"/>
        <v>0.57999999999999996</v>
      </c>
      <c r="H175" s="134">
        <f t="shared" si="40"/>
        <v>0.57999999999999996</v>
      </c>
      <c r="I175" s="134">
        <f t="shared" si="40"/>
        <v>0.57999999999999996</v>
      </c>
      <c r="J175" s="134">
        <f t="shared" si="40"/>
        <v>0.57999999999999996</v>
      </c>
      <c r="K175" s="134">
        <f t="shared" si="40"/>
        <v>0.57999999999999996</v>
      </c>
      <c r="L175" s="134">
        <f t="shared" si="40"/>
        <v>0.57999999999999996</v>
      </c>
      <c r="M175" s="134">
        <f t="shared" si="40"/>
        <v>0.57999999999999996</v>
      </c>
      <c r="N175" s="134">
        <f t="shared" si="40"/>
        <v>0.57999999999999996</v>
      </c>
      <c r="O175" s="134">
        <f t="shared" si="40"/>
        <v>0.57999999999999996</v>
      </c>
      <c r="P175" s="134">
        <f t="shared" si="40"/>
        <v>0.57999999999999996</v>
      </c>
      <c r="Q175" s="134">
        <f t="shared" si="40"/>
        <v>0.57999999999999996</v>
      </c>
      <c r="R175" s="134">
        <f t="shared" si="40"/>
        <v>0.57999999999999996</v>
      </c>
      <c r="S175" s="134">
        <f t="shared" ref="R175:AF187" si="41">R175</f>
        <v>0.57999999999999996</v>
      </c>
      <c r="T175" s="134">
        <f t="shared" si="41"/>
        <v>0.57999999999999996</v>
      </c>
      <c r="U175" s="134">
        <f t="shared" si="41"/>
        <v>0.57999999999999996</v>
      </c>
      <c r="V175" s="134">
        <f t="shared" si="41"/>
        <v>0.57999999999999996</v>
      </c>
      <c r="W175" s="134">
        <f t="shared" si="41"/>
        <v>0.57999999999999996</v>
      </c>
      <c r="X175" s="134">
        <f t="shared" si="41"/>
        <v>0.57999999999999996</v>
      </c>
      <c r="Y175" s="134">
        <f t="shared" si="41"/>
        <v>0.57999999999999996</v>
      </c>
      <c r="Z175" s="134">
        <f t="shared" si="41"/>
        <v>0.57999999999999996</v>
      </c>
      <c r="AA175" s="134">
        <f t="shared" si="41"/>
        <v>0.57999999999999996</v>
      </c>
      <c r="AB175" s="134">
        <f t="shared" si="41"/>
        <v>0.57999999999999996</v>
      </c>
      <c r="AC175" s="134">
        <f t="shared" si="41"/>
        <v>0.57999999999999996</v>
      </c>
      <c r="AD175" s="134">
        <f t="shared" si="41"/>
        <v>0.57999999999999996</v>
      </c>
      <c r="AE175" s="134">
        <f t="shared" si="41"/>
        <v>0.57999999999999996</v>
      </c>
      <c r="AF175" s="134">
        <f t="shared" si="41"/>
        <v>0.57999999999999996</v>
      </c>
      <c r="AG175" s="136">
        <v>1.8</v>
      </c>
      <c r="AH175" s="55"/>
      <c r="AI175" s="56"/>
      <c r="AK175" s="57"/>
    </row>
    <row r="176" spans="1:37" x14ac:dyDescent="0.25">
      <c r="A176" s="121" t="s">
        <v>180</v>
      </c>
      <c r="B176" s="133">
        <v>0.8</v>
      </c>
      <c r="C176" s="134">
        <f t="shared" si="40"/>
        <v>0.8</v>
      </c>
      <c r="D176" s="134">
        <f t="shared" si="40"/>
        <v>0.8</v>
      </c>
      <c r="E176" s="134">
        <f t="shared" si="40"/>
        <v>0.8</v>
      </c>
      <c r="F176" s="134">
        <f t="shared" si="40"/>
        <v>0.8</v>
      </c>
      <c r="G176" s="134">
        <f t="shared" si="40"/>
        <v>0.8</v>
      </c>
      <c r="H176" s="134">
        <f t="shared" si="40"/>
        <v>0.8</v>
      </c>
      <c r="I176" s="134">
        <f t="shared" si="40"/>
        <v>0.8</v>
      </c>
      <c r="J176" s="134">
        <f t="shared" si="40"/>
        <v>0.8</v>
      </c>
      <c r="K176" s="134">
        <f t="shared" si="40"/>
        <v>0.8</v>
      </c>
      <c r="L176" s="134">
        <f t="shared" si="40"/>
        <v>0.8</v>
      </c>
      <c r="M176" s="134">
        <f t="shared" si="40"/>
        <v>0.8</v>
      </c>
      <c r="N176" s="134">
        <f t="shared" si="40"/>
        <v>0.8</v>
      </c>
      <c r="O176" s="134">
        <f t="shared" si="40"/>
        <v>0.8</v>
      </c>
      <c r="P176" s="134">
        <f t="shared" si="40"/>
        <v>0.8</v>
      </c>
      <c r="Q176" s="134">
        <f t="shared" si="40"/>
        <v>0.8</v>
      </c>
      <c r="R176" s="134">
        <f t="shared" si="40"/>
        <v>0.8</v>
      </c>
      <c r="S176" s="134">
        <f t="shared" si="41"/>
        <v>0.8</v>
      </c>
      <c r="T176" s="134">
        <f t="shared" si="41"/>
        <v>0.8</v>
      </c>
      <c r="U176" s="134">
        <f t="shared" si="41"/>
        <v>0.8</v>
      </c>
      <c r="V176" s="134">
        <f t="shared" si="41"/>
        <v>0.8</v>
      </c>
      <c r="W176" s="134">
        <f t="shared" si="41"/>
        <v>0.8</v>
      </c>
      <c r="X176" s="134">
        <f t="shared" si="41"/>
        <v>0.8</v>
      </c>
      <c r="Y176" s="134">
        <f t="shared" si="41"/>
        <v>0.8</v>
      </c>
      <c r="Z176" s="134">
        <f t="shared" si="41"/>
        <v>0.8</v>
      </c>
      <c r="AA176" s="134">
        <f t="shared" si="41"/>
        <v>0.8</v>
      </c>
      <c r="AB176" s="134">
        <f t="shared" si="41"/>
        <v>0.8</v>
      </c>
      <c r="AC176" s="134">
        <f t="shared" si="41"/>
        <v>0.8</v>
      </c>
      <c r="AD176" s="134">
        <f t="shared" si="41"/>
        <v>0.8</v>
      </c>
      <c r="AE176" s="134">
        <f t="shared" si="41"/>
        <v>0.8</v>
      </c>
      <c r="AF176" s="134">
        <f t="shared" si="41"/>
        <v>0.8</v>
      </c>
      <c r="AG176" s="136">
        <v>1.65</v>
      </c>
      <c r="AH176" s="55"/>
      <c r="AI176" s="56"/>
      <c r="AK176" s="57"/>
    </row>
    <row r="177" spans="1:37" x14ac:dyDescent="0.25">
      <c r="A177" s="121" t="s">
        <v>181</v>
      </c>
      <c r="B177" s="133">
        <v>0</v>
      </c>
      <c r="C177" s="134">
        <f t="shared" si="40"/>
        <v>0</v>
      </c>
      <c r="D177" s="134">
        <f t="shared" si="40"/>
        <v>0</v>
      </c>
      <c r="E177" s="134">
        <f t="shared" si="40"/>
        <v>0</v>
      </c>
      <c r="F177" s="134">
        <f t="shared" si="40"/>
        <v>0</v>
      </c>
      <c r="G177" s="134">
        <f t="shared" si="40"/>
        <v>0</v>
      </c>
      <c r="H177" s="134">
        <f t="shared" si="40"/>
        <v>0</v>
      </c>
      <c r="I177" s="134">
        <f t="shared" si="40"/>
        <v>0</v>
      </c>
      <c r="J177" s="134">
        <f t="shared" si="40"/>
        <v>0</v>
      </c>
      <c r="K177" s="134">
        <f t="shared" si="40"/>
        <v>0</v>
      </c>
      <c r="L177" s="134">
        <f t="shared" si="40"/>
        <v>0</v>
      </c>
      <c r="M177" s="134">
        <f t="shared" si="40"/>
        <v>0</v>
      </c>
      <c r="N177" s="134">
        <f t="shared" si="40"/>
        <v>0</v>
      </c>
      <c r="O177" s="134">
        <f t="shared" si="40"/>
        <v>0</v>
      </c>
      <c r="P177" s="134">
        <f t="shared" si="40"/>
        <v>0</v>
      </c>
      <c r="Q177" s="134">
        <f t="shared" si="40"/>
        <v>0</v>
      </c>
      <c r="R177" s="134">
        <f t="shared" si="40"/>
        <v>0</v>
      </c>
      <c r="S177" s="134">
        <f t="shared" si="41"/>
        <v>0</v>
      </c>
      <c r="T177" s="134">
        <f t="shared" si="41"/>
        <v>0</v>
      </c>
      <c r="U177" s="134">
        <f t="shared" si="41"/>
        <v>0</v>
      </c>
      <c r="V177" s="134">
        <f t="shared" si="41"/>
        <v>0</v>
      </c>
      <c r="W177" s="134">
        <f t="shared" si="41"/>
        <v>0</v>
      </c>
      <c r="X177" s="134">
        <f t="shared" si="41"/>
        <v>0</v>
      </c>
      <c r="Y177" s="134">
        <f t="shared" si="41"/>
        <v>0</v>
      </c>
      <c r="Z177" s="134">
        <f t="shared" si="41"/>
        <v>0</v>
      </c>
      <c r="AA177" s="134">
        <f t="shared" si="41"/>
        <v>0</v>
      </c>
      <c r="AB177" s="134">
        <f t="shared" si="41"/>
        <v>0</v>
      </c>
      <c r="AC177" s="134">
        <f t="shared" si="41"/>
        <v>0</v>
      </c>
      <c r="AD177" s="134">
        <f t="shared" si="41"/>
        <v>0</v>
      </c>
      <c r="AE177" s="134">
        <f t="shared" si="41"/>
        <v>0</v>
      </c>
      <c r="AF177" s="134">
        <f t="shared" si="41"/>
        <v>0</v>
      </c>
      <c r="AG177" s="136">
        <v>1.5</v>
      </c>
      <c r="AH177" s="55"/>
      <c r="AI177" s="56"/>
      <c r="AK177" s="57"/>
    </row>
    <row r="178" spans="1:37" x14ac:dyDescent="0.25">
      <c r="A178" s="121" t="s">
        <v>182</v>
      </c>
      <c r="B178" s="133">
        <v>0.6</v>
      </c>
      <c r="C178" s="134">
        <f t="shared" si="40"/>
        <v>0.6</v>
      </c>
      <c r="D178" s="134">
        <f t="shared" si="40"/>
        <v>0.6</v>
      </c>
      <c r="E178" s="134">
        <f t="shared" si="40"/>
        <v>0.6</v>
      </c>
      <c r="F178" s="134">
        <f t="shared" si="40"/>
        <v>0.6</v>
      </c>
      <c r="G178" s="134">
        <f t="shared" si="40"/>
        <v>0.6</v>
      </c>
      <c r="H178" s="134">
        <f t="shared" si="40"/>
        <v>0.6</v>
      </c>
      <c r="I178" s="134">
        <f t="shared" si="40"/>
        <v>0.6</v>
      </c>
      <c r="J178" s="134">
        <f t="shared" si="40"/>
        <v>0.6</v>
      </c>
      <c r="K178" s="134">
        <f t="shared" si="40"/>
        <v>0.6</v>
      </c>
      <c r="L178" s="134">
        <f t="shared" si="40"/>
        <v>0.6</v>
      </c>
      <c r="M178" s="134">
        <f t="shared" si="40"/>
        <v>0.6</v>
      </c>
      <c r="N178" s="134">
        <f t="shared" si="40"/>
        <v>0.6</v>
      </c>
      <c r="O178" s="134">
        <f t="shared" si="40"/>
        <v>0.6</v>
      </c>
      <c r="P178" s="134">
        <f t="shared" si="40"/>
        <v>0.6</v>
      </c>
      <c r="Q178" s="134">
        <f t="shared" si="40"/>
        <v>0.6</v>
      </c>
      <c r="R178" s="134">
        <f t="shared" si="40"/>
        <v>0.6</v>
      </c>
      <c r="S178" s="134">
        <f t="shared" si="41"/>
        <v>0.6</v>
      </c>
      <c r="T178" s="134">
        <f t="shared" si="41"/>
        <v>0.6</v>
      </c>
      <c r="U178" s="134">
        <f t="shared" si="41"/>
        <v>0.6</v>
      </c>
      <c r="V178" s="134">
        <f t="shared" si="41"/>
        <v>0.6</v>
      </c>
      <c r="W178" s="134">
        <f t="shared" si="41"/>
        <v>0.6</v>
      </c>
      <c r="X178" s="134">
        <f t="shared" si="41"/>
        <v>0.6</v>
      </c>
      <c r="Y178" s="134">
        <f t="shared" si="41"/>
        <v>0.6</v>
      </c>
      <c r="Z178" s="134">
        <f t="shared" si="41"/>
        <v>0.6</v>
      </c>
      <c r="AA178" s="134">
        <f t="shared" si="41"/>
        <v>0.6</v>
      </c>
      <c r="AB178" s="134">
        <f t="shared" si="41"/>
        <v>0.6</v>
      </c>
      <c r="AC178" s="134">
        <f t="shared" si="41"/>
        <v>0.6</v>
      </c>
      <c r="AD178" s="134">
        <f t="shared" si="41"/>
        <v>0.6</v>
      </c>
      <c r="AE178" s="134">
        <f t="shared" si="41"/>
        <v>0.6</v>
      </c>
      <c r="AF178" s="134">
        <f t="shared" si="41"/>
        <v>0.6</v>
      </c>
      <c r="AG178" s="136">
        <v>0.998</v>
      </c>
      <c r="AH178" s="55"/>
      <c r="AI178" s="56"/>
      <c r="AK178" s="57"/>
    </row>
    <row r="179" spans="1:37" x14ac:dyDescent="0.25">
      <c r="A179" s="121" t="s">
        <v>183</v>
      </c>
      <c r="B179" s="133">
        <v>0.6</v>
      </c>
      <c r="C179" s="134">
        <f t="shared" si="40"/>
        <v>0.6</v>
      </c>
      <c r="D179" s="134">
        <f t="shared" si="40"/>
        <v>0.6</v>
      </c>
      <c r="E179" s="134">
        <f t="shared" si="40"/>
        <v>0.6</v>
      </c>
      <c r="F179" s="134">
        <f t="shared" si="40"/>
        <v>0.6</v>
      </c>
      <c r="G179" s="134">
        <f t="shared" si="40"/>
        <v>0.6</v>
      </c>
      <c r="H179" s="134">
        <f t="shared" si="40"/>
        <v>0.6</v>
      </c>
      <c r="I179" s="134">
        <f t="shared" si="40"/>
        <v>0.6</v>
      </c>
      <c r="J179" s="134">
        <f t="shared" si="40"/>
        <v>0.6</v>
      </c>
      <c r="K179" s="134">
        <f t="shared" si="40"/>
        <v>0.6</v>
      </c>
      <c r="L179" s="134">
        <f t="shared" si="40"/>
        <v>0.6</v>
      </c>
      <c r="M179" s="134">
        <f t="shared" si="40"/>
        <v>0.6</v>
      </c>
      <c r="N179" s="134">
        <f t="shared" si="40"/>
        <v>0.6</v>
      </c>
      <c r="O179" s="134">
        <f t="shared" si="40"/>
        <v>0.6</v>
      </c>
      <c r="P179" s="134">
        <f t="shared" si="40"/>
        <v>0.6</v>
      </c>
      <c r="Q179" s="134">
        <f t="shared" si="40"/>
        <v>0.6</v>
      </c>
      <c r="R179" s="134">
        <f t="shared" si="40"/>
        <v>0.6</v>
      </c>
      <c r="S179" s="134">
        <f t="shared" si="41"/>
        <v>0.6</v>
      </c>
      <c r="T179" s="134">
        <f t="shared" si="41"/>
        <v>0.6</v>
      </c>
      <c r="U179" s="134">
        <f t="shared" si="41"/>
        <v>0.6</v>
      </c>
      <c r="V179" s="134">
        <f t="shared" si="41"/>
        <v>0.6</v>
      </c>
      <c r="W179" s="134">
        <f t="shared" si="41"/>
        <v>0.6</v>
      </c>
      <c r="X179" s="134">
        <f t="shared" si="41"/>
        <v>0.6</v>
      </c>
      <c r="Y179" s="134">
        <f t="shared" si="41"/>
        <v>0.6</v>
      </c>
      <c r="Z179" s="134">
        <f t="shared" si="41"/>
        <v>0.6</v>
      </c>
      <c r="AA179" s="134">
        <f t="shared" si="41"/>
        <v>0.6</v>
      </c>
      <c r="AB179" s="134">
        <f t="shared" si="41"/>
        <v>0.6</v>
      </c>
      <c r="AC179" s="134">
        <f t="shared" si="41"/>
        <v>0.6</v>
      </c>
      <c r="AD179" s="134">
        <f t="shared" si="41"/>
        <v>0.6</v>
      </c>
      <c r="AE179" s="134">
        <f t="shared" si="41"/>
        <v>0.6</v>
      </c>
      <c r="AF179" s="134">
        <f t="shared" si="41"/>
        <v>0.6</v>
      </c>
      <c r="AG179" s="136">
        <v>0.997</v>
      </c>
      <c r="AH179" s="55"/>
      <c r="AI179" s="56"/>
      <c r="AK179" s="57"/>
    </row>
    <row r="180" spans="1:37" x14ac:dyDescent="0.25">
      <c r="A180" s="121" t="s">
        <v>184</v>
      </c>
      <c r="B180" s="133">
        <v>0.35</v>
      </c>
      <c r="C180" s="134">
        <f t="shared" si="40"/>
        <v>0.35</v>
      </c>
      <c r="D180" s="134">
        <f t="shared" si="40"/>
        <v>0.35</v>
      </c>
      <c r="E180" s="134">
        <f t="shared" si="40"/>
        <v>0.35</v>
      </c>
      <c r="F180" s="134">
        <f t="shared" si="40"/>
        <v>0.35</v>
      </c>
      <c r="G180" s="134">
        <f t="shared" si="40"/>
        <v>0.35</v>
      </c>
      <c r="H180" s="134">
        <f t="shared" si="40"/>
        <v>0.35</v>
      </c>
      <c r="I180" s="134">
        <f t="shared" si="40"/>
        <v>0.35</v>
      </c>
      <c r="J180" s="134">
        <f t="shared" si="40"/>
        <v>0.35</v>
      </c>
      <c r="K180" s="134">
        <f t="shared" si="40"/>
        <v>0.35</v>
      </c>
      <c r="L180" s="134">
        <f t="shared" si="40"/>
        <v>0.35</v>
      </c>
      <c r="M180" s="134">
        <f t="shared" si="40"/>
        <v>0.35</v>
      </c>
      <c r="N180" s="134">
        <f t="shared" si="40"/>
        <v>0.35</v>
      </c>
      <c r="O180" s="134">
        <f t="shared" si="40"/>
        <v>0.35</v>
      </c>
      <c r="P180" s="134">
        <f t="shared" si="40"/>
        <v>0.35</v>
      </c>
      <c r="Q180" s="134">
        <f t="shared" si="40"/>
        <v>0.35</v>
      </c>
      <c r="R180" s="134">
        <f t="shared" si="40"/>
        <v>0.35</v>
      </c>
      <c r="S180" s="134">
        <f t="shared" si="41"/>
        <v>0.35</v>
      </c>
      <c r="T180" s="134">
        <f t="shared" si="41"/>
        <v>0.35</v>
      </c>
      <c r="U180" s="134">
        <f t="shared" si="41"/>
        <v>0.35</v>
      </c>
      <c r="V180" s="134">
        <f t="shared" si="41"/>
        <v>0.35</v>
      </c>
      <c r="W180" s="134">
        <f t="shared" si="41"/>
        <v>0.35</v>
      </c>
      <c r="X180" s="134">
        <f t="shared" si="41"/>
        <v>0.35</v>
      </c>
      <c r="Y180" s="134">
        <f t="shared" si="41"/>
        <v>0.35</v>
      </c>
      <c r="Z180" s="134">
        <f t="shared" si="41"/>
        <v>0.35</v>
      </c>
      <c r="AA180" s="134">
        <f t="shared" si="41"/>
        <v>0.35</v>
      </c>
      <c r="AB180" s="134">
        <f t="shared" si="41"/>
        <v>0.35</v>
      </c>
      <c r="AC180" s="134">
        <f t="shared" si="41"/>
        <v>0.35</v>
      </c>
      <c r="AD180" s="134">
        <f t="shared" si="41"/>
        <v>0.35</v>
      </c>
      <c r="AE180" s="134">
        <f t="shared" si="41"/>
        <v>0.35</v>
      </c>
      <c r="AF180" s="134">
        <f t="shared" si="41"/>
        <v>0.35</v>
      </c>
      <c r="AG180" s="136">
        <v>0.997</v>
      </c>
      <c r="AH180" s="55"/>
      <c r="AI180" s="56"/>
      <c r="AK180" s="57"/>
    </row>
    <row r="181" spans="1:37" x14ac:dyDescent="0.25">
      <c r="A181" s="121" t="s">
        <v>185</v>
      </c>
      <c r="B181" s="133">
        <v>0.28999999999999998</v>
      </c>
      <c r="C181" s="134">
        <f t="shared" si="40"/>
        <v>0.28999999999999998</v>
      </c>
      <c r="D181" s="134">
        <f t="shared" si="40"/>
        <v>0.28999999999999998</v>
      </c>
      <c r="E181" s="134">
        <f t="shared" si="40"/>
        <v>0.28999999999999998</v>
      </c>
      <c r="F181" s="134">
        <f t="shared" si="40"/>
        <v>0.28999999999999998</v>
      </c>
      <c r="G181" s="134">
        <f t="shared" si="40"/>
        <v>0.28999999999999998</v>
      </c>
      <c r="H181" s="134">
        <f t="shared" si="40"/>
        <v>0.28999999999999998</v>
      </c>
      <c r="I181" s="134">
        <f t="shared" si="40"/>
        <v>0.28999999999999998</v>
      </c>
      <c r="J181" s="134">
        <f t="shared" si="40"/>
        <v>0.28999999999999998</v>
      </c>
      <c r="K181" s="134">
        <f t="shared" si="40"/>
        <v>0.28999999999999998</v>
      </c>
      <c r="L181" s="134">
        <f t="shared" si="40"/>
        <v>0.28999999999999998</v>
      </c>
      <c r="M181" s="134">
        <f t="shared" si="40"/>
        <v>0.28999999999999998</v>
      </c>
      <c r="N181" s="134">
        <f t="shared" si="40"/>
        <v>0.28999999999999998</v>
      </c>
      <c r="O181" s="134">
        <f t="shared" si="40"/>
        <v>0.28999999999999998</v>
      </c>
      <c r="P181" s="134">
        <f t="shared" si="40"/>
        <v>0.28999999999999998</v>
      </c>
      <c r="Q181" s="134">
        <f t="shared" si="40"/>
        <v>0.28999999999999998</v>
      </c>
      <c r="R181" s="134">
        <f t="shared" si="40"/>
        <v>0.28999999999999998</v>
      </c>
      <c r="S181" s="134">
        <f t="shared" si="41"/>
        <v>0.28999999999999998</v>
      </c>
      <c r="T181" s="134">
        <f t="shared" si="41"/>
        <v>0.28999999999999998</v>
      </c>
      <c r="U181" s="134">
        <f t="shared" si="41"/>
        <v>0.28999999999999998</v>
      </c>
      <c r="V181" s="134">
        <f t="shared" si="41"/>
        <v>0.28999999999999998</v>
      </c>
      <c r="W181" s="134">
        <f t="shared" si="41"/>
        <v>0.28999999999999998</v>
      </c>
      <c r="X181" s="134">
        <f t="shared" si="41"/>
        <v>0.28999999999999998</v>
      </c>
      <c r="Y181" s="134">
        <f t="shared" si="41"/>
        <v>0.28999999999999998</v>
      </c>
      <c r="Z181" s="134">
        <f t="shared" si="41"/>
        <v>0.28999999999999998</v>
      </c>
      <c r="AA181" s="134">
        <f t="shared" si="41"/>
        <v>0.28999999999999998</v>
      </c>
      <c r="AB181" s="134">
        <f t="shared" si="41"/>
        <v>0.28999999999999998</v>
      </c>
      <c r="AC181" s="134">
        <f t="shared" si="41"/>
        <v>0.28999999999999998</v>
      </c>
      <c r="AD181" s="134">
        <f t="shared" si="41"/>
        <v>0.28999999999999998</v>
      </c>
      <c r="AE181" s="134">
        <f t="shared" si="41"/>
        <v>0.28999999999999998</v>
      </c>
      <c r="AF181" s="134">
        <f t="shared" si="41"/>
        <v>0.28999999999999998</v>
      </c>
      <c r="AG181" s="136">
        <v>0.996</v>
      </c>
      <c r="AH181" s="55"/>
      <c r="AI181" s="56"/>
      <c r="AK181" s="57"/>
    </row>
    <row r="182" spans="1:37" x14ac:dyDescent="0.25">
      <c r="A182" s="121" t="s">
        <v>186</v>
      </c>
      <c r="B182" s="133">
        <v>0.06</v>
      </c>
      <c r="C182" s="134">
        <f t="shared" si="40"/>
        <v>0.06</v>
      </c>
      <c r="D182" s="134">
        <f t="shared" si="40"/>
        <v>0.06</v>
      </c>
      <c r="E182" s="134">
        <f t="shared" si="40"/>
        <v>0.06</v>
      </c>
      <c r="F182" s="134">
        <f t="shared" si="40"/>
        <v>0.06</v>
      </c>
      <c r="G182" s="134">
        <f t="shared" si="40"/>
        <v>0.06</v>
      </c>
      <c r="H182" s="134">
        <f t="shared" si="40"/>
        <v>0.06</v>
      </c>
      <c r="I182" s="134">
        <f t="shared" si="40"/>
        <v>0.06</v>
      </c>
      <c r="J182" s="134">
        <f t="shared" si="40"/>
        <v>0.06</v>
      </c>
      <c r="K182" s="134">
        <f t="shared" si="40"/>
        <v>0.06</v>
      </c>
      <c r="L182" s="134">
        <f t="shared" si="40"/>
        <v>0.06</v>
      </c>
      <c r="M182" s="134">
        <f t="shared" si="40"/>
        <v>0.06</v>
      </c>
      <c r="N182" s="134">
        <f t="shared" si="40"/>
        <v>0.06</v>
      </c>
      <c r="O182" s="134">
        <f t="shared" si="40"/>
        <v>0.06</v>
      </c>
      <c r="P182" s="134">
        <f t="shared" si="40"/>
        <v>0.06</v>
      </c>
      <c r="Q182" s="134">
        <f t="shared" si="40"/>
        <v>0.06</v>
      </c>
      <c r="R182" s="134">
        <f t="shared" si="40"/>
        <v>0.06</v>
      </c>
      <c r="S182" s="134">
        <f t="shared" si="41"/>
        <v>0.06</v>
      </c>
      <c r="T182" s="134">
        <f t="shared" si="41"/>
        <v>0.06</v>
      </c>
      <c r="U182" s="134">
        <f t="shared" si="41"/>
        <v>0.06</v>
      </c>
      <c r="V182" s="134">
        <f t="shared" si="41"/>
        <v>0.06</v>
      </c>
      <c r="W182" s="134">
        <f t="shared" si="41"/>
        <v>0.06</v>
      </c>
      <c r="X182" s="134">
        <f t="shared" si="41"/>
        <v>0.06</v>
      </c>
      <c r="Y182" s="134">
        <f t="shared" si="41"/>
        <v>0.06</v>
      </c>
      <c r="Z182" s="134">
        <f t="shared" si="41"/>
        <v>0.06</v>
      </c>
      <c r="AA182" s="134">
        <f t="shared" si="41"/>
        <v>0.06</v>
      </c>
      <c r="AB182" s="134">
        <f t="shared" si="41"/>
        <v>0.06</v>
      </c>
      <c r="AC182" s="134">
        <f t="shared" si="41"/>
        <v>0.06</v>
      </c>
      <c r="AD182" s="134">
        <f t="shared" si="41"/>
        <v>0.06</v>
      </c>
      <c r="AE182" s="134">
        <f t="shared" si="41"/>
        <v>0.06</v>
      </c>
      <c r="AF182" s="134">
        <f t="shared" si="41"/>
        <v>0.06</v>
      </c>
      <c r="AG182" s="136">
        <v>0.996</v>
      </c>
      <c r="AH182" s="55"/>
      <c r="AI182" s="56"/>
      <c r="AK182" s="57"/>
    </row>
    <row r="183" spans="1:37" x14ac:dyDescent="0.25">
      <c r="A183" s="121" t="s">
        <v>187</v>
      </c>
      <c r="B183" s="133">
        <v>0.11</v>
      </c>
      <c r="C183" s="134">
        <f t="shared" si="40"/>
        <v>0.11</v>
      </c>
      <c r="D183" s="134">
        <f t="shared" si="40"/>
        <v>0.11</v>
      </c>
      <c r="E183" s="134">
        <f t="shared" si="40"/>
        <v>0.11</v>
      </c>
      <c r="F183" s="134">
        <f t="shared" si="40"/>
        <v>0.11</v>
      </c>
      <c r="G183" s="134">
        <f t="shared" si="40"/>
        <v>0.11</v>
      </c>
      <c r="H183" s="134">
        <f t="shared" si="40"/>
        <v>0.11</v>
      </c>
      <c r="I183" s="134">
        <f t="shared" si="40"/>
        <v>0.11</v>
      </c>
      <c r="J183" s="134">
        <f t="shared" si="40"/>
        <v>0.11</v>
      </c>
      <c r="K183" s="134">
        <f t="shared" si="40"/>
        <v>0.11</v>
      </c>
      <c r="L183" s="134">
        <f t="shared" si="40"/>
        <v>0.11</v>
      </c>
      <c r="M183" s="134">
        <f t="shared" si="40"/>
        <v>0.11</v>
      </c>
      <c r="N183" s="134">
        <f t="shared" si="40"/>
        <v>0.11</v>
      </c>
      <c r="O183" s="134">
        <f t="shared" si="40"/>
        <v>0.11</v>
      </c>
      <c r="P183" s="134">
        <f t="shared" si="40"/>
        <v>0.11</v>
      </c>
      <c r="Q183" s="134">
        <f t="shared" si="40"/>
        <v>0.11</v>
      </c>
      <c r="R183" s="134">
        <f t="shared" si="40"/>
        <v>0.11</v>
      </c>
      <c r="S183" s="134">
        <f t="shared" si="41"/>
        <v>0.11</v>
      </c>
      <c r="T183" s="134">
        <f t="shared" si="41"/>
        <v>0.11</v>
      </c>
      <c r="U183" s="134">
        <f t="shared" si="41"/>
        <v>0.11</v>
      </c>
      <c r="V183" s="134">
        <f t="shared" si="41"/>
        <v>0.11</v>
      </c>
      <c r="W183" s="134">
        <f t="shared" si="41"/>
        <v>0.11</v>
      </c>
      <c r="X183" s="134">
        <f t="shared" si="41"/>
        <v>0.11</v>
      </c>
      <c r="Y183" s="134">
        <f t="shared" si="41"/>
        <v>0.11</v>
      </c>
      <c r="Z183" s="134">
        <f t="shared" si="41"/>
        <v>0.11</v>
      </c>
      <c r="AA183" s="134">
        <f t="shared" si="41"/>
        <v>0.11</v>
      </c>
      <c r="AB183" s="134">
        <f t="shared" si="41"/>
        <v>0.11</v>
      </c>
      <c r="AC183" s="134">
        <f t="shared" si="41"/>
        <v>0.11</v>
      </c>
      <c r="AD183" s="134">
        <f t="shared" si="41"/>
        <v>0.11</v>
      </c>
      <c r="AE183" s="134">
        <f t="shared" si="41"/>
        <v>0.11</v>
      </c>
      <c r="AF183" s="134">
        <f t="shared" si="41"/>
        <v>0.11</v>
      </c>
      <c r="AG183" s="136">
        <v>0.996</v>
      </c>
      <c r="AH183" s="55"/>
      <c r="AI183" s="56"/>
      <c r="AK183" s="57"/>
    </row>
    <row r="184" spans="1:37" x14ac:dyDescent="0.25">
      <c r="A184" s="121" t="s">
        <v>188</v>
      </c>
      <c r="B184" s="133">
        <v>0.1</v>
      </c>
      <c r="C184" s="134">
        <f t="shared" si="40"/>
        <v>0.1</v>
      </c>
      <c r="D184" s="134">
        <f t="shared" si="40"/>
        <v>0.1</v>
      </c>
      <c r="E184" s="134">
        <f t="shared" si="40"/>
        <v>0.1</v>
      </c>
      <c r="F184" s="134">
        <f t="shared" si="40"/>
        <v>0.1</v>
      </c>
      <c r="G184" s="134">
        <f t="shared" si="40"/>
        <v>0.1</v>
      </c>
      <c r="H184" s="134">
        <f t="shared" si="40"/>
        <v>0.1</v>
      </c>
      <c r="I184" s="134">
        <f t="shared" si="40"/>
        <v>0.1</v>
      </c>
      <c r="J184" s="134">
        <f t="shared" si="40"/>
        <v>0.1</v>
      </c>
      <c r="K184" s="134">
        <f t="shared" si="40"/>
        <v>0.1</v>
      </c>
      <c r="L184" s="134">
        <f t="shared" si="40"/>
        <v>0.1</v>
      </c>
      <c r="M184" s="134">
        <f t="shared" si="40"/>
        <v>0.1</v>
      </c>
      <c r="N184" s="134">
        <f t="shared" si="40"/>
        <v>0.1</v>
      </c>
      <c r="O184" s="134">
        <f t="shared" si="40"/>
        <v>0.1</v>
      </c>
      <c r="P184" s="134">
        <f t="shared" si="40"/>
        <v>0.1</v>
      </c>
      <c r="Q184" s="134">
        <f t="shared" si="40"/>
        <v>0.1</v>
      </c>
      <c r="R184" s="134">
        <f t="shared" si="41"/>
        <v>0.1</v>
      </c>
      <c r="S184" s="134">
        <f t="shared" si="41"/>
        <v>0.1</v>
      </c>
      <c r="T184" s="134">
        <f t="shared" si="41"/>
        <v>0.1</v>
      </c>
      <c r="U184" s="134">
        <f t="shared" si="41"/>
        <v>0.1</v>
      </c>
      <c r="V184" s="134">
        <f t="shared" si="41"/>
        <v>0.1</v>
      </c>
      <c r="W184" s="134">
        <f t="shared" si="41"/>
        <v>0.1</v>
      </c>
      <c r="X184" s="134">
        <f t="shared" si="41"/>
        <v>0.1</v>
      </c>
      <c r="Y184" s="134">
        <f t="shared" si="41"/>
        <v>0.1</v>
      </c>
      <c r="Z184" s="134">
        <f t="shared" si="41"/>
        <v>0.1</v>
      </c>
      <c r="AA184" s="134">
        <f t="shared" si="41"/>
        <v>0.1</v>
      </c>
      <c r="AB184" s="134">
        <f t="shared" si="41"/>
        <v>0.1</v>
      </c>
      <c r="AC184" s="134">
        <f t="shared" si="41"/>
        <v>0.1</v>
      </c>
      <c r="AD184" s="134">
        <f t="shared" si="41"/>
        <v>0.1</v>
      </c>
      <c r="AE184" s="134">
        <f t="shared" si="41"/>
        <v>0.1</v>
      </c>
      <c r="AF184" s="134">
        <f t="shared" si="41"/>
        <v>0.1</v>
      </c>
      <c r="AG184" s="136">
        <v>0.995</v>
      </c>
      <c r="AH184" s="55"/>
      <c r="AI184" s="56"/>
      <c r="AK184" s="57"/>
    </row>
    <row r="185" spans="1:37" x14ac:dyDescent="0.25">
      <c r="A185" s="121" t="s">
        <v>189</v>
      </c>
      <c r="B185" s="133">
        <v>0.09</v>
      </c>
      <c r="C185" s="134">
        <f t="shared" si="40"/>
        <v>0.09</v>
      </c>
      <c r="D185" s="134">
        <f t="shared" si="40"/>
        <v>0.09</v>
      </c>
      <c r="E185" s="134">
        <f t="shared" si="40"/>
        <v>0.09</v>
      </c>
      <c r="F185" s="134">
        <f t="shared" si="40"/>
        <v>0.09</v>
      </c>
      <c r="G185" s="134">
        <f t="shared" si="40"/>
        <v>0.09</v>
      </c>
      <c r="H185" s="134">
        <f t="shared" si="40"/>
        <v>0.09</v>
      </c>
      <c r="I185" s="134">
        <f t="shared" si="40"/>
        <v>0.09</v>
      </c>
      <c r="J185" s="134">
        <f t="shared" si="40"/>
        <v>0.09</v>
      </c>
      <c r="K185" s="134">
        <f t="shared" si="40"/>
        <v>0.09</v>
      </c>
      <c r="L185" s="134">
        <f t="shared" si="40"/>
        <v>0.09</v>
      </c>
      <c r="M185" s="134">
        <f t="shared" si="40"/>
        <v>0.09</v>
      </c>
      <c r="N185" s="134">
        <f t="shared" si="40"/>
        <v>0.09</v>
      </c>
      <c r="O185" s="134">
        <f t="shared" si="40"/>
        <v>0.09</v>
      </c>
      <c r="P185" s="134">
        <f t="shared" si="40"/>
        <v>0.09</v>
      </c>
      <c r="Q185" s="134">
        <f t="shared" si="40"/>
        <v>0.09</v>
      </c>
      <c r="R185" s="134">
        <f t="shared" si="41"/>
        <v>0.09</v>
      </c>
      <c r="S185" s="134">
        <f t="shared" si="41"/>
        <v>0.09</v>
      </c>
      <c r="T185" s="134">
        <f t="shared" si="41"/>
        <v>0.09</v>
      </c>
      <c r="U185" s="134">
        <f t="shared" si="41"/>
        <v>0.09</v>
      </c>
      <c r="V185" s="134">
        <f t="shared" si="41"/>
        <v>0.09</v>
      </c>
      <c r="W185" s="134">
        <f t="shared" si="41"/>
        <v>0.09</v>
      </c>
      <c r="X185" s="134">
        <f t="shared" si="41"/>
        <v>0.09</v>
      </c>
      <c r="Y185" s="134">
        <f t="shared" si="41"/>
        <v>0.09</v>
      </c>
      <c r="Z185" s="134">
        <f t="shared" si="41"/>
        <v>0.09</v>
      </c>
      <c r="AA185" s="134">
        <f t="shared" si="41"/>
        <v>0.09</v>
      </c>
      <c r="AB185" s="134">
        <f t="shared" si="41"/>
        <v>0.09</v>
      </c>
      <c r="AC185" s="134">
        <f t="shared" si="41"/>
        <v>0.09</v>
      </c>
      <c r="AD185" s="134">
        <f t="shared" si="41"/>
        <v>0.09</v>
      </c>
      <c r="AE185" s="134">
        <f t="shared" si="41"/>
        <v>0.09</v>
      </c>
      <c r="AF185" s="134">
        <f t="shared" si="41"/>
        <v>0.09</v>
      </c>
      <c r="AG185" s="136">
        <v>0.99299999999999999</v>
      </c>
      <c r="AH185" s="55"/>
      <c r="AI185" s="56"/>
      <c r="AK185" s="57"/>
    </row>
    <row r="186" spans="1:37" x14ac:dyDescent="0.25">
      <c r="A186" s="121" t="s">
        <v>190</v>
      </c>
      <c r="B186" s="54">
        <v>0.04</v>
      </c>
      <c r="C186" s="134">
        <f t="shared" si="40"/>
        <v>0.04</v>
      </c>
      <c r="D186" s="134">
        <f t="shared" si="40"/>
        <v>0.04</v>
      </c>
      <c r="E186" s="134">
        <f t="shared" si="40"/>
        <v>0.04</v>
      </c>
      <c r="F186" s="134">
        <f t="shared" si="40"/>
        <v>0.04</v>
      </c>
      <c r="G186" s="134">
        <f t="shared" si="40"/>
        <v>0.04</v>
      </c>
      <c r="H186" s="134">
        <f t="shared" si="40"/>
        <v>0.04</v>
      </c>
      <c r="I186" s="134">
        <f t="shared" si="40"/>
        <v>0.04</v>
      </c>
      <c r="J186" s="134">
        <f t="shared" si="40"/>
        <v>0.04</v>
      </c>
      <c r="K186" s="134">
        <f t="shared" si="40"/>
        <v>0.04</v>
      </c>
      <c r="L186" s="134">
        <f t="shared" si="40"/>
        <v>0.04</v>
      </c>
      <c r="M186" s="134">
        <f t="shared" si="40"/>
        <v>0.04</v>
      </c>
      <c r="N186" s="134">
        <f t="shared" si="40"/>
        <v>0.04</v>
      </c>
      <c r="O186" s="134">
        <f t="shared" si="40"/>
        <v>0.04</v>
      </c>
      <c r="P186" s="134">
        <f t="shared" si="40"/>
        <v>0.04</v>
      </c>
      <c r="Q186" s="134">
        <f t="shared" si="40"/>
        <v>0.04</v>
      </c>
      <c r="R186" s="134">
        <f t="shared" si="41"/>
        <v>0.04</v>
      </c>
      <c r="S186" s="134">
        <f t="shared" si="41"/>
        <v>0.04</v>
      </c>
      <c r="T186" s="134">
        <f t="shared" si="41"/>
        <v>0.04</v>
      </c>
      <c r="U186" s="134">
        <f t="shared" si="41"/>
        <v>0.04</v>
      </c>
      <c r="V186" s="134">
        <f t="shared" si="41"/>
        <v>0.04</v>
      </c>
      <c r="W186" s="134">
        <f t="shared" si="41"/>
        <v>0.04</v>
      </c>
      <c r="X186" s="134">
        <f t="shared" si="41"/>
        <v>0.04</v>
      </c>
      <c r="Y186" s="134">
        <f t="shared" si="41"/>
        <v>0.04</v>
      </c>
      <c r="Z186" s="134">
        <f t="shared" si="41"/>
        <v>0.04</v>
      </c>
      <c r="AA186" s="134">
        <f t="shared" si="41"/>
        <v>0.04</v>
      </c>
      <c r="AB186" s="134">
        <f t="shared" si="41"/>
        <v>0.04</v>
      </c>
      <c r="AC186" s="134">
        <f t="shared" si="41"/>
        <v>0.04</v>
      </c>
      <c r="AD186" s="134">
        <f t="shared" si="41"/>
        <v>0.04</v>
      </c>
      <c r="AE186" s="134">
        <f t="shared" si="41"/>
        <v>0.04</v>
      </c>
      <c r="AF186" s="134">
        <f t="shared" si="41"/>
        <v>0.04</v>
      </c>
      <c r="AG186" s="136">
        <v>0.99</v>
      </c>
      <c r="AH186" s="55"/>
      <c r="AI186" s="56"/>
      <c r="AK186" s="57"/>
    </row>
    <row r="187" spans="1:37" x14ac:dyDescent="0.25">
      <c r="A187" s="121" t="s">
        <v>191</v>
      </c>
      <c r="B187" s="54">
        <v>2.3E-2</v>
      </c>
      <c r="C187" s="134">
        <f>B187</f>
        <v>2.3E-2</v>
      </c>
      <c r="D187" s="134">
        <f t="shared" si="40"/>
        <v>2.3E-2</v>
      </c>
      <c r="E187" s="134">
        <f t="shared" si="40"/>
        <v>2.3E-2</v>
      </c>
      <c r="F187" s="134">
        <f t="shared" si="40"/>
        <v>2.3E-2</v>
      </c>
      <c r="G187" s="134">
        <f t="shared" si="40"/>
        <v>2.3E-2</v>
      </c>
      <c r="H187" s="134">
        <f t="shared" si="40"/>
        <v>2.3E-2</v>
      </c>
      <c r="I187" s="134">
        <f t="shared" si="40"/>
        <v>2.3E-2</v>
      </c>
      <c r="J187" s="134">
        <f t="shared" si="40"/>
        <v>2.3E-2</v>
      </c>
      <c r="K187" s="134">
        <f t="shared" si="40"/>
        <v>2.3E-2</v>
      </c>
      <c r="L187" s="134">
        <f t="shared" si="40"/>
        <v>2.3E-2</v>
      </c>
      <c r="M187" s="134">
        <f t="shared" si="40"/>
        <v>2.3E-2</v>
      </c>
      <c r="N187" s="134">
        <f t="shared" si="40"/>
        <v>2.3E-2</v>
      </c>
      <c r="O187" s="134">
        <f t="shared" si="40"/>
        <v>2.3E-2</v>
      </c>
      <c r="P187" s="134">
        <f t="shared" si="40"/>
        <v>2.3E-2</v>
      </c>
      <c r="Q187" s="134">
        <f t="shared" si="40"/>
        <v>2.3E-2</v>
      </c>
      <c r="R187" s="134">
        <f t="shared" si="41"/>
        <v>2.3E-2</v>
      </c>
      <c r="S187" s="134">
        <f t="shared" si="41"/>
        <v>2.3E-2</v>
      </c>
      <c r="T187" s="134">
        <f t="shared" si="41"/>
        <v>2.3E-2</v>
      </c>
      <c r="U187" s="134">
        <f t="shared" si="41"/>
        <v>2.3E-2</v>
      </c>
      <c r="V187" s="134">
        <f t="shared" si="41"/>
        <v>2.3E-2</v>
      </c>
      <c r="W187" s="134">
        <f t="shared" si="41"/>
        <v>2.3E-2</v>
      </c>
      <c r="X187" s="134">
        <f t="shared" si="41"/>
        <v>2.3E-2</v>
      </c>
      <c r="Y187" s="134">
        <f t="shared" si="41"/>
        <v>2.3E-2</v>
      </c>
      <c r="Z187" s="134">
        <f t="shared" si="41"/>
        <v>2.3E-2</v>
      </c>
      <c r="AA187" s="134">
        <f t="shared" si="41"/>
        <v>2.3E-2</v>
      </c>
      <c r="AB187" s="134">
        <f t="shared" si="41"/>
        <v>2.3E-2</v>
      </c>
      <c r="AC187" s="134">
        <f t="shared" si="41"/>
        <v>2.3E-2</v>
      </c>
      <c r="AD187" s="134">
        <f t="shared" si="41"/>
        <v>2.3E-2</v>
      </c>
      <c r="AE187" s="134">
        <f t="shared" si="41"/>
        <v>2.3E-2</v>
      </c>
      <c r="AF187" s="134">
        <f t="shared" si="41"/>
        <v>2.3E-2</v>
      </c>
      <c r="AG187" s="136">
        <v>0.97899999999999998</v>
      </c>
      <c r="AH187" s="55"/>
      <c r="AI187" s="56"/>
      <c r="AK187" s="57"/>
    </row>
    <row r="188" spans="1:37" ht="15.75" thickBot="1" x14ac:dyDescent="0.3">
      <c r="A188" s="137" t="s">
        <v>192</v>
      </c>
      <c r="B188" s="138">
        <f t="shared" ref="B188:AG188" si="42">SUM(B98:B187)</f>
        <v>194.70600000000002</v>
      </c>
      <c r="C188" s="138">
        <f t="shared" si="42"/>
        <v>194.70600000000002</v>
      </c>
      <c r="D188" s="138">
        <f t="shared" si="42"/>
        <v>194.70600000000002</v>
      </c>
      <c r="E188" s="138">
        <f t="shared" si="42"/>
        <v>194.70600000000002</v>
      </c>
      <c r="F188" s="138">
        <f t="shared" si="42"/>
        <v>194.70600000000002</v>
      </c>
      <c r="G188" s="138">
        <f t="shared" si="42"/>
        <v>194.70600000000002</v>
      </c>
      <c r="H188" s="138">
        <f t="shared" si="42"/>
        <v>194.70600000000002</v>
      </c>
      <c r="I188" s="138">
        <f t="shared" si="42"/>
        <v>192.10600000000005</v>
      </c>
      <c r="J188" s="138">
        <f t="shared" si="42"/>
        <v>192.10600000000005</v>
      </c>
      <c r="K188" s="138">
        <f t="shared" si="42"/>
        <v>192.10600000000005</v>
      </c>
      <c r="L188" s="138">
        <f t="shared" si="42"/>
        <v>192.10600000000005</v>
      </c>
      <c r="M188" s="138">
        <f t="shared" si="42"/>
        <v>192.10600000000005</v>
      </c>
      <c r="N188" s="138">
        <f t="shared" si="42"/>
        <v>192.10600000000005</v>
      </c>
      <c r="O188" s="138">
        <f t="shared" si="42"/>
        <v>192.10600000000005</v>
      </c>
      <c r="P188" s="138">
        <f t="shared" si="42"/>
        <v>192.10600000000005</v>
      </c>
      <c r="Q188" s="138">
        <f t="shared" si="42"/>
        <v>192.10600000000005</v>
      </c>
      <c r="R188" s="138">
        <f t="shared" si="42"/>
        <v>192.10600000000005</v>
      </c>
      <c r="S188" s="138">
        <f t="shared" si="42"/>
        <v>192.10600000000005</v>
      </c>
      <c r="T188" s="138">
        <f t="shared" si="42"/>
        <v>192.10600000000005</v>
      </c>
      <c r="U188" s="138">
        <f t="shared" si="42"/>
        <v>192.10600000000005</v>
      </c>
      <c r="V188" s="138">
        <f t="shared" si="42"/>
        <v>192.10600000000005</v>
      </c>
      <c r="W188" s="138">
        <f t="shared" si="42"/>
        <v>192.10600000000005</v>
      </c>
      <c r="X188" s="138">
        <f t="shared" si="42"/>
        <v>192.10600000000005</v>
      </c>
      <c r="Y188" s="138">
        <f t="shared" si="42"/>
        <v>192.10600000000005</v>
      </c>
      <c r="Z188" s="138">
        <f t="shared" si="42"/>
        <v>192.10600000000005</v>
      </c>
      <c r="AA188" s="138">
        <f t="shared" si="42"/>
        <v>192.10600000000005</v>
      </c>
      <c r="AB188" s="138">
        <f t="shared" si="42"/>
        <v>192.10600000000005</v>
      </c>
      <c r="AC188" s="138">
        <f t="shared" si="42"/>
        <v>192.10600000000005</v>
      </c>
      <c r="AD188" s="138">
        <f t="shared" si="42"/>
        <v>192.10600000000005</v>
      </c>
      <c r="AE188" s="138">
        <f t="shared" si="42"/>
        <v>192.10600000000005</v>
      </c>
      <c r="AF188" s="138">
        <f t="shared" si="42"/>
        <v>192.10600000000005</v>
      </c>
      <c r="AG188" s="139">
        <f t="shared" si="42"/>
        <v>412.72299999999984</v>
      </c>
      <c r="AH188" s="55"/>
      <c r="AI188" s="56"/>
      <c r="AK188" s="57"/>
    </row>
    <row r="189" spans="1:37" ht="15.75" thickBot="1" x14ac:dyDescent="0.3">
      <c r="A189" s="28" t="s">
        <v>56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55"/>
      <c r="AI189" s="56"/>
      <c r="AK189" s="57"/>
    </row>
    <row r="190" spans="1:37" x14ac:dyDescent="0.25">
      <c r="A190" s="113" t="s">
        <v>193</v>
      </c>
      <c r="B190" s="140">
        <v>0.3</v>
      </c>
      <c r="C190" s="140">
        <f t="shared" ref="C190:R195" si="43">B190</f>
        <v>0.3</v>
      </c>
      <c r="D190" s="140">
        <f t="shared" si="43"/>
        <v>0.3</v>
      </c>
      <c r="E190" s="140">
        <f t="shared" si="43"/>
        <v>0.3</v>
      </c>
      <c r="F190" s="140">
        <f t="shared" si="43"/>
        <v>0.3</v>
      </c>
      <c r="G190" s="140">
        <f t="shared" si="43"/>
        <v>0.3</v>
      </c>
      <c r="H190" s="140">
        <f t="shared" si="43"/>
        <v>0.3</v>
      </c>
      <c r="I190" s="140">
        <f t="shared" si="43"/>
        <v>0.3</v>
      </c>
      <c r="J190" s="140">
        <f t="shared" si="43"/>
        <v>0.3</v>
      </c>
      <c r="K190" s="140">
        <f t="shared" si="43"/>
        <v>0.3</v>
      </c>
      <c r="L190" s="140">
        <f t="shared" si="43"/>
        <v>0.3</v>
      </c>
      <c r="M190" s="140">
        <f t="shared" si="43"/>
        <v>0.3</v>
      </c>
      <c r="N190" s="140">
        <f t="shared" si="43"/>
        <v>0.3</v>
      </c>
      <c r="O190" s="140">
        <f t="shared" si="43"/>
        <v>0.3</v>
      </c>
      <c r="P190" s="140">
        <f t="shared" si="43"/>
        <v>0.3</v>
      </c>
      <c r="Q190" s="140">
        <f t="shared" si="43"/>
        <v>0.3</v>
      </c>
      <c r="R190" s="140">
        <f t="shared" si="43"/>
        <v>0.3</v>
      </c>
      <c r="S190" s="140">
        <f t="shared" ref="S190:AF195" si="44">R190</f>
        <v>0.3</v>
      </c>
      <c r="T190" s="140">
        <f t="shared" si="44"/>
        <v>0.3</v>
      </c>
      <c r="U190" s="140">
        <f t="shared" si="44"/>
        <v>0.3</v>
      </c>
      <c r="V190" s="140">
        <f t="shared" si="44"/>
        <v>0.3</v>
      </c>
      <c r="W190" s="140">
        <f t="shared" si="44"/>
        <v>0.3</v>
      </c>
      <c r="X190" s="140">
        <f t="shared" si="44"/>
        <v>0.3</v>
      </c>
      <c r="Y190" s="140">
        <f t="shared" si="44"/>
        <v>0.3</v>
      </c>
      <c r="Z190" s="140">
        <f t="shared" si="44"/>
        <v>0.3</v>
      </c>
      <c r="AA190" s="140">
        <f t="shared" si="44"/>
        <v>0.3</v>
      </c>
      <c r="AB190" s="140">
        <f t="shared" si="44"/>
        <v>0.3</v>
      </c>
      <c r="AC190" s="140">
        <f t="shared" si="44"/>
        <v>0.3</v>
      </c>
      <c r="AD190" s="140">
        <f t="shared" si="44"/>
        <v>0.3</v>
      </c>
      <c r="AE190" s="140">
        <f t="shared" si="44"/>
        <v>0.3</v>
      </c>
      <c r="AF190" s="140">
        <f t="shared" si="44"/>
        <v>0.3</v>
      </c>
      <c r="AG190" s="141">
        <v>2.4</v>
      </c>
      <c r="AH190" s="55"/>
      <c r="AI190" s="56"/>
      <c r="AK190" s="57"/>
    </row>
    <row r="191" spans="1:37" x14ac:dyDescent="0.25">
      <c r="A191" s="119" t="s">
        <v>194</v>
      </c>
      <c r="B191" s="134">
        <v>0.4</v>
      </c>
      <c r="C191" s="134">
        <f t="shared" si="43"/>
        <v>0.4</v>
      </c>
      <c r="D191" s="134">
        <f t="shared" si="43"/>
        <v>0.4</v>
      </c>
      <c r="E191" s="134">
        <f t="shared" si="43"/>
        <v>0.4</v>
      </c>
      <c r="F191" s="134">
        <f t="shared" si="43"/>
        <v>0.4</v>
      </c>
      <c r="G191" s="134">
        <f t="shared" si="43"/>
        <v>0.4</v>
      </c>
      <c r="H191" s="134">
        <f t="shared" si="43"/>
        <v>0.4</v>
      </c>
      <c r="I191" s="134">
        <f t="shared" si="43"/>
        <v>0.4</v>
      </c>
      <c r="J191" s="134">
        <f t="shared" si="43"/>
        <v>0.4</v>
      </c>
      <c r="K191" s="134">
        <f t="shared" si="43"/>
        <v>0.4</v>
      </c>
      <c r="L191" s="134">
        <f t="shared" si="43"/>
        <v>0.4</v>
      </c>
      <c r="M191" s="134">
        <f t="shared" si="43"/>
        <v>0.4</v>
      </c>
      <c r="N191" s="134">
        <f t="shared" si="43"/>
        <v>0.4</v>
      </c>
      <c r="O191" s="134">
        <f t="shared" si="43"/>
        <v>0.4</v>
      </c>
      <c r="P191" s="134">
        <f t="shared" si="43"/>
        <v>0.4</v>
      </c>
      <c r="Q191" s="134">
        <f t="shared" si="43"/>
        <v>0.4</v>
      </c>
      <c r="R191" s="134">
        <f t="shared" si="43"/>
        <v>0.4</v>
      </c>
      <c r="S191" s="134">
        <f t="shared" si="44"/>
        <v>0.4</v>
      </c>
      <c r="T191" s="134">
        <f t="shared" si="44"/>
        <v>0.4</v>
      </c>
      <c r="U191" s="134">
        <f t="shared" si="44"/>
        <v>0.4</v>
      </c>
      <c r="V191" s="134">
        <f>U191</f>
        <v>0.4</v>
      </c>
      <c r="W191" s="134">
        <f>V191</f>
        <v>0.4</v>
      </c>
      <c r="X191" s="134">
        <f t="shared" si="44"/>
        <v>0.4</v>
      </c>
      <c r="Y191" s="134">
        <f t="shared" si="44"/>
        <v>0.4</v>
      </c>
      <c r="Z191" s="134">
        <f t="shared" si="44"/>
        <v>0.4</v>
      </c>
      <c r="AA191" s="134">
        <f t="shared" si="44"/>
        <v>0.4</v>
      </c>
      <c r="AB191" s="134">
        <f t="shared" si="44"/>
        <v>0.4</v>
      </c>
      <c r="AC191" s="134">
        <f t="shared" si="44"/>
        <v>0.4</v>
      </c>
      <c r="AD191" s="134">
        <f t="shared" si="44"/>
        <v>0.4</v>
      </c>
      <c r="AE191" s="134">
        <f t="shared" si="44"/>
        <v>0.4</v>
      </c>
      <c r="AF191" s="134">
        <f t="shared" si="44"/>
        <v>0.4</v>
      </c>
      <c r="AG191" s="142">
        <v>2</v>
      </c>
      <c r="AH191" s="55"/>
      <c r="AI191" s="56"/>
      <c r="AK191" s="57"/>
    </row>
    <row r="192" spans="1:37" x14ac:dyDescent="0.25">
      <c r="A192" s="119" t="s">
        <v>195</v>
      </c>
      <c r="B192" s="134">
        <v>1.5</v>
      </c>
      <c r="C192" s="134">
        <f t="shared" si="43"/>
        <v>1.5</v>
      </c>
      <c r="D192" s="134">
        <f t="shared" si="43"/>
        <v>1.5</v>
      </c>
      <c r="E192" s="134">
        <f t="shared" si="43"/>
        <v>1.5</v>
      </c>
      <c r="F192" s="134">
        <f t="shared" si="43"/>
        <v>1.5</v>
      </c>
      <c r="G192" s="134">
        <f t="shared" si="43"/>
        <v>1.5</v>
      </c>
      <c r="H192" s="134">
        <f t="shared" si="43"/>
        <v>1.5</v>
      </c>
      <c r="I192" s="134">
        <f t="shared" si="43"/>
        <v>1.5</v>
      </c>
      <c r="J192" s="134">
        <f t="shared" si="43"/>
        <v>1.5</v>
      </c>
      <c r="K192" s="134">
        <f t="shared" si="43"/>
        <v>1.5</v>
      </c>
      <c r="L192" s="134">
        <f t="shared" si="43"/>
        <v>1.5</v>
      </c>
      <c r="M192" s="134">
        <f t="shared" si="43"/>
        <v>1.5</v>
      </c>
      <c r="N192" s="134">
        <f t="shared" si="43"/>
        <v>1.5</v>
      </c>
      <c r="O192" s="134">
        <f t="shared" si="43"/>
        <v>1.5</v>
      </c>
      <c r="P192" s="134">
        <f t="shared" si="43"/>
        <v>1.5</v>
      </c>
      <c r="Q192" s="134">
        <f t="shared" si="43"/>
        <v>1.5</v>
      </c>
      <c r="R192" s="134">
        <f t="shared" si="43"/>
        <v>1.5</v>
      </c>
      <c r="S192" s="134">
        <f t="shared" si="44"/>
        <v>1.5</v>
      </c>
      <c r="T192" s="134">
        <f t="shared" si="44"/>
        <v>1.5</v>
      </c>
      <c r="U192" s="134">
        <f t="shared" si="44"/>
        <v>1.5</v>
      </c>
      <c r="V192" s="134">
        <f t="shared" si="44"/>
        <v>1.5</v>
      </c>
      <c r="W192" s="134">
        <f t="shared" si="44"/>
        <v>1.5</v>
      </c>
      <c r="X192" s="134">
        <f t="shared" si="44"/>
        <v>1.5</v>
      </c>
      <c r="Y192" s="134">
        <f t="shared" si="44"/>
        <v>1.5</v>
      </c>
      <c r="Z192" s="134">
        <f t="shared" si="44"/>
        <v>1.5</v>
      </c>
      <c r="AA192" s="134">
        <f t="shared" si="44"/>
        <v>1.5</v>
      </c>
      <c r="AB192" s="134">
        <f t="shared" si="44"/>
        <v>1.5</v>
      </c>
      <c r="AC192" s="134">
        <f t="shared" si="44"/>
        <v>1.5</v>
      </c>
      <c r="AD192" s="134">
        <f t="shared" si="44"/>
        <v>1.5</v>
      </c>
      <c r="AE192" s="134">
        <f t="shared" si="44"/>
        <v>1.5</v>
      </c>
      <c r="AF192" s="134">
        <f t="shared" si="44"/>
        <v>1.5</v>
      </c>
      <c r="AG192" s="142">
        <v>1.5</v>
      </c>
      <c r="AH192" s="55"/>
      <c r="AI192" s="56"/>
      <c r="AK192" s="57"/>
    </row>
    <row r="193" spans="1:37" x14ac:dyDescent="0.25">
      <c r="A193" s="119" t="s">
        <v>196</v>
      </c>
      <c r="B193" s="134">
        <v>0.3</v>
      </c>
      <c r="C193" s="134">
        <f t="shared" si="43"/>
        <v>0.3</v>
      </c>
      <c r="D193" s="134">
        <f t="shared" si="43"/>
        <v>0.3</v>
      </c>
      <c r="E193" s="134">
        <f t="shared" si="43"/>
        <v>0.3</v>
      </c>
      <c r="F193" s="134">
        <f t="shared" si="43"/>
        <v>0.3</v>
      </c>
      <c r="G193" s="134">
        <f t="shared" si="43"/>
        <v>0.3</v>
      </c>
      <c r="H193" s="134">
        <f t="shared" si="43"/>
        <v>0.3</v>
      </c>
      <c r="I193" s="134">
        <f t="shared" si="43"/>
        <v>0.3</v>
      </c>
      <c r="J193" s="134">
        <f t="shared" si="43"/>
        <v>0.3</v>
      </c>
      <c r="K193" s="134">
        <f t="shared" si="43"/>
        <v>0.3</v>
      </c>
      <c r="L193" s="134">
        <f t="shared" si="43"/>
        <v>0.3</v>
      </c>
      <c r="M193" s="134">
        <f t="shared" si="43"/>
        <v>0.3</v>
      </c>
      <c r="N193" s="134">
        <f t="shared" si="43"/>
        <v>0.3</v>
      </c>
      <c r="O193" s="134">
        <f t="shared" si="43"/>
        <v>0.3</v>
      </c>
      <c r="P193" s="134">
        <f t="shared" si="43"/>
        <v>0.3</v>
      </c>
      <c r="Q193" s="134">
        <f t="shared" si="43"/>
        <v>0.3</v>
      </c>
      <c r="R193" s="134">
        <f t="shared" si="43"/>
        <v>0.3</v>
      </c>
      <c r="S193" s="134">
        <f t="shared" si="44"/>
        <v>0.3</v>
      </c>
      <c r="T193" s="134">
        <f t="shared" si="44"/>
        <v>0.3</v>
      </c>
      <c r="U193" s="134">
        <f t="shared" si="44"/>
        <v>0.3</v>
      </c>
      <c r="V193" s="134">
        <f t="shared" si="44"/>
        <v>0.3</v>
      </c>
      <c r="W193" s="134">
        <f t="shared" si="44"/>
        <v>0.3</v>
      </c>
      <c r="X193" s="134">
        <f t="shared" si="44"/>
        <v>0.3</v>
      </c>
      <c r="Y193" s="134">
        <f t="shared" si="44"/>
        <v>0.3</v>
      </c>
      <c r="Z193" s="134">
        <f t="shared" si="44"/>
        <v>0.3</v>
      </c>
      <c r="AA193" s="134">
        <f t="shared" si="44"/>
        <v>0.3</v>
      </c>
      <c r="AB193" s="134">
        <f t="shared" si="44"/>
        <v>0.3</v>
      </c>
      <c r="AC193" s="134">
        <f t="shared" si="44"/>
        <v>0.3</v>
      </c>
      <c r="AD193" s="134">
        <f t="shared" si="44"/>
        <v>0.3</v>
      </c>
      <c r="AE193" s="134">
        <f t="shared" si="44"/>
        <v>0.3</v>
      </c>
      <c r="AF193" s="134">
        <f t="shared" si="44"/>
        <v>0.3</v>
      </c>
      <c r="AG193" s="142">
        <v>1</v>
      </c>
      <c r="AH193" s="55"/>
      <c r="AI193" s="56"/>
      <c r="AK193" s="57"/>
    </row>
    <row r="194" spans="1:37" x14ac:dyDescent="0.25">
      <c r="A194" s="119" t="s">
        <v>197</v>
      </c>
      <c r="B194" s="134">
        <v>0.4</v>
      </c>
      <c r="C194" s="134">
        <f t="shared" si="43"/>
        <v>0.4</v>
      </c>
      <c r="D194" s="134">
        <f t="shared" si="43"/>
        <v>0.4</v>
      </c>
      <c r="E194" s="134">
        <f t="shared" si="43"/>
        <v>0.4</v>
      </c>
      <c r="F194" s="134">
        <f t="shared" si="43"/>
        <v>0.4</v>
      </c>
      <c r="G194" s="134">
        <f t="shared" si="43"/>
        <v>0.4</v>
      </c>
      <c r="H194" s="134">
        <f t="shared" si="43"/>
        <v>0.4</v>
      </c>
      <c r="I194" s="134">
        <f t="shared" si="43"/>
        <v>0.4</v>
      </c>
      <c r="J194" s="134">
        <f t="shared" si="43"/>
        <v>0.4</v>
      </c>
      <c r="K194" s="134">
        <f t="shared" si="43"/>
        <v>0.4</v>
      </c>
      <c r="L194" s="134">
        <f t="shared" si="43"/>
        <v>0.4</v>
      </c>
      <c r="M194" s="134">
        <f t="shared" si="43"/>
        <v>0.4</v>
      </c>
      <c r="N194" s="134">
        <f t="shared" si="43"/>
        <v>0.4</v>
      </c>
      <c r="O194" s="134">
        <f t="shared" si="43"/>
        <v>0.4</v>
      </c>
      <c r="P194" s="134">
        <f t="shared" si="43"/>
        <v>0.4</v>
      </c>
      <c r="Q194" s="134">
        <f t="shared" si="43"/>
        <v>0.4</v>
      </c>
      <c r="R194" s="134">
        <f t="shared" si="43"/>
        <v>0.4</v>
      </c>
      <c r="S194" s="134">
        <f t="shared" si="44"/>
        <v>0.4</v>
      </c>
      <c r="T194" s="134">
        <f t="shared" si="44"/>
        <v>0.4</v>
      </c>
      <c r="U194" s="134">
        <f t="shared" si="44"/>
        <v>0.4</v>
      </c>
      <c r="V194" s="134">
        <f t="shared" si="44"/>
        <v>0.4</v>
      </c>
      <c r="W194" s="134">
        <f t="shared" si="44"/>
        <v>0.4</v>
      </c>
      <c r="X194" s="134">
        <f t="shared" si="44"/>
        <v>0.4</v>
      </c>
      <c r="Y194" s="134">
        <f t="shared" si="44"/>
        <v>0.4</v>
      </c>
      <c r="Z194" s="134">
        <f t="shared" si="44"/>
        <v>0.4</v>
      </c>
      <c r="AA194" s="134">
        <f t="shared" si="44"/>
        <v>0.4</v>
      </c>
      <c r="AB194" s="134">
        <f t="shared" si="44"/>
        <v>0.4</v>
      </c>
      <c r="AC194" s="134">
        <f t="shared" si="44"/>
        <v>0.4</v>
      </c>
      <c r="AD194" s="134">
        <f t="shared" si="44"/>
        <v>0.4</v>
      </c>
      <c r="AE194" s="134">
        <f t="shared" si="44"/>
        <v>0.4</v>
      </c>
      <c r="AF194" s="134">
        <f t="shared" si="44"/>
        <v>0.4</v>
      </c>
      <c r="AG194" s="142">
        <v>1</v>
      </c>
      <c r="AH194" s="55"/>
      <c r="AI194" s="56"/>
      <c r="AK194" s="57"/>
    </row>
    <row r="195" spans="1:37" ht="15.75" thickBot="1" x14ac:dyDescent="0.3">
      <c r="A195" s="121" t="s">
        <v>198</v>
      </c>
      <c r="B195" s="143">
        <v>0.64</v>
      </c>
      <c r="C195" s="143">
        <f t="shared" si="43"/>
        <v>0.64</v>
      </c>
      <c r="D195" s="143">
        <f t="shared" si="43"/>
        <v>0.64</v>
      </c>
      <c r="E195" s="143">
        <f t="shared" si="43"/>
        <v>0.64</v>
      </c>
      <c r="F195" s="143">
        <f t="shared" si="43"/>
        <v>0.64</v>
      </c>
      <c r="G195" s="143">
        <f t="shared" si="43"/>
        <v>0.64</v>
      </c>
      <c r="H195" s="143">
        <f t="shared" si="43"/>
        <v>0.64</v>
      </c>
      <c r="I195" s="143">
        <f t="shared" si="43"/>
        <v>0.64</v>
      </c>
      <c r="J195" s="143">
        <f t="shared" si="43"/>
        <v>0.64</v>
      </c>
      <c r="K195" s="143">
        <f t="shared" si="43"/>
        <v>0.64</v>
      </c>
      <c r="L195" s="143">
        <f t="shared" si="43"/>
        <v>0.64</v>
      </c>
      <c r="M195" s="143">
        <f t="shared" si="43"/>
        <v>0.64</v>
      </c>
      <c r="N195" s="143">
        <f t="shared" si="43"/>
        <v>0.64</v>
      </c>
      <c r="O195" s="143">
        <f t="shared" si="43"/>
        <v>0.64</v>
      </c>
      <c r="P195" s="143">
        <f t="shared" si="43"/>
        <v>0.64</v>
      </c>
      <c r="Q195" s="143">
        <f t="shared" si="43"/>
        <v>0.64</v>
      </c>
      <c r="R195" s="143">
        <f t="shared" si="43"/>
        <v>0.64</v>
      </c>
      <c r="S195" s="143">
        <f t="shared" si="44"/>
        <v>0.64</v>
      </c>
      <c r="T195" s="143">
        <f t="shared" si="44"/>
        <v>0.64</v>
      </c>
      <c r="U195" s="143">
        <f t="shared" si="44"/>
        <v>0.64</v>
      </c>
      <c r="V195" s="143">
        <f t="shared" si="44"/>
        <v>0.64</v>
      </c>
      <c r="W195" s="143">
        <f t="shared" si="44"/>
        <v>0.64</v>
      </c>
      <c r="X195" s="143">
        <f t="shared" si="44"/>
        <v>0.64</v>
      </c>
      <c r="Y195" s="143">
        <f t="shared" si="44"/>
        <v>0.64</v>
      </c>
      <c r="Z195" s="143">
        <f t="shared" si="44"/>
        <v>0.64</v>
      </c>
      <c r="AA195" s="143">
        <f t="shared" si="44"/>
        <v>0.64</v>
      </c>
      <c r="AB195" s="143">
        <f t="shared" si="44"/>
        <v>0.64</v>
      </c>
      <c r="AC195" s="143">
        <f t="shared" si="44"/>
        <v>0.64</v>
      </c>
      <c r="AD195" s="143">
        <f t="shared" si="44"/>
        <v>0.64</v>
      </c>
      <c r="AE195" s="143">
        <f t="shared" si="44"/>
        <v>0.64</v>
      </c>
      <c r="AF195" s="143">
        <f t="shared" si="44"/>
        <v>0.64</v>
      </c>
      <c r="AG195" s="144">
        <v>0.66</v>
      </c>
      <c r="AH195" s="55"/>
      <c r="AI195" s="56"/>
    </row>
    <row r="196" spans="1:37" ht="15.75" thickBot="1" x14ac:dyDescent="0.3">
      <c r="A196" s="145" t="s">
        <v>56</v>
      </c>
      <c r="B196" s="146">
        <f>SUM(B190:B195)</f>
        <v>3.54</v>
      </c>
      <c r="C196" s="146">
        <f t="shared" ref="C196:K196" si="45">SUM(C190:C195)</f>
        <v>3.54</v>
      </c>
      <c r="D196" s="146">
        <f t="shared" si="45"/>
        <v>3.54</v>
      </c>
      <c r="E196" s="146">
        <f t="shared" si="45"/>
        <v>3.54</v>
      </c>
      <c r="F196" s="146">
        <f t="shared" si="45"/>
        <v>3.54</v>
      </c>
      <c r="G196" s="146">
        <f t="shared" si="45"/>
        <v>3.54</v>
      </c>
      <c r="H196" s="146">
        <f t="shared" si="45"/>
        <v>3.54</v>
      </c>
      <c r="I196" s="146">
        <f t="shared" si="45"/>
        <v>3.54</v>
      </c>
      <c r="J196" s="146">
        <f t="shared" si="45"/>
        <v>3.54</v>
      </c>
      <c r="K196" s="146">
        <f t="shared" si="45"/>
        <v>3.54</v>
      </c>
      <c r="L196" s="146">
        <f>SUM(L190:L195)</f>
        <v>3.54</v>
      </c>
      <c r="M196" s="146">
        <f t="shared" ref="M196:R196" si="46">SUM(M190:M195)</f>
        <v>3.54</v>
      </c>
      <c r="N196" s="146">
        <f t="shared" si="46"/>
        <v>3.54</v>
      </c>
      <c r="O196" s="146">
        <f t="shared" si="46"/>
        <v>3.54</v>
      </c>
      <c r="P196" s="146">
        <f t="shared" si="46"/>
        <v>3.54</v>
      </c>
      <c r="Q196" s="146">
        <f t="shared" si="46"/>
        <v>3.54</v>
      </c>
      <c r="R196" s="146">
        <f t="shared" si="46"/>
        <v>3.54</v>
      </c>
      <c r="S196" s="146">
        <f>SUM(S190:S195)</f>
        <v>3.54</v>
      </c>
      <c r="T196" s="146">
        <f t="shared" ref="T196:AG196" si="47">SUM(T190:T195)</f>
        <v>3.54</v>
      </c>
      <c r="U196" s="146">
        <f t="shared" si="47"/>
        <v>3.54</v>
      </c>
      <c r="V196" s="146">
        <f t="shared" si="47"/>
        <v>3.54</v>
      </c>
      <c r="W196" s="146">
        <f t="shared" si="47"/>
        <v>3.54</v>
      </c>
      <c r="X196" s="146">
        <f t="shared" si="47"/>
        <v>3.54</v>
      </c>
      <c r="Y196" s="146">
        <f t="shared" si="47"/>
        <v>3.54</v>
      </c>
      <c r="Z196" s="146">
        <f t="shared" si="47"/>
        <v>3.54</v>
      </c>
      <c r="AA196" s="146">
        <f t="shared" si="47"/>
        <v>3.54</v>
      </c>
      <c r="AB196" s="146">
        <f t="shared" si="47"/>
        <v>3.54</v>
      </c>
      <c r="AC196" s="146">
        <f t="shared" si="47"/>
        <v>3.54</v>
      </c>
      <c r="AD196" s="146">
        <f t="shared" si="47"/>
        <v>3.54</v>
      </c>
      <c r="AE196" s="146">
        <f t="shared" si="47"/>
        <v>3.54</v>
      </c>
      <c r="AF196" s="146">
        <f t="shared" si="47"/>
        <v>3.54</v>
      </c>
      <c r="AG196" s="147">
        <f t="shared" si="47"/>
        <v>8.56</v>
      </c>
      <c r="AH196" s="55"/>
      <c r="AI196" s="56"/>
    </row>
    <row r="197" spans="1:37" ht="15.75" thickBot="1" x14ac:dyDescent="0.3"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109"/>
      <c r="AH197" s="47"/>
    </row>
    <row r="198" spans="1:37" x14ac:dyDescent="0.25">
      <c r="A198" s="92" t="s">
        <v>199</v>
      </c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9"/>
      <c r="AG198" s="47"/>
      <c r="AH198" s="55"/>
      <c r="AI198" s="56"/>
    </row>
    <row r="199" spans="1:37" x14ac:dyDescent="0.25">
      <c r="A199" s="150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153"/>
      <c r="AH199" s="55"/>
      <c r="AI199" s="56"/>
    </row>
    <row r="200" spans="1:37" x14ac:dyDescent="0.25">
      <c r="A200" s="96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3"/>
      <c r="AH200" s="55"/>
      <c r="AI200" s="56"/>
    </row>
    <row r="201" spans="1:37" x14ac:dyDescent="0.25">
      <c r="A201" s="96" t="s">
        <v>202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ht="15.75" thickBot="1" x14ac:dyDescent="0.3">
      <c r="A202" s="156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3"/>
      <c r="AH202" s="55"/>
      <c r="AI202" s="56"/>
    </row>
    <row r="203" spans="1:37" x14ac:dyDescent="0.25"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</row>
    <row r="204" spans="1:37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159" t="s">
        <v>204</v>
      </c>
      <c r="B205" s="160">
        <f>MAX(F72:M72)</f>
        <v>863.7399999999999</v>
      </c>
      <c r="C205" s="161">
        <f>INDEX(F9:M9,1,MATCH(MAX(F72:M72),F72:M72,0))</f>
        <v>0.33333333333333331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162" t="str">
        <f ca="1">MID(CELL("filename",C7),FIND("]",CELL("filename",C7))+1,600)</f>
        <v>1</v>
      </c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97" t="s">
        <v>205</v>
      </c>
      <c r="B207" s="197"/>
      <c r="C207" s="47"/>
      <c r="D207" s="162" t="str">
        <f ca="1">"Pie Chart of Daily Peak Demand(Inclusive of Export) of Nepal ("&amp;A4&amp;" "&amp;B4&amp;")"</f>
        <v>Pie Chart of Daily Peak Demand(Inclusive of Export) of Nepal (Nepali Date: 2078/06/1)</v>
      </c>
      <c r="E207" s="47"/>
      <c r="F207" s="47"/>
      <c r="G207" s="162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"Daily Load Curve(Excluding of Export) of Nepal ("&amp;A4&amp;" "&amp;B4&amp;")"</f>
        <v>Daily Load Curve(Excluding of Export) of Nepal (Nepali Date: 2078/06/1)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ht="12.75" customHeight="1" thickBot="1" x14ac:dyDescent="0.3">
      <c r="A208" s="163" t="s">
        <v>7</v>
      </c>
      <c r="B208" s="164"/>
      <c r="C208" s="47"/>
      <c r="D208" s="16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5.75" thickTop="1" x14ac:dyDescent="0.25">
      <c r="A209" s="163" t="s">
        <v>206</v>
      </c>
      <c r="B209" s="164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6" t="s">
        <v>207</v>
      </c>
      <c r="T209" s="167">
        <v>4.1666666666666664E-2</v>
      </c>
      <c r="U209" s="168">
        <v>8.3333333333333301E-2</v>
      </c>
      <c r="V209" s="168">
        <v>0.125</v>
      </c>
      <c r="W209" s="168">
        <v>0.16666666666666699</v>
      </c>
      <c r="X209" s="168">
        <v>0.20833333333333301</v>
      </c>
      <c r="Y209" s="168">
        <v>0.22916666666666666</v>
      </c>
      <c r="Z209" s="168">
        <v>0.25</v>
      </c>
      <c r="AA209" s="168">
        <v>0.27083333333333331</v>
      </c>
      <c r="AB209" s="168">
        <v>0.29166666666666669</v>
      </c>
      <c r="AC209" s="168">
        <v>0.3125</v>
      </c>
      <c r="AD209" s="169">
        <v>0.33333333333333331</v>
      </c>
      <c r="AE209" s="169">
        <v>0.375</v>
      </c>
      <c r="AF209" s="169">
        <v>0.41666666666666702</v>
      </c>
      <c r="AG209" s="169">
        <v>0.45833333333333298</v>
      </c>
      <c r="AH209" s="169">
        <v>0.5</v>
      </c>
      <c r="AI209" s="169">
        <v>0.54166666666666696</v>
      </c>
      <c r="AJ209" s="169">
        <v>0.58333333333333304</v>
      </c>
      <c r="AK209" s="169">
        <v>0.625</v>
      </c>
      <c r="AL209" s="169">
        <v>0.66666666666666696</v>
      </c>
      <c r="AM209" s="169">
        <v>0.70833333333333304</v>
      </c>
      <c r="AN209" s="169">
        <v>0.72916666666666663</v>
      </c>
      <c r="AO209" s="169">
        <v>0.75</v>
      </c>
      <c r="AP209" s="169">
        <v>0.77083333333333337</v>
      </c>
      <c r="AQ209" s="169">
        <v>0.79166666666666663</v>
      </c>
      <c r="AR209" s="169">
        <v>0.8125</v>
      </c>
      <c r="AS209" s="168">
        <v>0.83333333333333337</v>
      </c>
      <c r="AT209" s="168">
        <v>0.85416666666666663</v>
      </c>
      <c r="AU209" s="168">
        <v>0.875</v>
      </c>
      <c r="AV209" s="168">
        <v>0.91666666666666696</v>
      </c>
      <c r="AW209" s="168">
        <v>0.95833333333333304</v>
      </c>
      <c r="AX209" s="168">
        <v>1</v>
      </c>
    </row>
    <row r="210" spans="1:50" x14ac:dyDescent="0.25">
      <c r="A210" s="163" t="s">
        <v>208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 t="s">
        <v>209</v>
      </c>
      <c r="T210" s="170">
        <f t="shared" ref="T210:AX210" si="48">B72</f>
        <v>916.04</v>
      </c>
      <c r="U210" s="170">
        <f t="shared" si="48"/>
        <v>891.04</v>
      </c>
      <c r="V210" s="170">
        <f t="shared" si="48"/>
        <v>865.33999999999992</v>
      </c>
      <c r="W210" s="170">
        <f t="shared" si="48"/>
        <v>816.04</v>
      </c>
      <c r="X210" s="170">
        <f t="shared" si="48"/>
        <v>807.04</v>
      </c>
      <c r="Y210" s="170">
        <f t="shared" si="48"/>
        <v>806.04</v>
      </c>
      <c r="Z210" s="170">
        <f t="shared" si="48"/>
        <v>803.04</v>
      </c>
      <c r="AA210" s="170">
        <f t="shared" si="48"/>
        <v>817.2399999999999</v>
      </c>
      <c r="AB210" s="170">
        <f t="shared" si="48"/>
        <v>847.83999999999992</v>
      </c>
      <c r="AC210" s="170">
        <f t="shared" si="48"/>
        <v>846.13999999999987</v>
      </c>
      <c r="AD210" s="170">
        <f t="shared" si="48"/>
        <v>863.7399999999999</v>
      </c>
      <c r="AE210" s="170">
        <f t="shared" si="48"/>
        <v>835.43999999999994</v>
      </c>
      <c r="AF210" s="170">
        <f t="shared" si="48"/>
        <v>823.04</v>
      </c>
      <c r="AG210" s="170">
        <f t="shared" si="48"/>
        <v>833.83999999999992</v>
      </c>
      <c r="AH210" s="170">
        <f t="shared" si="48"/>
        <v>831.83999999999992</v>
      </c>
      <c r="AI210" s="170">
        <f t="shared" si="48"/>
        <v>799.93999999999994</v>
      </c>
      <c r="AJ210" s="170">
        <f t="shared" si="48"/>
        <v>816.13999999999987</v>
      </c>
      <c r="AK210" s="170">
        <f t="shared" si="48"/>
        <v>843.04</v>
      </c>
      <c r="AL210" s="170">
        <f t="shared" si="48"/>
        <v>789.54</v>
      </c>
      <c r="AM210" s="170">
        <f t="shared" si="48"/>
        <v>811.83999999999992</v>
      </c>
      <c r="AN210" s="170">
        <f t="shared" si="48"/>
        <v>850.93999999999994</v>
      </c>
      <c r="AO210" s="170">
        <f t="shared" si="48"/>
        <v>924.63999999999987</v>
      </c>
      <c r="AP210" s="170">
        <f t="shared" si="48"/>
        <v>1083.6400000000001</v>
      </c>
      <c r="AQ210" s="170">
        <f t="shared" si="48"/>
        <v>1154.94</v>
      </c>
      <c r="AR210" s="170">
        <f t="shared" si="48"/>
        <v>1134.3400000000001</v>
      </c>
      <c r="AS210" s="170">
        <f t="shared" si="48"/>
        <v>1074.74</v>
      </c>
      <c r="AT210" s="170">
        <f t="shared" si="48"/>
        <v>1060.54</v>
      </c>
      <c r="AU210" s="170">
        <f t="shared" si="48"/>
        <v>1045.6399999999999</v>
      </c>
      <c r="AV210" s="170">
        <f t="shared" si="48"/>
        <v>933.83999999999992</v>
      </c>
      <c r="AW210" s="170">
        <f t="shared" si="48"/>
        <v>859.13999999999987</v>
      </c>
      <c r="AX210" s="170">
        <f t="shared" si="48"/>
        <v>844.7399999999999</v>
      </c>
    </row>
    <row r="211" spans="1:50" x14ac:dyDescent="0.25">
      <c r="A211" s="163" t="s">
        <v>210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63" t="s">
        <v>211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212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213</v>
      </c>
      <c r="B214" s="171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214</v>
      </c>
      <c r="B215" s="16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A231" s="172" t="s">
        <v>199</v>
      </c>
      <c r="B231" s="173">
        <f t="shared" ref="B231:AF231" si="49">B195</f>
        <v>0.64</v>
      </c>
      <c r="C231" s="173">
        <f t="shared" si="49"/>
        <v>0.64</v>
      </c>
      <c r="D231" s="173">
        <f t="shared" si="49"/>
        <v>0.64</v>
      </c>
      <c r="E231" s="173">
        <f t="shared" si="49"/>
        <v>0.64</v>
      </c>
      <c r="F231" s="173">
        <f t="shared" si="49"/>
        <v>0.64</v>
      </c>
      <c r="G231" s="173">
        <f t="shared" si="49"/>
        <v>0.64</v>
      </c>
      <c r="H231" s="173">
        <f t="shared" si="49"/>
        <v>0.64</v>
      </c>
      <c r="I231" s="173">
        <f t="shared" si="49"/>
        <v>0.64</v>
      </c>
      <c r="J231" s="173">
        <f t="shared" si="49"/>
        <v>0.64</v>
      </c>
      <c r="K231" s="173">
        <f t="shared" si="49"/>
        <v>0.64</v>
      </c>
      <c r="L231" s="173">
        <f t="shared" si="49"/>
        <v>0.64</v>
      </c>
      <c r="M231" s="173">
        <f t="shared" si="49"/>
        <v>0.64</v>
      </c>
      <c r="N231" s="173">
        <f t="shared" si="49"/>
        <v>0.64</v>
      </c>
      <c r="O231" s="173">
        <f t="shared" si="49"/>
        <v>0.64</v>
      </c>
      <c r="P231" s="173">
        <f t="shared" si="49"/>
        <v>0.64</v>
      </c>
      <c r="Q231" s="173">
        <f t="shared" si="49"/>
        <v>0.64</v>
      </c>
      <c r="R231" s="173">
        <f t="shared" si="49"/>
        <v>0.64</v>
      </c>
      <c r="S231" s="173">
        <f t="shared" si="49"/>
        <v>0.64</v>
      </c>
      <c r="T231" s="173">
        <f t="shared" si="49"/>
        <v>0.64</v>
      </c>
      <c r="U231" s="173">
        <f t="shared" si="49"/>
        <v>0.64</v>
      </c>
      <c r="V231" s="173">
        <f t="shared" si="49"/>
        <v>0.64</v>
      </c>
      <c r="W231" s="173">
        <f t="shared" si="49"/>
        <v>0.64</v>
      </c>
      <c r="X231" s="173">
        <f t="shared" si="49"/>
        <v>0.64</v>
      </c>
      <c r="Y231" s="173">
        <f t="shared" si="49"/>
        <v>0.64</v>
      </c>
      <c r="Z231" s="173">
        <f t="shared" si="49"/>
        <v>0.64</v>
      </c>
      <c r="AA231" s="173">
        <f t="shared" si="49"/>
        <v>0.64</v>
      </c>
      <c r="AB231" s="173">
        <f t="shared" si="49"/>
        <v>0.64</v>
      </c>
      <c r="AC231" s="173">
        <f t="shared" si="49"/>
        <v>0.64</v>
      </c>
      <c r="AD231" s="173">
        <f t="shared" si="49"/>
        <v>0.64</v>
      </c>
      <c r="AE231" s="173">
        <f t="shared" si="49"/>
        <v>0.64</v>
      </c>
      <c r="AF231" s="173">
        <f t="shared" si="49"/>
        <v>0.64</v>
      </c>
      <c r="AG231" s="47"/>
      <c r="AH231" s="47"/>
    </row>
    <row r="232" spans="1:34" x14ac:dyDescent="0.25">
      <c r="A232" s="117" t="str">
        <f>A199</f>
        <v>KGA</v>
      </c>
      <c r="B232" s="117" t="str">
        <f>IF(B199&lt;100,"",B199-520)</f>
        <v/>
      </c>
      <c r="C232" s="117" t="str">
        <f t="shared" ref="C232:AF232" si="50">IF(C199&lt;100,"",C199-520)</f>
        <v/>
      </c>
      <c r="D232" s="117" t="str">
        <f t="shared" si="50"/>
        <v/>
      </c>
      <c r="E232" s="117" t="str">
        <f t="shared" si="50"/>
        <v/>
      </c>
      <c r="F232" s="117" t="str">
        <f t="shared" si="50"/>
        <v/>
      </c>
      <c r="G232" s="117" t="str">
        <f t="shared" si="50"/>
        <v/>
      </c>
      <c r="H232" s="117" t="str">
        <f t="shared" si="50"/>
        <v/>
      </c>
      <c r="I232" s="117" t="str">
        <f t="shared" si="50"/>
        <v/>
      </c>
      <c r="J232" s="117" t="str">
        <f t="shared" si="50"/>
        <v/>
      </c>
      <c r="K232" s="117" t="str">
        <f t="shared" si="50"/>
        <v/>
      </c>
      <c r="L232" s="117" t="str">
        <f t="shared" si="50"/>
        <v/>
      </c>
      <c r="M232" s="117" t="str">
        <f t="shared" si="50"/>
        <v/>
      </c>
      <c r="N232" s="117" t="str">
        <f t="shared" si="50"/>
        <v/>
      </c>
      <c r="O232" s="117" t="str">
        <f t="shared" si="50"/>
        <v/>
      </c>
      <c r="P232" s="117" t="str">
        <f t="shared" si="50"/>
        <v/>
      </c>
      <c r="Q232" s="117" t="str">
        <f t="shared" si="50"/>
        <v/>
      </c>
      <c r="R232" s="117" t="str">
        <f t="shared" si="50"/>
        <v/>
      </c>
      <c r="S232" s="117" t="str">
        <f t="shared" si="50"/>
        <v/>
      </c>
      <c r="T232" s="117" t="str">
        <f t="shared" si="50"/>
        <v/>
      </c>
      <c r="U232" s="117" t="str">
        <f t="shared" si="50"/>
        <v/>
      </c>
      <c r="V232" s="117" t="str">
        <f t="shared" si="50"/>
        <v/>
      </c>
      <c r="W232" s="117" t="str">
        <f t="shared" si="50"/>
        <v/>
      </c>
      <c r="X232" s="117" t="str">
        <f t="shared" si="50"/>
        <v/>
      </c>
      <c r="Y232" s="117" t="str">
        <f t="shared" si="50"/>
        <v/>
      </c>
      <c r="Z232" s="117" t="str">
        <f t="shared" si="50"/>
        <v/>
      </c>
      <c r="AA232" s="117" t="str">
        <f t="shared" si="50"/>
        <v/>
      </c>
      <c r="AB232" s="117" t="str">
        <f t="shared" si="50"/>
        <v/>
      </c>
      <c r="AC232" s="117" t="str">
        <f t="shared" si="50"/>
        <v/>
      </c>
      <c r="AD232" s="117" t="str">
        <f t="shared" si="50"/>
        <v/>
      </c>
      <c r="AE232" s="117" t="str">
        <f t="shared" si="50"/>
        <v/>
      </c>
      <c r="AF232" s="117" t="str">
        <f t="shared" si="50"/>
        <v/>
      </c>
      <c r="AG232" s="47"/>
      <c r="AH232" s="47"/>
    </row>
    <row r="233" spans="1:34" x14ac:dyDescent="0.25">
      <c r="A233" s="117" t="str">
        <f>A200</f>
        <v>MMRS</v>
      </c>
      <c r="B233" s="117" t="str">
        <f t="shared" ref="B233:AF233" si="51">IF(B200&lt;100,"",B200-620)</f>
        <v/>
      </c>
      <c r="C233" s="117" t="str">
        <f t="shared" si="51"/>
        <v/>
      </c>
      <c r="D233" s="117" t="str">
        <f t="shared" si="51"/>
        <v/>
      </c>
      <c r="E233" s="117" t="str">
        <f t="shared" si="51"/>
        <v/>
      </c>
      <c r="F233" s="117" t="str">
        <f t="shared" si="51"/>
        <v/>
      </c>
      <c r="G233" s="117" t="str">
        <f t="shared" si="51"/>
        <v/>
      </c>
      <c r="H233" s="117" t="str">
        <f t="shared" si="51"/>
        <v/>
      </c>
      <c r="I233" s="117" t="str">
        <f t="shared" si="51"/>
        <v/>
      </c>
      <c r="J233" s="117" t="str">
        <f t="shared" si="51"/>
        <v/>
      </c>
      <c r="K233" s="117" t="str">
        <f t="shared" si="51"/>
        <v/>
      </c>
      <c r="L233" s="117" t="str">
        <f t="shared" si="51"/>
        <v/>
      </c>
      <c r="M233" s="117" t="str">
        <f t="shared" si="51"/>
        <v/>
      </c>
      <c r="N233" s="117" t="str">
        <f t="shared" si="51"/>
        <v/>
      </c>
      <c r="O233" s="117" t="str">
        <f t="shared" si="51"/>
        <v/>
      </c>
      <c r="P233" s="117" t="str">
        <f t="shared" si="51"/>
        <v/>
      </c>
      <c r="Q233" s="117" t="str">
        <f t="shared" si="51"/>
        <v/>
      </c>
      <c r="R233" s="117" t="str">
        <f t="shared" si="51"/>
        <v/>
      </c>
      <c r="S233" s="117" t="str">
        <f t="shared" si="51"/>
        <v/>
      </c>
      <c r="T233" s="117" t="str">
        <f t="shared" si="51"/>
        <v/>
      </c>
      <c r="U233" s="117" t="str">
        <f t="shared" si="51"/>
        <v/>
      </c>
      <c r="V233" s="117" t="str">
        <f t="shared" si="51"/>
        <v/>
      </c>
      <c r="W233" s="117" t="str">
        <f t="shared" si="51"/>
        <v/>
      </c>
      <c r="X233" s="117" t="str">
        <f t="shared" si="51"/>
        <v/>
      </c>
      <c r="Y233" s="117" t="str">
        <f t="shared" si="51"/>
        <v/>
      </c>
      <c r="Z233" s="117" t="str">
        <f t="shared" si="51"/>
        <v/>
      </c>
      <c r="AA233" s="117" t="str">
        <f t="shared" si="51"/>
        <v/>
      </c>
      <c r="AB233" s="117" t="str">
        <f t="shared" si="51"/>
        <v/>
      </c>
      <c r="AC233" s="117" t="str">
        <f t="shared" si="51"/>
        <v/>
      </c>
      <c r="AD233" s="117" t="str">
        <f t="shared" si="51"/>
        <v/>
      </c>
      <c r="AE233" s="117" t="str">
        <f t="shared" si="51"/>
        <v/>
      </c>
      <c r="AF233" s="117" t="str">
        <f t="shared" si="51"/>
        <v/>
      </c>
      <c r="AG233" s="47"/>
      <c r="AH233" s="47"/>
    </row>
    <row r="234" spans="1:34" x14ac:dyDescent="0.25">
      <c r="A234" s="117" t="str">
        <f>A201</f>
        <v>MRS</v>
      </c>
      <c r="B234" s="117" t="str">
        <f t="shared" ref="B234:AF234" si="52">IF(B201&lt;100,"",B201-330)</f>
        <v/>
      </c>
      <c r="C234" s="117" t="str">
        <f t="shared" si="52"/>
        <v/>
      </c>
      <c r="D234" s="117" t="str">
        <f t="shared" si="52"/>
        <v/>
      </c>
      <c r="E234" s="117" t="str">
        <f t="shared" si="52"/>
        <v/>
      </c>
      <c r="F234" s="117" t="str">
        <f t="shared" si="52"/>
        <v/>
      </c>
      <c r="G234" s="117" t="str">
        <f t="shared" si="52"/>
        <v/>
      </c>
      <c r="H234" s="117" t="str">
        <f t="shared" si="52"/>
        <v/>
      </c>
      <c r="I234" s="117" t="str">
        <f t="shared" si="52"/>
        <v/>
      </c>
      <c r="J234" s="117" t="str">
        <f t="shared" si="52"/>
        <v/>
      </c>
      <c r="K234" s="117" t="str">
        <f t="shared" si="52"/>
        <v/>
      </c>
      <c r="L234" s="117" t="str">
        <f t="shared" si="52"/>
        <v/>
      </c>
      <c r="M234" s="117" t="str">
        <f t="shared" si="52"/>
        <v/>
      </c>
      <c r="N234" s="117" t="str">
        <f t="shared" si="52"/>
        <v/>
      </c>
      <c r="O234" s="117" t="str">
        <f t="shared" si="52"/>
        <v/>
      </c>
      <c r="P234" s="117" t="str">
        <f t="shared" si="52"/>
        <v/>
      </c>
      <c r="Q234" s="117" t="str">
        <f t="shared" si="52"/>
        <v/>
      </c>
      <c r="R234" s="117" t="str">
        <f t="shared" si="52"/>
        <v/>
      </c>
      <c r="S234" s="117" t="str">
        <f t="shared" si="52"/>
        <v/>
      </c>
      <c r="T234" s="117" t="str">
        <f t="shared" si="52"/>
        <v/>
      </c>
      <c r="U234" s="117" t="str">
        <f t="shared" si="52"/>
        <v/>
      </c>
      <c r="V234" s="117" t="str">
        <f t="shared" si="52"/>
        <v/>
      </c>
      <c r="W234" s="117" t="str">
        <f t="shared" si="52"/>
        <v/>
      </c>
      <c r="X234" s="117" t="str">
        <f t="shared" si="52"/>
        <v/>
      </c>
      <c r="Y234" s="117" t="str">
        <f t="shared" si="52"/>
        <v/>
      </c>
      <c r="Z234" s="117" t="str">
        <f t="shared" si="52"/>
        <v/>
      </c>
      <c r="AA234" s="117" t="str">
        <f t="shared" si="52"/>
        <v/>
      </c>
      <c r="AB234" s="117" t="str">
        <f t="shared" si="52"/>
        <v/>
      </c>
      <c r="AC234" s="117" t="str">
        <f t="shared" si="52"/>
        <v/>
      </c>
      <c r="AD234" s="117" t="str">
        <f t="shared" si="52"/>
        <v/>
      </c>
      <c r="AE234" s="117" t="str">
        <f t="shared" si="52"/>
        <v/>
      </c>
      <c r="AF234" s="117" t="str">
        <f t="shared" si="52"/>
        <v/>
      </c>
      <c r="AG234" s="47"/>
      <c r="AH234" s="47"/>
    </row>
    <row r="235" spans="1:34" x14ac:dyDescent="0.25">
      <c r="A235" s="117" t="str">
        <f>A202</f>
        <v>KL 1</v>
      </c>
      <c r="B235" s="117" t="str">
        <f>IF(B202&lt;100,"",B202-1500)</f>
        <v/>
      </c>
      <c r="C235" s="117" t="str">
        <f t="shared" ref="C235:AF235" si="53">IF(C202&lt;100,"",C202-1500)</f>
        <v/>
      </c>
      <c r="D235" s="117" t="str">
        <f t="shared" si="53"/>
        <v/>
      </c>
      <c r="E235" s="117" t="str">
        <f t="shared" si="53"/>
        <v/>
      </c>
      <c r="F235" s="117" t="str">
        <f t="shared" si="53"/>
        <v/>
      </c>
      <c r="G235" s="117" t="str">
        <f t="shared" si="53"/>
        <v/>
      </c>
      <c r="H235" s="117" t="str">
        <f t="shared" si="53"/>
        <v/>
      </c>
      <c r="I235" s="117" t="str">
        <f t="shared" si="53"/>
        <v/>
      </c>
      <c r="J235" s="117" t="str">
        <f t="shared" si="53"/>
        <v/>
      </c>
      <c r="K235" s="117" t="str">
        <f t="shared" si="53"/>
        <v/>
      </c>
      <c r="L235" s="117" t="str">
        <f t="shared" si="53"/>
        <v/>
      </c>
      <c r="M235" s="117" t="str">
        <f t="shared" si="53"/>
        <v/>
      </c>
      <c r="N235" s="117" t="str">
        <f t="shared" si="53"/>
        <v/>
      </c>
      <c r="O235" s="117" t="str">
        <f t="shared" si="53"/>
        <v/>
      </c>
      <c r="P235" s="117" t="str">
        <f t="shared" si="53"/>
        <v/>
      </c>
      <c r="Q235" s="117" t="str">
        <f t="shared" si="53"/>
        <v/>
      </c>
      <c r="R235" s="117" t="str">
        <f t="shared" si="53"/>
        <v/>
      </c>
      <c r="S235" s="117" t="str">
        <f t="shared" si="53"/>
        <v/>
      </c>
      <c r="T235" s="117" t="str">
        <f t="shared" si="53"/>
        <v/>
      </c>
      <c r="U235" s="117" t="str">
        <f t="shared" si="53"/>
        <v/>
      </c>
      <c r="V235" s="117" t="str">
        <f t="shared" si="53"/>
        <v/>
      </c>
      <c r="W235" s="117" t="str">
        <f t="shared" si="53"/>
        <v/>
      </c>
      <c r="X235" s="117" t="str">
        <f t="shared" si="53"/>
        <v/>
      </c>
      <c r="Y235" s="117" t="str">
        <f t="shared" si="53"/>
        <v/>
      </c>
      <c r="Z235" s="117" t="str">
        <f t="shared" si="53"/>
        <v/>
      </c>
      <c r="AA235" s="117" t="str">
        <f t="shared" si="53"/>
        <v/>
      </c>
      <c r="AB235" s="117" t="str">
        <f t="shared" si="53"/>
        <v/>
      </c>
      <c r="AC235" s="117" t="str">
        <f t="shared" si="53"/>
        <v/>
      </c>
      <c r="AD235" s="117" t="str">
        <f t="shared" si="53"/>
        <v/>
      </c>
      <c r="AE235" s="117" t="str">
        <f t="shared" si="53"/>
        <v/>
      </c>
      <c r="AF235" s="117" t="str">
        <f t="shared" si="53"/>
        <v/>
      </c>
      <c r="AG235" s="47"/>
      <c r="AH235" s="47"/>
    </row>
    <row r="236" spans="1:34" x14ac:dyDescent="0.25"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692" priority="274">
      <formula>S$9&gt;=20/24</formula>
    </cfRule>
    <cfRule type="expression" dxfId="10691" priority="275">
      <formula>AND(S$9&gt;=14/24,S$9&lt;20/24)</formula>
    </cfRule>
    <cfRule type="expression" dxfId="10690" priority="276">
      <formula>AND(S$9&gt;=8/24,S$9&lt;14/24)</formula>
    </cfRule>
    <cfRule type="expression" dxfId="10689" priority="277">
      <formula>S$9&lt;8/24</formula>
    </cfRule>
  </conditionalFormatting>
  <conditionalFormatting sqref="B8:AF10 AA78:AF78 B78:Q78 B53:AF53 B79:AF79 C190:AF196 P34:Q34 AE54:AF57 B65:AF69 T209:AX209 B71:AF75 B77:AF77 P36:Q36 P37:P39 Q39 P42:Q45 P12:Q13 P15:Q16 P18:Q30 P17:R17 R18:R28 W82:X88 B54:O64 P57:Q64 P55:V56 P11:X11 S17:X28 Q37:X38 Z82:Z88 Y37:AD40 L50:AF52 AA81:AF88 Y15:AF29 Y11:AF13">
    <cfRule type="expression" dxfId="10688" priority="270">
      <formula>B$9&gt;=20/24</formula>
    </cfRule>
    <cfRule type="expression" dxfId="10687" priority="271">
      <formula>AND(B$9&gt;=14/24,B$9&lt;20/24)</formula>
    </cfRule>
    <cfRule type="expression" dxfId="10686" priority="272">
      <formula>AND(B$9&gt;=8/24,B$9&lt;14/24)</formula>
    </cfRule>
    <cfRule type="expression" dxfId="10685" priority="273">
      <formula>B$9&lt;8/24</formula>
    </cfRule>
  </conditionalFormatting>
  <conditionalFormatting sqref="B188:AF188">
    <cfRule type="expression" dxfId="10684" priority="266">
      <formula>B$9&gt;=20/24</formula>
    </cfRule>
    <cfRule type="expression" dxfId="10683" priority="267">
      <formula>AND(B$9&gt;=14/24,B$9&lt;20/24)</formula>
    </cfRule>
    <cfRule type="expression" dxfId="10682" priority="268">
      <formula>AND(B$9&gt;=8/24,B$9&lt;14/24)</formula>
    </cfRule>
    <cfRule type="expression" dxfId="10681" priority="269">
      <formula>B$9&lt;8/24</formula>
    </cfRule>
  </conditionalFormatting>
  <conditionalFormatting sqref="AL4:AL6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P54:Q54">
    <cfRule type="expression" dxfId="10680" priority="261">
      <formula>P$9&gt;=20/24</formula>
    </cfRule>
    <cfRule type="expression" dxfId="10679" priority="262">
      <formula>AND(P$9&gt;=14/24,P$9&lt;20/24)</formula>
    </cfRule>
    <cfRule type="expression" dxfId="10678" priority="263">
      <formula>AND(P$9&gt;=8/24,P$9&lt;14/24)</formula>
    </cfRule>
    <cfRule type="expression" dxfId="10677" priority="264">
      <formula>P$9&lt;8/24</formula>
    </cfRule>
  </conditionalFormatting>
  <conditionalFormatting sqref="P40:Q40">
    <cfRule type="expression" dxfId="10676" priority="257">
      <formula>P$9&gt;=20/24</formula>
    </cfRule>
    <cfRule type="expression" dxfId="10675" priority="258">
      <formula>AND(P$9&gt;=14/24,P$9&lt;20/24)</formula>
    </cfRule>
    <cfRule type="expression" dxfId="10674" priority="259">
      <formula>AND(P$9&gt;=8/24,P$9&lt;14/24)</formula>
    </cfRule>
    <cfRule type="expression" dxfId="10673" priority="260">
      <formula>P$9&lt;8/24</formula>
    </cfRule>
  </conditionalFormatting>
  <conditionalFormatting sqref="Y30:AF30">
    <cfRule type="expression" dxfId="10672" priority="253">
      <formula>Y$9&gt;=20/24</formula>
    </cfRule>
    <cfRule type="expression" dxfId="10671" priority="254">
      <formula>AND(Y$9&gt;=14/24,Y$9&lt;20/24)</formula>
    </cfRule>
    <cfRule type="expression" dxfId="10670" priority="255">
      <formula>AND(Y$9&gt;=8/24,Y$9&lt;14/24)</formula>
    </cfRule>
    <cfRule type="expression" dxfId="10669" priority="256">
      <formula>Y$9&lt;8/24</formula>
    </cfRule>
  </conditionalFormatting>
  <conditionalFormatting sqref="R36:AD36">
    <cfRule type="expression" dxfId="10668" priority="249">
      <formula>R$9&gt;=20/24</formula>
    </cfRule>
    <cfRule type="expression" dxfId="10667" priority="250">
      <formula>AND(R$9&gt;=14/24,R$9&lt;20/24)</formula>
    </cfRule>
    <cfRule type="expression" dxfId="10666" priority="251">
      <formula>AND(R$9&gt;=8/24,R$9&lt;14/24)</formula>
    </cfRule>
    <cfRule type="expression" dxfId="10665" priority="252">
      <formula>R$9&lt;8/24</formula>
    </cfRule>
  </conditionalFormatting>
  <conditionalFormatting sqref="R54:AD54">
    <cfRule type="expression" dxfId="10664" priority="245">
      <formula>R$9&gt;=20/24</formula>
    </cfRule>
    <cfRule type="expression" dxfId="10663" priority="246">
      <formula>AND(R$9&gt;=14/24,R$9&lt;20/24)</formula>
    </cfRule>
    <cfRule type="expression" dxfId="10662" priority="247">
      <formula>AND(R$9&gt;=8/24,R$9&lt;14/24)</formula>
    </cfRule>
    <cfRule type="expression" dxfId="10661" priority="248">
      <formula>R$9&lt;8/24</formula>
    </cfRule>
  </conditionalFormatting>
  <conditionalFormatting sqref="R78:Z78">
    <cfRule type="expression" dxfId="10660" priority="241">
      <formula>R$9&gt;=20/24</formula>
    </cfRule>
    <cfRule type="expression" dxfId="10659" priority="242">
      <formula>AND(R$9&gt;=14/24,R$9&lt;20/24)</formula>
    </cfRule>
    <cfRule type="expression" dxfId="10658" priority="243">
      <formula>AND(R$9&gt;=8/24,R$9&lt;14/24)</formula>
    </cfRule>
    <cfRule type="expression" dxfId="10657" priority="244">
      <formula>R$9&lt;8/24</formula>
    </cfRule>
  </conditionalFormatting>
  <conditionalFormatting sqref="T81:Z81">
    <cfRule type="expression" dxfId="10656" priority="237">
      <formula>T$9&gt;=20/24</formula>
    </cfRule>
    <cfRule type="expression" dxfId="10655" priority="238">
      <formula>AND(T$9&gt;=14/24,T$9&lt;20/24)</formula>
    </cfRule>
    <cfRule type="expression" dxfId="10654" priority="239">
      <formula>AND(T$9&gt;=8/24,T$9&lt;14/24)</formula>
    </cfRule>
    <cfRule type="expression" dxfId="10653" priority="240">
      <formula>T$9&lt;8/24</formula>
    </cfRule>
  </conditionalFormatting>
  <conditionalFormatting sqref="P32:Q32">
    <cfRule type="expression" dxfId="10652" priority="233">
      <formula>P$9&gt;=20/24</formula>
    </cfRule>
    <cfRule type="expression" dxfId="10651" priority="234">
      <formula>AND(P$9&gt;=14/24,P$9&lt;20/24)</formula>
    </cfRule>
    <cfRule type="expression" dxfId="10650" priority="235">
      <formula>AND(P$9&gt;=8/24,P$9&lt;14/24)</formula>
    </cfRule>
    <cfRule type="expression" dxfId="10649" priority="236">
      <formula>P$9&lt;8/24</formula>
    </cfRule>
  </conditionalFormatting>
  <conditionalFormatting sqref="R46:Z46">
    <cfRule type="expression" dxfId="10648" priority="229">
      <formula>R$9&gt;=20/24</formula>
    </cfRule>
    <cfRule type="expression" dxfId="10647" priority="230">
      <formula>AND(R$9&gt;=14/24,R$9&lt;20/24)</formula>
    </cfRule>
    <cfRule type="expression" dxfId="10646" priority="231">
      <formula>AND(R$9&gt;=8/24,R$9&lt;14/24)</formula>
    </cfRule>
    <cfRule type="expression" dxfId="10645" priority="232">
      <formula>R$9&lt;8/24</formula>
    </cfRule>
  </conditionalFormatting>
  <conditionalFormatting sqref="P47:Q47">
    <cfRule type="expression" dxfId="10644" priority="225">
      <formula>P$9&gt;=20/24</formula>
    </cfRule>
    <cfRule type="expression" dxfId="10643" priority="226">
      <formula>AND(P$9&gt;=14/24,P$9&lt;20/24)</formula>
    </cfRule>
    <cfRule type="expression" dxfId="10642" priority="227">
      <formula>AND(P$9&gt;=8/24,P$9&lt;14/24)</formula>
    </cfRule>
    <cfRule type="expression" dxfId="10641" priority="228">
      <formula>P$9&lt;8/24</formula>
    </cfRule>
  </conditionalFormatting>
  <conditionalFormatting sqref="P42:Q45">
    <cfRule type="expression" dxfId="10640" priority="221">
      <formula>P$9&gt;=20/24</formula>
    </cfRule>
    <cfRule type="expression" dxfId="10639" priority="222">
      <formula>AND(P$9&gt;=14/24,P$9&lt;20/24)</formula>
    </cfRule>
    <cfRule type="expression" dxfId="10638" priority="223">
      <formula>AND(P$9&gt;=8/24,P$9&lt;14/24)</formula>
    </cfRule>
    <cfRule type="expression" dxfId="10637" priority="224">
      <formula>P$9&lt;8/24</formula>
    </cfRule>
  </conditionalFormatting>
  <conditionalFormatting sqref="R34:AF34">
    <cfRule type="expression" dxfId="10636" priority="217">
      <formula>R$9&gt;=20/24</formula>
    </cfRule>
    <cfRule type="expression" dxfId="10635" priority="218">
      <formula>AND(R$9&gt;=14/24,R$9&lt;20/24)</formula>
    </cfRule>
    <cfRule type="expression" dxfId="10634" priority="219">
      <formula>AND(R$9&gt;=8/24,R$9&lt;14/24)</formula>
    </cfRule>
    <cfRule type="expression" dxfId="10633" priority="220">
      <formula>R$9&lt;8/24</formula>
    </cfRule>
  </conditionalFormatting>
  <conditionalFormatting sqref="R29:X30 R32:AF32">
    <cfRule type="expression" dxfId="10632" priority="213">
      <formula>R$9&gt;=20/24</formula>
    </cfRule>
    <cfRule type="expression" dxfId="10631" priority="214">
      <formula>AND(R$9&gt;=14/24,R$9&lt;20/24)</formula>
    </cfRule>
    <cfRule type="expression" dxfId="10630" priority="215">
      <formula>AND(R$9&gt;=8/24,R$9&lt;14/24)</formula>
    </cfRule>
    <cfRule type="expression" dxfId="10629" priority="216">
      <formula>R$9&lt;8/24</formula>
    </cfRule>
  </conditionalFormatting>
  <conditionalFormatting sqref="R39:X40 R42:AD45">
    <cfRule type="expression" dxfId="10628" priority="209">
      <formula>R$9&gt;=20/24</formula>
    </cfRule>
    <cfRule type="expression" dxfId="10627" priority="210">
      <formula>AND(R$9&gt;=14/24,R$9&lt;20/24)</formula>
    </cfRule>
    <cfRule type="expression" dxfId="10626" priority="211">
      <formula>AND(R$9&gt;=8/24,R$9&lt;14/24)</formula>
    </cfRule>
    <cfRule type="expression" dxfId="10625" priority="212">
      <formula>R$9&lt;8/24</formula>
    </cfRule>
  </conditionalFormatting>
  <conditionalFormatting sqref="R46:AD46">
    <cfRule type="expression" dxfId="10624" priority="205">
      <formula>R$9&gt;=20/24</formula>
    </cfRule>
    <cfRule type="expression" dxfId="10623" priority="206">
      <formula>AND(R$9&gt;=14/24,R$9&lt;20/24)</formula>
    </cfRule>
    <cfRule type="expression" dxfId="10622" priority="207">
      <formula>AND(R$9&gt;=8/24,R$9&lt;14/24)</formula>
    </cfRule>
    <cfRule type="expression" dxfId="10621" priority="208">
      <formula>R$9&lt;8/24</formula>
    </cfRule>
  </conditionalFormatting>
  <conditionalFormatting sqref="R47:AD47">
    <cfRule type="expression" dxfId="10620" priority="201">
      <formula>R$9&gt;=20/24</formula>
    </cfRule>
    <cfRule type="expression" dxfId="10619" priority="202">
      <formula>AND(R$9&gt;=14/24,R$9&lt;20/24)</formula>
    </cfRule>
    <cfRule type="expression" dxfId="10618" priority="203">
      <formula>AND(R$9&gt;=8/24,R$9&lt;14/24)</formula>
    </cfRule>
    <cfRule type="expression" dxfId="10617" priority="204">
      <formula>R$9&lt;8/24</formula>
    </cfRule>
  </conditionalFormatting>
  <conditionalFormatting sqref="AE58:AF64 R57:AD64">
    <cfRule type="expression" dxfId="10616" priority="197">
      <formula>R$9&gt;=20/24</formula>
    </cfRule>
    <cfRule type="expression" dxfId="10615" priority="198">
      <formula>AND(R$9&gt;=14/24,R$9&lt;20/24)</formula>
    </cfRule>
    <cfRule type="expression" dxfId="10614" priority="199">
      <formula>AND(R$9&gt;=8/24,R$9&lt;14/24)</formula>
    </cfRule>
    <cfRule type="expression" dxfId="10613" priority="200">
      <formula>R$9&lt;8/24</formula>
    </cfRule>
  </conditionalFormatting>
  <conditionalFormatting sqref="AA91:AF94">
    <cfRule type="expression" dxfId="10612" priority="193">
      <formula>AA$9&gt;=20/24</formula>
    </cfRule>
    <cfRule type="expression" dxfId="10611" priority="194">
      <formula>AND(AA$9&gt;=14/24,AA$9&lt;20/24)</formula>
    </cfRule>
    <cfRule type="expression" dxfId="10610" priority="195">
      <formula>AND(AA$9&gt;=8/24,AA$9&lt;14/24)</formula>
    </cfRule>
    <cfRule type="expression" dxfId="10609" priority="196">
      <formula>AA$9&lt;8/24</formula>
    </cfRule>
  </conditionalFormatting>
  <conditionalFormatting sqref="T91:Z94">
    <cfRule type="expression" dxfId="10608" priority="189">
      <formula>T$9&gt;=20/24</formula>
    </cfRule>
    <cfRule type="expression" dxfId="10607" priority="190">
      <formula>AND(T$9&gt;=14/24,T$9&lt;20/24)</formula>
    </cfRule>
    <cfRule type="expression" dxfId="10606" priority="191">
      <formula>AND(T$9&gt;=8/24,T$9&lt;14/24)</formula>
    </cfRule>
    <cfRule type="expression" dxfId="10605" priority="192">
      <formula>T$9&lt;8/24</formula>
    </cfRule>
  </conditionalFormatting>
  <conditionalFormatting sqref="AG48 P15:Q16 P12:Q13 B15:K30 B11:K13 B35:AF35 B32:K34 B36:K40 P17:X30 P11:X11 P42:AA45 B42:K47 P47:AA47 R46:AA46 P36:AF40 AB42:AF47 B48:AF53 Y11:AF13 Y15:AF30 P32:AF34">
    <cfRule type="expression" dxfId="10604" priority="188">
      <formula>B11&gt;$AG11</formula>
    </cfRule>
  </conditionalFormatting>
  <conditionalFormatting sqref="A97:A153 A81:A94 A11:A13 A15:A30 A42:A69 A77:A79 A71:A75 A32:A40 A166:A197">
    <cfRule type="expression" dxfId="10603" priority="187">
      <formula>$AH11=0</formula>
    </cfRule>
  </conditionalFormatting>
  <conditionalFormatting sqref="AA95:AF95">
    <cfRule type="expression" dxfId="10602" priority="183">
      <formula>AA$9&gt;=20/24</formula>
    </cfRule>
    <cfRule type="expression" dxfId="10601" priority="184">
      <formula>AND(AA$9&gt;=14/24,AA$9&lt;20/24)</formula>
    </cfRule>
    <cfRule type="expression" dxfId="10600" priority="185">
      <formula>AND(AA$9&gt;=8/24,AA$9&lt;14/24)</formula>
    </cfRule>
    <cfRule type="expression" dxfId="10599" priority="186">
      <formula>AA$9&lt;8/24</formula>
    </cfRule>
  </conditionalFormatting>
  <conditionalFormatting sqref="T95:Z95">
    <cfRule type="expression" dxfId="10598" priority="179">
      <formula>T$9&gt;=20/24</formula>
    </cfRule>
    <cfRule type="expression" dxfId="10597" priority="180">
      <formula>AND(T$9&gt;=14/24,T$9&lt;20/24)</formula>
    </cfRule>
    <cfRule type="expression" dxfId="10596" priority="181">
      <formula>AND(T$9&gt;=8/24,T$9&lt;14/24)</formula>
    </cfRule>
    <cfRule type="expression" dxfId="10595" priority="182">
      <formula>T$9&lt;8/24</formula>
    </cfRule>
  </conditionalFormatting>
  <conditionalFormatting sqref="A95">
    <cfRule type="expression" dxfId="10594" priority="178">
      <formula>$AH95=0</formula>
    </cfRule>
  </conditionalFormatting>
  <conditionalFormatting sqref="P33:AF33">
    <cfRule type="expression" dxfId="10593" priority="174">
      <formula>P$9&gt;=20/24</formula>
    </cfRule>
    <cfRule type="expression" dxfId="10592" priority="175">
      <formula>AND(P$9&gt;=14/24,P$9&lt;20/24)</formula>
    </cfRule>
    <cfRule type="expression" dxfId="10591" priority="176">
      <formula>AND(P$9&gt;=8/24,P$9&lt;14/24)</formula>
    </cfRule>
    <cfRule type="expression" dxfId="10590" priority="177">
      <formula>P$9&lt;8/24</formula>
    </cfRule>
  </conditionalFormatting>
  <conditionalFormatting sqref="R33:AF33">
    <cfRule type="expression" dxfId="10589" priority="170">
      <formula>R$9&gt;=20/24</formula>
    </cfRule>
    <cfRule type="expression" dxfId="10588" priority="171">
      <formula>AND(R$9&gt;=14/24,R$9&lt;20/24)</formula>
    </cfRule>
    <cfRule type="expression" dxfId="10587" priority="172">
      <formula>AND(R$9&gt;=8/24,R$9&lt;14/24)</formula>
    </cfRule>
    <cfRule type="expression" dxfId="10586" priority="173">
      <formula>R$9&lt;8/24</formula>
    </cfRule>
  </conditionalFormatting>
  <conditionalFormatting sqref="B33:K33">
    <cfRule type="expression" dxfId="10585" priority="166">
      <formula>B$9&gt;=20/24</formula>
    </cfRule>
    <cfRule type="expression" dxfId="10584" priority="167">
      <formula>AND(B$9&gt;=14/24,B$9&lt;20/24)</formula>
    </cfRule>
    <cfRule type="expression" dxfId="10583" priority="168">
      <formula>AND(B$9&gt;=8/24,B$9&lt;14/24)</formula>
    </cfRule>
    <cfRule type="expression" dxfId="10582" priority="169">
      <formula>B$9&lt;8/24</formula>
    </cfRule>
  </conditionalFormatting>
  <conditionalFormatting sqref="AL30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10581" priority="161">
      <formula>Y$9&gt;=20/24</formula>
    </cfRule>
    <cfRule type="expression" dxfId="10580" priority="162">
      <formula>AND(Y$9&gt;=14/24,Y$9&lt;20/24)</formula>
    </cfRule>
    <cfRule type="expression" dxfId="10579" priority="163">
      <formula>AND(Y$9&gt;=8/24,Y$9&lt;14/24)</formula>
    </cfRule>
    <cfRule type="expression" dxfId="10578" priority="164">
      <formula>Y$9&lt;8/24</formula>
    </cfRule>
  </conditionalFormatting>
  <conditionalFormatting sqref="P31:Q31">
    <cfRule type="expression" dxfId="10577" priority="157">
      <formula>P$9&gt;=20/24</formula>
    </cfRule>
    <cfRule type="expression" dxfId="10576" priority="158">
      <formula>AND(P$9&gt;=14/24,P$9&lt;20/24)</formula>
    </cfRule>
    <cfRule type="expression" dxfId="10575" priority="159">
      <formula>AND(P$9&gt;=8/24,P$9&lt;14/24)</formula>
    </cfRule>
    <cfRule type="expression" dxfId="10574" priority="160">
      <formula>P$9&lt;8/24</formula>
    </cfRule>
  </conditionalFormatting>
  <conditionalFormatting sqref="R31:X31">
    <cfRule type="expression" dxfId="10573" priority="153">
      <formula>R$9&gt;=20/24</formula>
    </cfRule>
    <cfRule type="expression" dxfId="10572" priority="154">
      <formula>AND(R$9&gt;=14/24,R$9&lt;20/24)</formula>
    </cfRule>
    <cfRule type="expression" dxfId="10571" priority="155">
      <formula>AND(R$9&gt;=8/24,R$9&lt;14/24)</formula>
    </cfRule>
    <cfRule type="expression" dxfId="10570" priority="156">
      <formula>R$9&lt;8/24</formula>
    </cfRule>
  </conditionalFormatting>
  <conditionalFormatting sqref="B31:K31 P31:AF31">
    <cfRule type="expression" dxfId="10569" priority="152">
      <formula>B31&gt;$AG31</formula>
    </cfRule>
  </conditionalFormatting>
  <conditionalFormatting sqref="A31">
    <cfRule type="expression" dxfId="10568" priority="151">
      <formula>$AH31=0</formula>
    </cfRule>
  </conditionalFormatting>
  <conditionalFormatting sqref="B80:AF80">
    <cfRule type="expression" dxfId="10567" priority="147">
      <formula>B$9&gt;=20/24</formula>
    </cfRule>
    <cfRule type="expression" dxfId="10566" priority="148">
      <formula>AND(B$9&gt;=14/24,B$9&lt;20/24)</formula>
    </cfRule>
    <cfRule type="expression" dxfId="10565" priority="149">
      <formula>AND(B$9&gt;=8/24,B$9&lt;14/24)</formula>
    </cfRule>
    <cfRule type="expression" dxfId="10564" priority="150">
      <formula>B$9&lt;8/24</formula>
    </cfRule>
  </conditionalFormatting>
  <conditionalFormatting sqref="A80">
    <cfRule type="expression" dxfId="10563" priority="146">
      <formula>$AH80=0</formula>
    </cfRule>
  </conditionalFormatting>
  <conditionalFormatting sqref="Y14:AF14">
    <cfRule type="expression" dxfId="10562" priority="142">
      <formula>Y$9&gt;=20/24</formula>
    </cfRule>
    <cfRule type="expression" dxfId="10561" priority="143">
      <formula>AND(Y$9&gt;=14/24,Y$9&lt;20/24)</formula>
    </cfRule>
    <cfRule type="expression" dxfId="10560" priority="144">
      <formula>AND(Y$9&gt;=8/24,Y$9&lt;14/24)</formula>
    </cfRule>
    <cfRule type="expression" dxfId="10559" priority="145">
      <formula>Y$9&lt;8/24</formula>
    </cfRule>
  </conditionalFormatting>
  <conditionalFormatting sqref="P14:Q14">
    <cfRule type="expression" dxfId="10558" priority="138">
      <formula>P$9&gt;=20/24</formula>
    </cfRule>
    <cfRule type="expression" dxfId="10557" priority="139">
      <formula>AND(P$9&gt;=14/24,P$9&lt;20/24)</formula>
    </cfRule>
    <cfRule type="expression" dxfId="10556" priority="140">
      <formula>AND(P$9&gt;=8/24,P$9&lt;14/24)</formula>
    </cfRule>
    <cfRule type="expression" dxfId="10555" priority="141">
      <formula>P$9&lt;8/24</formula>
    </cfRule>
  </conditionalFormatting>
  <conditionalFormatting sqref="B14:K14 P14:Q14 Y14:AF14">
    <cfRule type="expression" dxfId="10554" priority="137">
      <formula>B14&gt;$AG14</formula>
    </cfRule>
  </conditionalFormatting>
  <conditionalFormatting sqref="A14">
    <cfRule type="expression" dxfId="10553" priority="136">
      <formula>$AH14=0</formula>
    </cfRule>
  </conditionalFormatting>
  <conditionalFormatting sqref="A160:A165">
    <cfRule type="expression" dxfId="10552" priority="135">
      <formula>$AH160=0</formula>
    </cfRule>
  </conditionalFormatting>
  <conditionalFormatting sqref="A154:A159">
    <cfRule type="expression" dxfId="10551" priority="134">
      <formula>$AH154=0</formula>
    </cfRule>
  </conditionalFormatting>
  <conditionalFormatting sqref="Y41:AD41">
    <cfRule type="expression" dxfId="10550" priority="130">
      <formula>Y$9&gt;=20/24</formula>
    </cfRule>
    <cfRule type="expression" dxfId="10549" priority="131">
      <formula>AND(Y$9&gt;=14/24,Y$9&lt;20/24)</formula>
    </cfRule>
    <cfRule type="expression" dxfId="10548" priority="132">
      <formula>AND(Y$9&gt;=8/24,Y$9&lt;14/24)</formula>
    </cfRule>
    <cfRule type="expression" dxfId="10547" priority="133">
      <formula>Y$9&lt;8/24</formula>
    </cfRule>
  </conditionalFormatting>
  <conditionalFormatting sqref="P41:Q41">
    <cfRule type="expression" dxfId="10546" priority="126">
      <formula>P$9&gt;=20/24</formula>
    </cfRule>
    <cfRule type="expression" dxfId="10545" priority="127">
      <formula>AND(P$9&gt;=14/24,P$9&lt;20/24)</formula>
    </cfRule>
    <cfRule type="expression" dxfId="10544" priority="128">
      <formula>AND(P$9&gt;=8/24,P$9&lt;14/24)</formula>
    </cfRule>
    <cfRule type="expression" dxfId="10543" priority="129">
      <formula>P$9&lt;8/24</formula>
    </cfRule>
  </conditionalFormatting>
  <conditionalFormatting sqref="R41:X41">
    <cfRule type="expression" dxfId="10542" priority="122">
      <formula>R$9&gt;=20/24</formula>
    </cfRule>
    <cfRule type="expression" dxfId="10541" priority="123">
      <formula>AND(R$9&gt;=14/24,R$9&lt;20/24)</formula>
    </cfRule>
    <cfRule type="expression" dxfId="10540" priority="124">
      <formula>AND(R$9&gt;=8/24,R$9&lt;14/24)</formula>
    </cfRule>
    <cfRule type="expression" dxfId="10539" priority="125">
      <formula>R$9&lt;8/24</formula>
    </cfRule>
  </conditionalFormatting>
  <conditionalFormatting sqref="B41:K41 P41:AF41">
    <cfRule type="expression" dxfId="10538" priority="121">
      <formula>B41&gt;$AG41</formula>
    </cfRule>
  </conditionalFormatting>
  <conditionalFormatting sqref="A41">
    <cfRule type="expression" dxfId="10537" priority="120">
      <formula>$AH41=0</formula>
    </cfRule>
  </conditionalFormatting>
  <conditionalFormatting sqref="B76:AF76">
    <cfRule type="expression" dxfId="10536" priority="116">
      <formula>B$9&gt;=20/24</formula>
    </cfRule>
    <cfRule type="expression" dxfId="10535" priority="117">
      <formula>AND(B$9&gt;=14/24,B$9&lt;20/24)</formula>
    </cfRule>
    <cfRule type="expression" dxfId="10534" priority="118">
      <formula>AND(B$9&gt;=8/24,B$9&lt;14/24)</formula>
    </cfRule>
    <cfRule type="expression" dxfId="10533" priority="119">
      <formula>B$9&lt;8/24</formula>
    </cfRule>
  </conditionalFormatting>
  <conditionalFormatting sqref="A76">
    <cfRule type="expression" dxfId="10532" priority="115">
      <formula>$AH76=0</formula>
    </cfRule>
  </conditionalFormatting>
  <conditionalFormatting sqref="B70:AG70">
    <cfRule type="expression" dxfId="10531" priority="111">
      <formula>B$9&gt;=20/24</formula>
    </cfRule>
    <cfRule type="expression" dxfId="10530" priority="112">
      <formula>AND(B$9&gt;=14/24,B$9&lt;20/24)</formula>
    </cfRule>
    <cfRule type="expression" dxfId="10529" priority="113">
      <formula>AND(B$9&gt;=8/24,B$9&lt;14/24)</formula>
    </cfRule>
    <cfRule type="expression" dxfId="10528" priority="114">
      <formula>B$9&lt;8/24</formula>
    </cfRule>
  </conditionalFormatting>
  <conditionalFormatting sqref="A70">
    <cfRule type="expression" dxfId="10527" priority="110">
      <formula>$AH70=0</formula>
    </cfRule>
  </conditionalFormatting>
  <conditionalFormatting sqref="AL31:AL32 AL7:AL29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T82:V88">
    <cfRule type="expression" dxfId="10526" priority="106">
      <formula>T$9&gt;=20/24</formula>
    </cfRule>
    <cfRule type="expression" dxfId="10525" priority="107">
      <formula>AND(T$9&gt;=14/24,T$9&lt;20/24)</formula>
    </cfRule>
    <cfRule type="expression" dxfId="10524" priority="108">
      <formula>AND(T$9&gt;=8/24,T$9&lt;14/24)</formula>
    </cfRule>
    <cfRule type="expression" dxfId="10523" priority="109">
      <formula>T$9&lt;8/24</formula>
    </cfRule>
  </conditionalFormatting>
  <conditionalFormatting sqref="R82:S88 B81:Q88">
    <cfRule type="expression" dxfId="10522" priority="102">
      <formula>B$9&gt;=20/24</formula>
    </cfRule>
    <cfRule type="expression" dxfId="10521" priority="103">
      <formula>AND(B$9&gt;=14/24,B$9&lt;20/24)</formula>
    </cfRule>
    <cfRule type="expression" dxfId="10520" priority="104">
      <formula>AND(B$9&gt;=8/24,B$9&lt;14/24)</formula>
    </cfRule>
    <cfRule type="expression" dxfId="10519" priority="105">
      <formula>B$9&lt;8/24</formula>
    </cfRule>
  </conditionalFormatting>
  <conditionalFormatting sqref="R81:S81">
    <cfRule type="expression" dxfId="10518" priority="98">
      <formula>R$9&gt;=20/24</formula>
    </cfRule>
    <cfRule type="expression" dxfId="10517" priority="99">
      <formula>AND(R$9&gt;=14/24,R$9&lt;20/24)</formula>
    </cfRule>
    <cfRule type="expression" dxfId="10516" priority="100">
      <formula>AND(R$9&gt;=8/24,R$9&lt;14/24)</formula>
    </cfRule>
    <cfRule type="expression" dxfId="10515" priority="101">
      <formula>R$9&lt;8/24</formula>
    </cfRule>
  </conditionalFormatting>
  <conditionalFormatting sqref="B91:E94 F92:O94">
    <cfRule type="expression" dxfId="10514" priority="94">
      <formula>B$9&gt;=20/24</formula>
    </cfRule>
    <cfRule type="expression" dxfId="10513" priority="95">
      <formula>AND(B$9&gt;=14/24,B$9&lt;20/24)</formula>
    </cfRule>
    <cfRule type="expression" dxfId="10512" priority="96">
      <formula>AND(B$9&gt;=8/24,B$9&lt;14/24)</formula>
    </cfRule>
    <cfRule type="expression" dxfId="10511" priority="97">
      <formula>B$9&lt;8/24</formula>
    </cfRule>
  </conditionalFormatting>
  <conditionalFormatting sqref="P91:Q94">
    <cfRule type="expression" dxfId="10510" priority="90">
      <formula>P$9&gt;=20/24</formula>
    </cfRule>
    <cfRule type="expression" dxfId="10509" priority="91">
      <formula>AND(P$9&gt;=14/24,P$9&lt;20/24)</formula>
    </cfRule>
    <cfRule type="expression" dxfId="10508" priority="92">
      <formula>AND(P$9&gt;=8/24,P$9&lt;14/24)</formula>
    </cfRule>
    <cfRule type="expression" dxfId="10507" priority="93">
      <formula>P$9&lt;8/24</formula>
    </cfRule>
  </conditionalFormatting>
  <conditionalFormatting sqref="R91:S94">
    <cfRule type="expression" dxfId="10506" priority="86">
      <formula>R$9&gt;=20/24</formula>
    </cfRule>
    <cfRule type="expression" dxfId="10505" priority="87">
      <formula>AND(R$9&gt;=14/24,R$9&lt;20/24)</formula>
    </cfRule>
    <cfRule type="expression" dxfId="10504" priority="88">
      <formula>AND(R$9&gt;=8/24,R$9&lt;14/24)</formula>
    </cfRule>
    <cfRule type="expression" dxfId="10503" priority="89">
      <formula>R$9&lt;8/24</formula>
    </cfRule>
  </conditionalFormatting>
  <conditionalFormatting sqref="B95:O95">
    <cfRule type="expression" dxfId="10502" priority="82">
      <formula>B$9&gt;=20/24</formula>
    </cfRule>
    <cfRule type="expression" dxfId="10501" priority="83">
      <formula>AND(B$9&gt;=14/24,B$9&lt;20/24)</formula>
    </cfRule>
    <cfRule type="expression" dxfId="10500" priority="84">
      <formula>AND(B$9&gt;=8/24,B$9&lt;14/24)</formula>
    </cfRule>
    <cfRule type="expression" dxfId="10499" priority="85">
      <formula>B$9&lt;8/24</formula>
    </cfRule>
  </conditionalFormatting>
  <conditionalFormatting sqref="P95:Q95">
    <cfRule type="expression" dxfId="10498" priority="78">
      <formula>P$9&gt;=20/24</formula>
    </cfRule>
    <cfRule type="expression" dxfId="10497" priority="79">
      <formula>AND(P$9&gt;=14/24,P$9&lt;20/24)</formula>
    </cfRule>
    <cfRule type="expression" dxfId="10496" priority="80">
      <formula>AND(P$9&gt;=8/24,P$9&lt;14/24)</formula>
    </cfRule>
    <cfRule type="expression" dxfId="10495" priority="81">
      <formula>P$9&lt;8/24</formula>
    </cfRule>
  </conditionalFormatting>
  <conditionalFormatting sqref="R95:S95">
    <cfRule type="expression" dxfId="10494" priority="74">
      <formula>R$9&gt;=20/24</formula>
    </cfRule>
    <cfRule type="expression" dxfId="10493" priority="75">
      <formula>AND(R$9&gt;=14/24,R$9&lt;20/24)</formula>
    </cfRule>
    <cfRule type="expression" dxfId="10492" priority="76">
      <formula>AND(R$9&gt;=8/24,R$9&lt;14/24)</formula>
    </cfRule>
    <cfRule type="expression" dxfId="10491" priority="77">
      <formula>R$9&lt;8/24</formula>
    </cfRule>
  </conditionalFormatting>
  <conditionalFormatting sqref="L91:O91">
    <cfRule type="expression" dxfId="10490" priority="70">
      <formula>L$9&gt;=20/24</formula>
    </cfRule>
    <cfRule type="expression" dxfId="10489" priority="71">
      <formula>AND(L$9&gt;=14/24,L$9&lt;20/24)</formula>
    </cfRule>
    <cfRule type="expression" dxfId="10488" priority="72">
      <formula>AND(L$9&gt;=8/24,L$9&lt;14/24)</formula>
    </cfRule>
    <cfRule type="expression" dxfId="10487" priority="73">
      <formula>L$9&lt;8/24</formula>
    </cfRule>
  </conditionalFormatting>
  <conditionalFormatting sqref="F91:K91">
    <cfRule type="expression" dxfId="10486" priority="66">
      <formula>F$9&gt;=20/24</formula>
    </cfRule>
    <cfRule type="expression" dxfId="10485" priority="67">
      <formula>AND(F$9&gt;=14/24,F$9&lt;20/24)</formula>
    </cfRule>
    <cfRule type="expression" dxfId="10484" priority="68">
      <formula>AND(F$9&gt;=8/24,F$9&lt;14/24)</formula>
    </cfRule>
    <cfRule type="expression" dxfId="10483" priority="69">
      <formula>F$9&lt;8/24</formula>
    </cfRule>
  </conditionalFormatting>
  <conditionalFormatting sqref="T91:V91">
    <cfRule type="expression" dxfId="10482" priority="62">
      <formula>T$9&gt;=20/24</formula>
    </cfRule>
    <cfRule type="expression" dxfId="10481" priority="63">
      <formula>AND(T$9&gt;=14/24,T$9&lt;20/24)</formula>
    </cfRule>
    <cfRule type="expression" dxfId="10480" priority="64">
      <formula>AND(T$9&gt;=8/24,T$9&lt;14/24)</formula>
    </cfRule>
    <cfRule type="expression" dxfId="10479" priority="65">
      <formula>T$9&lt;8/24</formula>
    </cfRule>
  </conditionalFormatting>
  <conditionalFormatting sqref="P91:S91">
    <cfRule type="expression" dxfId="10478" priority="58">
      <formula>P$9&gt;=20/24</formula>
    </cfRule>
    <cfRule type="expression" dxfId="10477" priority="59">
      <formula>AND(P$9&gt;=14/24,P$9&lt;20/24)</formula>
    </cfRule>
    <cfRule type="expression" dxfId="10476" priority="60">
      <formula>AND(P$9&gt;=8/24,P$9&lt;14/24)</formula>
    </cfRule>
    <cfRule type="expression" dxfId="10475" priority="61">
      <formula>P$9&lt;8/24</formula>
    </cfRule>
  </conditionalFormatting>
  <conditionalFormatting sqref="AA96:AF96">
    <cfRule type="expression" dxfId="10474" priority="54">
      <formula>AA$9&gt;=20/24</formula>
    </cfRule>
    <cfRule type="expression" dxfId="10473" priority="55">
      <formula>AND(AA$9&gt;=14/24,AA$9&lt;20/24)</formula>
    </cfRule>
    <cfRule type="expression" dxfId="10472" priority="56">
      <formula>AND(AA$9&gt;=8/24,AA$9&lt;14/24)</formula>
    </cfRule>
    <cfRule type="expression" dxfId="10471" priority="57">
      <formula>AA$9&lt;8/24</formula>
    </cfRule>
  </conditionalFormatting>
  <conditionalFormatting sqref="T96:Z96">
    <cfRule type="expression" dxfId="10470" priority="50">
      <formula>T$9&gt;=20/24</formula>
    </cfRule>
    <cfRule type="expression" dxfId="10469" priority="51">
      <formula>AND(T$9&gt;=14/24,T$9&lt;20/24)</formula>
    </cfRule>
    <cfRule type="expression" dxfId="10468" priority="52">
      <formula>AND(T$9&gt;=8/24,T$9&lt;14/24)</formula>
    </cfRule>
    <cfRule type="expression" dxfId="10467" priority="53">
      <formula>T$9&lt;8/24</formula>
    </cfRule>
  </conditionalFormatting>
  <conditionalFormatting sqref="A96">
    <cfRule type="expression" dxfId="10466" priority="49">
      <formula>$AH96=0</formula>
    </cfRule>
  </conditionalFormatting>
  <conditionalFormatting sqref="B96:O96">
    <cfRule type="expression" dxfId="10465" priority="45">
      <formula>B$9&gt;=20/24</formula>
    </cfRule>
    <cfRule type="expression" dxfId="10464" priority="46">
      <formula>AND(B$9&gt;=14/24,B$9&lt;20/24)</formula>
    </cfRule>
    <cfRule type="expression" dxfId="10463" priority="47">
      <formula>AND(B$9&gt;=8/24,B$9&lt;14/24)</formula>
    </cfRule>
    <cfRule type="expression" dxfId="10462" priority="48">
      <formula>B$9&lt;8/24</formula>
    </cfRule>
  </conditionalFormatting>
  <conditionalFormatting sqref="P96:Q96">
    <cfRule type="expression" dxfId="10461" priority="41">
      <formula>P$9&gt;=20/24</formula>
    </cfRule>
    <cfRule type="expression" dxfId="10460" priority="42">
      <formula>AND(P$9&gt;=14/24,P$9&lt;20/24)</formula>
    </cfRule>
    <cfRule type="expression" dxfId="10459" priority="43">
      <formula>AND(P$9&gt;=8/24,P$9&lt;14/24)</formula>
    </cfRule>
    <cfRule type="expression" dxfId="10458" priority="44">
      <formula>P$9&lt;8/24</formula>
    </cfRule>
  </conditionalFormatting>
  <conditionalFormatting sqref="R96:S96">
    <cfRule type="expression" dxfId="10457" priority="37">
      <formula>R$9&gt;=20/24</formula>
    </cfRule>
    <cfRule type="expression" dxfId="10456" priority="38">
      <formula>AND(R$9&gt;=14/24,R$9&lt;20/24)</formula>
    </cfRule>
    <cfRule type="expression" dxfId="10455" priority="39">
      <formula>AND(R$9&gt;=8/24,R$9&lt;14/24)</formula>
    </cfRule>
    <cfRule type="expression" dxfId="10454" priority="40">
      <formula>R$9&lt;8/24</formula>
    </cfRule>
  </conditionalFormatting>
  <conditionalFormatting sqref="R12:X14">
    <cfRule type="expression" dxfId="10453" priority="33">
      <formula>R$9&gt;=20/24</formula>
    </cfRule>
    <cfRule type="expression" dxfId="10452" priority="34">
      <formula>AND(R$9&gt;=14/24,R$9&lt;20/24)</formula>
    </cfRule>
    <cfRule type="expression" dxfId="10451" priority="35">
      <formula>AND(R$9&gt;=8/24,R$9&lt;14/24)</formula>
    </cfRule>
    <cfRule type="expression" dxfId="10450" priority="36">
      <formula>R$9&lt;8/24</formula>
    </cfRule>
  </conditionalFormatting>
  <conditionalFormatting sqref="R12:X12">
    <cfRule type="expression" dxfId="10449" priority="29">
      <formula>R$9&gt;=20/24</formula>
    </cfRule>
    <cfRule type="expression" dxfId="10448" priority="30">
      <formula>AND(R$9&gt;=14/24,R$9&lt;20/24)</formula>
    </cfRule>
    <cfRule type="expression" dxfId="10447" priority="31">
      <formula>AND(R$9&gt;=8/24,R$9&lt;14/24)</formula>
    </cfRule>
    <cfRule type="expression" dxfId="10446" priority="32">
      <formula>R$9&lt;8/24</formula>
    </cfRule>
  </conditionalFormatting>
  <conditionalFormatting sqref="AA55:AD56">
    <cfRule type="expression" dxfId="10445" priority="25">
      <formula>AA$9&gt;=20/24</formula>
    </cfRule>
    <cfRule type="expression" dxfId="10444" priority="26">
      <formula>AND(AA$9&gt;=14/24,AA$9&lt;20/24)</formula>
    </cfRule>
    <cfRule type="expression" dxfId="10443" priority="27">
      <formula>AND(AA$9&gt;=8/24,AA$9&lt;14/24)</formula>
    </cfRule>
    <cfRule type="expression" dxfId="10442" priority="28">
      <formula>AA$9&lt;8/24</formula>
    </cfRule>
  </conditionalFormatting>
  <conditionalFormatting sqref="L11:O34">
    <cfRule type="expression" dxfId="10441" priority="21">
      <formula>L$9&gt;=20/24</formula>
    </cfRule>
    <cfRule type="expression" dxfId="10440" priority="22">
      <formula>AND(L$9&gt;=14/24,L$9&lt;20/24)</formula>
    </cfRule>
    <cfRule type="expression" dxfId="10439" priority="23">
      <formula>AND(L$9&gt;=8/24,L$9&lt;14/24)</formula>
    </cfRule>
    <cfRule type="expression" dxfId="10438" priority="24">
      <formula>L$9&lt;8/24</formula>
    </cfRule>
  </conditionalFormatting>
  <conditionalFormatting sqref="L11:O34">
    <cfRule type="expression" dxfId="10437" priority="20">
      <formula>L11&gt;$AG11</formula>
    </cfRule>
  </conditionalFormatting>
  <conditionalFormatting sqref="L36:O45 L47:O47">
    <cfRule type="expression" dxfId="10436" priority="16">
      <formula>L$9&gt;=20/24</formula>
    </cfRule>
    <cfRule type="expression" dxfId="10435" priority="17">
      <formula>AND(L$9&gt;=14/24,L$9&lt;20/24)</formula>
    </cfRule>
    <cfRule type="expression" dxfId="10434" priority="18">
      <formula>AND(L$9&gt;=8/24,L$9&lt;14/24)</formula>
    </cfRule>
    <cfRule type="expression" dxfId="10433" priority="19">
      <formula>L$9&lt;8/24</formula>
    </cfRule>
  </conditionalFormatting>
  <conditionalFormatting sqref="L36:O45 L47:O47">
    <cfRule type="expression" dxfId="10432" priority="15">
      <formula>L36&gt;$AG36</formula>
    </cfRule>
  </conditionalFormatting>
  <conditionalFormatting sqref="R15:X16">
    <cfRule type="expression" dxfId="10431" priority="11">
      <formula>R$9&gt;=20/24</formula>
    </cfRule>
    <cfRule type="expression" dxfId="10430" priority="12">
      <formula>AND(R$9&gt;=14/24,R$9&lt;20/24)</formula>
    </cfRule>
    <cfRule type="expression" dxfId="10429" priority="13">
      <formula>AND(R$9&gt;=8/24,R$9&lt;14/24)</formula>
    </cfRule>
    <cfRule type="expression" dxfId="10428" priority="14">
      <formula>R$9&lt;8/24</formula>
    </cfRule>
  </conditionalFormatting>
  <conditionalFormatting sqref="R15:X16">
    <cfRule type="expression" dxfId="10427" priority="10">
      <formula>R15&gt;$AG15</formula>
    </cfRule>
  </conditionalFormatting>
  <conditionalFormatting sqref="Y82:Y88">
    <cfRule type="expression" dxfId="10426" priority="6">
      <formula>Y$9&gt;=20/24</formula>
    </cfRule>
    <cfRule type="expression" dxfId="10425" priority="7">
      <formula>AND(Y$9&gt;=14/24,Y$9&lt;20/24)</formula>
    </cfRule>
    <cfRule type="expression" dxfId="10424" priority="8">
      <formula>AND(Y$9&gt;=8/24,Y$9&lt;14/24)</formula>
    </cfRule>
    <cfRule type="expression" dxfId="10423" priority="9">
      <formula>Y$9&lt;8/24</formula>
    </cfRule>
  </conditionalFormatting>
  <conditionalFormatting sqref="L46:Q46">
    <cfRule type="expression" dxfId="10422" priority="2">
      <formula>L$9&gt;=20/24</formula>
    </cfRule>
    <cfRule type="expression" dxfId="10421" priority="3">
      <formula>AND(L$9&gt;=14/24,L$9&lt;20/24)</formula>
    </cfRule>
    <cfRule type="expression" dxfId="10420" priority="4">
      <formula>AND(L$9&gt;=8/24,L$9&lt;14/24)</formula>
    </cfRule>
    <cfRule type="expression" dxfId="10419" priority="5">
      <formula>L$9&lt;8/24</formula>
    </cfRule>
  </conditionalFormatting>
  <conditionalFormatting sqref="L46:Q46">
    <cfRule type="expression" dxfId="10418" priority="1">
      <formula>L46&gt;$AG46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11" sqref="AJ11:AK1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"2078/"&amp;"06/"&amp;INT(MID(CELL("filename",D6),FIND("]",CELL("filename",D6))+1,200))</f>
        <v>2078/06/2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AG53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B65</f>
        <v>-57.8</v>
      </c>
      <c r="C5" s="32">
        <f t="shared" ref="C5:AF5" si="0">C65</f>
        <v>8</v>
      </c>
      <c r="D5" s="32">
        <f t="shared" si="0"/>
        <v>-19.399999999999999</v>
      </c>
      <c r="E5" s="32">
        <f t="shared" si="0"/>
        <v>-27.1</v>
      </c>
      <c r="F5" s="32">
        <f t="shared" si="0"/>
        <v>-8.6999999999999993</v>
      </c>
      <c r="G5" s="32">
        <f t="shared" si="0"/>
        <v>-56.7</v>
      </c>
      <c r="H5" s="32">
        <f t="shared" si="0"/>
        <v>-60.7</v>
      </c>
      <c r="I5" s="32">
        <f t="shared" si="0"/>
        <v>-62.7</v>
      </c>
      <c r="J5" s="32">
        <f t="shared" si="0"/>
        <v>-28.5</v>
      </c>
      <c r="K5" s="32">
        <f t="shared" si="0"/>
        <v>-33.9</v>
      </c>
      <c r="L5" s="32">
        <f t="shared" si="0"/>
        <v>-20</v>
      </c>
      <c r="M5" s="32">
        <f t="shared" si="0"/>
        <v>-12</v>
      </c>
      <c r="N5" s="32">
        <f t="shared" si="0"/>
        <v>-12</v>
      </c>
      <c r="O5" s="32">
        <f t="shared" si="0"/>
        <v>-4.3</v>
      </c>
      <c r="P5" s="32">
        <f t="shared" si="0"/>
        <v>-27.2</v>
      </c>
      <c r="Q5" s="32">
        <f t="shared" si="0"/>
        <v>-40</v>
      </c>
      <c r="R5" s="32">
        <f t="shared" si="0"/>
        <v>-1.2</v>
      </c>
      <c r="S5" s="32">
        <f t="shared" si="0"/>
        <v>-47</v>
      </c>
      <c r="T5" s="32">
        <f t="shared" si="0"/>
        <v>-44.3</v>
      </c>
      <c r="U5" s="32">
        <f t="shared" si="0"/>
        <v>-10</v>
      </c>
      <c r="V5" s="32">
        <f t="shared" si="0"/>
        <v>-10</v>
      </c>
      <c r="W5" s="32">
        <f t="shared" si="0"/>
        <v>-5.8</v>
      </c>
      <c r="X5" s="32">
        <f t="shared" si="0"/>
        <v>-3.9</v>
      </c>
      <c r="Y5" s="32">
        <f t="shared" si="0"/>
        <v>-56.3</v>
      </c>
      <c r="Z5" s="32">
        <f t="shared" si="0"/>
        <v>-49.6</v>
      </c>
      <c r="AA5" s="32">
        <f t="shared" si="0"/>
        <v>-10</v>
      </c>
      <c r="AB5" s="32">
        <f t="shared" si="0"/>
        <v>-21.6</v>
      </c>
      <c r="AC5" s="32">
        <f t="shared" si="0"/>
        <v>-57.3</v>
      </c>
      <c r="AD5" s="32">
        <f t="shared" si="0"/>
        <v>3.5999999999999996</v>
      </c>
      <c r="AE5" s="32">
        <f t="shared" si="0"/>
        <v>-43.8</v>
      </c>
      <c r="AF5" s="32">
        <f t="shared" si="0"/>
        <v>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992MW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Load=752</v>
      </c>
      <c r="B7" s="37">
        <f t="shared" ref="B7:AF7" si="1">B72</f>
        <v>799.83999999999992</v>
      </c>
      <c r="C7" s="37">
        <f t="shared" si="1"/>
        <v>782.83999999999992</v>
      </c>
      <c r="D7" s="37">
        <f t="shared" si="1"/>
        <v>760.2399999999999</v>
      </c>
      <c r="E7" s="37">
        <f t="shared" si="1"/>
        <v>751.93999999999983</v>
      </c>
      <c r="F7" s="37">
        <f t="shared" si="1"/>
        <v>767.14</v>
      </c>
      <c r="G7" s="37">
        <f t="shared" si="1"/>
        <v>768.74</v>
      </c>
      <c r="H7" s="37">
        <f t="shared" si="1"/>
        <v>765.33999999999992</v>
      </c>
      <c r="I7" s="37">
        <f t="shared" si="1"/>
        <v>823.7399999999999</v>
      </c>
      <c r="J7" s="37">
        <f t="shared" si="1"/>
        <v>860.64</v>
      </c>
      <c r="K7" s="37">
        <f t="shared" si="1"/>
        <v>891.63999999999987</v>
      </c>
      <c r="L7" s="37">
        <f>L72</f>
        <v>926.34000000000015</v>
      </c>
      <c r="M7" s="37">
        <f t="shared" si="1"/>
        <v>992.24</v>
      </c>
      <c r="N7" s="37">
        <f t="shared" si="1"/>
        <v>1016.3399999999999</v>
      </c>
      <c r="O7" s="37">
        <f t="shared" si="1"/>
        <v>1041.44</v>
      </c>
      <c r="P7" s="37">
        <f t="shared" si="1"/>
        <v>1057.1400000000001</v>
      </c>
      <c r="Q7" s="37">
        <f t="shared" si="1"/>
        <v>1078.24</v>
      </c>
      <c r="R7" s="37">
        <f t="shared" si="1"/>
        <v>1120.24</v>
      </c>
      <c r="S7" s="37">
        <f t="shared" si="1"/>
        <v>1095.74</v>
      </c>
      <c r="T7" s="37">
        <f t="shared" si="1"/>
        <v>1014.44</v>
      </c>
      <c r="U7" s="37">
        <f t="shared" si="1"/>
        <v>1049.94</v>
      </c>
      <c r="V7" s="37">
        <f t="shared" si="1"/>
        <v>1064.94</v>
      </c>
      <c r="W7" s="37">
        <f t="shared" si="1"/>
        <v>1084.1399999999999</v>
      </c>
      <c r="X7" s="37">
        <f t="shared" si="1"/>
        <v>1176.04</v>
      </c>
      <c r="Y7" s="37">
        <f t="shared" si="1"/>
        <v>1363.64</v>
      </c>
      <c r="Z7" s="37">
        <f t="shared" si="1"/>
        <v>1349.04</v>
      </c>
      <c r="AA7" s="37">
        <f t="shared" si="1"/>
        <v>1308.6400000000001</v>
      </c>
      <c r="AB7" s="37">
        <f t="shared" si="1"/>
        <v>1297.04</v>
      </c>
      <c r="AC7" s="37">
        <f t="shared" si="1"/>
        <v>1210.6400000000001</v>
      </c>
      <c r="AD7" s="37">
        <f t="shared" si="1"/>
        <v>1113.3400000000001</v>
      </c>
      <c r="AE7" s="37">
        <f t="shared" si="1"/>
        <v>1043.3400000000001</v>
      </c>
      <c r="AF7" s="37">
        <f t="shared" si="1"/>
        <v>1081.24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3">
        <v>100</v>
      </c>
      <c r="C11" s="53">
        <v>0</v>
      </c>
      <c r="D11" s="53">
        <v>0</v>
      </c>
      <c r="E11" s="53">
        <v>0</v>
      </c>
      <c r="F11" s="53">
        <v>0</v>
      </c>
      <c r="G11" s="49">
        <v>49.4</v>
      </c>
      <c r="H11" s="49">
        <v>50</v>
      </c>
      <c r="I11" s="49">
        <v>106.7</v>
      </c>
      <c r="J11" s="49">
        <v>101</v>
      </c>
      <c r="K11" s="49">
        <v>102.7</v>
      </c>
      <c r="L11" s="50">
        <v>101.1</v>
      </c>
      <c r="M11" s="50">
        <v>101.1</v>
      </c>
      <c r="N11" s="50">
        <v>100</v>
      </c>
      <c r="O11" s="50">
        <v>100</v>
      </c>
      <c r="P11" s="50">
        <v>120</v>
      </c>
      <c r="Q11" s="51">
        <v>160</v>
      </c>
      <c r="R11" s="51">
        <v>163</v>
      </c>
      <c r="S11" s="51">
        <v>162</v>
      </c>
      <c r="T11" s="51">
        <v>162</v>
      </c>
      <c r="U11" s="51">
        <v>162</v>
      </c>
      <c r="V11" s="51">
        <v>162</v>
      </c>
      <c r="W11" s="51">
        <v>162</v>
      </c>
      <c r="X11" s="51">
        <v>162</v>
      </c>
      <c r="Y11" s="51">
        <v>380</v>
      </c>
      <c r="Z11" s="51">
        <v>380</v>
      </c>
      <c r="AA11" s="51">
        <v>330</v>
      </c>
      <c r="AB11" s="51">
        <v>330</v>
      </c>
      <c r="AC11" s="51">
        <v>287.7</v>
      </c>
      <c r="AD11" s="51">
        <v>160</v>
      </c>
      <c r="AE11" s="51">
        <v>158.80000000000001</v>
      </c>
      <c r="AF11" s="51">
        <v>127.8</v>
      </c>
      <c r="AG11" s="54">
        <v>456</v>
      </c>
      <c r="AH11" s="55">
        <f>MAX(B11:AF11)</f>
        <v>380</v>
      </c>
      <c r="AI11" s="56">
        <f>MIN(B11:AF11)</f>
        <v>0</v>
      </c>
      <c r="AJ11" s="176">
        <f>AVERAGE(G11:L11)</f>
        <v>85.149999999999991</v>
      </c>
      <c r="AK11" s="176">
        <f>(456-AJ11)*4</f>
        <v>1483.4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60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J12" s="176">
        <f>AVERAGE(B36:L36)</f>
        <v>87.018181818181816</v>
      </c>
      <c r="AK12" s="176">
        <f>(140-AJ12)*8</f>
        <v>423.85454545454547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60">
        <v>52.4</v>
      </c>
      <c r="AH13" s="55">
        <f t="shared" si="2"/>
        <v>0</v>
      </c>
      <c r="AI13" s="56">
        <f t="shared" si="3"/>
        <v>0</v>
      </c>
      <c r="AJ13" s="176">
        <f>AVERAGE(B37:L37)</f>
        <v>33.790909090909089</v>
      </c>
      <c r="AK13" s="176">
        <f>(70-AJ13)*8</f>
        <v>289.67272727272729</v>
      </c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45.5</v>
      </c>
      <c r="C14" s="50">
        <v>45.5</v>
      </c>
      <c r="D14" s="50">
        <v>45.8</v>
      </c>
      <c r="E14" s="50">
        <v>45.8</v>
      </c>
      <c r="F14" s="50">
        <v>45.7</v>
      </c>
      <c r="G14" s="50">
        <v>45.8</v>
      </c>
      <c r="H14" s="50">
        <v>45.8</v>
      </c>
      <c r="I14" s="50">
        <v>45.7</v>
      </c>
      <c r="J14" s="50">
        <v>45.8</v>
      </c>
      <c r="K14" s="50">
        <v>45.7</v>
      </c>
      <c r="L14" s="50">
        <v>45.7</v>
      </c>
      <c r="M14" s="50">
        <v>45.7</v>
      </c>
      <c r="N14" s="50">
        <v>45.7</v>
      </c>
      <c r="O14" s="50">
        <v>45.7</v>
      </c>
      <c r="P14" s="50">
        <v>45.7</v>
      </c>
      <c r="Q14" s="50">
        <v>45.7</v>
      </c>
      <c r="R14" s="50">
        <v>45.1</v>
      </c>
      <c r="S14" s="50">
        <v>45.1</v>
      </c>
      <c r="T14" s="50">
        <v>45.1</v>
      </c>
      <c r="U14" s="50">
        <v>45.1</v>
      </c>
      <c r="V14" s="50">
        <v>45.1</v>
      </c>
      <c r="W14" s="50">
        <v>45.1</v>
      </c>
      <c r="X14" s="50">
        <v>45.1</v>
      </c>
      <c r="Y14" s="51">
        <v>45.1</v>
      </c>
      <c r="Z14" s="51">
        <v>45.1</v>
      </c>
      <c r="AA14" s="51">
        <v>45.1</v>
      </c>
      <c r="AB14" s="51">
        <v>45.1</v>
      </c>
      <c r="AC14" s="51">
        <v>45.1</v>
      </c>
      <c r="AD14" s="51">
        <v>45.1</v>
      </c>
      <c r="AE14" s="51">
        <v>45.1</v>
      </c>
      <c r="AF14" s="51">
        <v>45.1</v>
      </c>
      <c r="AG14" s="63">
        <v>50</v>
      </c>
      <c r="AH14" s="55">
        <f t="shared" si="2"/>
        <v>45.8</v>
      </c>
      <c r="AI14" s="56">
        <f t="shared" si="3"/>
        <v>45.1</v>
      </c>
      <c r="AJ14" s="176">
        <f>AVERAGE(B38:L38)</f>
        <v>26.672727272727272</v>
      </c>
      <c r="AK14" s="176">
        <f>(65-AJ14)*8</f>
        <v>306.61818181818182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50">
        <v>26</v>
      </c>
      <c r="E15" s="50">
        <v>26</v>
      </c>
      <c r="F15" s="50">
        <v>26</v>
      </c>
      <c r="G15" s="50">
        <v>26</v>
      </c>
      <c r="H15" s="50">
        <v>26</v>
      </c>
      <c r="I15" s="50">
        <v>26</v>
      </c>
      <c r="J15" s="50">
        <v>26</v>
      </c>
      <c r="K15" s="50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1">
        <v>26</v>
      </c>
      <c r="Z15" s="51">
        <v>26</v>
      </c>
      <c r="AA15" s="51">
        <v>26</v>
      </c>
      <c r="AB15" s="51">
        <v>26</v>
      </c>
      <c r="AC15" s="51">
        <v>26</v>
      </c>
      <c r="AD15" s="51">
        <v>26</v>
      </c>
      <c r="AE15" s="51">
        <v>26</v>
      </c>
      <c r="AF15" s="51">
        <v>26</v>
      </c>
      <c r="AG15" s="60">
        <v>45</v>
      </c>
      <c r="AH15" s="55">
        <f t="shared" si="2"/>
        <v>26</v>
      </c>
      <c r="AI15" s="56">
        <f t="shared" si="3"/>
        <v>26</v>
      </c>
      <c r="AJ15" s="176">
        <f>AVERAGE(B39:L39)</f>
        <v>23.427272727272726</v>
      </c>
      <c r="AK15" s="176">
        <f>(60-AJ15)*8</f>
        <v>292.58181818181822</v>
      </c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50">
        <v>25</v>
      </c>
      <c r="E16" s="50">
        <v>25</v>
      </c>
      <c r="F16" s="50">
        <v>25</v>
      </c>
      <c r="G16" s="50">
        <v>25</v>
      </c>
      <c r="H16" s="50">
        <v>25</v>
      </c>
      <c r="I16" s="50">
        <v>25</v>
      </c>
      <c r="J16" s="50">
        <v>25</v>
      </c>
      <c r="K16" s="50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1">
        <v>25</v>
      </c>
      <c r="Z16" s="51">
        <v>25</v>
      </c>
      <c r="AA16" s="51">
        <v>25</v>
      </c>
      <c r="AB16" s="51">
        <v>25</v>
      </c>
      <c r="AC16" s="51">
        <v>25</v>
      </c>
      <c r="AD16" s="51">
        <v>25</v>
      </c>
      <c r="AE16" s="51">
        <v>25</v>
      </c>
      <c r="AF16" s="51">
        <v>25</v>
      </c>
      <c r="AG16" s="60">
        <v>42</v>
      </c>
      <c r="AH16" s="55">
        <f t="shared" si="2"/>
        <v>25</v>
      </c>
      <c r="AI16" s="56">
        <f t="shared" si="3"/>
        <v>25</v>
      </c>
      <c r="AJ16" s="176">
        <f>AVERAGE(B40:L40)</f>
        <v>15.990909090909089</v>
      </c>
      <c r="AK16" s="176">
        <f>(29-AJ16)*8</f>
        <v>104.07272727272729</v>
      </c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176">
        <f>SUM(AK11:AK16)</f>
        <v>2900.2</v>
      </c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25</v>
      </c>
      <c r="C18" s="50">
        <v>25</v>
      </c>
      <c r="D18" s="50">
        <v>25.4</v>
      </c>
      <c r="E18" s="50">
        <v>25.4</v>
      </c>
      <c r="F18" s="50">
        <v>25.3</v>
      </c>
      <c r="G18" s="50">
        <v>25.3</v>
      </c>
      <c r="H18" s="50">
        <v>25.3</v>
      </c>
      <c r="I18" s="50">
        <v>26.3</v>
      </c>
      <c r="J18" s="50">
        <v>26.3</v>
      </c>
      <c r="K18" s="50">
        <v>26.3</v>
      </c>
      <c r="L18" s="50">
        <v>26.3</v>
      </c>
      <c r="M18" s="50">
        <v>26.3</v>
      </c>
      <c r="N18" s="50">
        <v>26.3</v>
      </c>
      <c r="O18" s="50">
        <v>26.3</v>
      </c>
      <c r="P18" s="50">
        <v>26.3</v>
      </c>
      <c r="Q18" s="50">
        <v>26.3</v>
      </c>
      <c r="R18" s="50">
        <v>26.3</v>
      </c>
      <c r="S18" s="50">
        <v>26.3</v>
      </c>
      <c r="T18" s="50">
        <v>26.3</v>
      </c>
      <c r="U18" s="50">
        <v>26.3</v>
      </c>
      <c r="V18" s="50">
        <v>26.3</v>
      </c>
      <c r="W18" s="50">
        <v>26.3</v>
      </c>
      <c r="X18" s="50">
        <v>26.3</v>
      </c>
      <c r="Y18" s="51">
        <v>26.3</v>
      </c>
      <c r="Z18" s="51">
        <v>26.3</v>
      </c>
      <c r="AA18" s="51">
        <v>26.3</v>
      </c>
      <c r="AB18" s="51">
        <v>26.3</v>
      </c>
      <c r="AC18" s="51">
        <v>26.3</v>
      </c>
      <c r="AD18" s="51">
        <v>26.3</v>
      </c>
      <c r="AE18" s="51">
        <v>26.3</v>
      </c>
      <c r="AF18" s="51">
        <v>26.3</v>
      </c>
      <c r="AG18" s="60">
        <v>30</v>
      </c>
      <c r="AH18" s="55">
        <f t="shared" si="2"/>
        <v>26.3</v>
      </c>
      <c r="AI18" s="56">
        <f t="shared" si="3"/>
        <v>25</v>
      </c>
      <c r="AK18" s="17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1">
        <v>6.2</v>
      </c>
      <c r="Z19" s="51">
        <v>6.2</v>
      </c>
      <c r="AA19" s="51">
        <v>6.2</v>
      </c>
      <c r="AB19" s="51">
        <v>6.2</v>
      </c>
      <c r="AC19" s="51">
        <v>6.2</v>
      </c>
      <c r="AD19" s="51">
        <v>6.2</v>
      </c>
      <c r="AE19" s="51">
        <v>6.2</v>
      </c>
      <c r="AF19" s="51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60">
        <v>25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60">
        <v>23.5</v>
      </c>
      <c r="AH25" s="55">
        <f t="shared" si="2"/>
        <v>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60">
        <v>22.2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0">
        <v>12.2</v>
      </c>
      <c r="C27" s="50">
        <v>12.2</v>
      </c>
      <c r="D27" s="50">
        <v>12.2</v>
      </c>
      <c r="E27" s="50">
        <v>12.2</v>
      </c>
      <c r="F27" s="50">
        <v>12.2</v>
      </c>
      <c r="G27" s="50">
        <v>12.2</v>
      </c>
      <c r="H27" s="50">
        <v>12.2</v>
      </c>
      <c r="I27" s="50">
        <v>12.2</v>
      </c>
      <c r="J27" s="50">
        <v>12.2</v>
      </c>
      <c r="K27" s="50">
        <v>12.2</v>
      </c>
      <c r="L27" s="50">
        <v>12.2</v>
      </c>
      <c r="M27" s="50">
        <v>12.2</v>
      </c>
      <c r="N27" s="50">
        <v>12.2</v>
      </c>
      <c r="O27" s="50">
        <v>12.2</v>
      </c>
      <c r="P27" s="50">
        <v>12.2</v>
      </c>
      <c r="Q27" s="50">
        <v>12.2</v>
      </c>
      <c r="R27" s="50">
        <v>12.2</v>
      </c>
      <c r="S27" s="50">
        <v>12.2</v>
      </c>
      <c r="T27" s="50">
        <v>12.2</v>
      </c>
      <c r="U27" s="50">
        <v>12.2</v>
      </c>
      <c r="V27" s="50">
        <v>12.2</v>
      </c>
      <c r="W27" s="50">
        <v>12.2</v>
      </c>
      <c r="X27" s="50">
        <v>12.2</v>
      </c>
      <c r="Y27" s="51">
        <v>12.2</v>
      </c>
      <c r="Z27" s="51">
        <v>12.2</v>
      </c>
      <c r="AA27" s="51">
        <v>12.2</v>
      </c>
      <c r="AB27" s="51">
        <v>12.2</v>
      </c>
      <c r="AC27" s="51">
        <v>12.2</v>
      </c>
      <c r="AD27" s="51">
        <v>12.2</v>
      </c>
      <c r="AE27" s="51">
        <v>12.2</v>
      </c>
      <c r="AF27" s="51">
        <v>12.2</v>
      </c>
      <c r="AG27" s="60">
        <v>22.1</v>
      </c>
      <c r="AH27" s="55">
        <f t="shared" si="2"/>
        <v>12.2</v>
      </c>
      <c r="AI27" s="56">
        <f t="shared" si="3"/>
        <v>12.2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60">
        <v>22.1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8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1">
        <v>12</v>
      </c>
      <c r="Z29" s="51">
        <v>12</v>
      </c>
      <c r="AA29" s="51">
        <v>12</v>
      </c>
      <c r="AB29" s="51">
        <v>12</v>
      </c>
      <c r="AC29" s="51">
        <v>12</v>
      </c>
      <c r="AD29" s="51">
        <v>12</v>
      </c>
      <c r="AE29" s="51">
        <v>12</v>
      </c>
      <c r="AF29" s="51">
        <v>12</v>
      </c>
      <c r="AG29" s="63">
        <v>22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64"/>
      <c r="AR29" s="65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66" t="s">
        <v>38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67">
        <v>22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66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7">
        <v>20</v>
      </c>
      <c r="AH31" s="55">
        <f t="shared" si="2"/>
        <v>0</v>
      </c>
      <c r="AI31" s="56">
        <f t="shared" si="3"/>
        <v>0</v>
      </c>
      <c r="AK31" s="57"/>
      <c r="AL31" s="30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7">
        <v>15.33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8" t="s">
        <v>41</v>
      </c>
      <c r="B33" s="62">
        <v>230</v>
      </c>
      <c r="C33" s="62">
        <v>230</v>
      </c>
      <c r="D33" s="62">
        <v>230</v>
      </c>
      <c r="E33" s="62">
        <v>230</v>
      </c>
      <c r="F33" s="62">
        <v>230</v>
      </c>
      <c r="G33" s="62">
        <v>230</v>
      </c>
      <c r="H33" s="62">
        <v>230</v>
      </c>
      <c r="I33" s="62">
        <v>230</v>
      </c>
      <c r="J33" s="62">
        <v>230</v>
      </c>
      <c r="K33" s="62">
        <v>230</v>
      </c>
      <c r="L33" s="62">
        <v>230</v>
      </c>
      <c r="M33" s="62">
        <v>230</v>
      </c>
      <c r="N33" s="62">
        <v>230</v>
      </c>
      <c r="O33" s="62">
        <v>230</v>
      </c>
      <c r="P33" s="62">
        <v>230</v>
      </c>
      <c r="Q33" s="62">
        <v>230</v>
      </c>
      <c r="R33" s="62">
        <v>230</v>
      </c>
      <c r="S33" s="62">
        <v>230</v>
      </c>
      <c r="T33" s="62">
        <v>230</v>
      </c>
      <c r="U33" s="62">
        <v>230</v>
      </c>
      <c r="V33" s="62">
        <v>230</v>
      </c>
      <c r="W33" s="62">
        <v>230</v>
      </c>
      <c r="X33" s="62">
        <v>230</v>
      </c>
      <c r="Y33" s="51">
        <v>230</v>
      </c>
      <c r="Z33" s="51">
        <v>230</v>
      </c>
      <c r="AA33" s="51">
        <v>230</v>
      </c>
      <c r="AB33" s="51">
        <v>230</v>
      </c>
      <c r="AC33" s="51">
        <v>230</v>
      </c>
      <c r="AD33" s="51">
        <v>230</v>
      </c>
      <c r="AE33" s="51">
        <v>230</v>
      </c>
      <c r="AF33" s="51">
        <v>230</v>
      </c>
      <c r="AG33" s="67">
        <v>85</v>
      </c>
      <c r="AH33" s="55">
        <f t="shared" si="2"/>
        <v>230</v>
      </c>
      <c r="AI33" s="56">
        <f t="shared" si="3"/>
        <v>230</v>
      </c>
      <c r="AK33" s="57"/>
    </row>
    <row r="34" spans="1:41" ht="15.75" thickBot="1" x14ac:dyDescent="0.3">
      <c r="A34" s="69" t="s">
        <v>42</v>
      </c>
      <c r="B34" s="70">
        <v>162.9</v>
      </c>
      <c r="C34" s="70">
        <f>61+101.6</f>
        <v>162.6</v>
      </c>
      <c r="D34" s="70">
        <v>160.80000000000001</v>
      </c>
      <c r="E34" s="70">
        <v>160</v>
      </c>
      <c r="F34" s="70">
        <v>159.19999999999999</v>
      </c>
      <c r="G34" s="70">
        <v>158.80000000000001</v>
      </c>
      <c r="H34" s="70">
        <v>158.80000000000001</v>
      </c>
      <c r="I34" s="70">
        <v>156</v>
      </c>
      <c r="J34" s="70">
        <v>156</v>
      </c>
      <c r="K34" s="70">
        <v>152.80000000000001</v>
      </c>
      <c r="L34" s="70">
        <v>152.80000000000001</v>
      </c>
      <c r="M34" s="70">
        <f>99.5+59.6</f>
        <v>159.1</v>
      </c>
      <c r="N34" s="70">
        <v>159.80000000000001</v>
      </c>
      <c r="O34" s="70">
        <f>100.2+60.1</f>
        <v>160.30000000000001</v>
      </c>
      <c r="P34" s="70">
        <v>156.1</v>
      </c>
      <c r="Q34" s="70">
        <v>166.1</v>
      </c>
      <c r="R34" s="70">
        <v>160.6</v>
      </c>
      <c r="S34" s="70">
        <v>157</v>
      </c>
      <c r="T34" s="70">
        <v>157</v>
      </c>
      <c r="U34" s="70">
        <v>159.1</v>
      </c>
      <c r="V34" s="70">
        <v>159.1</v>
      </c>
      <c r="W34" s="70">
        <v>159.1</v>
      </c>
      <c r="X34" s="70">
        <v>159.1</v>
      </c>
      <c r="Y34" s="51">
        <v>154</v>
      </c>
      <c r="Z34" s="51">
        <v>150.30000000000001</v>
      </c>
      <c r="AA34" s="70">
        <v>153.30000000000001</v>
      </c>
      <c r="AB34" s="70">
        <v>153.69999999999999</v>
      </c>
      <c r="AC34" s="70">
        <v>155.4</v>
      </c>
      <c r="AD34" s="70">
        <v>155.19999999999999</v>
      </c>
      <c r="AE34" s="62">
        <v>155.9</v>
      </c>
      <c r="AF34" s="62">
        <v>138.19999999999999</v>
      </c>
      <c r="AG34" s="67">
        <v>240</v>
      </c>
      <c r="AH34" s="55">
        <f t="shared" si="2"/>
        <v>166.1</v>
      </c>
      <c r="AI34" s="56">
        <f t="shared" si="3"/>
        <v>138.19999999999999</v>
      </c>
      <c r="AK34" s="57"/>
    </row>
    <row r="35" spans="1:41" ht="15.75" thickBot="1" x14ac:dyDescent="0.3">
      <c r="A35" s="71" t="s">
        <v>43</v>
      </c>
      <c r="B35" s="72">
        <f>SUM(B11:B33)</f>
        <v>644.9</v>
      </c>
      <c r="C35" s="72">
        <f t="shared" ref="C35:AF35" si="4">SUM(C11:C33)</f>
        <v>544.9</v>
      </c>
      <c r="D35" s="72">
        <f t="shared" si="4"/>
        <v>545.59999999999991</v>
      </c>
      <c r="E35" s="72">
        <f t="shared" si="4"/>
        <v>545.59999999999991</v>
      </c>
      <c r="F35" s="72">
        <f t="shared" si="4"/>
        <v>545.4</v>
      </c>
      <c r="G35" s="72">
        <f t="shared" si="4"/>
        <v>594.9</v>
      </c>
      <c r="H35" s="72">
        <f t="shared" si="4"/>
        <v>595.5</v>
      </c>
      <c r="I35" s="72">
        <f t="shared" si="4"/>
        <v>653.09999999999991</v>
      </c>
      <c r="J35" s="72">
        <f t="shared" si="4"/>
        <v>647.5</v>
      </c>
      <c r="K35" s="72">
        <f t="shared" si="4"/>
        <v>649.09999999999991</v>
      </c>
      <c r="L35" s="72">
        <f t="shared" si="4"/>
        <v>647.5</v>
      </c>
      <c r="M35" s="72">
        <f t="shared" si="4"/>
        <v>647.5</v>
      </c>
      <c r="N35" s="72">
        <f t="shared" si="4"/>
        <v>646.4</v>
      </c>
      <c r="O35" s="72">
        <f t="shared" si="4"/>
        <v>646.4</v>
      </c>
      <c r="P35" s="72">
        <f t="shared" si="4"/>
        <v>666.4</v>
      </c>
      <c r="Q35" s="72">
        <f t="shared" si="4"/>
        <v>706.4</v>
      </c>
      <c r="R35" s="72">
        <f t="shared" si="4"/>
        <v>708.8</v>
      </c>
      <c r="S35" s="72">
        <f t="shared" si="4"/>
        <v>729.8</v>
      </c>
      <c r="T35" s="72">
        <f t="shared" si="4"/>
        <v>729.8</v>
      </c>
      <c r="U35" s="72">
        <f t="shared" si="4"/>
        <v>729.8</v>
      </c>
      <c r="V35" s="72">
        <f t="shared" si="4"/>
        <v>729.8</v>
      </c>
      <c r="W35" s="72">
        <f t="shared" si="4"/>
        <v>729.8</v>
      </c>
      <c r="X35" s="72">
        <f t="shared" si="4"/>
        <v>729.8</v>
      </c>
      <c r="Y35" s="72">
        <f t="shared" si="4"/>
        <v>947.80000000000007</v>
      </c>
      <c r="Z35" s="72">
        <f t="shared" si="4"/>
        <v>947.80000000000007</v>
      </c>
      <c r="AA35" s="72">
        <f t="shared" si="4"/>
        <v>897.80000000000007</v>
      </c>
      <c r="AB35" s="72">
        <f t="shared" si="4"/>
        <v>897.80000000000007</v>
      </c>
      <c r="AC35" s="72">
        <f t="shared" si="4"/>
        <v>855.5</v>
      </c>
      <c r="AD35" s="72">
        <f t="shared" si="4"/>
        <v>727.8</v>
      </c>
      <c r="AE35" s="72">
        <f t="shared" si="4"/>
        <v>726.6</v>
      </c>
      <c r="AF35" s="72">
        <f t="shared" si="4"/>
        <v>695.59999999999991</v>
      </c>
      <c r="AG35" s="67">
        <f>SUM(AG11:AG34)</f>
        <v>1416.83</v>
      </c>
      <c r="AH35" s="55">
        <f t="shared" si="2"/>
        <v>947.80000000000007</v>
      </c>
      <c r="AI35" s="56">
        <f t="shared" si="3"/>
        <v>544.9</v>
      </c>
      <c r="AK35" s="57"/>
    </row>
    <row r="36" spans="1:41" x14ac:dyDescent="0.25">
      <c r="A36" s="58" t="s">
        <v>44</v>
      </c>
      <c r="B36" s="49">
        <v>61</v>
      </c>
      <c r="C36" s="62">
        <v>79</v>
      </c>
      <c r="D36" s="62">
        <v>86</v>
      </c>
      <c r="E36" s="62">
        <v>85.8</v>
      </c>
      <c r="F36" s="62">
        <v>85.9</v>
      </c>
      <c r="G36" s="62">
        <v>86</v>
      </c>
      <c r="H36" s="62">
        <v>86</v>
      </c>
      <c r="I36" s="62">
        <v>85.7</v>
      </c>
      <c r="J36" s="62">
        <v>94</v>
      </c>
      <c r="K36" s="62">
        <v>95.8</v>
      </c>
      <c r="L36" s="50">
        <v>112</v>
      </c>
      <c r="M36" s="50">
        <v>131.6</v>
      </c>
      <c r="N36" s="50">
        <v>130.80000000000001</v>
      </c>
      <c r="O36" s="50">
        <v>138.19999999999999</v>
      </c>
      <c r="P36" s="50">
        <v>139.30000000000001</v>
      </c>
      <c r="Q36" s="50">
        <v>138.5</v>
      </c>
      <c r="R36" s="50">
        <v>138.5</v>
      </c>
      <c r="S36" s="50">
        <v>138.80000000000001</v>
      </c>
      <c r="T36" s="50">
        <v>138.9</v>
      </c>
      <c r="U36" s="50">
        <v>138.80000000000001</v>
      </c>
      <c r="V36" s="50">
        <v>138.80000000000001</v>
      </c>
      <c r="W36" s="50">
        <v>138.80000000000001</v>
      </c>
      <c r="X36" s="50">
        <v>138.80000000000001</v>
      </c>
      <c r="Y36" s="50">
        <v>139.4</v>
      </c>
      <c r="Z36" s="50">
        <v>139</v>
      </c>
      <c r="AA36" s="50">
        <v>139</v>
      </c>
      <c r="AB36" s="50">
        <v>139</v>
      </c>
      <c r="AC36" s="50">
        <v>139</v>
      </c>
      <c r="AD36" s="50">
        <v>131.19999999999999</v>
      </c>
      <c r="AE36" s="50">
        <v>120.9</v>
      </c>
      <c r="AF36" s="50">
        <v>131.30000000000001</v>
      </c>
      <c r="AG36" s="63">
        <v>144</v>
      </c>
      <c r="AH36" s="55">
        <f t="shared" si="2"/>
        <v>139.4</v>
      </c>
      <c r="AI36" s="56">
        <f t="shared" si="3"/>
        <v>61</v>
      </c>
      <c r="AK36" s="57"/>
    </row>
    <row r="37" spans="1:41" x14ac:dyDescent="0.25">
      <c r="A37" s="66" t="s">
        <v>45</v>
      </c>
      <c r="B37" s="62">
        <v>23.8</v>
      </c>
      <c r="C37" s="62">
        <v>34.6</v>
      </c>
      <c r="D37" s="62">
        <v>34.799999999999997</v>
      </c>
      <c r="E37" s="62">
        <v>34.700000000000003</v>
      </c>
      <c r="F37" s="62">
        <v>34.799999999999997</v>
      </c>
      <c r="G37" s="62">
        <v>34.799999999999997</v>
      </c>
      <c r="H37" s="62">
        <v>34.799999999999997</v>
      </c>
      <c r="I37" s="62">
        <v>34.700000000000003</v>
      </c>
      <c r="J37" s="62">
        <v>34.700000000000003</v>
      </c>
      <c r="K37" s="62">
        <v>35</v>
      </c>
      <c r="L37" s="52">
        <v>35</v>
      </c>
      <c r="M37" s="52">
        <v>35</v>
      </c>
      <c r="N37" s="52">
        <v>61</v>
      </c>
      <c r="O37" s="52">
        <v>71.599999999999994</v>
      </c>
      <c r="P37" s="52">
        <v>71.400000000000006</v>
      </c>
      <c r="Q37" s="52">
        <v>70</v>
      </c>
      <c r="R37" s="52">
        <v>70</v>
      </c>
      <c r="S37" s="52">
        <v>70</v>
      </c>
      <c r="T37" s="52">
        <v>69.900000000000006</v>
      </c>
      <c r="U37" s="52">
        <v>71.5</v>
      </c>
      <c r="V37" s="52">
        <v>71.5</v>
      </c>
      <c r="W37" s="52">
        <v>71.5</v>
      </c>
      <c r="X37" s="52">
        <v>71.5</v>
      </c>
      <c r="Y37" s="50">
        <v>72.3</v>
      </c>
      <c r="Z37" s="50">
        <v>71.900000000000006</v>
      </c>
      <c r="AA37" s="50">
        <v>71.900000000000006</v>
      </c>
      <c r="AB37" s="50">
        <v>71.900000000000006</v>
      </c>
      <c r="AC37" s="50">
        <v>71.900000000000006</v>
      </c>
      <c r="AD37" s="50">
        <v>69.8</v>
      </c>
      <c r="AE37" s="50">
        <v>55.2</v>
      </c>
      <c r="AF37" s="50">
        <v>59.8</v>
      </c>
      <c r="AG37" s="67">
        <v>70</v>
      </c>
      <c r="AH37" s="55">
        <f t="shared" si="2"/>
        <v>72.3</v>
      </c>
      <c r="AI37" s="56">
        <f t="shared" si="3"/>
        <v>23.8</v>
      </c>
      <c r="AK37" s="57"/>
    </row>
    <row r="38" spans="1:41" x14ac:dyDescent="0.25">
      <c r="A38" s="66" t="s">
        <v>46</v>
      </c>
      <c r="B38" s="62">
        <v>17.899999999999999</v>
      </c>
      <c r="C38" s="62">
        <v>22.8</v>
      </c>
      <c r="D38" s="62">
        <v>22.8</v>
      </c>
      <c r="E38" s="62">
        <v>22.7</v>
      </c>
      <c r="F38" s="62">
        <v>22.7</v>
      </c>
      <c r="G38" s="62">
        <v>22.7</v>
      </c>
      <c r="H38" s="62">
        <v>22.7</v>
      </c>
      <c r="I38" s="62">
        <v>22.7</v>
      </c>
      <c r="J38" s="62">
        <v>22.7</v>
      </c>
      <c r="K38" s="62">
        <v>46.7</v>
      </c>
      <c r="L38" s="52">
        <v>47</v>
      </c>
      <c r="M38" s="52">
        <v>47.1</v>
      </c>
      <c r="N38" s="52">
        <v>47.1</v>
      </c>
      <c r="O38" s="52">
        <v>46.7</v>
      </c>
      <c r="P38" s="52">
        <v>60.4</v>
      </c>
      <c r="Q38" s="52">
        <v>61</v>
      </c>
      <c r="R38" s="52">
        <v>61.6</v>
      </c>
      <c r="S38" s="52">
        <v>61.6</v>
      </c>
      <c r="T38" s="52">
        <v>66.8</v>
      </c>
      <c r="U38" s="52">
        <v>66.5</v>
      </c>
      <c r="V38" s="52">
        <v>66.5</v>
      </c>
      <c r="W38" s="52">
        <v>66.5</v>
      </c>
      <c r="X38" s="52">
        <v>66.5</v>
      </c>
      <c r="Y38" s="50">
        <v>66.5</v>
      </c>
      <c r="Z38" s="50">
        <v>66.599999999999994</v>
      </c>
      <c r="AA38" s="50">
        <v>66.599999999999994</v>
      </c>
      <c r="AB38" s="50">
        <v>66.599999999999994</v>
      </c>
      <c r="AC38" s="50">
        <v>58.2</v>
      </c>
      <c r="AD38" s="50">
        <v>57.3</v>
      </c>
      <c r="AE38" s="50">
        <v>60.8</v>
      </c>
      <c r="AF38" s="50">
        <v>62.9</v>
      </c>
      <c r="AG38" s="67">
        <v>69</v>
      </c>
      <c r="AH38" s="55">
        <f t="shared" si="2"/>
        <v>66.8</v>
      </c>
      <c r="AI38" s="56">
        <f t="shared" si="3"/>
        <v>17.899999999999999</v>
      </c>
      <c r="AK38" s="57"/>
    </row>
    <row r="39" spans="1:41" x14ac:dyDescent="0.25">
      <c r="A39" s="66" t="s">
        <v>47</v>
      </c>
      <c r="B39" s="62">
        <v>21.9</v>
      </c>
      <c r="C39" s="62">
        <v>21.9</v>
      </c>
      <c r="D39" s="62">
        <v>21.9</v>
      </c>
      <c r="E39" s="62">
        <v>21.9</v>
      </c>
      <c r="F39" s="62">
        <v>21.7</v>
      </c>
      <c r="G39" s="62">
        <v>21.7</v>
      </c>
      <c r="H39" s="62">
        <v>21.7</v>
      </c>
      <c r="I39" s="62">
        <v>21.9</v>
      </c>
      <c r="J39" s="62">
        <v>21.9</v>
      </c>
      <c r="K39" s="62">
        <v>30.7</v>
      </c>
      <c r="L39" s="52">
        <v>30.5</v>
      </c>
      <c r="M39" s="52">
        <v>60</v>
      </c>
      <c r="N39" s="52">
        <v>60</v>
      </c>
      <c r="O39" s="52">
        <v>59.7</v>
      </c>
      <c r="P39" s="52">
        <v>59.7</v>
      </c>
      <c r="Q39" s="52">
        <v>60</v>
      </c>
      <c r="R39" s="52">
        <v>60.2</v>
      </c>
      <c r="S39" s="52">
        <v>60.2</v>
      </c>
      <c r="T39" s="52">
        <v>0</v>
      </c>
      <c r="U39" s="52">
        <v>0</v>
      </c>
      <c r="V39" s="52">
        <v>0</v>
      </c>
      <c r="W39" s="52">
        <v>0</v>
      </c>
      <c r="X39" s="52">
        <v>60</v>
      </c>
      <c r="Y39" s="50">
        <v>60</v>
      </c>
      <c r="Z39" s="50">
        <v>60</v>
      </c>
      <c r="AA39" s="50">
        <v>60</v>
      </c>
      <c r="AB39" s="50">
        <v>60</v>
      </c>
      <c r="AC39" s="50">
        <v>60</v>
      </c>
      <c r="AD39" s="50">
        <v>40.299999999999997</v>
      </c>
      <c r="AE39" s="50">
        <v>40.299999999999997</v>
      </c>
      <c r="AF39" s="50">
        <v>40.299999999999997</v>
      </c>
      <c r="AG39" s="67">
        <v>60</v>
      </c>
      <c r="AH39" s="55">
        <f t="shared" si="2"/>
        <v>60.2</v>
      </c>
      <c r="AI39" s="56">
        <f t="shared" si="3"/>
        <v>0</v>
      </c>
      <c r="AK39" s="57"/>
    </row>
    <row r="40" spans="1:41" x14ac:dyDescent="0.25">
      <c r="A40" s="66" t="s">
        <v>48</v>
      </c>
      <c r="B40" s="62">
        <v>24.7</v>
      </c>
      <c r="C40" s="62">
        <v>15.2</v>
      </c>
      <c r="D40" s="62">
        <v>15.3</v>
      </c>
      <c r="E40" s="62">
        <v>15.1</v>
      </c>
      <c r="F40" s="62">
        <v>15.1</v>
      </c>
      <c r="G40" s="62">
        <v>15.1</v>
      </c>
      <c r="H40" s="62">
        <v>15.1</v>
      </c>
      <c r="I40" s="62">
        <v>15.1</v>
      </c>
      <c r="J40" s="62">
        <v>15.1</v>
      </c>
      <c r="K40" s="62">
        <v>15</v>
      </c>
      <c r="L40" s="50">
        <v>15.1</v>
      </c>
      <c r="M40" s="50">
        <v>23.7</v>
      </c>
      <c r="N40" s="50">
        <v>23.7</v>
      </c>
      <c r="O40" s="50">
        <v>23.8</v>
      </c>
      <c r="P40" s="50">
        <v>28.8</v>
      </c>
      <c r="Q40" s="50">
        <v>29</v>
      </c>
      <c r="R40" s="50">
        <v>29</v>
      </c>
      <c r="S40" s="50">
        <v>29</v>
      </c>
      <c r="T40" s="50">
        <v>0</v>
      </c>
      <c r="U40" s="50">
        <v>0</v>
      </c>
      <c r="V40" s="50">
        <v>0</v>
      </c>
      <c r="W40" s="50">
        <v>0</v>
      </c>
      <c r="X40" s="50">
        <v>30</v>
      </c>
      <c r="Y40" s="50">
        <v>30</v>
      </c>
      <c r="Z40" s="50">
        <v>30</v>
      </c>
      <c r="AA40" s="50">
        <v>30</v>
      </c>
      <c r="AB40" s="50">
        <v>30</v>
      </c>
      <c r="AC40" s="50">
        <v>30</v>
      </c>
      <c r="AD40" s="50">
        <v>30</v>
      </c>
      <c r="AE40" s="50">
        <v>30</v>
      </c>
      <c r="AF40" s="50">
        <v>30</v>
      </c>
      <c r="AG40" s="67">
        <v>30</v>
      </c>
      <c r="AH40" s="55">
        <f t="shared" si="2"/>
        <v>30</v>
      </c>
      <c r="AI40" s="56">
        <f t="shared" si="3"/>
        <v>0</v>
      </c>
      <c r="AK40" s="57"/>
    </row>
    <row r="41" spans="1:41" x14ac:dyDescent="0.25">
      <c r="A41" s="66" t="s">
        <v>49</v>
      </c>
      <c r="B41" s="62">
        <v>0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15</v>
      </c>
      <c r="W41" s="50">
        <v>30</v>
      </c>
      <c r="X41" s="50">
        <v>30</v>
      </c>
      <c r="Y41" s="50">
        <v>30</v>
      </c>
      <c r="Z41" s="50">
        <v>30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67">
        <v>25</v>
      </c>
      <c r="AH41" s="55">
        <f t="shared" si="2"/>
        <v>30</v>
      </c>
      <c r="AI41" s="56">
        <f t="shared" si="3"/>
        <v>0</v>
      </c>
      <c r="AK41" s="57"/>
    </row>
    <row r="42" spans="1:41" x14ac:dyDescent="0.25">
      <c r="A42" s="66" t="s">
        <v>50</v>
      </c>
      <c r="B42" s="62">
        <v>17</v>
      </c>
      <c r="C42" s="73">
        <v>17</v>
      </c>
      <c r="D42" s="73">
        <v>17</v>
      </c>
      <c r="E42" s="73">
        <v>17</v>
      </c>
      <c r="F42" s="73">
        <v>17</v>
      </c>
      <c r="G42" s="73">
        <v>17</v>
      </c>
      <c r="H42" s="73">
        <v>17</v>
      </c>
      <c r="I42" s="73">
        <v>17</v>
      </c>
      <c r="J42" s="73">
        <v>17</v>
      </c>
      <c r="K42" s="73">
        <v>17</v>
      </c>
      <c r="L42" s="50">
        <v>17</v>
      </c>
      <c r="M42" s="50">
        <v>17</v>
      </c>
      <c r="N42" s="50">
        <v>17</v>
      </c>
      <c r="O42" s="50">
        <v>17</v>
      </c>
      <c r="P42" s="50">
        <v>17</v>
      </c>
      <c r="Q42" s="50">
        <v>12</v>
      </c>
      <c r="R42" s="50">
        <v>12</v>
      </c>
      <c r="S42" s="50">
        <v>12</v>
      </c>
      <c r="T42" s="50">
        <v>12</v>
      </c>
      <c r="U42" s="50">
        <v>12</v>
      </c>
      <c r="V42" s="50">
        <v>12</v>
      </c>
      <c r="W42" s="50">
        <v>12</v>
      </c>
      <c r="X42" s="50">
        <v>12</v>
      </c>
      <c r="Y42" s="50">
        <v>12</v>
      </c>
      <c r="Z42" s="50">
        <v>12</v>
      </c>
      <c r="AA42" s="50">
        <v>12</v>
      </c>
      <c r="AB42" s="50">
        <v>12</v>
      </c>
      <c r="AC42" s="50">
        <v>12</v>
      </c>
      <c r="AD42" s="50">
        <v>12</v>
      </c>
      <c r="AE42" s="50">
        <v>12</v>
      </c>
      <c r="AF42" s="50">
        <v>12</v>
      </c>
      <c r="AG42" s="67">
        <v>24</v>
      </c>
      <c r="AH42" s="55">
        <f t="shared" si="2"/>
        <v>17</v>
      </c>
      <c r="AI42" s="56">
        <f t="shared" si="3"/>
        <v>12</v>
      </c>
      <c r="AK42" s="57"/>
    </row>
    <row r="43" spans="1:41" x14ac:dyDescent="0.25">
      <c r="A43" s="66" t="s">
        <v>51</v>
      </c>
      <c r="B43" s="62">
        <v>3.1</v>
      </c>
      <c r="C43" s="62">
        <v>3.1</v>
      </c>
      <c r="D43" s="62">
        <v>3.1</v>
      </c>
      <c r="E43" s="62">
        <v>3.1</v>
      </c>
      <c r="F43" s="62">
        <v>3.1</v>
      </c>
      <c r="G43" s="62">
        <v>3.1</v>
      </c>
      <c r="H43" s="62">
        <v>3.1</v>
      </c>
      <c r="I43" s="62">
        <v>3.1</v>
      </c>
      <c r="J43" s="62">
        <v>3.1</v>
      </c>
      <c r="K43" s="62">
        <v>3.1</v>
      </c>
      <c r="L43" s="50">
        <v>3.1</v>
      </c>
      <c r="M43" s="50">
        <v>3.1</v>
      </c>
      <c r="N43" s="50">
        <v>3.1</v>
      </c>
      <c r="O43" s="50">
        <v>3.1</v>
      </c>
      <c r="P43" s="50">
        <v>3.1</v>
      </c>
      <c r="Q43" s="50">
        <v>3.1</v>
      </c>
      <c r="R43" s="50">
        <v>3.1</v>
      </c>
      <c r="S43" s="50">
        <v>3.1</v>
      </c>
      <c r="T43" s="50">
        <v>3.1</v>
      </c>
      <c r="U43" s="50">
        <v>3.1</v>
      </c>
      <c r="V43" s="50">
        <v>3.1</v>
      </c>
      <c r="W43" s="50">
        <v>3.1</v>
      </c>
      <c r="X43" s="50">
        <v>3.1</v>
      </c>
      <c r="Y43" s="50">
        <v>3.1</v>
      </c>
      <c r="Z43" s="50">
        <v>3.1</v>
      </c>
      <c r="AA43" s="50">
        <v>3.1</v>
      </c>
      <c r="AB43" s="50">
        <v>3.1</v>
      </c>
      <c r="AC43" s="50">
        <v>3.1</v>
      </c>
      <c r="AD43" s="50">
        <v>3.1</v>
      </c>
      <c r="AE43" s="50">
        <v>3.1</v>
      </c>
      <c r="AF43" s="50">
        <v>3.1</v>
      </c>
      <c r="AG43" s="67">
        <v>15</v>
      </c>
      <c r="AH43" s="55">
        <f t="shared" si="2"/>
        <v>3.1</v>
      </c>
      <c r="AI43" s="56">
        <f t="shared" si="3"/>
        <v>3.1</v>
      </c>
      <c r="AK43" s="57"/>
      <c r="AL43" s="74"/>
      <c r="AO43" s="74"/>
    </row>
    <row r="44" spans="1:41" s="74" customFormat="1" x14ac:dyDescent="0.25">
      <c r="A44" s="66" t="s">
        <v>52</v>
      </c>
      <c r="B44" s="62">
        <v>13</v>
      </c>
      <c r="C44" s="62">
        <v>13</v>
      </c>
      <c r="D44" s="62">
        <v>13</v>
      </c>
      <c r="E44" s="62">
        <v>13</v>
      </c>
      <c r="F44" s="62">
        <v>13</v>
      </c>
      <c r="G44" s="62">
        <v>13</v>
      </c>
      <c r="H44" s="62">
        <v>13</v>
      </c>
      <c r="I44" s="62">
        <v>13</v>
      </c>
      <c r="J44" s="62">
        <v>13</v>
      </c>
      <c r="K44" s="62">
        <v>13</v>
      </c>
      <c r="L44" s="50">
        <v>13</v>
      </c>
      <c r="M44" s="50">
        <v>13</v>
      </c>
      <c r="N44" s="50">
        <v>13</v>
      </c>
      <c r="O44" s="50">
        <v>13</v>
      </c>
      <c r="P44" s="50">
        <v>13</v>
      </c>
      <c r="Q44" s="50">
        <v>13</v>
      </c>
      <c r="R44" s="50">
        <v>13</v>
      </c>
      <c r="S44" s="50">
        <v>13</v>
      </c>
      <c r="T44" s="50">
        <v>13</v>
      </c>
      <c r="U44" s="50">
        <v>13</v>
      </c>
      <c r="V44" s="50">
        <v>13</v>
      </c>
      <c r="W44" s="50">
        <v>13</v>
      </c>
      <c r="X44" s="50">
        <v>13</v>
      </c>
      <c r="Y44" s="50">
        <v>13</v>
      </c>
      <c r="Z44" s="50">
        <v>13</v>
      </c>
      <c r="AA44" s="50">
        <v>13</v>
      </c>
      <c r="AB44" s="50">
        <v>13</v>
      </c>
      <c r="AC44" s="50">
        <v>13</v>
      </c>
      <c r="AD44" s="50">
        <v>13</v>
      </c>
      <c r="AE44" s="50">
        <v>13</v>
      </c>
      <c r="AF44" s="50">
        <v>13</v>
      </c>
      <c r="AG44" s="67">
        <v>14.1</v>
      </c>
      <c r="AH44" s="55">
        <f t="shared" si="2"/>
        <v>13</v>
      </c>
      <c r="AI44" s="56">
        <f t="shared" si="3"/>
        <v>13</v>
      </c>
      <c r="AJ44" s="1"/>
      <c r="AK44" s="57"/>
      <c r="AL44"/>
      <c r="AM44"/>
      <c r="AN44"/>
      <c r="AO44"/>
    </row>
    <row r="45" spans="1:41" x14ac:dyDescent="0.25">
      <c r="A45" s="75" t="s">
        <v>53</v>
      </c>
      <c r="B45" s="62">
        <v>14</v>
      </c>
      <c r="C45" s="73">
        <v>7</v>
      </c>
      <c r="D45" s="73">
        <v>7</v>
      </c>
      <c r="E45" s="73">
        <v>7</v>
      </c>
      <c r="F45" s="73">
        <v>4</v>
      </c>
      <c r="G45" s="73">
        <v>4</v>
      </c>
      <c r="H45" s="73">
        <v>4</v>
      </c>
      <c r="I45" s="73">
        <v>7</v>
      </c>
      <c r="J45" s="73">
        <v>7</v>
      </c>
      <c r="K45" s="73">
        <v>7</v>
      </c>
      <c r="L45" s="50">
        <v>10</v>
      </c>
      <c r="M45" s="50">
        <v>10</v>
      </c>
      <c r="N45" s="50">
        <v>10</v>
      </c>
      <c r="O45" s="50">
        <v>10</v>
      </c>
      <c r="P45" s="50">
        <v>10</v>
      </c>
      <c r="Q45" s="50">
        <v>10</v>
      </c>
      <c r="R45" s="50">
        <v>10</v>
      </c>
      <c r="S45" s="50">
        <v>10</v>
      </c>
      <c r="T45" s="50">
        <v>10</v>
      </c>
      <c r="U45" s="50">
        <v>10</v>
      </c>
      <c r="V45" s="50">
        <v>10</v>
      </c>
      <c r="W45" s="50">
        <v>10</v>
      </c>
      <c r="X45" s="50">
        <v>10</v>
      </c>
      <c r="Y45" s="50">
        <v>10</v>
      </c>
      <c r="Z45" s="50">
        <v>10</v>
      </c>
      <c r="AA45" s="50">
        <v>10</v>
      </c>
      <c r="AB45" s="50">
        <v>10</v>
      </c>
      <c r="AC45" s="50">
        <v>10</v>
      </c>
      <c r="AD45" s="50">
        <v>10</v>
      </c>
      <c r="AE45" s="50">
        <v>10</v>
      </c>
      <c r="AF45" s="50">
        <v>10</v>
      </c>
      <c r="AG45" s="67">
        <v>14</v>
      </c>
      <c r="AH45" s="55">
        <f t="shared" si="2"/>
        <v>14</v>
      </c>
      <c r="AI45" s="56">
        <f t="shared" si="3"/>
        <v>4</v>
      </c>
      <c r="AK45" s="57"/>
    </row>
    <row r="46" spans="1:41" x14ac:dyDescent="0.25">
      <c r="A46" s="66" t="s">
        <v>54</v>
      </c>
      <c r="B46" s="62">
        <v>6.6</v>
      </c>
      <c r="C46" s="62">
        <v>6.6</v>
      </c>
      <c r="D46" s="62">
        <v>6.6</v>
      </c>
      <c r="E46" s="62">
        <v>6.6</v>
      </c>
      <c r="F46" s="62">
        <v>6.6</v>
      </c>
      <c r="G46" s="62">
        <v>6.6</v>
      </c>
      <c r="H46" s="62">
        <v>6.6</v>
      </c>
      <c r="I46" s="62">
        <v>6.6</v>
      </c>
      <c r="J46" s="62">
        <v>6.6</v>
      </c>
      <c r="K46" s="62">
        <v>6.6</v>
      </c>
      <c r="L46" s="50">
        <v>6.6</v>
      </c>
      <c r="M46" s="50">
        <v>6.7</v>
      </c>
      <c r="N46" s="50">
        <v>6.7</v>
      </c>
      <c r="O46" s="50">
        <v>6.7</v>
      </c>
      <c r="P46" s="50">
        <v>5.7</v>
      </c>
      <c r="Q46" s="50">
        <v>5.7</v>
      </c>
      <c r="R46" s="50">
        <v>5.7</v>
      </c>
      <c r="S46" s="50">
        <v>5.7</v>
      </c>
      <c r="T46" s="50">
        <v>5.7</v>
      </c>
      <c r="U46" s="50">
        <v>5.7</v>
      </c>
      <c r="V46" s="50">
        <v>5.7</v>
      </c>
      <c r="W46" s="50">
        <v>5.7</v>
      </c>
      <c r="X46" s="50">
        <v>5.7</v>
      </c>
      <c r="Y46" s="50">
        <v>5.7</v>
      </c>
      <c r="Z46" s="50">
        <v>5.7</v>
      </c>
      <c r="AA46" s="50">
        <v>5.7</v>
      </c>
      <c r="AB46" s="50">
        <v>5.7</v>
      </c>
      <c r="AC46" s="50">
        <v>5.7</v>
      </c>
      <c r="AD46" s="50">
        <v>5.7</v>
      </c>
      <c r="AE46" s="50">
        <v>5.7</v>
      </c>
      <c r="AF46" s="50">
        <v>5.7</v>
      </c>
      <c r="AG46" s="67">
        <v>10.050000000000001</v>
      </c>
      <c r="AH46" s="55">
        <f t="shared" si="2"/>
        <v>6.7</v>
      </c>
      <c r="AI46" s="56">
        <f t="shared" si="3"/>
        <v>5.7</v>
      </c>
      <c r="AK46" s="57"/>
    </row>
    <row r="47" spans="1:41" x14ac:dyDescent="0.25">
      <c r="A47" s="66" t="s">
        <v>55</v>
      </c>
      <c r="B47" s="62">
        <v>6.2</v>
      </c>
      <c r="C47" s="62">
        <v>6.2</v>
      </c>
      <c r="D47" s="62">
        <v>3</v>
      </c>
      <c r="E47" s="62">
        <v>3</v>
      </c>
      <c r="F47" s="62">
        <v>3</v>
      </c>
      <c r="G47" s="62">
        <v>3</v>
      </c>
      <c r="H47" s="62">
        <v>3</v>
      </c>
      <c r="I47" s="62">
        <v>3</v>
      </c>
      <c r="J47" s="62">
        <v>3</v>
      </c>
      <c r="K47" s="62">
        <v>3</v>
      </c>
      <c r="L47" s="50">
        <v>6</v>
      </c>
      <c r="M47" s="50">
        <v>6</v>
      </c>
      <c r="N47" s="50">
        <v>6</v>
      </c>
      <c r="O47" s="50">
        <v>6</v>
      </c>
      <c r="P47" s="50">
        <v>6</v>
      </c>
      <c r="Q47" s="50">
        <v>6</v>
      </c>
      <c r="R47" s="50">
        <v>6</v>
      </c>
      <c r="S47" s="50">
        <v>6</v>
      </c>
      <c r="T47" s="50">
        <v>6</v>
      </c>
      <c r="U47" s="50">
        <v>6</v>
      </c>
      <c r="V47" s="50">
        <v>6</v>
      </c>
      <c r="W47" s="50">
        <v>6</v>
      </c>
      <c r="X47" s="50">
        <v>6</v>
      </c>
      <c r="Y47" s="50">
        <v>6</v>
      </c>
      <c r="Z47" s="50">
        <v>6</v>
      </c>
      <c r="AA47" s="50">
        <v>6</v>
      </c>
      <c r="AB47" s="50">
        <v>6</v>
      </c>
      <c r="AC47" s="50">
        <v>6</v>
      </c>
      <c r="AD47" s="50">
        <v>6</v>
      </c>
      <c r="AE47" s="50">
        <v>6</v>
      </c>
      <c r="AF47" s="50">
        <v>6</v>
      </c>
      <c r="AG47" s="67">
        <v>6.2</v>
      </c>
      <c r="AH47" s="55">
        <f t="shared" si="2"/>
        <v>6.2</v>
      </c>
      <c r="AI47" s="56">
        <f t="shared" si="3"/>
        <v>3</v>
      </c>
      <c r="AK47" s="57"/>
    </row>
    <row r="48" spans="1:41" ht="15.75" thickBot="1" x14ac:dyDescent="0.3">
      <c r="A48" s="68" t="s">
        <v>56</v>
      </c>
      <c r="B48" s="76">
        <f>B196</f>
        <v>3.54</v>
      </c>
      <c r="C48" s="76">
        <v>3.54</v>
      </c>
      <c r="D48" s="76">
        <v>3.54</v>
      </c>
      <c r="E48" s="76">
        <v>3.54</v>
      </c>
      <c r="F48" s="76">
        <v>3.54</v>
      </c>
      <c r="G48" s="76">
        <v>3.54</v>
      </c>
      <c r="H48" s="76">
        <v>3.54</v>
      </c>
      <c r="I48" s="76">
        <v>3.54</v>
      </c>
      <c r="J48" s="76">
        <v>3.54</v>
      </c>
      <c r="K48" s="76">
        <v>3.54</v>
      </c>
      <c r="L48" s="76">
        <v>3.54</v>
      </c>
      <c r="M48" s="76">
        <v>3.54</v>
      </c>
      <c r="N48" s="76">
        <v>3.54</v>
      </c>
      <c r="O48" s="76">
        <v>3.54</v>
      </c>
      <c r="P48" s="76">
        <v>3.54</v>
      </c>
      <c r="Q48" s="76">
        <v>3.54</v>
      </c>
      <c r="R48" s="76">
        <v>3.54</v>
      </c>
      <c r="S48" s="76">
        <v>3.54</v>
      </c>
      <c r="T48" s="76">
        <f t="shared" ref="T48:AG48" si="5">T196</f>
        <v>3.54</v>
      </c>
      <c r="U48" s="76">
        <f t="shared" si="5"/>
        <v>3.54</v>
      </c>
      <c r="V48" s="76">
        <f t="shared" si="5"/>
        <v>3.54</v>
      </c>
      <c r="W48" s="76">
        <f t="shared" si="5"/>
        <v>3.54</v>
      </c>
      <c r="X48" s="76">
        <f t="shared" si="5"/>
        <v>3.54</v>
      </c>
      <c r="Y48" s="76">
        <f t="shared" si="5"/>
        <v>3.54</v>
      </c>
      <c r="Z48" s="76">
        <f t="shared" si="5"/>
        <v>3.54</v>
      </c>
      <c r="AA48" s="76">
        <f t="shared" si="5"/>
        <v>3.54</v>
      </c>
      <c r="AB48" s="76">
        <f t="shared" si="5"/>
        <v>3.54</v>
      </c>
      <c r="AC48" s="76">
        <f t="shared" si="5"/>
        <v>3.54</v>
      </c>
      <c r="AD48" s="76">
        <f t="shared" si="5"/>
        <v>3.54</v>
      </c>
      <c r="AE48" s="76">
        <f t="shared" si="5"/>
        <v>3.54</v>
      </c>
      <c r="AF48" s="76">
        <f t="shared" si="5"/>
        <v>3.54</v>
      </c>
      <c r="AG48" s="76">
        <f t="shared" si="5"/>
        <v>8.56</v>
      </c>
      <c r="AH48" s="55">
        <f t="shared" si="2"/>
        <v>3.54</v>
      </c>
      <c r="AI48" s="56">
        <f t="shared" si="3"/>
        <v>3.54</v>
      </c>
      <c r="AK48" s="57"/>
    </row>
    <row r="49" spans="1:37" ht="15.75" thickBot="1" x14ac:dyDescent="0.3">
      <c r="A49" s="71" t="s">
        <v>57</v>
      </c>
      <c r="B49" s="72">
        <f>SUM(B36:B48)</f>
        <v>212.73999999999995</v>
      </c>
      <c r="C49" s="72">
        <f t="shared" ref="C49:AF49" si="6">SUM(C36:C48)</f>
        <v>229.93999999999997</v>
      </c>
      <c r="D49" s="72">
        <f t="shared" si="6"/>
        <v>234.04</v>
      </c>
      <c r="E49" s="72">
        <f t="shared" si="6"/>
        <v>233.43999999999997</v>
      </c>
      <c r="F49" s="72">
        <f t="shared" si="6"/>
        <v>230.43999999999997</v>
      </c>
      <c r="G49" s="72">
        <f t="shared" si="6"/>
        <v>230.53999999999996</v>
      </c>
      <c r="H49" s="72">
        <f t="shared" si="6"/>
        <v>230.53999999999996</v>
      </c>
      <c r="I49" s="72">
        <f t="shared" si="6"/>
        <v>233.33999999999997</v>
      </c>
      <c r="J49" s="72">
        <f t="shared" si="6"/>
        <v>241.63999999999996</v>
      </c>
      <c r="K49" s="72">
        <f t="shared" si="6"/>
        <v>276.44</v>
      </c>
      <c r="L49" s="72">
        <f t="shared" si="6"/>
        <v>298.84000000000009</v>
      </c>
      <c r="M49" s="72">
        <f t="shared" si="6"/>
        <v>356.74</v>
      </c>
      <c r="N49" s="72">
        <f t="shared" si="6"/>
        <v>381.94</v>
      </c>
      <c r="O49" s="72">
        <f t="shared" si="6"/>
        <v>399.34000000000003</v>
      </c>
      <c r="P49" s="72">
        <f t="shared" si="6"/>
        <v>417.94000000000005</v>
      </c>
      <c r="Q49" s="72">
        <f t="shared" si="6"/>
        <v>411.84000000000003</v>
      </c>
      <c r="R49" s="72">
        <f t="shared" si="6"/>
        <v>412.64000000000004</v>
      </c>
      <c r="S49" s="72">
        <f t="shared" si="6"/>
        <v>412.94000000000005</v>
      </c>
      <c r="T49" s="72">
        <f t="shared" si="6"/>
        <v>328.94000000000005</v>
      </c>
      <c r="U49" s="72">
        <f t="shared" si="6"/>
        <v>330.14000000000004</v>
      </c>
      <c r="V49" s="72">
        <f t="shared" si="6"/>
        <v>345.14000000000004</v>
      </c>
      <c r="W49" s="72">
        <f t="shared" si="6"/>
        <v>360.14000000000004</v>
      </c>
      <c r="X49" s="72">
        <f t="shared" si="6"/>
        <v>450.14000000000004</v>
      </c>
      <c r="Y49" s="72">
        <f t="shared" si="6"/>
        <v>451.54</v>
      </c>
      <c r="Z49" s="72">
        <f t="shared" si="6"/>
        <v>450.84000000000003</v>
      </c>
      <c r="AA49" s="72">
        <f t="shared" si="6"/>
        <v>420.84000000000003</v>
      </c>
      <c r="AB49" s="72">
        <f t="shared" si="6"/>
        <v>420.84000000000003</v>
      </c>
      <c r="AC49" s="72">
        <f t="shared" si="6"/>
        <v>412.44000000000005</v>
      </c>
      <c r="AD49" s="72">
        <f t="shared" si="6"/>
        <v>381.94000000000005</v>
      </c>
      <c r="AE49" s="72">
        <f t="shared" si="6"/>
        <v>360.54000000000008</v>
      </c>
      <c r="AF49" s="72">
        <f t="shared" si="6"/>
        <v>377.64000000000004</v>
      </c>
      <c r="AG49" s="77">
        <f>SUM(AG36:AG48)</f>
        <v>489.91</v>
      </c>
      <c r="AH49" s="55">
        <f t="shared" si="2"/>
        <v>451.54</v>
      </c>
      <c r="AI49" s="56">
        <f t="shared" si="3"/>
        <v>212.73999999999995</v>
      </c>
      <c r="AK49" s="57"/>
    </row>
    <row r="50" spans="1:37" x14ac:dyDescent="0.25">
      <c r="A50" s="58" t="s">
        <v>58</v>
      </c>
      <c r="B50" s="50">
        <v>0</v>
      </c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174">
        <v>0</v>
      </c>
      <c r="M50" s="174">
        <v>0</v>
      </c>
      <c r="N50" s="174">
        <v>0</v>
      </c>
      <c r="O50" s="174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20.6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63">
        <v>60</v>
      </c>
      <c r="AH50" s="55">
        <f t="shared" si="2"/>
        <v>20.6</v>
      </c>
      <c r="AI50" s="56">
        <f t="shared" si="3"/>
        <v>0</v>
      </c>
      <c r="AK50" s="57"/>
    </row>
    <row r="51" spans="1:37" x14ac:dyDescent="0.25">
      <c r="A51" s="66" t="s">
        <v>59</v>
      </c>
      <c r="B51" s="5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67">
        <v>32</v>
      </c>
      <c r="AH51" s="55">
        <f t="shared" si="2"/>
        <v>0</v>
      </c>
      <c r="AI51" s="56">
        <f t="shared" si="3"/>
        <v>0</v>
      </c>
      <c r="AK51" s="57"/>
    </row>
    <row r="52" spans="1:37" ht="15.75" thickBot="1" x14ac:dyDescent="0.3">
      <c r="A52" s="75" t="s">
        <v>60</v>
      </c>
      <c r="B52" s="78">
        <v>0</v>
      </c>
      <c r="C52" s="73">
        <v>0</v>
      </c>
      <c r="D52" s="73">
        <v>0</v>
      </c>
      <c r="E52" s="73">
        <v>0</v>
      </c>
      <c r="F52" s="73">
        <v>0</v>
      </c>
      <c r="G52" s="73">
        <v>0</v>
      </c>
      <c r="H52" s="73">
        <v>0</v>
      </c>
      <c r="I52" s="73">
        <v>0</v>
      </c>
      <c r="J52" s="73">
        <v>0</v>
      </c>
      <c r="K52" s="73">
        <v>0</v>
      </c>
      <c r="L52" s="175">
        <v>0</v>
      </c>
      <c r="M52" s="175">
        <v>0</v>
      </c>
      <c r="N52" s="175">
        <v>0</v>
      </c>
      <c r="O52" s="175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  <c r="AF52" s="78">
        <v>0</v>
      </c>
      <c r="AG52" s="79">
        <v>14</v>
      </c>
      <c r="AH52" s="55">
        <f t="shared" si="2"/>
        <v>0</v>
      </c>
      <c r="AI52" s="56">
        <f t="shared" si="3"/>
        <v>0</v>
      </c>
      <c r="AK52" s="57"/>
    </row>
    <row r="53" spans="1:37" ht="15.75" thickBot="1" x14ac:dyDescent="0.3">
      <c r="A53" s="71" t="s">
        <v>61</v>
      </c>
      <c r="B53" s="72">
        <f>SUM(B50:B52)</f>
        <v>0</v>
      </c>
      <c r="C53" s="72">
        <f t="shared" ref="C53:AF53" si="7">SUM(C50:C52)</f>
        <v>0</v>
      </c>
      <c r="D53" s="72">
        <f t="shared" si="7"/>
        <v>0</v>
      </c>
      <c r="E53" s="72">
        <f t="shared" si="7"/>
        <v>0</v>
      </c>
      <c r="F53" s="72">
        <f t="shared" si="7"/>
        <v>0</v>
      </c>
      <c r="G53" s="72">
        <f t="shared" si="7"/>
        <v>0</v>
      </c>
      <c r="H53" s="72">
        <f t="shared" si="7"/>
        <v>0</v>
      </c>
      <c r="I53" s="72">
        <f t="shared" si="7"/>
        <v>0</v>
      </c>
      <c r="J53" s="72">
        <f t="shared" si="7"/>
        <v>0</v>
      </c>
      <c r="K53" s="72">
        <f t="shared" si="7"/>
        <v>0</v>
      </c>
      <c r="L53" s="72">
        <f t="shared" si="7"/>
        <v>0</v>
      </c>
      <c r="M53" s="72">
        <f t="shared" si="7"/>
        <v>0</v>
      </c>
      <c r="N53" s="72">
        <f t="shared" si="7"/>
        <v>0</v>
      </c>
      <c r="O53" s="72">
        <f t="shared" si="7"/>
        <v>0</v>
      </c>
      <c r="P53" s="72">
        <f t="shared" si="7"/>
        <v>0</v>
      </c>
      <c r="Q53" s="72">
        <f t="shared" si="7"/>
        <v>0</v>
      </c>
      <c r="R53" s="72">
        <f t="shared" si="7"/>
        <v>0</v>
      </c>
      <c r="S53" s="72">
        <f t="shared" si="7"/>
        <v>0</v>
      </c>
      <c r="T53" s="72">
        <f t="shared" si="7"/>
        <v>0</v>
      </c>
      <c r="U53" s="72">
        <f t="shared" si="7"/>
        <v>0</v>
      </c>
      <c r="V53" s="72">
        <f t="shared" si="7"/>
        <v>0</v>
      </c>
      <c r="W53" s="72">
        <f t="shared" si="7"/>
        <v>0</v>
      </c>
      <c r="X53" s="72">
        <f t="shared" si="7"/>
        <v>0</v>
      </c>
      <c r="Y53" s="72">
        <f t="shared" si="7"/>
        <v>20.6</v>
      </c>
      <c r="Z53" s="72">
        <f t="shared" si="7"/>
        <v>0</v>
      </c>
      <c r="AA53" s="72">
        <f t="shared" si="7"/>
        <v>0</v>
      </c>
      <c r="AB53" s="72">
        <f t="shared" si="7"/>
        <v>0</v>
      </c>
      <c r="AC53" s="72">
        <f t="shared" si="7"/>
        <v>0</v>
      </c>
      <c r="AD53" s="72">
        <f t="shared" si="7"/>
        <v>0</v>
      </c>
      <c r="AE53" s="72">
        <f t="shared" si="7"/>
        <v>0</v>
      </c>
      <c r="AF53" s="72">
        <f t="shared" si="7"/>
        <v>0</v>
      </c>
      <c r="AG53" s="77">
        <f>SUM(AG50:AG52)</f>
        <v>106</v>
      </c>
      <c r="AH53" s="55">
        <f t="shared" si="2"/>
        <v>20.6</v>
      </c>
      <c r="AI53" s="56">
        <f t="shared" si="3"/>
        <v>0</v>
      </c>
      <c r="AK53" s="57"/>
    </row>
    <row r="54" spans="1:37" x14ac:dyDescent="0.25">
      <c r="A54" s="58" t="s">
        <v>62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63"/>
      <c r="AH54" s="55">
        <f t="shared" si="2"/>
        <v>0</v>
      </c>
      <c r="AI54" s="56">
        <f t="shared" si="3"/>
        <v>0</v>
      </c>
      <c r="AK54" s="57"/>
    </row>
    <row r="55" spans="1:37" x14ac:dyDescent="0.25">
      <c r="A55" s="66" t="s">
        <v>63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7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64</v>
      </c>
      <c r="B56" s="52">
        <v>-65.8</v>
      </c>
      <c r="C56" s="52">
        <v>0</v>
      </c>
      <c r="D56" s="52">
        <v>-27.4</v>
      </c>
      <c r="E56" s="52">
        <v>-35.1</v>
      </c>
      <c r="F56" s="52">
        <v>-8.6999999999999993</v>
      </c>
      <c r="G56" s="50">
        <v>-56.7</v>
      </c>
      <c r="H56" s="50">
        <v>-60.7</v>
      </c>
      <c r="I56" s="50">
        <v>-62.7</v>
      </c>
      <c r="J56" s="50">
        <v>-28.5</v>
      </c>
      <c r="K56" s="50">
        <v>-33.9</v>
      </c>
      <c r="L56" s="52">
        <v>-20</v>
      </c>
      <c r="M56" s="52">
        <v>-12</v>
      </c>
      <c r="N56" s="52">
        <v>-12</v>
      </c>
      <c r="O56" s="52">
        <v>-4.3</v>
      </c>
      <c r="P56" s="52">
        <v>-27.2</v>
      </c>
      <c r="Q56" s="52">
        <v>-40</v>
      </c>
      <c r="R56" s="52">
        <v>-1.2</v>
      </c>
      <c r="S56" s="52">
        <v>-47</v>
      </c>
      <c r="T56" s="52">
        <v>-44.3</v>
      </c>
      <c r="U56" s="52">
        <v>-10</v>
      </c>
      <c r="V56" s="52">
        <v>-10</v>
      </c>
      <c r="W56" s="52">
        <v>-5.8</v>
      </c>
      <c r="X56" s="52">
        <v>-3.9</v>
      </c>
      <c r="Y56" s="52">
        <v>-56.3</v>
      </c>
      <c r="Z56" s="52">
        <v>-49.6</v>
      </c>
      <c r="AA56" s="52">
        <v>-10</v>
      </c>
      <c r="AB56" s="52">
        <v>-21.6</v>
      </c>
      <c r="AC56" s="52">
        <v>-57.3</v>
      </c>
      <c r="AD56" s="52">
        <v>-4.4000000000000004</v>
      </c>
      <c r="AE56" s="52">
        <v>-51.8</v>
      </c>
      <c r="AF56" s="50">
        <v>0</v>
      </c>
      <c r="AG56" s="82"/>
      <c r="AH56" s="55">
        <f t="shared" si="2"/>
        <v>0</v>
      </c>
      <c r="AI56" s="56">
        <f t="shared" si="3"/>
        <v>-65.8</v>
      </c>
      <c r="AK56" s="57"/>
    </row>
    <row r="57" spans="1:37" x14ac:dyDescent="0.25">
      <c r="A57" s="66" t="s">
        <v>65</v>
      </c>
      <c r="B57" s="59">
        <v>0</v>
      </c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59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82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6" t="s">
        <v>66</v>
      </c>
      <c r="B58" s="50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67</v>
      </c>
      <c r="B59" s="61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68</v>
      </c>
      <c r="B60" s="61">
        <v>0</v>
      </c>
      <c r="C60" s="59">
        <v>0</v>
      </c>
      <c r="D60" s="59">
        <v>0</v>
      </c>
      <c r="E60" s="59">
        <v>0</v>
      </c>
      <c r="F60" s="59">
        <v>0</v>
      </c>
      <c r="G60" s="59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69</v>
      </c>
      <c r="B61" s="59">
        <v>8</v>
      </c>
      <c r="C61" s="59">
        <v>8</v>
      </c>
      <c r="D61" s="59">
        <v>8</v>
      </c>
      <c r="E61" s="59">
        <v>8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0</v>
      </c>
      <c r="Q61" s="59">
        <v>0</v>
      </c>
      <c r="R61" s="59">
        <v>0</v>
      </c>
      <c r="S61" s="59">
        <v>0</v>
      </c>
      <c r="T61" s="59">
        <v>0</v>
      </c>
      <c r="U61" s="59">
        <v>0</v>
      </c>
      <c r="V61" s="59">
        <v>0</v>
      </c>
      <c r="W61" s="59">
        <v>0</v>
      </c>
      <c r="X61" s="59">
        <v>0</v>
      </c>
      <c r="Y61" s="59">
        <v>0</v>
      </c>
      <c r="Z61" s="59">
        <v>0</v>
      </c>
      <c r="AA61" s="59">
        <v>0</v>
      </c>
      <c r="AB61" s="59">
        <v>0</v>
      </c>
      <c r="AC61" s="59">
        <v>0</v>
      </c>
      <c r="AD61" s="59">
        <v>8</v>
      </c>
      <c r="AE61" s="59">
        <v>8</v>
      </c>
      <c r="AF61" s="59">
        <v>8</v>
      </c>
      <c r="AG61" s="82"/>
      <c r="AH61" s="55">
        <f t="shared" si="2"/>
        <v>8</v>
      </c>
      <c r="AI61" s="56">
        <f t="shared" si="3"/>
        <v>0</v>
      </c>
      <c r="AK61" s="57"/>
    </row>
    <row r="62" spans="1:37" x14ac:dyDescent="0.25">
      <c r="A62" s="66" t="s">
        <v>70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83" t="s">
        <v>71</v>
      </c>
      <c r="B63" s="84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Z63" s="84">
        <v>0</v>
      </c>
      <c r="AA63" s="84">
        <v>0</v>
      </c>
      <c r="AB63" s="84">
        <v>0</v>
      </c>
      <c r="AC63" s="84">
        <v>0</v>
      </c>
      <c r="AD63" s="84">
        <v>0</v>
      </c>
      <c r="AE63" s="84">
        <v>0</v>
      </c>
      <c r="AF63" s="84">
        <v>0</v>
      </c>
      <c r="AG63" s="85"/>
      <c r="AH63" s="55">
        <f t="shared" si="2"/>
        <v>0</v>
      </c>
      <c r="AI63" s="56">
        <f t="shared" si="3"/>
        <v>0</v>
      </c>
      <c r="AK63" s="57"/>
    </row>
    <row r="64" spans="1:37" ht="15.75" thickBot="1" x14ac:dyDescent="0.3">
      <c r="A64" s="83" t="s">
        <v>72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71" t="s">
        <v>73</v>
      </c>
      <c r="B65" s="72">
        <f>SUM(B54:B64)</f>
        <v>-57.8</v>
      </c>
      <c r="C65" s="72">
        <f t="shared" ref="C65:AF65" si="8">SUM(C54:C64)</f>
        <v>8</v>
      </c>
      <c r="D65" s="72">
        <f t="shared" si="8"/>
        <v>-19.399999999999999</v>
      </c>
      <c r="E65" s="72">
        <f t="shared" si="8"/>
        <v>-27.1</v>
      </c>
      <c r="F65" s="72">
        <f t="shared" si="8"/>
        <v>-8.6999999999999993</v>
      </c>
      <c r="G65" s="72">
        <f t="shared" si="8"/>
        <v>-56.7</v>
      </c>
      <c r="H65" s="72">
        <f t="shared" si="8"/>
        <v>-60.7</v>
      </c>
      <c r="I65" s="72">
        <f t="shared" si="8"/>
        <v>-62.7</v>
      </c>
      <c r="J65" s="72">
        <f t="shared" si="8"/>
        <v>-28.5</v>
      </c>
      <c r="K65" s="72">
        <f t="shared" si="8"/>
        <v>-33.9</v>
      </c>
      <c r="L65" s="72">
        <f t="shared" si="8"/>
        <v>-20</v>
      </c>
      <c r="M65" s="72">
        <f t="shared" si="8"/>
        <v>-12</v>
      </c>
      <c r="N65" s="72">
        <f t="shared" si="8"/>
        <v>-12</v>
      </c>
      <c r="O65" s="72">
        <f t="shared" si="8"/>
        <v>-4.3</v>
      </c>
      <c r="P65" s="72">
        <f t="shared" si="8"/>
        <v>-27.2</v>
      </c>
      <c r="Q65" s="72">
        <f t="shared" si="8"/>
        <v>-40</v>
      </c>
      <c r="R65" s="72">
        <f t="shared" si="8"/>
        <v>-1.2</v>
      </c>
      <c r="S65" s="72">
        <f t="shared" si="8"/>
        <v>-47</v>
      </c>
      <c r="T65" s="72">
        <f t="shared" si="8"/>
        <v>-44.3</v>
      </c>
      <c r="U65" s="72">
        <f t="shared" si="8"/>
        <v>-10</v>
      </c>
      <c r="V65" s="72">
        <f t="shared" si="8"/>
        <v>-10</v>
      </c>
      <c r="W65" s="72">
        <f t="shared" si="8"/>
        <v>-5.8</v>
      </c>
      <c r="X65" s="72">
        <f t="shared" si="8"/>
        <v>-3.9</v>
      </c>
      <c r="Y65" s="72">
        <f t="shared" si="8"/>
        <v>-56.3</v>
      </c>
      <c r="Z65" s="72">
        <f t="shared" si="8"/>
        <v>-49.6</v>
      </c>
      <c r="AA65" s="72">
        <f t="shared" si="8"/>
        <v>-10</v>
      </c>
      <c r="AB65" s="72">
        <f t="shared" si="8"/>
        <v>-21.6</v>
      </c>
      <c r="AC65" s="72">
        <f t="shared" si="8"/>
        <v>-57.3</v>
      </c>
      <c r="AD65" s="72">
        <f t="shared" si="8"/>
        <v>3.5999999999999996</v>
      </c>
      <c r="AE65" s="72">
        <f t="shared" si="8"/>
        <v>-43.8</v>
      </c>
      <c r="AF65" s="72">
        <f t="shared" si="8"/>
        <v>8</v>
      </c>
      <c r="AG65" s="77">
        <f>SUM(AG54:AG64)</f>
        <v>0</v>
      </c>
      <c r="AH65" s="55">
        <f t="shared" si="2"/>
        <v>8</v>
      </c>
      <c r="AI65" s="56">
        <f t="shared" si="3"/>
        <v>-62.7</v>
      </c>
      <c r="AK65" s="57"/>
    </row>
    <row r="66" spans="1:88" x14ac:dyDescent="0.25">
      <c r="A66" s="58" t="s">
        <v>74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Z66" s="84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>
        <v>39</v>
      </c>
      <c r="AH66" s="55">
        <f t="shared" si="2"/>
        <v>0</v>
      </c>
      <c r="AI66" s="56">
        <f t="shared" si="3"/>
        <v>0</v>
      </c>
      <c r="AK66" s="57"/>
    </row>
    <row r="67" spans="1:88" x14ac:dyDescent="0.25">
      <c r="A67" s="66" t="s">
        <v>75</v>
      </c>
      <c r="B67" s="61">
        <v>0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82">
        <v>14.4</v>
      </c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83" t="s">
        <v>76</v>
      </c>
      <c r="B68" s="84">
        <v>0</v>
      </c>
      <c r="C68" s="59">
        <v>0</v>
      </c>
      <c r="D68" s="59">
        <v>0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59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5">
        <v>2</v>
      </c>
      <c r="AH68" s="55">
        <f t="shared" si="2"/>
        <v>0</v>
      </c>
      <c r="AI68" s="56">
        <f t="shared" si="3"/>
        <v>0</v>
      </c>
    </row>
    <row r="69" spans="1:88" s="1" customFormat="1" ht="15.75" thickBot="1" x14ac:dyDescent="0.3">
      <c r="A69" s="71" t="s">
        <v>77</v>
      </c>
      <c r="B69" s="72">
        <f>SUM(B66:B68)</f>
        <v>0</v>
      </c>
      <c r="C69" s="72">
        <f t="shared" ref="C69:AF69" si="9">SUM(C66:C68)</f>
        <v>0</v>
      </c>
      <c r="D69" s="72">
        <f t="shared" si="9"/>
        <v>0</v>
      </c>
      <c r="E69" s="72">
        <f t="shared" si="9"/>
        <v>0</v>
      </c>
      <c r="F69" s="72">
        <f t="shared" si="9"/>
        <v>0</v>
      </c>
      <c r="G69" s="72">
        <f t="shared" si="9"/>
        <v>0</v>
      </c>
      <c r="H69" s="72">
        <f t="shared" si="9"/>
        <v>0</v>
      </c>
      <c r="I69" s="72">
        <f t="shared" si="9"/>
        <v>0</v>
      </c>
      <c r="J69" s="72">
        <f t="shared" si="9"/>
        <v>0</v>
      </c>
      <c r="K69" s="72">
        <f t="shared" si="9"/>
        <v>0</v>
      </c>
      <c r="L69" s="72">
        <f t="shared" si="9"/>
        <v>0</v>
      </c>
      <c r="M69" s="72">
        <f t="shared" si="9"/>
        <v>0</v>
      </c>
      <c r="N69" s="72">
        <f t="shared" si="9"/>
        <v>0</v>
      </c>
      <c r="O69" s="72">
        <f t="shared" si="9"/>
        <v>0</v>
      </c>
      <c r="P69" s="72">
        <f t="shared" si="9"/>
        <v>0</v>
      </c>
      <c r="Q69" s="72">
        <f t="shared" si="9"/>
        <v>0</v>
      </c>
      <c r="R69" s="72">
        <f t="shared" si="9"/>
        <v>0</v>
      </c>
      <c r="S69" s="72">
        <f t="shared" si="9"/>
        <v>0</v>
      </c>
      <c r="T69" s="72">
        <f t="shared" si="9"/>
        <v>0</v>
      </c>
      <c r="U69" s="72">
        <f t="shared" si="9"/>
        <v>0</v>
      </c>
      <c r="V69" s="72">
        <f t="shared" si="9"/>
        <v>0</v>
      </c>
      <c r="W69" s="72">
        <f t="shared" si="9"/>
        <v>0</v>
      </c>
      <c r="X69" s="72">
        <f t="shared" si="9"/>
        <v>0</v>
      </c>
      <c r="Y69" s="72">
        <f t="shared" si="9"/>
        <v>0</v>
      </c>
      <c r="Z69" s="72">
        <f t="shared" si="9"/>
        <v>0</v>
      </c>
      <c r="AA69" s="72">
        <f t="shared" si="9"/>
        <v>0</v>
      </c>
      <c r="AB69" s="72">
        <f t="shared" si="9"/>
        <v>0</v>
      </c>
      <c r="AC69" s="72">
        <f t="shared" si="9"/>
        <v>0</v>
      </c>
      <c r="AD69" s="72">
        <f t="shared" si="9"/>
        <v>0</v>
      </c>
      <c r="AE69" s="72">
        <f t="shared" si="9"/>
        <v>0</v>
      </c>
      <c r="AF69" s="72">
        <f t="shared" si="9"/>
        <v>0</v>
      </c>
      <c r="AG69" s="77">
        <f>SUM(AG66:AG68)</f>
        <v>55.4</v>
      </c>
      <c r="AH69" s="55">
        <f t="shared" si="2"/>
        <v>0</v>
      </c>
      <c r="AI69" s="56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71" t="s">
        <v>78</v>
      </c>
      <c r="B70" s="87">
        <f>B65+B53+B49+B35+B69</f>
        <v>799.83999999999992</v>
      </c>
      <c r="C70" s="87">
        <f t="shared" ref="C70:AG70" si="10">C65+C53+C49+C35+C69</f>
        <v>782.83999999999992</v>
      </c>
      <c r="D70" s="87">
        <f t="shared" si="10"/>
        <v>760.2399999999999</v>
      </c>
      <c r="E70" s="87">
        <f t="shared" si="10"/>
        <v>751.93999999999983</v>
      </c>
      <c r="F70" s="87">
        <f t="shared" si="10"/>
        <v>767.14</v>
      </c>
      <c r="G70" s="87">
        <f t="shared" si="10"/>
        <v>768.74</v>
      </c>
      <c r="H70" s="87">
        <f t="shared" si="10"/>
        <v>765.33999999999992</v>
      </c>
      <c r="I70" s="87">
        <f t="shared" si="10"/>
        <v>823.7399999999999</v>
      </c>
      <c r="J70" s="87">
        <f t="shared" si="10"/>
        <v>860.64</v>
      </c>
      <c r="K70" s="87">
        <f t="shared" si="10"/>
        <v>891.63999999999987</v>
      </c>
      <c r="L70" s="87">
        <f t="shared" si="10"/>
        <v>926.34000000000015</v>
      </c>
      <c r="M70" s="87">
        <f t="shared" si="10"/>
        <v>992.24</v>
      </c>
      <c r="N70" s="87">
        <f t="shared" si="10"/>
        <v>1016.3399999999999</v>
      </c>
      <c r="O70" s="87">
        <f t="shared" si="10"/>
        <v>1041.44</v>
      </c>
      <c r="P70" s="87">
        <f t="shared" si="10"/>
        <v>1057.1400000000001</v>
      </c>
      <c r="Q70" s="87">
        <f t="shared" si="10"/>
        <v>1078.24</v>
      </c>
      <c r="R70" s="87">
        <f t="shared" si="10"/>
        <v>1120.24</v>
      </c>
      <c r="S70" s="87">
        <f t="shared" si="10"/>
        <v>1095.74</v>
      </c>
      <c r="T70" s="87">
        <f t="shared" si="10"/>
        <v>1014.44</v>
      </c>
      <c r="U70" s="87">
        <f t="shared" si="10"/>
        <v>1049.94</v>
      </c>
      <c r="V70" s="87">
        <f t="shared" si="10"/>
        <v>1064.94</v>
      </c>
      <c r="W70" s="87">
        <f t="shared" si="10"/>
        <v>1084.1399999999999</v>
      </c>
      <c r="X70" s="87">
        <f t="shared" si="10"/>
        <v>1176.04</v>
      </c>
      <c r="Y70" s="87">
        <f t="shared" si="10"/>
        <v>1363.64</v>
      </c>
      <c r="Z70" s="87">
        <f t="shared" si="10"/>
        <v>1349.04</v>
      </c>
      <c r="AA70" s="87">
        <f t="shared" si="10"/>
        <v>1308.6400000000001</v>
      </c>
      <c r="AB70" s="87">
        <f t="shared" si="10"/>
        <v>1297.04</v>
      </c>
      <c r="AC70" s="87">
        <f t="shared" si="10"/>
        <v>1210.6400000000001</v>
      </c>
      <c r="AD70" s="87">
        <f t="shared" si="10"/>
        <v>1113.3400000000001</v>
      </c>
      <c r="AE70" s="87">
        <f t="shared" si="10"/>
        <v>1043.3400000000001</v>
      </c>
      <c r="AF70" s="87">
        <f t="shared" si="10"/>
        <v>1081.24</v>
      </c>
      <c r="AG70" s="87">
        <f t="shared" si="10"/>
        <v>2068.14</v>
      </c>
      <c r="AH70" s="55">
        <f t="shared" si="2"/>
        <v>1363.64</v>
      </c>
      <c r="AI70" s="56">
        <f t="shared" si="3"/>
        <v>751.93999999999983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8" t="s">
        <v>79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77"/>
      <c r="AH71" s="55">
        <f t="shared" si="2"/>
        <v>0</v>
      </c>
      <c r="AI71" s="56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1" t="s">
        <v>80</v>
      </c>
      <c r="B72" s="87">
        <f>B69+B65+B53+B49+B35+B71</f>
        <v>799.83999999999992</v>
      </c>
      <c r="C72" s="87">
        <f t="shared" ref="C72:AF72" si="11">C69+C65+C53+C49+C35+C71</f>
        <v>782.83999999999992</v>
      </c>
      <c r="D72" s="87">
        <f t="shared" si="11"/>
        <v>760.2399999999999</v>
      </c>
      <c r="E72" s="87">
        <f t="shared" si="11"/>
        <v>751.93999999999983</v>
      </c>
      <c r="F72" s="87">
        <f t="shared" si="11"/>
        <v>767.14</v>
      </c>
      <c r="G72" s="87">
        <f t="shared" si="11"/>
        <v>768.74</v>
      </c>
      <c r="H72" s="87">
        <f t="shared" si="11"/>
        <v>765.33999999999992</v>
      </c>
      <c r="I72" s="87">
        <f t="shared" si="11"/>
        <v>823.7399999999999</v>
      </c>
      <c r="J72" s="87">
        <f t="shared" si="11"/>
        <v>860.64</v>
      </c>
      <c r="K72" s="87">
        <f t="shared" si="11"/>
        <v>891.63999999999987</v>
      </c>
      <c r="L72" s="87">
        <f t="shared" si="11"/>
        <v>926.34000000000015</v>
      </c>
      <c r="M72" s="87">
        <f t="shared" si="11"/>
        <v>992.24</v>
      </c>
      <c r="N72" s="87">
        <f t="shared" si="11"/>
        <v>1016.3399999999999</v>
      </c>
      <c r="O72" s="87">
        <f t="shared" si="11"/>
        <v>1041.44</v>
      </c>
      <c r="P72" s="87">
        <f t="shared" si="11"/>
        <v>1057.1400000000001</v>
      </c>
      <c r="Q72" s="87">
        <f t="shared" si="11"/>
        <v>1078.24</v>
      </c>
      <c r="R72" s="87">
        <f t="shared" si="11"/>
        <v>1120.24</v>
      </c>
      <c r="S72" s="87">
        <f t="shared" si="11"/>
        <v>1095.74</v>
      </c>
      <c r="T72" s="87">
        <f t="shared" si="11"/>
        <v>1014.44</v>
      </c>
      <c r="U72" s="87">
        <f t="shared" si="11"/>
        <v>1049.94</v>
      </c>
      <c r="V72" s="87">
        <f t="shared" si="11"/>
        <v>1064.94</v>
      </c>
      <c r="W72" s="87">
        <f t="shared" si="11"/>
        <v>1084.1399999999999</v>
      </c>
      <c r="X72" s="87">
        <f t="shared" si="11"/>
        <v>1176.04</v>
      </c>
      <c r="Y72" s="87">
        <f t="shared" si="11"/>
        <v>1363.64</v>
      </c>
      <c r="Z72" s="87">
        <f t="shared" si="11"/>
        <v>1349.04</v>
      </c>
      <c r="AA72" s="87">
        <f t="shared" si="11"/>
        <v>1308.6400000000001</v>
      </c>
      <c r="AB72" s="87">
        <f t="shared" si="11"/>
        <v>1297.04</v>
      </c>
      <c r="AC72" s="87">
        <f t="shared" si="11"/>
        <v>1210.6400000000001</v>
      </c>
      <c r="AD72" s="87">
        <f t="shared" si="11"/>
        <v>1113.3400000000001</v>
      </c>
      <c r="AE72" s="87">
        <f t="shared" si="11"/>
        <v>1043.3400000000001</v>
      </c>
      <c r="AF72" s="87">
        <f t="shared" si="11"/>
        <v>1081.24</v>
      </c>
      <c r="AG72" s="77">
        <f>AG69+AG65+AG53+AG49+AG35+AG71</f>
        <v>2068.14</v>
      </c>
      <c r="AH72" s="55">
        <f t="shared" si="2"/>
        <v>1363.64</v>
      </c>
      <c r="AI72" s="56">
        <f t="shared" si="3"/>
        <v>751.93999999999983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8" t="s">
        <v>65</v>
      </c>
      <c r="B73" s="59">
        <f t="shared" ref="B73:AF73" si="12">IF(B57&lt;0,B57*-1,0)</f>
        <v>0</v>
      </c>
      <c r="C73" s="59">
        <f t="shared" si="12"/>
        <v>0</v>
      </c>
      <c r="D73" s="59">
        <f t="shared" si="12"/>
        <v>0</v>
      </c>
      <c r="E73" s="59">
        <f t="shared" si="12"/>
        <v>0</v>
      </c>
      <c r="F73" s="59">
        <f t="shared" si="12"/>
        <v>0</v>
      </c>
      <c r="G73" s="59">
        <f t="shared" si="12"/>
        <v>0</v>
      </c>
      <c r="H73" s="59">
        <f t="shared" si="12"/>
        <v>0</v>
      </c>
      <c r="I73" s="59">
        <f t="shared" si="12"/>
        <v>0</v>
      </c>
      <c r="J73" s="59">
        <f t="shared" si="12"/>
        <v>0</v>
      </c>
      <c r="K73" s="59">
        <f t="shared" si="12"/>
        <v>0</v>
      </c>
      <c r="L73" s="59">
        <f t="shared" si="12"/>
        <v>0</v>
      </c>
      <c r="M73" s="59">
        <f t="shared" si="12"/>
        <v>0</v>
      </c>
      <c r="N73" s="59">
        <f t="shared" si="12"/>
        <v>0</v>
      </c>
      <c r="O73" s="59">
        <f t="shared" si="12"/>
        <v>0</v>
      </c>
      <c r="P73" s="59">
        <f t="shared" si="12"/>
        <v>0</v>
      </c>
      <c r="Q73" s="59">
        <f t="shared" si="12"/>
        <v>0</v>
      </c>
      <c r="R73" s="59">
        <f t="shared" si="12"/>
        <v>0</v>
      </c>
      <c r="S73" s="59">
        <f t="shared" si="12"/>
        <v>0</v>
      </c>
      <c r="T73" s="59">
        <f t="shared" si="12"/>
        <v>0</v>
      </c>
      <c r="U73" s="59">
        <f t="shared" si="12"/>
        <v>0</v>
      </c>
      <c r="V73" s="59">
        <f t="shared" si="12"/>
        <v>0</v>
      </c>
      <c r="W73" s="59">
        <f t="shared" si="12"/>
        <v>0</v>
      </c>
      <c r="X73" s="59">
        <f t="shared" si="12"/>
        <v>0</v>
      </c>
      <c r="Y73" s="59">
        <f t="shared" si="12"/>
        <v>0</v>
      </c>
      <c r="Z73" s="59">
        <f t="shared" si="12"/>
        <v>0</v>
      </c>
      <c r="AA73" s="59">
        <f t="shared" si="12"/>
        <v>0</v>
      </c>
      <c r="AB73" s="59">
        <f t="shared" si="12"/>
        <v>0</v>
      </c>
      <c r="AC73" s="59">
        <f t="shared" si="12"/>
        <v>0</v>
      </c>
      <c r="AD73" s="59">
        <f t="shared" si="12"/>
        <v>0</v>
      </c>
      <c r="AE73" s="59">
        <f t="shared" si="12"/>
        <v>0</v>
      </c>
      <c r="AF73" s="59">
        <f t="shared" si="12"/>
        <v>0</v>
      </c>
      <c r="AG73" s="63"/>
      <c r="AH73" s="55">
        <f t="shared" si="2"/>
        <v>0</v>
      </c>
      <c r="AI73" s="56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66" t="s">
        <v>63</v>
      </c>
      <c r="B74" s="59">
        <f t="shared" ref="B74:AF74" si="13">IF(B55&lt;0,B55*-1,0)</f>
        <v>0</v>
      </c>
      <c r="C74" s="59">
        <f t="shared" si="13"/>
        <v>0</v>
      </c>
      <c r="D74" s="59">
        <f t="shared" si="13"/>
        <v>0</v>
      </c>
      <c r="E74" s="59">
        <f t="shared" si="13"/>
        <v>0</v>
      </c>
      <c r="F74" s="59">
        <f t="shared" si="13"/>
        <v>0</v>
      </c>
      <c r="G74" s="59">
        <f t="shared" si="13"/>
        <v>0</v>
      </c>
      <c r="H74" s="59">
        <f t="shared" si="13"/>
        <v>0</v>
      </c>
      <c r="I74" s="59">
        <f t="shared" si="13"/>
        <v>0</v>
      </c>
      <c r="J74" s="59">
        <f t="shared" si="13"/>
        <v>0</v>
      </c>
      <c r="K74" s="59">
        <f t="shared" si="13"/>
        <v>0</v>
      </c>
      <c r="L74" s="59">
        <f t="shared" si="13"/>
        <v>0</v>
      </c>
      <c r="M74" s="59">
        <f t="shared" si="13"/>
        <v>0</v>
      </c>
      <c r="N74" s="59">
        <f t="shared" si="13"/>
        <v>0</v>
      </c>
      <c r="O74" s="59">
        <f t="shared" si="13"/>
        <v>0</v>
      </c>
      <c r="P74" s="59">
        <f t="shared" si="13"/>
        <v>0</v>
      </c>
      <c r="Q74" s="59">
        <f t="shared" si="13"/>
        <v>0</v>
      </c>
      <c r="R74" s="59">
        <f t="shared" si="13"/>
        <v>0</v>
      </c>
      <c r="S74" s="59">
        <f t="shared" si="13"/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7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3" t="s">
        <v>81</v>
      </c>
      <c r="B75" s="59">
        <f t="shared" ref="B75:AF75" si="14">IF(B58&lt;0,B58*-1,0)</f>
        <v>0</v>
      </c>
      <c r="C75" s="59">
        <f t="shared" si="14"/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 t="shared" si="14"/>
        <v>0</v>
      </c>
      <c r="S75" s="59">
        <f t="shared" si="14"/>
        <v>0</v>
      </c>
      <c r="T75" s="59">
        <f t="shared" si="14"/>
        <v>0</v>
      </c>
      <c r="U75" s="59">
        <f t="shared" si="14"/>
        <v>0</v>
      </c>
      <c r="V75" s="59">
        <f t="shared" si="14"/>
        <v>0</v>
      </c>
      <c r="W75" s="59">
        <f t="shared" si="14"/>
        <v>0</v>
      </c>
      <c r="X75" s="59">
        <f t="shared" si="14"/>
        <v>0</v>
      </c>
      <c r="Y75" s="59">
        <f t="shared" si="14"/>
        <v>0</v>
      </c>
      <c r="Z75" s="59">
        <f t="shared" si="14"/>
        <v>0</v>
      </c>
      <c r="AA75" s="59">
        <f t="shared" si="14"/>
        <v>0</v>
      </c>
      <c r="AB75" s="59">
        <f t="shared" si="14"/>
        <v>0</v>
      </c>
      <c r="AC75" s="59">
        <f t="shared" si="14"/>
        <v>0</v>
      </c>
      <c r="AD75" s="59">
        <f t="shared" si="14"/>
        <v>0</v>
      </c>
      <c r="AE75" s="59">
        <f t="shared" si="14"/>
        <v>0</v>
      </c>
      <c r="AF75" s="59">
        <f t="shared" si="14"/>
        <v>0</v>
      </c>
      <c r="AG75" s="90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82</v>
      </c>
      <c r="B76" s="59">
        <f>IF(B56&lt;0,B56*-1,0)</f>
        <v>65.8</v>
      </c>
      <c r="C76" s="59">
        <f t="shared" ref="C76:AF76" si="15">IF(C56&lt;0,C56*-1,0)</f>
        <v>0</v>
      </c>
      <c r="D76" s="59">
        <f t="shared" si="15"/>
        <v>27.4</v>
      </c>
      <c r="E76" s="59">
        <f t="shared" si="15"/>
        <v>35.1</v>
      </c>
      <c r="F76" s="59">
        <f t="shared" si="15"/>
        <v>8.6999999999999993</v>
      </c>
      <c r="G76" s="59">
        <f t="shared" si="15"/>
        <v>56.7</v>
      </c>
      <c r="H76" s="59">
        <f t="shared" si="15"/>
        <v>60.7</v>
      </c>
      <c r="I76" s="59">
        <f t="shared" si="15"/>
        <v>62.7</v>
      </c>
      <c r="J76" s="59">
        <f t="shared" si="15"/>
        <v>28.5</v>
      </c>
      <c r="K76" s="59">
        <f t="shared" si="15"/>
        <v>33.9</v>
      </c>
      <c r="L76" s="59">
        <f t="shared" si="15"/>
        <v>20</v>
      </c>
      <c r="M76" s="59">
        <f t="shared" si="15"/>
        <v>12</v>
      </c>
      <c r="N76" s="59">
        <f t="shared" si="15"/>
        <v>12</v>
      </c>
      <c r="O76" s="59">
        <f t="shared" si="15"/>
        <v>4.3</v>
      </c>
      <c r="P76" s="59">
        <f t="shared" si="15"/>
        <v>27.2</v>
      </c>
      <c r="Q76" s="59">
        <f t="shared" si="15"/>
        <v>40</v>
      </c>
      <c r="R76" s="59">
        <f t="shared" si="15"/>
        <v>1.2</v>
      </c>
      <c r="S76" s="59">
        <f t="shared" si="15"/>
        <v>47</v>
      </c>
      <c r="T76" s="59">
        <f t="shared" si="15"/>
        <v>44.3</v>
      </c>
      <c r="U76" s="59">
        <f t="shared" si="15"/>
        <v>10</v>
      </c>
      <c r="V76" s="59">
        <f t="shared" si="15"/>
        <v>10</v>
      </c>
      <c r="W76" s="59">
        <f t="shared" si="15"/>
        <v>5.8</v>
      </c>
      <c r="X76" s="59">
        <f t="shared" si="15"/>
        <v>3.9</v>
      </c>
      <c r="Y76" s="59">
        <f t="shared" si="15"/>
        <v>56.3</v>
      </c>
      <c r="Z76" s="59">
        <f t="shared" si="15"/>
        <v>49.6</v>
      </c>
      <c r="AA76" s="59">
        <f t="shared" si="15"/>
        <v>10</v>
      </c>
      <c r="AB76" s="59">
        <f t="shared" si="15"/>
        <v>21.6</v>
      </c>
      <c r="AC76" s="59">
        <f t="shared" si="15"/>
        <v>57.3</v>
      </c>
      <c r="AD76" s="59">
        <f t="shared" si="15"/>
        <v>4.4000000000000004</v>
      </c>
      <c r="AE76" s="59">
        <f t="shared" si="15"/>
        <v>51.8</v>
      </c>
      <c r="AF76" s="59">
        <f t="shared" si="15"/>
        <v>0</v>
      </c>
      <c r="AG76" s="90"/>
      <c r="AH76" s="55">
        <f t="shared" ref="AH76:AH88" si="16">MAX(B76:AF76)</f>
        <v>65.8</v>
      </c>
      <c r="AI76" s="56">
        <f t="shared" ref="AI76:AI88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62</v>
      </c>
      <c r="B77" s="59">
        <f>IF(B54&lt;0,B54*-1,0)</f>
        <v>0</v>
      </c>
      <c r="C77" s="59">
        <f t="shared" ref="C77:AF77" si="18">IF(C54&lt;0,C54*-1,0)</f>
        <v>0</v>
      </c>
      <c r="D77" s="59">
        <f t="shared" si="18"/>
        <v>0</v>
      </c>
      <c r="E77" s="59">
        <f t="shared" si="18"/>
        <v>0</v>
      </c>
      <c r="F77" s="59">
        <f t="shared" si="18"/>
        <v>0</v>
      </c>
      <c r="G77" s="59">
        <f t="shared" si="18"/>
        <v>0</v>
      </c>
      <c r="H77" s="59">
        <f t="shared" si="18"/>
        <v>0</v>
      </c>
      <c r="I77" s="59">
        <f t="shared" si="18"/>
        <v>0</v>
      </c>
      <c r="J77" s="59">
        <f t="shared" si="18"/>
        <v>0</v>
      </c>
      <c r="K77" s="59">
        <f t="shared" si="18"/>
        <v>0</v>
      </c>
      <c r="L77" s="59">
        <f t="shared" si="18"/>
        <v>0</v>
      </c>
      <c r="M77" s="59">
        <f t="shared" si="18"/>
        <v>0</v>
      </c>
      <c r="N77" s="59">
        <f t="shared" si="18"/>
        <v>0</v>
      </c>
      <c r="O77" s="59">
        <f t="shared" si="18"/>
        <v>0</v>
      </c>
      <c r="P77" s="59">
        <f t="shared" si="18"/>
        <v>0</v>
      </c>
      <c r="Q77" s="59">
        <f t="shared" si="18"/>
        <v>0</v>
      </c>
      <c r="R77" s="59">
        <f t="shared" si="18"/>
        <v>0</v>
      </c>
      <c r="S77" s="59">
        <f t="shared" si="18"/>
        <v>0</v>
      </c>
      <c r="T77" s="59">
        <f t="shared" si="18"/>
        <v>0</v>
      </c>
      <c r="U77" s="59">
        <f t="shared" si="18"/>
        <v>0</v>
      </c>
      <c r="V77" s="59">
        <f t="shared" si="18"/>
        <v>0</v>
      </c>
      <c r="W77" s="59">
        <f t="shared" si="18"/>
        <v>0</v>
      </c>
      <c r="X77" s="59">
        <f t="shared" si="18"/>
        <v>0</v>
      </c>
      <c r="Y77" s="59">
        <f t="shared" si="18"/>
        <v>0</v>
      </c>
      <c r="Z77" s="59">
        <f t="shared" si="18"/>
        <v>0</v>
      </c>
      <c r="AA77" s="59">
        <f t="shared" si="18"/>
        <v>0</v>
      </c>
      <c r="AB77" s="59">
        <f t="shared" si="18"/>
        <v>0</v>
      </c>
      <c r="AC77" s="59">
        <f t="shared" si="18"/>
        <v>0</v>
      </c>
      <c r="AD77" s="59">
        <f t="shared" si="18"/>
        <v>0</v>
      </c>
      <c r="AE77" s="59">
        <f t="shared" si="18"/>
        <v>0</v>
      </c>
      <c r="AF77" s="59">
        <f t="shared" si="18"/>
        <v>0</v>
      </c>
      <c r="AG77" s="90"/>
      <c r="AH77" s="55">
        <f t="shared" si="16"/>
        <v>0</v>
      </c>
      <c r="AI77" s="56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3" t="s">
        <v>83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50"/>
      <c r="S78" s="50"/>
      <c r="T78" s="50"/>
      <c r="U78" s="50"/>
      <c r="V78" s="50"/>
      <c r="W78" s="50"/>
      <c r="X78" s="50"/>
      <c r="Y78" s="50"/>
      <c r="Z78" s="50"/>
      <c r="AA78" s="84"/>
      <c r="AB78" s="84"/>
      <c r="AC78" s="84"/>
      <c r="AD78" s="84"/>
      <c r="AE78" s="84"/>
      <c r="AF78" s="84"/>
      <c r="AG78" s="85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91" t="s">
        <v>84</v>
      </c>
      <c r="B79" s="72">
        <f>SUM(B73:B78)</f>
        <v>65.8</v>
      </c>
      <c r="C79" s="72">
        <f t="shared" ref="C79:AG79" si="19">SUM(C73:C78)</f>
        <v>0</v>
      </c>
      <c r="D79" s="72">
        <f t="shared" si="19"/>
        <v>27.4</v>
      </c>
      <c r="E79" s="72">
        <f t="shared" si="19"/>
        <v>35.1</v>
      </c>
      <c r="F79" s="72">
        <f t="shared" si="19"/>
        <v>8.6999999999999993</v>
      </c>
      <c r="G79" s="72">
        <f t="shared" si="19"/>
        <v>56.7</v>
      </c>
      <c r="H79" s="72">
        <f t="shared" si="19"/>
        <v>60.7</v>
      </c>
      <c r="I79" s="72">
        <f t="shared" si="19"/>
        <v>62.7</v>
      </c>
      <c r="J79" s="72">
        <f t="shared" si="19"/>
        <v>28.5</v>
      </c>
      <c r="K79" s="72">
        <f t="shared" si="19"/>
        <v>33.9</v>
      </c>
      <c r="L79" s="72">
        <f t="shared" si="19"/>
        <v>20</v>
      </c>
      <c r="M79" s="72">
        <f t="shared" si="19"/>
        <v>12</v>
      </c>
      <c r="N79" s="72">
        <f t="shared" si="19"/>
        <v>12</v>
      </c>
      <c r="O79" s="72">
        <f t="shared" si="19"/>
        <v>4.3</v>
      </c>
      <c r="P79" s="72">
        <f t="shared" si="19"/>
        <v>27.2</v>
      </c>
      <c r="Q79" s="72">
        <f t="shared" si="19"/>
        <v>40</v>
      </c>
      <c r="R79" s="72">
        <f t="shared" si="19"/>
        <v>1.2</v>
      </c>
      <c r="S79" s="72">
        <f t="shared" si="19"/>
        <v>47</v>
      </c>
      <c r="T79" s="72">
        <f t="shared" si="19"/>
        <v>44.3</v>
      </c>
      <c r="U79" s="72">
        <f t="shared" si="19"/>
        <v>10</v>
      </c>
      <c r="V79" s="72">
        <f t="shared" si="19"/>
        <v>10</v>
      </c>
      <c r="W79" s="72">
        <f t="shared" si="19"/>
        <v>5.8</v>
      </c>
      <c r="X79" s="72">
        <f t="shared" si="19"/>
        <v>3.9</v>
      </c>
      <c r="Y79" s="72">
        <f t="shared" si="19"/>
        <v>56.3</v>
      </c>
      <c r="Z79" s="72">
        <f t="shared" si="19"/>
        <v>49.6</v>
      </c>
      <c r="AA79" s="72">
        <f t="shared" si="19"/>
        <v>10</v>
      </c>
      <c r="AB79" s="72">
        <f t="shared" si="19"/>
        <v>21.6</v>
      </c>
      <c r="AC79" s="72">
        <f t="shared" si="19"/>
        <v>57.3</v>
      </c>
      <c r="AD79" s="72">
        <f t="shared" si="19"/>
        <v>4.4000000000000004</v>
      </c>
      <c r="AE79" s="72">
        <f t="shared" si="19"/>
        <v>51.8</v>
      </c>
      <c r="AF79" s="72">
        <f t="shared" si="19"/>
        <v>0</v>
      </c>
      <c r="AG79" s="77">
        <f t="shared" si="19"/>
        <v>0</v>
      </c>
      <c r="AH79" s="55">
        <f t="shared" si="16"/>
        <v>65.8</v>
      </c>
      <c r="AI79" s="56">
        <f t="shared" si="17"/>
        <v>0</v>
      </c>
      <c r="AK79" s="57"/>
    </row>
    <row r="80" spans="1:88" s="1" customFormat="1" ht="15.75" thickBot="1" x14ac:dyDescent="0.3">
      <c r="A80" s="71" t="s">
        <v>85</v>
      </c>
      <c r="B80" s="72">
        <f>SUM(B67:B79)</f>
        <v>1731.2799999999997</v>
      </c>
      <c r="C80" s="72">
        <f t="shared" ref="C80:AG80" si="20">SUM(C67:C79)</f>
        <v>1565.6799999999998</v>
      </c>
      <c r="D80" s="72">
        <f t="shared" si="20"/>
        <v>1575.28</v>
      </c>
      <c r="E80" s="72">
        <f t="shared" si="20"/>
        <v>1574.0799999999995</v>
      </c>
      <c r="F80" s="72">
        <f t="shared" si="20"/>
        <v>1551.68</v>
      </c>
      <c r="G80" s="72">
        <f t="shared" si="20"/>
        <v>1650.88</v>
      </c>
      <c r="H80" s="72">
        <f t="shared" si="20"/>
        <v>1652.08</v>
      </c>
      <c r="I80" s="72">
        <f t="shared" si="20"/>
        <v>1772.8799999999999</v>
      </c>
      <c r="J80" s="72">
        <f t="shared" si="20"/>
        <v>1778.28</v>
      </c>
      <c r="K80" s="72">
        <f t="shared" si="20"/>
        <v>1851.08</v>
      </c>
      <c r="L80" s="72">
        <f t="shared" si="20"/>
        <v>1892.6800000000003</v>
      </c>
      <c r="M80" s="72">
        <f t="shared" si="20"/>
        <v>2008.48</v>
      </c>
      <c r="N80" s="72">
        <f t="shared" si="20"/>
        <v>2056.6799999999998</v>
      </c>
      <c r="O80" s="72">
        <f t="shared" si="20"/>
        <v>2091.4800000000005</v>
      </c>
      <c r="P80" s="72">
        <f t="shared" si="20"/>
        <v>2168.6799999999998</v>
      </c>
      <c r="Q80" s="72">
        <f t="shared" si="20"/>
        <v>2236.48</v>
      </c>
      <c r="R80" s="72">
        <f t="shared" si="20"/>
        <v>2242.8799999999997</v>
      </c>
      <c r="S80" s="72">
        <f t="shared" si="20"/>
        <v>2285.48</v>
      </c>
      <c r="T80" s="72">
        <f t="shared" si="20"/>
        <v>2117.4800000000005</v>
      </c>
      <c r="U80" s="72">
        <f t="shared" si="20"/>
        <v>2119.88</v>
      </c>
      <c r="V80" s="72">
        <f t="shared" si="20"/>
        <v>2149.88</v>
      </c>
      <c r="W80" s="72">
        <f t="shared" si="20"/>
        <v>2179.88</v>
      </c>
      <c r="X80" s="72">
        <f t="shared" si="20"/>
        <v>2359.88</v>
      </c>
      <c r="Y80" s="72">
        <f t="shared" si="20"/>
        <v>2839.8800000000006</v>
      </c>
      <c r="Z80" s="72">
        <f t="shared" si="20"/>
        <v>2797.2799999999997</v>
      </c>
      <c r="AA80" s="72">
        <f t="shared" si="20"/>
        <v>2637.28</v>
      </c>
      <c r="AB80" s="72">
        <f t="shared" si="20"/>
        <v>2637.2799999999997</v>
      </c>
      <c r="AC80" s="72">
        <f t="shared" si="20"/>
        <v>2535.8800000000006</v>
      </c>
      <c r="AD80" s="72">
        <f t="shared" si="20"/>
        <v>2235.4800000000005</v>
      </c>
      <c r="AE80" s="72">
        <f t="shared" si="20"/>
        <v>2190.2800000000007</v>
      </c>
      <c r="AF80" s="72">
        <f t="shared" si="20"/>
        <v>2162.48</v>
      </c>
      <c r="AG80" s="77">
        <f t="shared" si="20"/>
        <v>4208.08</v>
      </c>
      <c r="AH80" s="55">
        <f t="shared" si="16"/>
        <v>2839.8800000000006</v>
      </c>
      <c r="AI80" s="56">
        <f t="shared" si="17"/>
        <v>1551.68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2" t="s">
        <v>86</v>
      </c>
      <c r="B81" s="94">
        <v>50.04</v>
      </c>
      <c r="C81" s="93">
        <v>50.05</v>
      </c>
      <c r="D81" s="93">
        <v>50</v>
      </c>
      <c r="E81" s="93">
        <v>50.037999999999997</v>
      </c>
      <c r="F81" s="93">
        <v>50.033000000000001</v>
      </c>
      <c r="G81" s="93">
        <v>50.061</v>
      </c>
      <c r="H81" s="93">
        <v>49.984999999999999</v>
      </c>
      <c r="I81" s="93">
        <v>50.063000000000002</v>
      </c>
      <c r="J81" s="93">
        <v>50.01</v>
      </c>
      <c r="K81" s="93">
        <v>49.901000000000003</v>
      </c>
      <c r="L81" s="93">
        <v>50.031999999999996</v>
      </c>
      <c r="M81" s="93">
        <v>50.048999999999999</v>
      </c>
      <c r="N81" s="93">
        <v>50.045999999999999</v>
      </c>
      <c r="O81" s="93">
        <v>50.029000000000003</v>
      </c>
      <c r="P81" s="93">
        <v>50.045999999999999</v>
      </c>
      <c r="Q81" s="93">
        <v>49.988999999999997</v>
      </c>
      <c r="R81" s="93">
        <v>50.03</v>
      </c>
      <c r="S81" s="93">
        <v>49.96</v>
      </c>
      <c r="T81" s="93">
        <v>49.96</v>
      </c>
      <c r="U81" s="93">
        <v>49.97</v>
      </c>
      <c r="V81" s="93">
        <v>50.01</v>
      </c>
      <c r="W81" s="93">
        <v>50.1</v>
      </c>
      <c r="X81" s="93">
        <v>49.99</v>
      </c>
      <c r="Y81" s="93">
        <v>49.74</v>
      </c>
      <c r="Z81" s="93">
        <v>49.9</v>
      </c>
      <c r="AA81" s="93">
        <v>50.012</v>
      </c>
      <c r="AB81" s="93">
        <v>50.042000000000002</v>
      </c>
      <c r="AC81" s="93">
        <v>50.006</v>
      </c>
      <c r="AD81" s="93">
        <v>50.029000000000003</v>
      </c>
      <c r="AE81" s="93">
        <v>50.045999999999999</v>
      </c>
      <c r="AF81" s="94">
        <v>50.011000000000003</v>
      </c>
      <c r="AG81" s="95"/>
      <c r="AH81" s="55">
        <f t="shared" si="16"/>
        <v>50.1</v>
      </c>
      <c r="AI81" s="56">
        <f t="shared" si="17"/>
        <v>49.74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6" t="s">
        <v>87</v>
      </c>
      <c r="B82" s="98">
        <v>129.1</v>
      </c>
      <c r="C82" s="52">
        <v>129.4</v>
      </c>
      <c r="D82" s="52">
        <v>128.5</v>
      </c>
      <c r="E82" s="52">
        <v>128.69999999999999</v>
      </c>
      <c r="F82" s="52">
        <v>128.4</v>
      </c>
      <c r="G82" s="52">
        <v>128.69999999999999</v>
      </c>
      <c r="H82" s="52">
        <v>128.4</v>
      </c>
      <c r="I82" s="52">
        <v>127.1</v>
      </c>
      <c r="J82" s="52">
        <v>126.6</v>
      </c>
      <c r="K82" s="52">
        <v>125.9</v>
      </c>
      <c r="L82" s="52">
        <v>125.6</v>
      </c>
      <c r="M82" s="52">
        <v>125.3</v>
      </c>
      <c r="N82" s="52">
        <v>125.3</v>
      </c>
      <c r="O82" s="52">
        <v>124.8</v>
      </c>
      <c r="P82" s="52">
        <v>125.4</v>
      </c>
      <c r="Q82" s="52">
        <v>124.7</v>
      </c>
      <c r="R82" s="52">
        <v>124.3</v>
      </c>
      <c r="S82" s="52">
        <v>125.1</v>
      </c>
      <c r="T82" s="52">
        <v>124</v>
      </c>
      <c r="U82" s="52">
        <v>124.5</v>
      </c>
      <c r="V82" s="52">
        <v>124.5</v>
      </c>
      <c r="W82" s="52">
        <v>124.9</v>
      </c>
      <c r="X82" s="52">
        <v>124.2</v>
      </c>
      <c r="Y82" s="52">
        <v>124.9</v>
      </c>
      <c r="Z82" s="52">
        <v>124.6</v>
      </c>
      <c r="AA82" s="52">
        <v>125.6</v>
      </c>
      <c r="AB82" s="52">
        <v>124.6</v>
      </c>
      <c r="AC82" s="52">
        <v>124.5</v>
      </c>
      <c r="AD82" s="52">
        <v>126.3</v>
      </c>
      <c r="AE82" s="52">
        <v>127.7</v>
      </c>
      <c r="AF82" s="98">
        <v>125.6</v>
      </c>
      <c r="AG82" s="99"/>
      <c r="AH82" s="55">
        <f t="shared" si="16"/>
        <v>129.4</v>
      </c>
      <c r="AI82" s="56">
        <f t="shared" si="17"/>
        <v>124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88</v>
      </c>
      <c r="B83" s="98">
        <v>132.30000000000001</v>
      </c>
      <c r="C83" s="52">
        <v>132.4</v>
      </c>
      <c r="D83" s="52">
        <v>131.6</v>
      </c>
      <c r="E83" s="52">
        <v>131.69999999999999</v>
      </c>
      <c r="F83" s="52">
        <v>131.19999999999999</v>
      </c>
      <c r="G83" s="52">
        <v>131.30000000000001</v>
      </c>
      <c r="H83" s="52">
        <v>130.6</v>
      </c>
      <c r="I83" s="52">
        <v>129.4</v>
      </c>
      <c r="J83" s="52">
        <v>128.69999999999999</v>
      </c>
      <c r="K83" s="52">
        <v>127.9</v>
      </c>
      <c r="L83" s="52">
        <v>127.5</v>
      </c>
      <c r="M83" s="52">
        <v>128.19999999999999</v>
      </c>
      <c r="N83" s="52">
        <v>128.30000000000001</v>
      </c>
      <c r="O83" s="52">
        <v>127.9</v>
      </c>
      <c r="P83" s="52">
        <v>128.4</v>
      </c>
      <c r="Q83" s="52">
        <v>128.19999999999999</v>
      </c>
      <c r="R83" s="52">
        <v>127.9</v>
      </c>
      <c r="S83" s="52">
        <v>128.4</v>
      </c>
      <c r="T83" s="52">
        <v>127.1</v>
      </c>
      <c r="U83" s="52">
        <v>127.6</v>
      </c>
      <c r="V83" s="52">
        <v>128</v>
      </c>
      <c r="W83" s="52">
        <v>132</v>
      </c>
      <c r="X83" s="52">
        <v>127.1</v>
      </c>
      <c r="Y83" s="52">
        <v>127.4</v>
      </c>
      <c r="Z83" s="52">
        <v>127.5</v>
      </c>
      <c r="AA83" s="52">
        <v>128.69999999999999</v>
      </c>
      <c r="AB83" s="52">
        <v>128.1</v>
      </c>
      <c r="AC83" s="52">
        <v>128.19999999999999</v>
      </c>
      <c r="AD83" s="52">
        <v>130</v>
      </c>
      <c r="AE83" s="52">
        <v>131.19999999999999</v>
      </c>
      <c r="AF83" s="98">
        <v>129.69999999999999</v>
      </c>
      <c r="AG83" s="99"/>
      <c r="AH83" s="55">
        <f t="shared" si="16"/>
        <v>132.4</v>
      </c>
      <c r="AI83" s="56">
        <f t="shared" si="17"/>
        <v>127.1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89</v>
      </c>
      <c r="B84" s="98">
        <v>125</v>
      </c>
      <c r="C84" s="52">
        <v>128.9</v>
      </c>
      <c r="D84" s="52">
        <v>129.4</v>
      </c>
      <c r="E84" s="52">
        <v>130.1</v>
      </c>
      <c r="F84" s="52">
        <v>130.4</v>
      </c>
      <c r="G84" s="52">
        <v>130.6</v>
      </c>
      <c r="H84" s="52">
        <v>129.69999999999999</v>
      </c>
      <c r="I84" s="52">
        <v>130</v>
      </c>
      <c r="J84" s="52">
        <v>129.30000000000001</v>
      </c>
      <c r="K84" s="52">
        <v>127.8</v>
      </c>
      <c r="L84" s="52">
        <v>129.6</v>
      </c>
      <c r="M84" s="52">
        <v>125.9</v>
      </c>
      <c r="N84" s="52">
        <v>126.8</v>
      </c>
      <c r="O84" s="52">
        <v>127.9</v>
      </c>
      <c r="P84" s="52">
        <v>129.19999999999999</v>
      </c>
      <c r="Q84" s="52">
        <v>128.69999999999999</v>
      </c>
      <c r="R84" s="52">
        <v>128.80000000000001</v>
      </c>
      <c r="S84" s="52">
        <v>129.19999999999999</v>
      </c>
      <c r="T84" s="52">
        <v>128.6</v>
      </c>
      <c r="U84" s="52">
        <v>128.30000000000001</v>
      </c>
      <c r="V84" s="52">
        <v>128.30000000000001</v>
      </c>
      <c r="W84" s="52">
        <v>127</v>
      </c>
      <c r="X84" s="52">
        <v>125.1</v>
      </c>
      <c r="Y84" s="52">
        <v>128.80000000000001</v>
      </c>
      <c r="Z84" s="52">
        <v>129.69999999999999</v>
      </c>
      <c r="AA84" s="52">
        <v>127.6</v>
      </c>
      <c r="AB84" s="52">
        <v>127.1</v>
      </c>
      <c r="AC84" s="52">
        <v>128.19999999999999</v>
      </c>
      <c r="AD84" s="52">
        <v>128.69999999999999</v>
      </c>
      <c r="AE84" s="52">
        <v>129.9</v>
      </c>
      <c r="AF84" s="98">
        <v>128.19999999999999</v>
      </c>
      <c r="AG84" s="99"/>
      <c r="AH84" s="55">
        <f t="shared" si="16"/>
        <v>130.6</v>
      </c>
      <c r="AI84" s="56">
        <f t="shared" si="17"/>
        <v>125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100" t="s">
        <v>90</v>
      </c>
      <c r="B85" s="98">
        <v>131.1</v>
      </c>
      <c r="C85" s="52">
        <v>133.6</v>
      </c>
      <c r="D85" s="52">
        <v>134.19999999999999</v>
      </c>
      <c r="E85" s="52">
        <v>134.69999999999999</v>
      </c>
      <c r="F85" s="52">
        <v>135</v>
      </c>
      <c r="G85" s="52">
        <v>134.9</v>
      </c>
      <c r="H85" s="52">
        <v>134</v>
      </c>
      <c r="I85" s="52">
        <v>134.1</v>
      </c>
      <c r="J85" s="52">
        <v>133.19999999999999</v>
      </c>
      <c r="K85" s="52">
        <v>131.30000000000001</v>
      </c>
      <c r="L85" s="52">
        <v>132.5</v>
      </c>
      <c r="M85" s="52">
        <v>128.6</v>
      </c>
      <c r="N85" s="52">
        <v>129</v>
      </c>
      <c r="O85" s="52">
        <v>131.80000000000001</v>
      </c>
      <c r="P85" s="52">
        <v>133.1</v>
      </c>
      <c r="Q85" s="52">
        <v>133.9</v>
      </c>
      <c r="R85" s="52">
        <v>133.69999999999999</v>
      </c>
      <c r="S85" s="52">
        <v>133.69999999999999</v>
      </c>
      <c r="T85" s="52">
        <v>132.9</v>
      </c>
      <c r="U85" s="52">
        <v>132.5</v>
      </c>
      <c r="V85" s="52">
        <v>132.19999999999999</v>
      </c>
      <c r="W85" s="52">
        <v>132.5</v>
      </c>
      <c r="X85" s="52">
        <v>129.80000000000001</v>
      </c>
      <c r="Y85" s="52">
        <v>134.1</v>
      </c>
      <c r="Z85" s="52">
        <v>134.69999999999999</v>
      </c>
      <c r="AA85" s="52">
        <v>131.1</v>
      </c>
      <c r="AB85" s="52">
        <v>130.9</v>
      </c>
      <c r="AC85" s="52">
        <v>132</v>
      </c>
      <c r="AD85" s="52">
        <v>132.9</v>
      </c>
      <c r="AE85" s="52">
        <v>133.9</v>
      </c>
      <c r="AF85" s="98">
        <v>132.5</v>
      </c>
      <c r="AG85" s="99"/>
      <c r="AH85" s="55">
        <f t="shared" si="16"/>
        <v>135</v>
      </c>
      <c r="AI85" s="56">
        <f t="shared" si="17"/>
        <v>128.6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91</v>
      </c>
      <c r="B86" s="102">
        <v>133.80000000000001</v>
      </c>
      <c r="C86" s="101">
        <v>135.69999999999999</v>
      </c>
      <c r="D86" s="101">
        <v>133.80000000000001</v>
      </c>
      <c r="E86" s="101">
        <v>134.30000000000001</v>
      </c>
      <c r="F86" s="101">
        <v>133.6</v>
      </c>
      <c r="G86" s="101">
        <v>133.30000000000001</v>
      </c>
      <c r="H86" s="101">
        <v>133.1</v>
      </c>
      <c r="I86" s="101">
        <v>130.5</v>
      </c>
      <c r="J86" s="101">
        <v>129.1</v>
      </c>
      <c r="K86" s="101">
        <v>129.6</v>
      </c>
      <c r="L86" s="101">
        <v>131.69999999999999</v>
      </c>
      <c r="M86" s="101">
        <v>134.5</v>
      </c>
      <c r="N86" s="101">
        <v>134.5</v>
      </c>
      <c r="O86" s="101">
        <v>134.30000000000001</v>
      </c>
      <c r="P86" s="101">
        <v>137</v>
      </c>
      <c r="Q86" s="101">
        <v>135.4</v>
      </c>
      <c r="R86" s="101">
        <v>138.4</v>
      </c>
      <c r="S86" s="101">
        <v>128.30000000000001</v>
      </c>
      <c r="T86" s="101">
        <v>15.3</v>
      </c>
      <c r="U86" s="101">
        <v>134</v>
      </c>
      <c r="V86" s="101">
        <v>133</v>
      </c>
      <c r="W86" s="101">
        <v>132</v>
      </c>
      <c r="X86" s="101">
        <v>133.69999999999999</v>
      </c>
      <c r="Y86" s="101">
        <v>135.30000000000001</v>
      </c>
      <c r="Z86" s="101">
        <v>132.4</v>
      </c>
      <c r="AA86" s="101">
        <v>135.19999999999999</v>
      </c>
      <c r="AB86" s="101">
        <v>135.5</v>
      </c>
      <c r="AC86" s="101">
        <v>135</v>
      </c>
      <c r="AD86" s="101">
        <v>133.9</v>
      </c>
      <c r="AE86" s="101">
        <v>132.69999999999999</v>
      </c>
      <c r="AF86" s="102">
        <v>131.5</v>
      </c>
      <c r="AG86" s="103"/>
      <c r="AH86" s="55">
        <f t="shared" si="16"/>
        <v>138.4</v>
      </c>
      <c r="AI86" s="56">
        <f t="shared" si="17"/>
        <v>15.3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6" t="s">
        <v>92</v>
      </c>
      <c r="B87" s="98">
        <v>134.6</v>
      </c>
      <c r="C87" s="52">
        <v>136</v>
      </c>
      <c r="D87" s="52">
        <v>134.9</v>
      </c>
      <c r="E87" s="52">
        <v>135.69999999999999</v>
      </c>
      <c r="F87" s="52">
        <v>134.19999999999999</v>
      </c>
      <c r="G87" s="52">
        <v>133.80000000000001</v>
      </c>
      <c r="H87" s="52">
        <v>133.30000000000001</v>
      </c>
      <c r="I87" s="52">
        <v>131.1</v>
      </c>
      <c r="J87" s="52">
        <v>128.80000000000001</v>
      </c>
      <c r="K87" s="52">
        <v>126.2</v>
      </c>
      <c r="L87" s="52">
        <v>126</v>
      </c>
      <c r="M87" s="52">
        <v>130.19999999999999</v>
      </c>
      <c r="N87" s="52">
        <v>130.19999999999999</v>
      </c>
      <c r="O87" s="52">
        <v>128.30000000000001</v>
      </c>
      <c r="P87" s="52">
        <v>131.9</v>
      </c>
      <c r="Q87" s="52">
        <v>129</v>
      </c>
      <c r="R87" s="52">
        <v>125.4</v>
      </c>
      <c r="S87" s="52">
        <v>128.5</v>
      </c>
      <c r="T87" s="52">
        <v>133.6</v>
      </c>
      <c r="U87" s="52">
        <v>128.5</v>
      </c>
      <c r="V87" s="52">
        <v>18.5</v>
      </c>
      <c r="W87" s="52">
        <v>131.9</v>
      </c>
      <c r="X87" s="52">
        <v>129.80000000000001</v>
      </c>
      <c r="Y87" s="52">
        <v>139.4</v>
      </c>
      <c r="Z87" s="52">
        <v>126.9</v>
      </c>
      <c r="AA87" s="52">
        <v>131.1</v>
      </c>
      <c r="AB87" s="52">
        <v>131.69999999999999</v>
      </c>
      <c r="AC87" s="52">
        <v>133.30000000000001</v>
      </c>
      <c r="AD87" s="52">
        <v>133.4</v>
      </c>
      <c r="AE87" s="52">
        <v>133.6</v>
      </c>
      <c r="AF87" s="98">
        <v>133.1</v>
      </c>
      <c r="AG87" s="99"/>
      <c r="AH87" s="55">
        <f t="shared" si="16"/>
        <v>139.4</v>
      </c>
      <c r="AI87" s="56">
        <f t="shared" si="17"/>
        <v>18.5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6" t="s">
        <v>93</v>
      </c>
      <c r="B88" s="105">
        <v>67.5</v>
      </c>
      <c r="C88" s="104">
        <v>67.599999999999994</v>
      </c>
      <c r="D88" s="104">
        <v>67</v>
      </c>
      <c r="E88" s="104">
        <v>67</v>
      </c>
      <c r="F88" s="104">
        <v>66.7</v>
      </c>
      <c r="G88" s="104">
        <v>66.599999999999994</v>
      </c>
      <c r="H88" s="104">
        <v>66.3</v>
      </c>
      <c r="I88" s="104">
        <v>65.599999999999994</v>
      </c>
      <c r="J88" s="104">
        <v>65.099999999999994</v>
      </c>
      <c r="K88" s="104">
        <v>65</v>
      </c>
      <c r="L88" s="104">
        <v>64.8</v>
      </c>
      <c r="M88" s="104">
        <v>65.2</v>
      </c>
      <c r="N88" s="104">
        <v>65.2</v>
      </c>
      <c r="O88" s="104">
        <v>65.2</v>
      </c>
      <c r="P88" s="104">
        <v>65.400000000000006</v>
      </c>
      <c r="Q88" s="104">
        <v>65.2</v>
      </c>
      <c r="R88" s="104">
        <v>65.099999999999994</v>
      </c>
      <c r="S88" s="104">
        <v>65.3</v>
      </c>
      <c r="T88" s="104">
        <v>64.900000000000006</v>
      </c>
      <c r="U88" s="104">
        <v>64.900000000000006</v>
      </c>
      <c r="V88" s="104">
        <v>64.599999999999994</v>
      </c>
      <c r="W88" s="104">
        <v>65.3</v>
      </c>
      <c r="X88" s="104">
        <v>64.8</v>
      </c>
      <c r="Y88" s="104">
        <v>65.2</v>
      </c>
      <c r="Z88" s="104">
        <v>65.2</v>
      </c>
      <c r="AA88" s="104">
        <v>65.900000000000006</v>
      </c>
      <c r="AB88" s="104">
        <v>64.900000000000006</v>
      </c>
      <c r="AC88" s="104">
        <v>65.3</v>
      </c>
      <c r="AD88" s="104">
        <v>66.400000000000006</v>
      </c>
      <c r="AE88" s="104">
        <v>67.099999999999994</v>
      </c>
      <c r="AF88" s="105">
        <v>66.400000000000006</v>
      </c>
      <c r="AG88" s="106"/>
      <c r="AH88" s="55">
        <f t="shared" si="16"/>
        <v>67.599999999999994</v>
      </c>
      <c r="AI88" s="56">
        <f t="shared" si="17"/>
        <v>64.599999999999994</v>
      </c>
    </row>
    <row r="89" spans="1:88" ht="15.75" thickBot="1" x14ac:dyDescent="0.3">
      <c r="A89" s="107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9"/>
      <c r="AH89" s="55"/>
      <c r="AI89" s="56"/>
    </row>
    <row r="90" spans="1:88" ht="15.75" thickBot="1" x14ac:dyDescent="0.3">
      <c r="A90" s="110" t="s">
        <v>94</v>
      </c>
      <c r="B90" s="111">
        <f>SUM(B14,B17,B20:B21,B39,B41:B42,B44,B46,B91:B94,B99,B105,B111,B120,B122,B134,B141,B144:B145,B152,B154,B156,B160:B162,B164:B166,B171,B177:B178,B180:B182,B190,B195)</f>
        <v>119.43999999999998</v>
      </c>
      <c r="C90" s="111">
        <f t="shared" ref="C90:AF90" si="21">SUM(C14,C17,C20:C21,C39,C41:C42,C44,C46,C91:C94,C99,C105,C111,C120,C122,C134,C141,C144:C145,C152,C154,C156,C160:C162,C164:C166,C171,C177:C178,C180:C182,C190,C195)</f>
        <v>111.74</v>
      </c>
      <c r="D90" s="111">
        <f t="shared" si="21"/>
        <v>107.83999999999996</v>
      </c>
      <c r="E90" s="111">
        <f t="shared" si="21"/>
        <v>108.73999999999997</v>
      </c>
      <c r="F90" s="111">
        <f t="shared" si="21"/>
        <v>129.23999999999998</v>
      </c>
      <c r="G90" s="111">
        <f t="shared" si="21"/>
        <v>143.73999999999998</v>
      </c>
      <c r="H90" s="111">
        <f t="shared" si="21"/>
        <v>164.83999999999997</v>
      </c>
      <c r="I90" s="111">
        <f t="shared" si="21"/>
        <v>191.33999999999997</v>
      </c>
      <c r="J90" s="111">
        <f t="shared" si="21"/>
        <v>204.33999999999997</v>
      </c>
      <c r="K90" s="111">
        <f t="shared" si="21"/>
        <v>232.83999999999997</v>
      </c>
      <c r="L90" s="111">
        <f t="shared" si="21"/>
        <v>242.93999999999997</v>
      </c>
      <c r="M90" s="111">
        <f t="shared" si="21"/>
        <v>240.63999999999993</v>
      </c>
      <c r="N90" s="111">
        <f t="shared" si="21"/>
        <v>243.53999999999996</v>
      </c>
      <c r="O90" s="111">
        <f t="shared" si="21"/>
        <v>234.64</v>
      </c>
      <c r="P90" s="111">
        <f t="shared" si="21"/>
        <v>229.33999999999995</v>
      </c>
      <c r="Q90" s="111">
        <f t="shared" si="21"/>
        <v>216.53999999999996</v>
      </c>
      <c r="R90" s="111">
        <f t="shared" si="21"/>
        <v>199.73999999999998</v>
      </c>
      <c r="S90" s="111">
        <f t="shared" si="21"/>
        <v>223.64</v>
      </c>
      <c r="T90" s="111">
        <f t="shared" si="21"/>
        <v>201.84</v>
      </c>
      <c r="U90" s="111">
        <f t="shared" si="21"/>
        <v>208.83999999999997</v>
      </c>
      <c r="V90" s="111">
        <f t="shared" si="21"/>
        <v>257.54000000000002</v>
      </c>
      <c r="W90" s="111">
        <f t="shared" si="21"/>
        <v>258.24</v>
      </c>
      <c r="X90" s="111">
        <f t="shared" si="21"/>
        <v>336.94000000000005</v>
      </c>
      <c r="Y90" s="111">
        <f t="shared" si="21"/>
        <v>340.74</v>
      </c>
      <c r="Z90" s="111">
        <f t="shared" si="21"/>
        <v>325.44</v>
      </c>
      <c r="AA90" s="111">
        <f t="shared" si="21"/>
        <v>271.24</v>
      </c>
      <c r="AB90" s="111">
        <f t="shared" si="21"/>
        <v>256.03999999999996</v>
      </c>
      <c r="AC90" s="111">
        <f t="shared" si="21"/>
        <v>219.53999999999996</v>
      </c>
      <c r="AD90" s="111">
        <f t="shared" si="21"/>
        <v>172.03999999999996</v>
      </c>
      <c r="AE90" s="111">
        <f t="shared" si="21"/>
        <v>135.13999999999993</v>
      </c>
      <c r="AF90" s="111">
        <f t="shared" si="21"/>
        <v>119.23999999999997</v>
      </c>
      <c r="AG90" s="112"/>
      <c r="AH90" s="55">
        <f>MAX(B90:AF90)</f>
        <v>340.74</v>
      </c>
      <c r="AI90" s="56">
        <f>MIN(B90:AF90)</f>
        <v>107.83999999999996</v>
      </c>
    </row>
    <row r="91" spans="1:88" x14ac:dyDescent="0.25">
      <c r="A91" s="113" t="s">
        <v>95</v>
      </c>
      <c r="B91" s="116">
        <v>13.4</v>
      </c>
      <c r="C91" s="59">
        <v>19.3</v>
      </c>
      <c r="D91" s="59">
        <v>27.2</v>
      </c>
      <c r="E91" s="59">
        <v>29.2</v>
      </c>
      <c r="F91" s="114">
        <v>27.1</v>
      </c>
      <c r="G91" s="114">
        <v>24.4</v>
      </c>
      <c r="H91" s="114">
        <v>26</v>
      </c>
      <c r="I91" s="114">
        <v>19.100000000000001</v>
      </c>
      <c r="J91" s="114">
        <v>18.8</v>
      </c>
      <c r="K91" s="114">
        <v>26.6</v>
      </c>
      <c r="L91" s="115">
        <v>32</v>
      </c>
      <c r="M91" s="114">
        <v>38</v>
      </c>
      <c r="N91" s="114">
        <v>42.1</v>
      </c>
      <c r="O91" s="114">
        <v>49.7</v>
      </c>
      <c r="P91" s="114">
        <v>58.6</v>
      </c>
      <c r="Q91" s="114">
        <v>45.2</v>
      </c>
      <c r="R91" s="114">
        <v>26.5</v>
      </c>
      <c r="S91" s="114">
        <v>27.3</v>
      </c>
      <c r="T91" s="114">
        <v>42.5</v>
      </c>
      <c r="U91" s="114">
        <v>41.8</v>
      </c>
      <c r="V91" s="114">
        <v>31.6</v>
      </c>
      <c r="W91" s="114">
        <v>41.4</v>
      </c>
      <c r="X91" s="114">
        <v>33.700000000000003</v>
      </c>
      <c r="Y91" s="114">
        <v>16.7</v>
      </c>
      <c r="Z91" s="114">
        <v>22.1</v>
      </c>
      <c r="AA91" s="115">
        <v>14</v>
      </c>
      <c r="AB91" s="115">
        <v>15.3</v>
      </c>
      <c r="AC91" s="115">
        <v>11.4</v>
      </c>
      <c r="AD91" s="115">
        <v>22.8</v>
      </c>
      <c r="AE91" s="115">
        <v>20.2</v>
      </c>
      <c r="AF91" s="116">
        <v>26.5</v>
      </c>
      <c r="AG91" s="117">
        <v>75</v>
      </c>
      <c r="AH91" s="55">
        <f t="shared" ref="AH91:AH96" si="22">IF(ABS(MAX(B91:AF91))&gt;ABS(MIN(B91:AF91)),MAX(B91:AF91),MIN(B91:AF91))</f>
        <v>58.6</v>
      </c>
      <c r="AI91" s="118">
        <f t="shared" ref="AI91:AI96" si="23">INDEX($B$9:$AF$9,1,MATCH(AH91,B91:AF91,0))</f>
        <v>0.5</v>
      </c>
    </row>
    <row r="92" spans="1:88" x14ac:dyDescent="0.25">
      <c r="A92" s="119" t="s">
        <v>96</v>
      </c>
      <c r="B92" s="120">
        <f>-27.4-33.5</f>
        <v>-60.9</v>
      </c>
      <c r="C92" s="61">
        <f>-28.1-33.6</f>
        <v>-61.7</v>
      </c>
      <c r="D92" s="61">
        <v>-64.5</v>
      </c>
      <c r="E92" s="61">
        <v>-65.400000000000006</v>
      </c>
      <c r="F92" s="61">
        <v>-55.1</v>
      </c>
      <c r="G92" s="61">
        <v>-47.7</v>
      </c>
      <c r="H92" s="61">
        <v>-38.299999999999997</v>
      </c>
      <c r="I92" s="61">
        <v>-26.3</v>
      </c>
      <c r="J92" s="61">
        <v>-21.3</v>
      </c>
      <c r="K92" s="61">
        <v>-15.6</v>
      </c>
      <c r="L92" s="61">
        <v>-15</v>
      </c>
      <c r="M92" s="61">
        <v>-36</v>
      </c>
      <c r="N92" s="61">
        <v>-37</v>
      </c>
      <c r="O92" s="61">
        <v>-46</v>
      </c>
      <c r="P92" s="61">
        <v>-54</v>
      </c>
      <c r="Q92" s="61">
        <v>-54.2</v>
      </c>
      <c r="R92" s="61">
        <f>-26-32</f>
        <v>-58</v>
      </c>
      <c r="S92" s="61">
        <v>-46.5</v>
      </c>
      <c r="T92" s="61">
        <f>-15.7-19.8</f>
        <v>-35.5</v>
      </c>
      <c r="U92" s="61">
        <f>-15-18</f>
        <v>-33</v>
      </c>
      <c r="V92" s="61">
        <f>-13-16.5</f>
        <v>-29.5</v>
      </c>
      <c r="W92" s="61">
        <f>-17.1-20.8</f>
        <v>-37.900000000000006</v>
      </c>
      <c r="X92" s="61">
        <f>-13.8-17</f>
        <v>-30.8</v>
      </c>
      <c r="Y92" s="61">
        <f>-11.7-16.3</f>
        <v>-28</v>
      </c>
      <c r="Z92" s="61">
        <f>-16-20.8</f>
        <v>-36.799999999999997</v>
      </c>
      <c r="AA92" s="52">
        <v>-44</v>
      </c>
      <c r="AB92" s="52">
        <v>-51.9</v>
      </c>
      <c r="AC92" s="52">
        <v>-64.5</v>
      </c>
      <c r="AD92" s="52">
        <v>-70.599999999999994</v>
      </c>
      <c r="AE92" s="52">
        <v>-84.5</v>
      </c>
      <c r="AF92" s="120">
        <v>-95</v>
      </c>
      <c r="AG92" s="117">
        <v>240</v>
      </c>
      <c r="AH92" s="55">
        <f t="shared" si="22"/>
        <v>-95</v>
      </c>
      <c r="AI92" s="118">
        <f t="shared" si="23"/>
        <v>1</v>
      </c>
    </row>
    <row r="93" spans="1:88" x14ac:dyDescent="0.25">
      <c r="A93" s="119" t="s">
        <v>97</v>
      </c>
      <c r="B93" s="120">
        <v>7.1</v>
      </c>
      <c r="C93" s="61">
        <v>7.1</v>
      </c>
      <c r="D93" s="61">
        <v>6.6</v>
      </c>
      <c r="E93" s="61">
        <v>7.2</v>
      </c>
      <c r="F93" s="61">
        <v>9.1</v>
      </c>
      <c r="G93" s="61">
        <v>10.8</v>
      </c>
      <c r="H93" s="61">
        <v>13.2</v>
      </c>
      <c r="I93" s="61">
        <v>14.1</v>
      </c>
      <c r="J93" s="61">
        <v>15.1</v>
      </c>
      <c r="K93" s="61">
        <v>15.7</v>
      </c>
      <c r="L93" s="61">
        <v>13.3</v>
      </c>
      <c r="M93" s="61">
        <v>6.7</v>
      </c>
      <c r="N93" s="61">
        <v>11.4</v>
      </c>
      <c r="O93" s="61">
        <v>4.5999999999999996</v>
      </c>
      <c r="P93" s="61">
        <v>6.7</v>
      </c>
      <c r="Q93" s="61">
        <v>4.3</v>
      </c>
      <c r="R93" s="61">
        <v>-0.2</v>
      </c>
      <c r="S93" s="61">
        <v>0.5</v>
      </c>
      <c r="T93" s="61">
        <v>-1.2</v>
      </c>
      <c r="U93" s="61">
        <v>-1</v>
      </c>
      <c r="V93" s="61">
        <v>-1</v>
      </c>
      <c r="W93" s="61">
        <v>4.2</v>
      </c>
      <c r="X93" s="61">
        <v>8.9</v>
      </c>
      <c r="Y93" s="61">
        <v>15.8</v>
      </c>
      <c r="Z93" s="61">
        <v>5.9</v>
      </c>
      <c r="AA93" s="52">
        <v>5.9</v>
      </c>
      <c r="AB93" s="52">
        <v>0.9</v>
      </c>
      <c r="AC93" s="52">
        <v>-2.1</v>
      </c>
      <c r="AD93" s="52">
        <v>-3.7</v>
      </c>
      <c r="AE93" s="52">
        <v>-7.3</v>
      </c>
      <c r="AF93" s="120">
        <v>-10.199999999999999</v>
      </c>
      <c r="AG93" s="117">
        <v>60</v>
      </c>
      <c r="AH93" s="55">
        <f t="shared" si="22"/>
        <v>15.8</v>
      </c>
      <c r="AI93" s="118">
        <f t="shared" si="23"/>
        <v>0.79166666666666663</v>
      </c>
    </row>
    <row r="94" spans="1:88" x14ac:dyDescent="0.25">
      <c r="A94" s="121" t="s">
        <v>98</v>
      </c>
      <c r="B94" s="123">
        <v>-4</v>
      </c>
      <c r="C94" s="84">
        <v>-16.8</v>
      </c>
      <c r="D94" s="84">
        <v>-25.6</v>
      </c>
      <c r="E94" s="84">
        <v>-26.4</v>
      </c>
      <c r="F94" s="84">
        <v>-15.7</v>
      </c>
      <c r="G94" s="84">
        <v>-7.7</v>
      </c>
      <c r="H94" s="84">
        <v>0</v>
      </c>
      <c r="I94" s="84">
        <v>20.399999999999999</v>
      </c>
      <c r="J94" s="84">
        <v>27.6</v>
      </c>
      <c r="K94" s="84">
        <v>33.299999999999997</v>
      </c>
      <c r="L94" s="84">
        <v>40</v>
      </c>
      <c r="M94" s="84">
        <v>29.7</v>
      </c>
      <c r="N94" s="84">
        <v>24.8</v>
      </c>
      <c r="O94" s="84">
        <v>24.4</v>
      </c>
      <c r="P94" s="84">
        <v>17.100000000000001</v>
      </c>
      <c r="Q94" s="84">
        <v>25</v>
      </c>
      <c r="R94" s="84">
        <v>35.6</v>
      </c>
      <c r="S94" s="84">
        <v>24.5</v>
      </c>
      <c r="T94" s="84">
        <v>38.4</v>
      </c>
      <c r="U94" s="84">
        <v>43.4</v>
      </c>
      <c r="V94" s="84">
        <v>83.8</v>
      </c>
      <c r="W94" s="84">
        <v>62.9</v>
      </c>
      <c r="X94" s="84">
        <v>77.5</v>
      </c>
      <c r="Y94" s="84">
        <v>88.6</v>
      </c>
      <c r="Z94" s="84">
        <v>86.6</v>
      </c>
      <c r="AA94" s="122">
        <v>77.7</v>
      </c>
      <c r="AB94" s="122">
        <v>74.099999999999994</v>
      </c>
      <c r="AC94" s="122">
        <v>57.1</v>
      </c>
      <c r="AD94" s="122">
        <v>25.6</v>
      </c>
      <c r="AE94" s="122">
        <v>8.8000000000000007</v>
      </c>
      <c r="AF94" s="123">
        <v>0</v>
      </c>
      <c r="AG94" s="124">
        <v>120</v>
      </c>
      <c r="AH94" s="55">
        <f t="shared" si="22"/>
        <v>88.6</v>
      </c>
      <c r="AI94" s="118">
        <f t="shared" si="23"/>
        <v>0.79166666666666663</v>
      </c>
    </row>
    <row r="95" spans="1:88" x14ac:dyDescent="0.25">
      <c r="A95" s="121" t="s">
        <v>99</v>
      </c>
      <c r="B95" s="123">
        <v>7.1</v>
      </c>
      <c r="C95" s="84">
        <v>0</v>
      </c>
      <c r="D95" s="84">
        <v>-6.1</v>
      </c>
      <c r="E95" s="84">
        <v>-6.9</v>
      </c>
      <c r="F95" s="84">
        <v>0</v>
      </c>
      <c r="G95" s="84">
        <v>3.8</v>
      </c>
      <c r="H95" s="84">
        <v>7.5</v>
      </c>
      <c r="I95" s="84">
        <v>20.100000000000001</v>
      </c>
      <c r="J95" s="84">
        <v>25.2</v>
      </c>
      <c r="K95" s="84">
        <v>25.9</v>
      </c>
      <c r="L95" s="84">
        <v>35.799999999999997</v>
      </c>
      <c r="M95" s="84">
        <v>29.2</v>
      </c>
      <c r="N95" s="84">
        <v>29</v>
      </c>
      <c r="O95" s="84">
        <v>30.4</v>
      </c>
      <c r="P95" s="84">
        <v>24.4</v>
      </c>
      <c r="Q95" s="84">
        <v>29.3</v>
      </c>
      <c r="R95" s="84">
        <v>41.3</v>
      </c>
      <c r="S95" s="84">
        <v>31.8</v>
      </c>
      <c r="T95" s="84">
        <v>41.8</v>
      </c>
      <c r="U95" s="84">
        <v>42.7</v>
      </c>
      <c r="V95" s="84">
        <v>66.3</v>
      </c>
      <c r="W95" s="84">
        <v>52.7</v>
      </c>
      <c r="X95" s="84">
        <v>61.7</v>
      </c>
      <c r="Y95" s="84">
        <v>66.400000000000006</v>
      </c>
      <c r="Z95" s="84">
        <v>676.7</v>
      </c>
      <c r="AA95" s="122">
        <v>66.599999999999994</v>
      </c>
      <c r="AB95" s="122">
        <v>63.4</v>
      </c>
      <c r="AC95" s="122">
        <v>58</v>
      </c>
      <c r="AD95" s="122">
        <v>39.4</v>
      </c>
      <c r="AE95" s="122">
        <v>27.5</v>
      </c>
      <c r="AF95" s="123">
        <v>11.3</v>
      </c>
      <c r="AG95" s="124"/>
      <c r="AH95" s="55">
        <f t="shared" si="22"/>
        <v>676.7</v>
      </c>
      <c r="AI95" s="118">
        <f t="shared" si="23"/>
        <v>0.8125</v>
      </c>
    </row>
    <row r="96" spans="1:88" ht="15.75" thickBot="1" x14ac:dyDescent="0.3">
      <c r="A96" s="121" t="s">
        <v>100</v>
      </c>
      <c r="B96" s="123">
        <v>48.9</v>
      </c>
      <c r="C96" s="84">
        <v>38.299999999999997</v>
      </c>
      <c r="D96" s="84">
        <v>29.7</v>
      </c>
      <c r="E96" s="84">
        <v>26.9</v>
      </c>
      <c r="F96" s="84">
        <v>28.3</v>
      </c>
      <c r="G96" s="84">
        <v>31.6</v>
      </c>
      <c r="H96" s="84">
        <v>29.3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31.1</v>
      </c>
      <c r="O96" s="84">
        <v>27.9</v>
      </c>
      <c r="P96" s="84">
        <v>23.2</v>
      </c>
      <c r="Q96" s="84">
        <v>32.700000000000003</v>
      </c>
      <c r="R96" s="84">
        <v>58.1</v>
      </c>
      <c r="S96" s="84">
        <v>61.5</v>
      </c>
      <c r="T96" s="84">
        <v>52.6</v>
      </c>
      <c r="U96" s="84">
        <v>37.5</v>
      </c>
      <c r="V96" s="84">
        <v>63.1</v>
      </c>
      <c r="W96" s="84">
        <v>50</v>
      </c>
      <c r="X96" s="84">
        <v>59.6</v>
      </c>
      <c r="Y96" s="84">
        <v>78.8</v>
      </c>
      <c r="Z96" s="84">
        <v>74.599999999999994</v>
      </c>
      <c r="AA96" s="122">
        <v>83.2</v>
      </c>
      <c r="AB96" s="122">
        <v>83.3</v>
      </c>
      <c r="AC96" s="122">
        <v>80.599999999999994</v>
      </c>
      <c r="AD96" s="122">
        <v>72.599999999999994</v>
      </c>
      <c r="AE96" s="122">
        <v>72</v>
      </c>
      <c r="AF96" s="123">
        <v>67.900000000000006</v>
      </c>
      <c r="AG96" s="125"/>
      <c r="AH96" s="55">
        <f t="shared" si="22"/>
        <v>83.3</v>
      </c>
      <c r="AI96" s="118">
        <f t="shared" si="23"/>
        <v>0.85416666666666663</v>
      </c>
    </row>
    <row r="97" spans="1:37" ht="15.75" thickBot="1" x14ac:dyDescent="0.3">
      <c r="A97" s="126" t="s">
        <v>101</v>
      </c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8"/>
      <c r="AH97" s="129"/>
      <c r="AI97" s="56"/>
      <c r="AK97" s="57"/>
    </row>
    <row r="98" spans="1:37" x14ac:dyDescent="0.25">
      <c r="A98" s="130" t="s">
        <v>102</v>
      </c>
      <c r="B98" s="54">
        <v>9.9</v>
      </c>
      <c r="C98" s="131">
        <f t="shared" ref="C98:R103" si="24">B98</f>
        <v>9.9</v>
      </c>
      <c r="D98" s="131">
        <f t="shared" si="24"/>
        <v>9.9</v>
      </c>
      <c r="E98" s="131">
        <f t="shared" si="24"/>
        <v>9.9</v>
      </c>
      <c r="F98" s="131">
        <f t="shared" si="24"/>
        <v>9.9</v>
      </c>
      <c r="G98" s="131">
        <f t="shared" si="24"/>
        <v>9.9</v>
      </c>
      <c r="H98" s="131">
        <f t="shared" si="24"/>
        <v>9.9</v>
      </c>
      <c r="I98" s="131">
        <f t="shared" si="24"/>
        <v>9.9</v>
      </c>
      <c r="J98" s="131">
        <f t="shared" si="24"/>
        <v>9.9</v>
      </c>
      <c r="K98" s="131">
        <f t="shared" si="24"/>
        <v>9.9</v>
      </c>
      <c r="L98" s="131">
        <f t="shared" si="24"/>
        <v>9.9</v>
      </c>
      <c r="M98" s="131">
        <f t="shared" si="24"/>
        <v>9.9</v>
      </c>
      <c r="N98" s="131">
        <f t="shared" si="24"/>
        <v>9.9</v>
      </c>
      <c r="O98" s="131">
        <f t="shared" si="24"/>
        <v>9.9</v>
      </c>
      <c r="P98" s="131">
        <f t="shared" si="24"/>
        <v>9.9</v>
      </c>
      <c r="Q98" s="131">
        <f t="shared" si="24"/>
        <v>9.9</v>
      </c>
      <c r="R98" s="131">
        <f t="shared" si="24"/>
        <v>9.9</v>
      </c>
      <c r="S98" s="131">
        <f t="shared" ref="S98:AF103" si="25">R98</f>
        <v>9.9</v>
      </c>
      <c r="T98" s="131">
        <f t="shared" si="25"/>
        <v>9.9</v>
      </c>
      <c r="U98" s="131">
        <f t="shared" si="25"/>
        <v>9.9</v>
      </c>
      <c r="V98" s="131">
        <f t="shared" si="25"/>
        <v>9.9</v>
      </c>
      <c r="W98" s="131">
        <f t="shared" si="25"/>
        <v>9.9</v>
      </c>
      <c r="X98" s="131">
        <f t="shared" si="25"/>
        <v>9.9</v>
      </c>
      <c r="Y98" s="131">
        <f t="shared" si="25"/>
        <v>9.9</v>
      </c>
      <c r="Z98" s="131">
        <f t="shared" si="25"/>
        <v>9.9</v>
      </c>
      <c r="AA98" s="131">
        <f t="shared" si="25"/>
        <v>9.9</v>
      </c>
      <c r="AB98" s="131">
        <f t="shared" si="25"/>
        <v>9.9</v>
      </c>
      <c r="AC98" s="131">
        <f t="shared" si="25"/>
        <v>9.9</v>
      </c>
      <c r="AD98" s="131">
        <f t="shared" si="25"/>
        <v>9.9</v>
      </c>
      <c r="AE98" s="131">
        <f t="shared" si="25"/>
        <v>9.9</v>
      </c>
      <c r="AF98" s="131">
        <f t="shared" si="25"/>
        <v>9.9</v>
      </c>
      <c r="AG98" s="132">
        <v>9.94</v>
      </c>
      <c r="AH98" s="55"/>
      <c r="AI98" s="56"/>
      <c r="AK98" s="57"/>
    </row>
    <row r="99" spans="1:37" x14ac:dyDescent="0.25">
      <c r="A99" s="119" t="s">
        <v>103</v>
      </c>
      <c r="B99" s="133">
        <v>9.6</v>
      </c>
      <c r="C99" s="134">
        <f t="shared" si="24"/>
        <v>9.6</v>
      </c>
      <c r="D99" s="134">
        <f t="shared" si="24"/>
        <v>9.6</v>
      </c>
      <c r="E99" s="134">
        <f t="shared" si="24"/>
        <v>9.6</v>
      </c>
      <c r="F99" s="134">
        <f t="shared" si="24"/>
        <v>9.6</v>
      </c>
      <c r="G99" s="134">
        <f t="shared" si="24"/>
        <v>9.6</v>
      </c>
      <c r="H99" s="134">
        <f t="shared" si="24"/>
        <v>9.6</v>
      </c>
      <c r="I99" s="134">
        <f t="shared" si="24"/>
        <v>9.6</v>
      </c>
      <c r="J99" s="134">
        <f t="shared" si="24"/>
        <v>9.6</v>
      </c>
      <c r="K99" s="134">
        <f t="shared" si="24"/>
        <v>9.6</v>
      </c>
      <c r="L99" s="134">
        <f t="shared" si="24"/>
        <v>9.6</v>
      </c>
      <c r="M99" s="134">
        <f t="shared" si="24"/>
        <v>9.6</v>
      </c>
      <c r="N99" s="134">
        <f t="shared" si="24"/>
        <v>9.6</v>
      </c>
      <c r="O99" s="134">
        <f t="shared" si="24"/>
        <v>9.6</v>
      </c>
      <c r="P99" s="134">
        <f t="shared" si="24"/>
        <v>9.6</v>
      </c>
      <c r="Q99" s="134">
        <f t="shared" si="24"/>
        <v>9.6</v>
      </c>
      <c r="R99" s="134">
        <f t="shared" si="24"/>
        <v>9.6</v>
      </c>
      <c r="S99" s="134">
        <f t="shared" si="25"/>
        <v>9.6</v>
      </c>
      <c r="T99" s="134">
        <f t="shared" si="25"/>
        <v>9.6</v>
      </c>
      <c r="U99" s="134">
        <f t="shared" si="25"/>
        <v>9.6</v>
      </c>
      <c r="V99" s="134">
        <f t="shared" si="25"/>
        <v>9.6</v>
      </c>
      <c r="W99" s="134">
        <f t="shared" si="25"/>
        <v>9.6</v>
      </c>
      <c r="X99" s="134">
        <f t="shared" si="25"/>
        <v>9.6</v>
      </c>
      <c r="Y99" s="134">
        <f t="shared" si="25"/>
        <v>9.6</v>
      </c>
      <c r="Z99" s="134">
        <f t="shared" si="25"/>
        <v>9.6</v>
      </c>
      <c r="AA99" s="134">
        <f t="shared" si="25"/>
        <v>9.6</v>
      </c>
      <c r="AB99" s="134">
        <f t="shared" si="25"/>
        <v>9.6</v>
      </c>
      <c r="AC99" s="134">
        <f t="shared" si="25"/>
        <v>9.6</v>
      </c>
      <c r="AD99" s="134">
        <f t="shared" si="25"/>
        <v>9.6</v>
      </c>
      <c r="AE99" s="134">
        <f t="shared" si="25"/>
        <v>9.6</v>
      </c>
      <c r="AF99" s="134">
        <f t="shared" si="25"/>
        <v>9.6</v>
      </c>
      <c r="AG99" s="135">
        <v>9.9</v>
      </c>
      <c r="AH99" s="55"/>
      <c r="AI99" s="56"/>
      <c r="AK99" s="57"/>
    </row>
    <row r="100" spans="1:37" x14ac:dyDescent="0.25">
      <c r="A100" s="121" t="s">
        <v>104</v>
      </c>
      <c r="B100" s="133">
        <v>9.98</v>
      </c>
      <c r="C100" s="134">
        <f t="shared" si="24"/>
        <v>9.98</v>
      </c>
      <c r="D100" s="134">
        <f t="shared" si="24"/>
        <v>9.98</v>
      </c>
      <c r="E100" s="134">
        <f t="shared" si="24"/>
        <v>9.98</v>
      </c>
      <c r="F100" s="134">
        <f t="shared" si="24"/>
        <v>9.98</v>
      </c>
      <c r="G100" s="134">
        <f t="shared" si="24"/>
        <v>9.98</v>
      </c>
      <c r="H100" s="134">
        <f t="shared" si="24"/>
        <v>9.98</v>
      </c>
      <c r="I100" s="134">
        <f t="shared" si="24"/>
        <v>9.98</v>
      </c>
      <c r="J100" s="134">
        <f t="shared" si="24"/>
        <v>9.98</v>
      </c>
      <c r="K100" s="134">
        <f t="shared" si="24"/>
        <v>9.98</v>
      </c>
      <c r="L100" s="134">
        <f t="shared" si="24"/>
        <v>9.98</v>
      </c>
      <c r="M100" s="134">
        <f t="shared" si="24"/>
        <v>9.98</v>
      </c>
      <c r="N100" s="134">
        <f t="shared" si="24"/>
        <v>9.98</v>
      </c>
      <c r="O100" s="134">
        <f t="shared" si="24"/>
        <v>9.98</v>
      </c>
      <c r="P100" s="134">
        <f t="shared" si="24"/>
        <v>9.98</v>
      </c>
      <c r="Q100" s="134">
        <f t="shared" si="24"/>
        <v>9.98</v>
      </c>
      <c r="R100" s="134">
        <f t="shared" si="24"/>
        <v>9.98</v>
      </c>
      <c r="S100" s="134">
        <f t="shared" si="25"/>
        <v>9.98</v>
      </c>
      <c r="T100" s="134">
        <f t="shared" si="25"/>
        <v>9.98</v>
      </c>
      <c r="U100" s="134">
        <f t="shared" si="25"/>
        <v>9.98</v>
      </c>
      <c r="V100" s="134">
        <f t="shared" si="25"/>
        <v>9.98</v>
      </c>
      <c r="W100" s="134">
        <f t="shared" si="25"/>
        <v>9.98</v>
      </c>
      <c r="X100" s="134">
        <f t="shared" si="25"/>
        <v>9.98</v>
      </c>
      <c r="Y100" s="134">
        <f t="shared" si="25"/>
        <v>9.98</v>
      </c>
      <c r="Z100" s="134">
        <f t="shared" si="25"/>
        <v>9.98</v>
      </c>
      <c r="AA100" s="134">
        <f t="shared" si="25"/>
        <v>9.98</v>
      </c>
      <c r="AB100" s="134">
        <f t="shared" si="25"/>
        <v>9.98</v>
      </c>
      <c r="AC100" s="134">
        <f t="shared" si="25"/>
        <v>9.98</v>
      </c>
      <c r="AD100" s="134">
        <f t="shared" si="25"/>
        <v>9.98</v>
      </c>
      <c r="AE100" s="134">
        <f t="shared" si="25"/>
        <v>9.98</v>
      </c>
      <c r="AF100" s="134">
        <f t="shared" si="25"/>
        <v>9.98</v>
      </c>
      <c r="AG100" s="136">
        <v>9.6579999999999995</v>
      </c>
      <c r="AH100" s="55"/>
      <c r="AI100" s="56"/>
      <c r="AK100" s="57"/>
    </row>
    <row r="101" spans="1:37" x14ac:dyDescent="0.25">
      <c r="A101" s="121" t="s">
        <v>105</v>
      </c>
      <c r="B101" s="133">
        <v>9.1</v>
      </c>
      <c r="C101" s="134">
        <f t="shared" si="24"/>
        <v>9.1</v>
      </c>
      <c r="D101" s="134">
        <f t="shared" si="24"/>
        <v>9.1</v>
      </c>
      <c r="E101" s="134">
        <f t="shared" si="24"/>
        <v>9.1</v>
      </c>
      <c r="F101" s="134">
        <f t="shared" si="24"/>
        <v>9.1</v>
      </c>
      <c r="G101" s="134">
        <f t="shared" si="24"/>
        <v>9.1</v>
      </c>
      <c r="H101" s="134">
        <f t="shared" si="24"/>
        <v>9.1</v>
      </c>
      <c r="I101" s="134">
        <f t="shared" si="24"/>
        <v>9.1</v>
      </c>
      <c r="J101" s="134">
        <f t="shared" si="24"/>
        <v>9.1</v>
      </c>
      <c r="K101" s="134">
        <f t="shared" si="24"/>
        <v>9.1</v>
      </c>
      <c r="L101" s="134">
        <f t="shared" si="24"/>
        <v>9.1</v>
      </c>
      <c r="M101" s="134">
        <f t="shared" si="24"/>
        <v>9.1</v>
      </c>
      <c r="N101" s="134">
        <f t="shared" si="24"/>
        <v>9.1</v>
      </c>
      <c r="O101" s="134">
        <f t="shared" si="24"/>
        <v>9.1</v>
      </c>
      <c r="P101" s="134">
        <f t="shared" si="24"/>
        <v>9.1</v>
      </c>
      <c r="Q101" s="134">
        <f t="shared" si="24"/>
        <v>9.1</v>
      </c>
      <c r="R101" s="134">
        <f t="shared" si="24"/>
        <v>9.1</v>
      </c>
      <c r="S101" s="134">
        <f t="shared" si="25"/>
        <v>9.1</v>
      </c>
      <c r="T101" s="134">
        <f t="shared" si="25"/>
        <v>9.1</v>
      </c>
      <c r="U101" s="134">
        <f t="shared" si="25"/>
        <v>9.1</v>
      </c>
      <c r="V101" s="134">
        <f t="shared" si="25"/>
        <v>9.1</v>
      </c>
      <c r="W101" s="134">
        <f t="shared" si="25"/>
        <v>9.1</v>
      </c>
      <c r="X101" s="134">
        <f t="shared" si="25"/>
        <v>9.1</v>
      </c>
      <c r="Y101" s="134">
        <f t="shared" si="25"/>
        <v>9.1</v>
      </c>
      <c r="Z101" s="134">
        <f t="shared" si="25"/>
        <v>9.1</v>
      </c>
      <c r="AA101" s="134">
        <f t="shared" si="25"/>
        <v>9.1</v>
      </c>
      <c r="AB101" s="134">
        <f t="shared" si="25"/>
        <v>9.1</v>
      </c>
      <c r="AC101" s="134">
        <f t="shared" si="25"/>
        <v>9.1</v>
      </c>
      <c r="AD101" s="134">
        <f t="shared" si="25"/>
        <v>9.1</v>
      </c>
      <c r="AE101" s="134">
        <f t="shared" si="25"/>
        <v>9.1</v>
      </c>
      <c r="AF101" s="134">
        <f t="shared" si="25"/>
        <v>9.1</v>
      </c>
      <c r="AG101" s="136">
        <v>9.6</v>
      </c>
      <c r="AH101" s="55"/>
      <c r="AI101" s="56"/>
      <c r="AK101" s="57"/>
    </row>
    <row r="102" spans="1:37" x14ac:dyDescent="0.25">
      <c r="A102" s="121" t="s">
        <v>106</v>
      </c>
      <c r="B102" s="133">
        <v>9.18</v>
      </c>
      <c r="C102" s="134">
        <f t="shared" si="24"/>
        <v>9.18</v>
      </c>
      <c r="D102" s="134">
        <f t="shared" si="24"/>
        <v>9.18</v>
      </c>
      <c r="E102" s="134">
        <f t="shared" si="24"/>
        <v>9.18</v>
      </c>
      <c r="F102" s="134">
        <f t="shared" si="24"/>
        <v>9.18</v>
      </c>
      <c r="G102" s="134">
        <f t="shared" si="24"/>
        <v>9.18</v>
      </c>
      <c r="H102" s="134">
        <f t="shared" si="24"/>
        <v>9.18</v>
      </c>
      <c r="I102" s="134">
        <f t="shared" si="24"/>
        <v>9.18</v>
      </c>
      <c r="J102" s="134">
        <f t="shared" si="24"/>
        <v>9.18</v>
      </c>
      <c r="K102" s="134">
        <f t="shared" si="24"/>
        <v>9.18</v>
      </c>
      <c r="L102" s="134">
        <f t="shared" si="24"/>
        <v>9.18</v>
      </c>
      <c r="M102" s="134">
        <f t="shared" si="24"/>
        <v>9.18</v>
      </c>
      <c r="N102" s="134">
        <f t="shared" si="24"/>
        <v>9.18</v>
      </c>
      <c r="O102" s="134">
        <f t="shared" si="24"/>
        <v>9.18</v>
      </c>
      <c r="P102" s="134">
        <f t="shared" si="24"/>
        <v>9.18</v>
      </c>
      <c r="Q102" s="134">
        <f t="shared" si="24"/>
        <v>9.18</v>
      </c>
      <c r="R102" s="134">
        <f t="shared" si="24"/>
        <v>9.18</v>
      </c>
      <c r="S102" s="134">
        <f t="shared" si="25"/>
        <v>9.18</v>
      </c>
      <c r="T102" s="134">
        <f t="shared" si="25"/>
        <v>9.18</v>
      </c>
      <c r="U102" s="134">
        <f t="shared" si="25"/>
        <v>9.18</v>
      </c>
      <c r="V102" s="134">
        <f t="shared" si="25"/>
        <v>9.18</v>
      </c>
      <c r="W102" s="134">
        <f t="shared" si="25"/>
        <v>9.18</v>
      </c>
      <c r="X102" s="134">
        <f t="shared" si="25"/>
        <v>9.18</v>
      </c>
      <c r="Y102" s="134">
        <f t="shared" si="25"/>
        <v>9.18</v>
      </c>
      <c r="Z102" s="134">
        <f t="shared" si="25"/>
        <v>9.18</v>
      </c>
      <c r="AA102" s="134">
        <f t="shared" si="25"/>
        <v>9.18</v>
      </c>
      <c r="AB102" s="134">
        <f t="shared" si="25"/>
        <v>9.18</v>
      </c>
      <c r="AC102" s="134">
        <f t="shared" si="25"/>
        <v>9.18</v>
      </c>
      <c r="AD102" s="134">
        <f t="shared" si="25"/>
        <v>9.18</v>
      </c>
      <c r="AE102" s="134">
        <f t="shared" si="25"/>
        <v>9.18</v>
      </c>
      <c r="AF102" s="134">
        <f t="shared" si="25"/>
        <v>9.18</v>
      </c>
      <c r="AG102" s="136">
        <v>9.51</v>
      </c>
      <c r="AH102" s="55"/>
      <c r="AI102" s="56"/>
      <c r="AK102" s="57"/>
    </row>
    <row r="103" spans="1:37" x14ac:dyDescent="0.25">
      <c r="A103" s="121" t="s">
        <v>107</v>
      </c>
      <c r="B103" s="133">
        <v>7</v>
      </c>
      <c r="C103" s="134">
        <f t="shared" si="24"/>
        <v>7</v>
      </c>
      <c r="D103" s="134">
        <f t="shared" si="24"/>
        <v>7</v>
      </c>
      <c r="E103" s="134">
        <f t="shared" si="24"/>
        <v>7</v>
      </c>
      <c r="F103" s="134">
        <f t="shared" si="24"/>
        <v>7</v>
      </c>
      <c r="G103" s="134">
        <f t="shared" si="24"/>
        <v>7</v>
      </c>
      <c r="H103" s="134">
        <f t="shared" si="24"/>
        <v>7</v>
      </c>
      <c r="I103" s="134">
        <f t="shared" si="24"/>
        <v>7</v>
      </c>
      <c r="J103" s="134">
        <f t="shared" si="24"/>
        <v>7</v>
      </c>
      <c r="K103" s="134">
        <f t="shared" si="24"/>
        <v>7</v>
      </c>
      <c r="L103" s="134">
        <f t="shared" si="24"/>
        <v>7</v>
      </c>
      <c r="M103" s="134">
        <f t="shared" si="24"/>
        <v>7</v>
      </c>
      <c r="N103" s="134">
        <f t="shared" si="24"/>
        <v>7</v>
      </c>
      <c r="O103" s="134">
        <f t="shared" si="24"/>
        <v>7</v>
      </c>
      <c r="P103" s="134">
        <f t="shared" si="24"/>
        <v>7</v>
      </c>
      <c r="Q103" s="134">
        <f t="shared" si="24"/>
        <v>7</v>
      </c>
      <c r="R103" s="134">
        <f t="shared" si="24"/>
        <v>7</v>
      </c>
      <c r="S103" s="134">
        <f t="shared" si="25"/>
        <v>7</v>
      </c>
      <c r="T103" s="134">
        <f t="shared" si="25"/>
        <v>7</v>
      </c>
      <c r="U103" s="134">
        <f t="shared" si="25"/>
        <v>7</v>
      </c>
      <c r="V103" s="134">
        <f t="shared" si="25"/>
        <v>7</v>
      </c>
      <c r="W103" s="134">
        <f t="shared" si="25"/>
        <v>7</v>
      </c>
      <c r="X103" s="134">
        <f t="shared" si="25"/>
        <v>7</v>
      </c>
      <c r="Y103" s="134">
        <f t="shared" si="25"/>
        <v>7</v>
      </c>
      <c r="Z103" s="134">
        <f t="shared" si="25"/>
        <v>7</v>
      </c>
      <c r="AA103" s="134">
        <f t="shared" si="25"/>
        <v>7</v>
      </c>
      <c r="AB103" s="134">
        <f t="shared" si="25"/>
        <v>7</v>
      </c>
      <c r="AC103" s="134">
        <f t="shared" si="25"/>
        <v>7</v>
      </c>
      <c r="AD103" s="134">
        <f t="shared" si="25"/>
        <v>7</v>
      </c>
      <c r="AE103" s="134">
        <f t="shared" si="25"/>
        <v>7</v>
      </c>
      <c r="AF103" s="134">
        <f t="shared" si="25"/>
        <v>7</v>
      </c>
      <c r="AG103" s="136">
        <v>9.4</v>
      </c>
      <c r="AH103" s="55"/>
      <c r="AI103" s="56"/>
      <c r="AK103" s="57"/>
    </row>
    <row r="104" spans="1:37" x14ac:dyDescent="0.25">
      <c r="A104" s="121" t="s">
        <v>108</v>
      </c>
      <c r="B104" s="133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6">
        <v>8.8000000000000007</v>
      </c>
      <c r="AH104" s="55"/>
      <c r="AI104" s="56"/>
      <c r="AK104" s="57"/>
    </row>
    <row r="105" spans="1:37" x14ac:dyDescent="0.25">
      <c r="A105" s="121" t="s">
        <v>109</v>
      </c>
      <c r="B105" s="133">
        <v>2.25</v>
      </c>
      <c r="C105" s="134">
        <f t="shared" ref="C105:R106" si="26">B105</f>
        <v>2.25</v>
      </c>
      <c r="D105" s="134">
        <f t="shared" si="26"/>
        <v>2.25</v>
      </c>
      <c r="E105" s="134">
        <f t="shared" si="26"/>
        <v>2.25</v>
      </c>
      <c r="F105" s="134">
        <f t="shared" si="26"/>
        <v>2.25</v>
      </c>
      <c r="G105" s="134">
        <f t="shared" si="26"/>
        <v>2.25</v>
      </c>
      <c r="H105" s="134">
        <f t="shared" si="26"/>
        <v>2.25</v>
      </c>
      <c r="I105" s="134">
        <f t="shared" si="26"/>
        <v>2.25</v>
      </c>
      <c r="J105" s="134">
        <f t="shared" si="26"/>
        <v>2.25</v>
      </c>
      <c r="K105" s="134">
        <f t="shared" si="26"/>
        <v>2.25</v>
      </c>
      <c r="L105" s="134">
        <f t="shared" si="26"/>
        <v>2.25</v>
      </c>
      <c r="M105" s="134">
        <f t="shared" si="26"/>
        <v>2.25</v>
      </c>
      <c r="N105" s="134">
        <f t="shared" si="26"/>
        <v>2.25</v>
      </c>
      <c r="O105" s="134">
        <f t="shared" si="26"/>
        <v>2.25</v>
      </c>
      <c r="P105" s="134">
        <f t="shared" si="26"/>
        <v>2.25</v>
      </c>
      <c r="Q105" s="134">
        <f t="shared" si="26"/>
        <v>2.25</v>
      </c>
      <c r="R105" s="134">
        <f t="shared" si="26"/>
        <v>2.25</v>
      </c>
      <c r="S105" s="134">
        <f t="shared" ref="S105:AF106" si="27">R105</f>
        <v>2.25</v>
      </c>
      <c r="T105" s="134">
        <f t="shared" si="27"/>
        <v>2.25</v>
      </c>
      <c r="U105" s="134">
        <f t="shared" si="27"/>
        <v>2.25</v>
      </c>
      <c r="V105" s="134">
        <f t="shared" si="27"/>
        <v>2.25</v>
      </c>
      <c r="W105" s="134">
        <f t="shared" si="27"/>
        <v>2.25</v>
      </c>
      <c r="X105" s="134">
        <f t="shared" si="27"/>
        <v>2.25</v>
      </c>
      <c r="Y105" s="134">
        <f t="shared" si="27"/>
        <v>2.25</v>
      </c>
      <c r="Z105" s="134">
        <f t="shared" si="27"/>
        <v>2.25</v>
      </c>
      <c r="AA105" s="134">
        <f t="shared" si="27"/>
        <v>2.25</v>
      </c>
      <c r="AB105" s="134">
        <f t="shared" si="27"/>
        <v>2.25</v>
      </c>
      <c r="AC105" s="134">
        <f t="shared" si="27"/>
        <v>2.25</v>
      </c>
      <c r="AD105" s="134">
        <f t="shared" si="27"/>
        <v>2.25</v>
      </c>
      <c r="AE105" s="134">
        <f t="shared" si="27"/>
        <v>2.25</v>
      </c>
      <c r="AF105" s="134">
        <f t="shared" si="27"/>
        <v>2.25</v>
      </c>
      <c r="AG105" s="136">
        <v>8.5</v>
      </c>
      <c r="AH105" s="55"/>
      <c r="AI105" s="56"/>
      <c r="AK105" s="57"/>
    </row>
    <row r="106" spans="1:37" x14ac:dyDescent="0.25">
      <c r="A106" s="121" t="s">
        <v>110</v>
      </c>
      <c r="B106" s="133">
        <v>1.64</v>
      </c>
      <c r="C106" s="134">
        <f t="shared" si="26"/>
        <v>1.64</v>
      </c>
      <c r="D106" s="134">
        <f t="shared" si="26"/>
        <v>1.64</v>
      </c>
      <c r="E106" s="134">
        <f t="shared" si="26"/>
        <v>1.64</v>
      </c>
      <c r="F106" s="134">
        <f t="shared" si="26"/>
        <v>1.64</v>
      </c>
      <c r="G106" s="134">
        <f t="shared" si="26"/>
        <v>1.64</v>
      </c>
      <c r="H106" s="134">
        <f t="shared" si="26"/>
        <v>1.64</v>
      </c>
      <c r="I106" s="134">
        <f t="shared" si="26"/>
        <v>1.64</v>
      </c>
      <c r="J106" s="134">
        <f t="shared" si="26"/>
        <v>1.64</v>
      </c>
      <c r="K106" s="134">
        <f t="shared" si="26"/>
        <v>1.64</v>
      </c>
      <c r="L106" s="134">
        <f t="shared" si="26"/>
        <v>1.64</v>
      </c>
      <c r="M106" s="134">
        <f t="shared" si="26"/>
        <v>1.64</v>
      </c>
      <c r="N106" s="134">
        <f t="shared" si="26"/>
        <v>1.64</v>
      </c>
      <c r="O106" s="134">
        <f t="shared" si="26"/>
        <v>1.64</v>
      </c>
      <c r="P106" s="134">
        <f t="shared" si="26"/>
        <v>1.64</v>
      </c>
      <c r="Q106" s="134">
        <f t="shared" si="26"/>
        <v>1.64</v>
      </c>
      <c r="R106" s="134">
        <f t="shared" si="26"/>
        <v>1.64</v>
      </c>
      <c r="S106" s="134">
        <f t="shared" si="27"/>
        <v>1.64</v>
      </c>
      <c r="T106" s="134">
        <f t="shared" si="27"/>
        <v>1.64</v>
      </c>
      <c r="U106" s="134">
        <f t="shared" si="27"/>
        <v>1.64</v>
      </c>
      <c r="V106" s="134">
        <f t="shared" si="27"/>
        <v>1.64</v>
      </c>
      <c r="W106" s="134">
        <f t="shared" si="27"/>
        <v>1.64</v>
      </c>
      <c r="X106" s="134">
        <f t="shared" si="27"/>
        <v>1.64</v>
      </c>
      <c r="Y106" s="134">
        <f t="shared" si="27"/>
        <v>1.64</v>
      </c>
      <c r="Z106" s="134">
        <f t="shared" si="27"/>
        <v>1.64</v>
      </c>
      <c r="AA106" s="134">
        <f t="shared" si="27"/>
        <v>1.64</v>
      </c>
      <c r="AB106" s="134">
        <f t="shared" si="27"/>
        <v>1.64</v>
      </c>
      <c r="AC106" s="134">
        <f t="shared" si="27"/>
        <v>1.64</v>
      </c>
      <c r="AD106" s="134">
        <f t="shared" si="27"/>
        <v>1.64</v>
      </c>
      <c r="AE106" s="134">
        <f t="shared" si="27"/>
        <v>1.64</v>
      </c>
      <c r="AF106" s="134">
        <f t="shared" si="27"/>
        <v>1.64</v>
      </c>
      <c r="AG106" s="136">
        <v>8.5</v>
      </c>
      <c r="AH106" s="55"/>
      <c r="AI106" s="56"/>
      <c r="AK106" s="57"/>
    </row>
    <row r="107" spans="1:37" x14ac:dyDescent="0.25">
      <c r="A107" s="121" t="s">
        <v>111</v>
      </c>
      <c r="B107" s="133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6">
        <v>8.4</v>
      </c>
      <c r="AH107" s="55"/>
      <c r="AI107" s="56"/>
      <c r="AK107" s="57"/>
    </row>
    <row r="108" spans="1:37" x14ac:dyDescent="0.25">
      <c r="A108" s="121" t="s">
        <v>112</v>
      </c>
      <c r="B108" s="133">
        <v>1.62</v>
      </c>
      <c r="C108" s="134">
        <f t="shared" ref="C108:R115" si="28">B108</f>
        <v>1.62</v>
      </c>
      <c r="D108" s="134">
        <f t="shared" si="28"/>
        <v>1.62</v>
      </c>
      <c r="E108" s="134">
        <f t="shared" si="28"/>
        <v>1.62</v>
      </c>
      <c r="F108" s="134">
        <f t="shared" si="28"/>
        <v>1.62</v>
      </c>
      <c r="G108" s="134">
        <f t="shared" si="28"/>
        <v>1.62</v>
      </c>
      <c r="H108" s="134">
        <f t="shared" si="28"/>
        <v>1.62</v>
      </c>
      <c r="I108" s="134">
        <f t="shared" si="28"/>
        <v>1.62</v>
      </c>
      <c r="J108" s="134">
        <f t="shared" si="28"/>
        <v>1.62</v>
      </c>
      <c r="K108" s="134">
        <f t="shared" si="28"/>
        <v>1.62</v>
      </c>
      <c r="L108" s="134">
        <f t="shared" si="28"/>
        <v>1.62</v>
      </c>
      <c r="M108" s="134">
        <f t="shared" si="28"/>
        <v>1.62</v>
      </c>
      <c r="N108" s="134">
        <f t="shared" si="28"/>
        <v>1.62</v>
      </c>
      <c r="O108" s="134">
        <f t="shared" si="28"/>
        <v>1.62</v>
      </c>
      <c r="P108" s="134">
        <f t="shared" si="28"/>
        <v>1.62</v>
      </c>
      <c r="Q108" s="134">
        <f t="shared" si="28"/>
        <v>1.62</v>
      </c>
      <c r="R108" s="134">
        <f t="shared" si="28"/>
        <v>1.62</v>
      </c>
      <c r="S108" s="134">
        <f t="shared" ref="S108:AF123" si="29">R108</f>
        <v>1.62</v>
      </c>
      <c r="T108" s="134">
        <f t="shared" si="29"/>
        <v>1.62</v>
      </c>
      <c r="U108" s="134">
        <f t="shared" si="29"/>
        <v>1.62</v>
      </c>
      <c r="V108" s="134">
        <f t="shared" si="29"/>
        <v>1.62</v>
      </c>
      <c r="W108" s="134">
        <f t="shared" si="29"/>
        <v>1.62</v>
      </c>
      <c r="X108" s="134">
        <f t="shared" si="29"/>
        <v>1.62</v>
      </c>
      <c r="Y108" s="134">
        <f t="shared" si="29"/>
        <v>1.62</v>
      </c>
      <c r="Z108" s="134">
        <f t="shared" si="29"/>
        <v>1.62</v>
      </c>
      <c r="AA108" s="134">
        <f t="shared" si="29"/>
        <v>1.62</v>
      </c>
      <c r="AB108" s="134">
        <f t="shared" si="29"/>
        <v>1.62</v>
      </c>
      <c r="AC108" s="134">
        <f t="shared" si="29"/>
        <v>1.62</v>
      </c>
      <c r="AD108" s="134">
        <f t="shared" si="29"/>
        <v>1.62</v>
      </c>
      <c r="AE108" s="134">
        <f t="shared" si="29"/>
        <v>1.62</v>
      </c>
      <c r="AF108" s="134">
        <f t="shared" si="29"/>
        <v>1.62</v>
      </c>
      <c r="AG108" s="136">
        <v>8</v>
      </c>
      <c r="AH108" s="55"/>
      <c r="AI108" s="56"/>
      <c r="AK108" s="57"/>
    </row>
    <row r="109" spans="1:37" x14ac:dyDescent="0.25">
      <c r="A109" s="121" t="s">
        <v>113</v>
      </c>
      <c r="B109" s="133">
        <v>8.36</v>
      </c>
      <c r="C109" s="134">
        <f t="shared" si="28"/>
        <v>8.36</v>
      </c>
      <c r="D109" s="134">
        <f t="shared" si="28"/>
        <v>8.36</v>
      </c>
      <c r="E109" s="134">
        <f t="shared" si="28"/>
        <v>8.36</v>
      </c>
      <c r="F109" s="134">
        <f t="shared" si="28"/>
        <v>8.36</v>
      </c>
      <c r="G109" s="134">
        <f t="shared" si="28"/>
        <v>8.36</v>
      </c>
      <c r="H109" s="134">
        <f t="shared" si="28"/>
        <v>8.36</v>
      </c>
      <c r="I109" s="134">
        <f t="shared" si="28"/>
        <v>8.36</v>
      </c>
      <c r="J109" s="134">
        <f t="shared" si="28"/>
        <v>8.36</v>
      </c>
      <c r="K109" s="134">
        <f t="shared" si="28"/>
        <v>8.36</v>
      </c>
      <c r="L109" s="134">
        <f t="shared" si="28"/>
        <v>8.36</v>
      </c>
      <c r="M109" s="134">
        <f t="shared" si="28"/>
        <v>8.36</v>
      </c>
      <c r="N109" s="134">
        <f t="shared" si="28"/>
        <v>8.36</v>
      </c>
      <c r="O109" s="134">
        <f t="shared" si="28"/>
        <v>8.36</v>
      </c>
      <c r="P109" s="134">
        <f t="shared" si="28"/>
        <v>8.36</v>
      </c>
      <c r="Q109" s="134">
        <f t="shared" si="28"/>
        <v>8.36</v>
      </c>
      <c r="R109" s="134">
        <f t="shared" si="28"/>
        <v>8.36</v>
      </c>
      <c r="S109" s="134">
        <f t="shared" si="29"/>
        <v>8.36</v>
      </c>
      <c r="T109" s="134">
        <f t="shared" si="29"/>
        <v>8.36</v>
      </c>
      <c r="U109" s="134">
        <f t="shared" si="29"/>
        <v>8.36</v>
      </c>
      <c r="V109" s="134">
        <f t="shared" si="29"/>
        <v>8.36</v>
      </c>
      <c r="W109" s="134">
        <f t="shared" si="29"/>
        <v>8.36</v>
      </c>
      <c r="X109" s="134">
        <f t="shared" si="29"/>
        <v>8.36</v>
      </c>
      <c r="Y109" s="134">
        <f t="shared" si="29"/>
        <v>8.36</v>
      </c>
      <c r="Z109" s="134">
        <f t="shared" si="29"/>
        <v>8.36</v>
      </c>
      <c r="AA109" s="134">
        <f t="shared" si="29"/>
        <v>8.36</v>
      </c>
      <c r="AB109" s="134">
        <f t="shared" si="29"/>
        <v>8.36</v>
      </c>
      <c r="AC109" s="134">
        <f t="shared" si="29"/>
        <v>8.36</v>
      </c>
      <c r="AD109" s="134">
        <f t="shared" si="29"/>
        <v>8.36</v>
      </c>
      <c r="AE109" s="134">
        <f t="shared" si="29"/>
        <v>8.36</v>
      </c>
      <c r="AF109" s="134">
        <f t="shared" si="29"/>
        <v>8.36</v>
      </c>
      <c r="AG109" s="136">
        <v>8</v>
      </c>
      <c r="AH109" s="55"/>
      <c r="AI109" s="56"/>
      <c r="AK109" s="57"/>
    </row>
    <row r="110" spans="1:37" x14ac:dyDescent="0.25">
      <c r="A110" s="121" t="s">
        <v>114</v>
      </c>
      <c r="B110" s="133">
        <v>8</v>
      </c>
      <c r="C110" s="134">
        <f t="shared" si="28"/>
        <v>8</v>
      </c>
      <c r="D110" s="134">
        <f t="shared" si="28"/>
        <v>8</v>
      </c>
      <c r="E110" s="134">
        <f t="shared" si="28"/>
        <v>8</v>
      </c>
      <c r="F110" s="134">
        <f t="shared" si="28"/>
        <v>8</v>
      </c>
      <c r="G110" s="134">
        <f t="shared" si="28"/>
        <v>8</v>
      </c>
      <c r="H110" s="134">
        <f t="shared" si="28"/>
        <v>8</v>
      </c>
      <c r="I110" s="134">
        <v>5.4</v>
      </c>
      <c r="J110" s="134">
        <f t="shared" si="28"/>
        <v>5.4</v>
      </c>
      <c r="K110" s="134">
        <f t="shared" si="28"/>
        <v>5.4</v>
      </c>
      <c r="L110" s="134">
        <f t="shared" si="28"/>
        <v>5.4</v>
      </c>
      <c r="M110" s="134">
        <f t="shared" si="28"/>
        <v>5.4</v>
      </c>
      <c r="N110" s="134">
        <f t="shared" si="28"/>
        <v>5.4</v>
      </c>
      <c r="O110" s="134">
        <f t="shared" si="28"/>
        <v>5.4</v>
      </c>
      <c r="P110" s="134">
        <f t="shared" si="28"/>
        <v>5.4</v>
      </c>
      <c r="Q110" s="134">
        <f t="shared" si="28"/>
        <v>5.4</v>
      </c>
      <c r="R110" s="134">
        <f t="shared" si="28"/>
        <v>5.4</v>
      </c>
      <c r="S110" s="134">
        <f t="shared" si="29"/>
        <v>5.4</v>
      </c>
      <c r="T110" s="134">
        <f t="shared" si="29"/>
        <v>5.4</v>
      </c>
      <c r="U110" s="134">
        <f t="shared" si="29"/>
        <v>5.4</v>
      </c>
      <c r="V110" s="134">
        <f t="shared" si="29"/>
        <v>5.4</v>
      </c>
      <c r="W110" s="134">
        <f t="shared" si="29"/>
        <v>5.4</v>
      </c>
      <c r="X110" s="134">
        <f t="shared" si="29"/>
        <v>5.4</v>
      </c>
      <c r="Y110" s="134">
        <f t="shared" si="29"/>
        <v>5.4</v>
      </c>
      <c r="Z110" s="134">
        <f t="shared" si="29"/>
        <v>5.4</v>
      </c>
      <c r="AA110" s="134">
        <f t="shared" si="29"/>
        <v>5.4</v>
      </c>
      <c r="AB110" s="134">
        <f t="shared" si="29"/>
        <v>5.4</v>
      </c>
      <c r="AC110" s="134">
        <f t="shared" si="29"/>
        <v>5.4</v>
      </c>
      <c r="AD110" s="134">
        <f t="shared" si="29"/>
        <v>5.4</v>
      </c>
      <c r="AE110" s="134">
        <f t="shared" si="29"/>
        <v>5.4</v>
      </c>
      <c r="AF110" s="134">
        <f t="shared" si="29"/>
        <v>5.4</v>
      </c>
      <c r="AG110" s="136">
        <v>8</v>
      </c>
      <c r="AH110" s="55"/>
      <c r="AI110" s="56"/>
      <c r="AK110" s="57"/>
    </row>
    <row r="111" spans="1:37" x14ac:dyDescent="0.25">
      <c r="A111" s="121" t="s">
        <v>115</v>
      </c>
      <c r="B111" s="133">
        <v>6.57</v>
      </c>
      <c r="C111" s="134">
        <f t="shared" si="28"/>
        <v>6.57</v>
      </c>
      <c r="D111" s="134">
        <f t="shared" si="28"/>
        <v>6.57</v>
      </c>
      <c r="E111" s="134">
        <f t="shared" si="28"/>
        <v>6.57</v>
      </c>
      <c r="F111" s="134">
        <f t="shared" si="28"/>
        <v>6.57</v>
      </c>
      <c r="G111" s="134">
        <f t="shared" si="28"/>
        <v>6.57</v>
      </c>
      <c r="H111" s="134">
        <f t="shared" si="28"/>
        <v>6.57</v>
      </c>
      <c r="I111" s="134">
        <f t="shared" si="28"/>
        <v>6.57</v>
      </c>
      <c r="J111" s="134">
        <f t="shared" si="28"/>
        <v>6.57</v>
      </c>
      <c r="K111" s="134">
        <f t="shared" si="28"/>
        <v>6.57</v>
      </c>
      <c r="L111" s="134">
        <f t="shared" si="28"/>
        <v>6.57</v>
      </c>
      <c r="M111" s="134">
        <f t="shared" si="28"/>
        <v>6.57</v>
      </c>
      <c r="N111" s="134">
        <f t="shared" si="28"/>
        <v>6.57</v>
      </c>
      <c r="O111" s="134">
        <f t="shared" si="28"/>
        <v>6.57</v>
      </c>
      <c r="P111" s="134">
        <f t="shared" si="28"/>
        <v>6.57</v>
      </c>
      <c r="Q111" s="134">
        <f t="shared" si="28"/>
        <v>6.57</v>
      </c>
      <c r="R111" s="134">
        <f t="shared" si="28"/>
        <v>6.57</v>
      </c>
      <c r="S111" s="134">
        <f t="shared" si="29"/>
        <v>6.57</v>
      </c>
      <c r="T111" s="134">
        <f t="shared" si="29"/>
        <v>6.57</v>
      </c>
      <c r="U111" s="134">
        <f t="shared" si="29"/>
        <v>6.57</v>
      </c>
      <c r="V111" s="134">
        <f t="shared" si="29"/>
        <v>6.57</v>
      </c>
      <c r="W111" s="134">
        <f t="shared" si="29"/>
        <v>6.57</v>
      </c>
      <c r="X111" s="134">
        <f t="shared" si="29"/>
        <v>6.57</v>
      </c>
      <c r="Y111" s="134">
        <f t="shared" si="29"/>
        <v>6.57</v>
      </c>
      <c r="Z111" s="134">
        <f t="shared" si="29"/>
        <v>6.57</v>
      </c>
      <c r="AA111" s="134">
        <f t="shared" si="29"/>
        <v>6.57</v>
      </c>
      <c r="AB111" s="134">
        <f t="shared" si="29"/>
        <v>6.57</v>
      </c>
      <c r="AC111" s="134">
        <f t="shared" si="29"/>
        <v>6.57</v>
      </c>
      <c r="AD111" s="134">
        <f t="shared" si="29"/>
        <v>6.57</v>
      </c>
      <c r="AE111" s="134">
        <f t="shared" si="29"/>
        <v>6.57</v>
      </c>
      <c r="AF111" s="134">
        <f t="shared" si="29"/>
        <v>6.57</v>
      </c>
      <c r="AG111" s="136">
        <v>7.8</v>
      </c>
      <c r="AH111" s="55"/>
      <c r="AI111" s="56"/>
      <c r="AK111" s="57"/>
    </row>
    <row r="112" spans="1:37" x14ac:dyDescent="0.25">
      <c r="A112" s="121" t="s">
        <v>116</v>
      </c>
      <c r="B112" s="133">
        <v>3.43</v>
      </c>
      <c r="C112" s="134">
        <f t="shared" si="28"/>
        <v>3.43</v>
      </c>
      <c r="D112" s="134">
        <f t="shared" si="28"/>
        <v>3.43</v>
      </c>
      <c r="E112" s="134">
        <f t="shared" si="28"/>
        <v>3.43</v>
      </c>
      <c r="F112" s="134">
        <f t="shared" si="28"/>
        <v>3.43</v>
      </c>
      <c r="G112" s="134">
        <f t="shared" si="28"/>
        <v>3.43</v>
      </c>
      <c r="H112" s="134">
        <f t="shared" si="28"/>
        <v>3.43</v>
      </c>
      <c r="I112" s="134">
        <f t="shared" si="28"/>
        <v>3.43</v>
      </c>
      <c r="J112" s="134">
        <f t="shared" si="28"/>
        <v>3.43</v>
      </c>
      <c r="K112" s="134">
        <f t="shared" si="28"/>
        <v>3.43</v>
      </c>
      <c r="L112" s="134">
        <f t="shared" si="28"/>
        <v>3.43</v>
      </c>
      <c r="M112" s="134">
        <f t="shared" si="28"/>
        <v>3.43</v>
      </c>
      <c r="N112" s="134">
        <f t="shared" si="28"/>
        <v>3.43</v>
      </c>
      <c r="O112" s="134">
        <f t="shared" si="28"/>
        <v>3.43</v>
      </c>
      <c r="P112" s="134">
        <f t="shared" si="28"/>
        <v>3.43</v>
      </c>
      <c r="Q112" s="134">
        <f t="shared" si="28"/>
        <v>3.43</v>
      </c>
      <c r="R112" s="134">
        <f t="shared" si="28"/>
        <v>3.43</v>
      </c>
      <c r="S112" s="134">
        <f t="shared" si="29"/>
        <v>3.43</v>
      </c>
      <c r="T112" s="134">
        <f t="shared" si="29"/>
        <v>3.43</v>
      </c>
      <c r="U112" s="134">
        <f t="shared" si="29"/>
        <v>3.43</v>
      </c>
      <c r="V112" s="134">
        <f t="shared" si="29"/>
        <v>3.43</v>
      </c>
      <c r="W112" s="134">
        <f t="shared" si="29"/>
        <v>3.43</v>
      </c>
      <c r="X112" s="134">
        <f t="shared" si="29"/>
        <v>3.43</v>
      </c>
      <c r="Y112" s="134">
        <f t="shared" si="29"/>
        <v>3.43</v>
      </c>
      <c r="Z112" s="134">
        <f t="shared" si="29"/>
        <v>3.43</v>
      </c>
      <c r="AA112" s="134">
        <f t="shared" si="29"/>
        <v>3.43</v>
      </c>
      <c r="AB112" s="134">
        <f t="shared" si="29"/>
        <v>3.43</v>
      </c>
      <c r="AC112" s="134">
        <f t="shared" si="29"/>
        <v>3.43</v>
      </c>
      <c r="AD112" s="134">
        <f t="shared" si="29"/>
        <v>3.43</v>
      </c>
      <c r="AE112" s="134">
        <f t="shared" si="29"/>
        <v>3.43</v>
      </c>
      <c r="AF112" s="134">
        <f t="shared" si="29"/>
        <v>3.43</v>
      </c>
      <c r="AG112" s="136">
        <v>7.6</v>
      </c>
      <c r="AH112" s="55"/>
      <c r="AI112" s="56"/>
      <c r="AK112" s="57"/>
    </row>
    <row r="113" spans="1:37" x14ac:dyDescent="0.25">
      <c r="A113" s="121" t="s">
        <v>117</v>
      </c>
      <c r="B113" s="133">
        <v>2.96</v>
      </c>
      <c r="C113" s="134">
        <f t="shared" si="28"/>
        <v>2.96</v>
      </c>
      <c r="D113" s="134">
        <f t="shared" si="28"/>
        <v>2.96</v>
      </c>
      <c r="E113" s="134">
        <f t="shared" si="28"/>
        <v>2.96</v>
      </c>
      <c r="F113" s="134">
        <f t="shared" si="28"/>
        <v>2.96</v>
      </c>
      <c r="G113" s="134">
        <f t="shared" si="28"/>
        <v>2.96</v>
      </c>
      <c r="H113" s="134">
        <f t="shared" si="28"/>
        <v>2.96</v>
      </c>
      <c r="I113" s="134">
        <f t="shared" si="28"/>
        <v>2.96</v>
      </c>
      <c r="J113" s="134">
        <f t="shared" si="28"/>
        <v>2.96</v>
      </c>
      <c r="K113" s="134">
        <f t="shared" si="28"/>
        <v>2.96</v>
      </c>
      <c r="L113" s="134">
        <f t="shared" si="28"/>
        <v>2.96</v>
      </c>
      <c r="M113" s="134">
        <f t="shared" si="28"/>
        <v>2.96</v>
      </c>
      <c r="N113" s="134">
        <f t="shared" si="28"/>
        <v>2.96</v>
      </c>
      <c r="O113" s="134">
        <f t="shared" si="28"/>
        <v>2.96</v>
      </c>
      <c r="P113" s="134">
        <f t="shared" si="28"/>
        <v>2.96</v>
      </c>
      <c r="Q113" s="134">
        <f t="shared" si="28"/>
        <v>2.96</v>
      </c>
      <c r="R113" s="134">
        <f t="shared" si="28"/>
        <v>2.96</v>
      </c>
      <c r="S113" s="134">
        <f t="shared" si="29"/>
        <v>2.96</v>
      </c>
      <c r="T113" s="134">
        <f t="shared" si="29"/>
        <v>2.96</v>
      </c>
      <c r="U113" s="134">
        <f t="shared" si="29"/>
        <v>2.96</v>
      </c>
      <c r="V113" s="134">
        <f t="shared" si="29"/>
        <v>2.96</v>
      </c>
      <c r="W113" s="134">
        <f t="shared" si="29"/>
        <v>2.96</v>
      </c>
      <c r="X113" s="134">
        <f t="shared" si="29"/>
        <v>2.96</v>
      </c>
      <c r="Y113" s="134">
        <f t="shared" si="29"/>
        <v>2.96</v>
      </c>
      <c r="Z113" s="134">
        <f t="shared" si="29"/>
        <v>2.96</v>
      </c>
      <c r="AA113" s="134">
        <f t="shared" si="29"/>
        <v>2.96</v>
      </c>
      <c r="AB113" s="134">
        <f t="shared" si="29"/>
        <v>2.96</v>
      </c>
      <c r="AC113" s="134">
        <f t="shared" si="29"/>
        <v>2.96</v>
      </c>
      <c r="AD113" s="134">
        <f t="shared" si="29"/>
        <v>2.96</v>
      </c>
      <c r="AE113" s="134">
        <f t="shared" si="29"/>
        <v>2.96</v>
      </c>
      <c r="AF113" s="134">
        <f t="shared" si="29"/>
        <v>2.96</v>
      </c>
      <c r="AG113" s="136">
        <v>7.5</v>
      </c>
      <c r="AH113" s="55"/>
      <c r="AI113" s="56"/>
      <c r="AK113" s="57"/>
    </row>
    <row r="114" spans="1:37" x14ac:dyDescent="0.25">
      <c r="A114" s="121" t="s">
        <v>118</v>
      </c>
      <c r="B114" s="133">
        <v>8</v>
      </c>
      <c r="C114" s="134">
        <f t="shared" si="28"/>
        <v>8</v>
      </c>
      <c r="D114" s="134">
        <f t="shared" si="28"/>
        <v>8</v>
      </c>
      <c r="E114" s="134">
        <f t="shared" si="28"/>
        <v>8</v>
      </c>
      <c r="F114" s="134">
        <f t="shared" si="28"/>
        <v>8</v>
      </c>
      <c r="G114" s="134">
        <f t="shared" si="28"/>
        <v>8</v>
      </c>
      <c r="H114" s="134">
        <f t="shared" si="28"/>
        <v>8</v>
      </c>
      <c r="I114" s="134">
        <f t="shared" si="28"/>
        <v>8</v>
      </c>
      <c r="J114" s="134">
        <f t="shared" si="28"/>
        <v>8</v>
      </c>
      <c r="K114" s="134">
        <f t="shared" si="28"/>
        <v>8</v>
      </c>
      <c r="L114" s="134">
        <f t="shared" si="28"/>
        <v>8</v>
      </c>
      <c r="M114" s="134">
        <f t="shared" si="28"/>
        <v>8</v>
      </c>
      <c r="N114" s="134">
        <f t="shared" si="28"/>
        <v>8</v>
      </c>
      <c r="O114" s="134">
        <f t="shared" si="28"/>
        <v>8</v>
      </c>
      <c r="P114" s="134">
        <f t="shared" si="28"/>
        <v>8</v>
      </c>
      <c r="Q114" s="134">
        <f t="shared" si="28"/>
        <v>8</v>
      </c>
      <c r="R114" s="134">
        <f t="shared" si="28"/>
        <v>8</v>
      </c>
      <c r="S114" s="134">
        <f t="shared" si="29"/>
        <v>8</v>
      </c>
      <c r="T114" s="134">
        <f t="shared" si="29"/>
        <v>8</v>
      </c>
      <c r="U114" s="134">
        <f t="shared" si="29"/>
        <v>8</v>
      </c>
      <c r="V114" s="134">
        <f t="shared" si="29"/>
        <v>8</v>
      </c>
      <c r="W114" s="134">
        <f t="shared" si="29"/>
        <v>8</v>
      </c>
      <c r="X114" s="134">
        <f t="shared" si="29"/>
        <v>8</v>
      </c>
      <c r="Y114" s="134">
        <f t="shared" si="29"/>
        <v>8</v>
      </c>
      <c r="Z114" s="134">
        <f t="shared" si="29"/>
        <v>8</v>
      </c>
      <c r="AA114" s="134">
        <f t="shared" si="29"/>
        <v>8</v>
      </c>
      <c r="AB114" s="134">
        <f t="shared" si="29"/>
        <v>8</v>
      </c>
      <c r="AC114" s="134">
        <f t="shared" si="29"/>
        <v>8</v>
      </c>
      <c r="AD114" s="134">
        <f t="shared" si="29"/>
        <v>8</v>
      </c>
      <c r="AE114" s="134">
        <f t="shared" si="29"/>
        <v>8</v>
      </c>
      <c r="AF114" s="134">
        <f t="shared" si="29"/>
        <v>8</v>
      </c>
      <c r="AG114" s="136">
        <v>7.5</v>
      </c>
      <c r="AH114" s="55"/>
      <c r="AI114" s="56"/>
      <c r="AK114" s="57"/>
    </row>
    <row r="115" spans="1:37" x14ac:dyDescent="0.25">
      <c r="A115" s="121" t="s">
        <v>119</v>
      </c>
      <c r="B115" s="133">
        <v>7</v>
      </c>
      <c r="C115" s="134">
        <f>B115</f>
        <v>7</v>
      </c>
      <c r="D115" s="134">
        <f t="shared" si="28"/>
        <v>7</v>
      </c>
      <c r="E115" s="134">
        <f t="shared" si="28"/>
        <v>7</v>
      </c>
      <c r="F115" s="134">
        <f t="shared" si="28"/>
        <v>7</v>
      </c>
      <c r="G115" s="134">
        <f t="shared" si="28"/>
        <v>7</v>
      </c>
      <c r="H115" s="134">
        <f t="shared" si="28"/>
        <v>7</v>
      </c>
      <c r="I115" s="134">
        <f t="shared" si="28"/>
        <v>7</v>
      </c>
      <c r="J115" s="134">
        <f t="shared" si="28"/>
        <v>7</v>
      </c>
      <c r="K115" s="134">
        <f t="shared" si="28"/>
        <v>7</v>
      </c>
      <c r="L115" s="134">
        <f t="shared" si="28"/>
        <v>7</v>
      </c>
      <c r="M115" s="134">
        <f t="shared" si="28"/>
        <v>7</v>
      </c>
      <c r="N115" s="134">
        <f t="shared" si="28"/>
        <v>7</v>
      </c>
      <c r="O115" s="134">
        <f t="shared" si="28"/>
        <v>7</v>
      </c>
      <c r="P115" s="134">
        <f t="shared" si="28"/>
        <v>7</v>
      </c>
      <c r="Q115" s="134">
        <f t="shared" si="28"/>
        <v>7</v>
      </c>
      <c r="R115" s="134">
        <f t="shared" si="28"/>
        <v>7</v>
      </c>
      <c r="S115" s="134">
        <f t="shared" si="29"/>
        <v>7</v>
      </c>
      <c r="T115" s="134">
        <f t="shared" si="29"/>
        <v>7</v>
      </c>
      <c r="U115" s="134">
        <f t="shared" si="29"/>
        <v>7</v>
      </c>
      <c r="V115" s="134">
        <f t="shared" si="29"/>
        <v>7</v>
      </c>
      <c r="W115" s="134">
        <f t="shared" si="29"/>
        <v>7</v>
      </c>
      <c r="X115" s="134">
        <f t="shared" si="29"/>
        <v>7</v>
      </c>
      <c r="Y115" s="134">
        <f t="shared" si="29"/>
        <v>7</v>
      </c>
      <c r="Z115" s="134">
        <f t="shared" si="29"/>
        <v>7</v>
      </c>
      <c r="AA115" s="134">
        <f t="shared" si="29"/>
        <v>7</v>
      </c>
      <c r="AB115" s="134">
        <f t="shared" si="29"/>
        <v>7</v>
      </c>
      <c r="AC115" s="134">
        <f t="shared" si="29"/>
        <v>7</v>
      </c>
      <c r="AD115" s="134">
        <f t="shared" si="29"/>
        <v>7</v>
      </c>
      <c r="AE115" s="134">
        <f t="shared" si="29"/>
        <v>7</v>
      </c>
      <c r="AF115" s="134">
        <f t="shared" si="29"/>
        <v>7</v>
      </c>
      <c r="AG115" s="136">
        <v>7</v>
      </c>
      <c r="AH115" s="55"/>
      <c r="AI115" s="56"/>
      <c r="AK115" s="57"/>
    </row>
    <row r="116" spans="1:37" x14ac:dyDescent="0.25">
      <c r="A116" s="121" t="s">
        <v>120</v>
      </c>
      <c r="B116" s="133">
        <v>3.47</v>
      </c>
      <c r="C116" s="134">
        <f t="shared" ref="C116:R125" si="30">B116</f>
        <v>3.47</v>
      </c>
      <c r="D116" s="134">
        <f t="shared" si="30"/>
        <v>3.47</v>
      </c>
      <c r="E116" s="134">
        <f t="shared" si="30"/>
        <v>3.47</v>
      </c>
      <c r="F116" s="134">
        <f t="shared" si="30"/>
        <v>3.47</v>
      </c>
      <c r="G116" s="134">
        <f t="shared" si="30"/>
        <v>3.47</v>
      </c>
      <c r="H116" s="134">
        <f t="shared" si="30"/>
        <v>3.47</v>
      </c>
      <c r="I116" s="134">
        <f t="shared" si="30"/>
        <v>3.47</v>
      </c>
      <c r="J116" s="134">
        <f t="shared" si="30"/>
        <v>3.47</v>
      </c>
      <c r="K116" s="134">
        <f t="shared" si="30"/>
        <v>3.47</v>
      </c>
      <c r="L116" s="134">
        <f t="shared" si="30"/>
        <v>3.47</v>
      </c>
      <c r="M116" s="134">
        <f t="shared" si="30"/>
        <v>3.47</v>
      </c>
      <c r="N116" s="134">
        <f t="shared" si="30"/>
        <v>3.47</v>
      </c>
      <c r="O116" s="134">
        <f t="shared" si="30"/>
        <v>3.47</v>
      </c>
      <c r="P116" s="134">
        <f t="shared" si="30"/>
        <v>3.47</v>
      </c>
      <c r="Q116" s="134">
        <f t="shared" si="30"/>
        <v>3.47</v>
      </c>
      <c r="R116" s="134">
        <f t="shared" si="30"/>
        <v>3.47</v>
      </c>
      <c r="S116" s="134">
        <f t="shared" si="29"/>
        <v>3.47</v>
      </c>
      <c r="T116" s="134">
        <f t="shared" si="29"/>
        <v>3.47</v>
      </c>
      <c r="U116" s="134">
        <f t="shared" si="29"/>
        <v>3.47</v>
      </c>
      <c r="V116" s="134">
        <f t="shared" si="29"/>
        <v>3.47</v>
      </c>
      <c r="W116" s="134">
        <f t="shared" si="29"/>
        <v>3.47</v>
      </c>
      <c r="X116" s="134">
        <f t="shared" si="29"/>
        <v>3.47</v>
      </c>
      <c r="Y116" s="134">
        <f t="shared" si="29"/>
        <v>3.47</v>
      </c>
      <c r="Z116" s="134">
        <f t="shared" si="29"/>
        <v>3.47</v>
      </c>
      <c r="AA116" s="134">
        <f t="shared" si="29"/>
        <v>3.47</v>
      </c>
      <c r="AB116" s="134">
        <f t="shared" si="29"/>
        <v>3.47</v>
      </c>
      <c r="AC116" s="134">
        <f t="shared" si="29"/>
        <v>3.47</v>
      </c>
      <c r="AD116" s="134">
        <f t="shared" si="29"/>
        <v>3.47</v>
      </c>
      <c r="AE116" s="134">
        <f t="shared" si="29"/>
        <v>3.47</v>
      </c>
      <c r="AF116" s="134">
        <f t="shared" si="29"/>
        <v>3.47</v>
      </c>
      <c r="AG116" s="136">
        <v>7</v>
      </c>
      <c r="AH116" s="55"/>
      <c r="AI116" s="56"/>
      <c r="AK116" s="57"/>
    </row>
    <row r="117" spans="1:37" x14ac:dyDescent="0.25">
      <c r="A117" s="121" t="s">
        <v>121</v>
      </c>
      <c r="B117" s="133">
        <v>2.1</v>
      </c>
      <c r="C117" s="134">
        <f t="shared" si="30"/>
        <v>2.1</v>
      </c>
      <c r="D117" s="134">
        <f t="shared" si="30"/>
        <v>2.1</v>
      </c>
      <c r="E117" s="134">
        <f t="shared" si="30"/>
        <v>2.1</v>
      </c>
      <c r="F117" s="134">
        <f t="shared" si="30"/>
        <v>2.1</v>
      </c>
      <c r="G117" s="134">
        <f t="shared" si="30"/>
        <v>2.1</v>
      </c>
      <c r="H117" s="134">
        <f t="shared" si="30"/>
        <v>2.1</v>
      </c>
      <c r="I117" s="134">
        <f t="shared" si="30"/>
        <v>2.1</v>
      </c>
      <c r="J117" s="134">
        <f t="shared" si="30"/>
        <v>2.1</v>
      </c>
      <c r="K117" s="134">
        <f t="shared" si="30"/>
        <v>2.1</v>
      </c>
      <c r="L117" s="134">
        <f t="shared" si="30"/>
        <v>2.1</v>
      </c>
      <c r="M117" s="134">
        <f t="shared" si="30"/>
        <v>2.1</v>
      </c>
      <c r="N117" s="134">
        <f t="shared" si="30"/>
        <v>2.1</v>
      </c>
      <c r="O117" s="134">
        <f t="shared" si="30"/>
        <v>2.1</v>
      </c>
      <c r="P117" s="134">
        <f t="shared" si="30"/>
        <v>2.1</v>
      </c>
      <c r="Q117" s="134">
        <f t="shared" si="30"/>
        <v>2.1</v>
      </c>
      <c r="R117" s="134">
        <f t="shared" si="30"/>
        <v>2.1</v>
      </c>
      <c r="S117" s="134">
        <f t="shared" si="29"/>
        <v>2.1</v>
      </c>
      <c r="T117" s="134">
        <f t="shared" si="29"/>
        <v>2.1</v>
      </c>
      <c r="U117" s="134">
        <f t="shared" si="29"/>
        <v>2.1</v>
      </c>
      <c r="V117" s="134">
        <f t="shared" si="29"/>
        <v>2.1</v>
      </c>
      <c r="W117" s="134">
        <f t="shared" si="29"/>
        <v>2.1</v>
      </c>
      <c r="X117" s="134">
        <f t="shared" si="29"/>
        <v>2.1</v>
      </c>
      <c r="Y117" s="134">
        <f t="shared" si="29"/>
        <v>2.1</v>
      </c>
      <c r="Z117" s="134">
        <f t="shared" si="29"/>
        <v>2.1</v>
      </c>
      <c r="AA117" s="134">
        <f t="shared" si="29"/>
        <v>2.1</v>
      </c>
      <c r="AB117" s="134">
        <f t="shared" si="29"/>
        <v>2.1</v>
      </c>
      <c r="AC117" s="134">
        <f t="shared" si="29"/>
        <v>2.1</v>
      </c>
      <c r="AD117" s="134">
        <f t="shared" si="29"/>
        <v>2.1</v>
      </c>
      <c r="AE117" s="134">
        <f t="shared" si="29"/>
        <v>2.1</v>
      </c>
      <c r="AF117" s="134">
        <f t="shared" si="29"/>
        <v>2.1</v>
      </c>
      <c r="AG117" s="136">
        <v>7</v>
      </c>
      <c r="AH117" s="55"/>
      <c r="AI117" s="56"/>
      <c r="AK117" s="57"/>
    </row>
    <row r="118" spans="1:37" x14ac:dyDescent="0.25">
      <c r="A118" s="121" t="s">
        <v>122</v>
      </c>
      <c r="B118" s="133">
        <v>9.3000000000000007</v>
      </c>
      <c r="C118" s="134">
        <f t="shared" si="30"/>
        <v>9.3000000000000007</v>
      </c>
      <c r="D118" s="134">
        <f t="shared" si="30"/>
        <v>9.3000000000000007</v>
      </c>
      <c r="E118" s="134">
        <f t="shared" si="30"/>
        <v>9.3000000000000007</v>
      </c>
      <c r="F118" s="134">
        <f t="shared" si="30"/>
        <v>9.3000000000000007</v>
      </c>
      <c r="G118" s="134">
        <f t="shared" si="30"/>
        <v>9.3000000000000007</v>
      </c>
      <c r="H118" s="134">
        <f t="shared" si="30"/>
        <v>9.3000000000000007</v>
      </c>
      <c r="I118" s="134">
        <f t="shared" si="30"/>
        <v>9.3000000000000007</v>
      </c>
      <c r="J118" s="134">
        <f t="shared" si="30"/>
        <v>9.3000000000000007</v>
      </c>
      <c r="K118" s="134">
        <f t="shared" si="30"/>
        <v>9.3000000000000007</v>
      </c>
      <c r="L118" s="134">
        <f t="shared" si="30"/>
        <v>9.3000000000000007</v>
      </c>
      <c r="M118" s="134">
        <f t="shared" si="30"/>
        <v>9.3000000000000007</v>
      </c>
      <c r="N118" s="134">
        <f t="shared" si="30"/>
        <v>9.3000000000000007</v>
      </c>
      <c r="O118" s="134">
        <f t="shared" si="30"/>
        <v>9.3000000000000007</v>
      </c>
      <c r="P118" s="134">
        <f t="shared" si="30"/>
        <v>9.3000000000000007</v>
      </c>
      <c r="Q118" s="134">
        <f t="shared" si="30"/>
        <v>9.3000000000000007</v>
      </c>
      <c r="R118" s="134">
        <f t="shared" si="30"/>
        <v>9.3000000000000007</v>
      </c>
      <c r="S118" s="134">
        <f t="shared" si="29"/>
        <v>9.3000000000000007</v>
      </c>
      <c r="T118" s="134">
        <f t="shared" si="29"/>
        <v>9.3000000000000007</v>
      </c>
      <c r="U118" s="134">
        <f t="shared" si="29"/>
        <v>9.3000000000000007</v>
      </c>
      <c r="V118" s="134">
        <f t="shared" si="29"/>
        <v>9.3000000000000007</v>
      </c>
      <c r="W118" s="134">
        <f t="shared" si="29"/>
        <v>9.3000000000000007</v>
      </c>
      <c r="X118" s="134">
        <f t="shared" si="29"/>
        <v>9.3000000000000007</v>
      </c>
      <c r="Y118" s="134">
        <f t="shared" si="29"/>
        <v>9.3000000000000007</v>
      </c>
      <c r="Z118" s="134">
        <f t="shared" si="29"/>
        <v>9.3000000000000007</v>
      </c>
      <c r="AA118" s="134">
        <f t="shared" si="29"/>
        <v>9.3000000000000007</v>
      </c>
      <c r="AB118" s="134">
        <f t="shared" si="29"/>
        <v>9.3000000000000007</v>
      </c>
      <c r="AC118" s="134">
        <f t="shared" si="29"/>
        <v>9.3000000000000007</v>
      </c>
      <c r="AD118" s="134">
        <f t="shared" si="29"/>
        <v>9.3000000000000007</v>
      </c>
      <c r="AE118" s="134">
        <f t="shared" si="29"/>
        <v>9.3000000000000007</v>
      </c>
      <c r="AF118" s="134">
        <f t="shared" si="29"/>
        <v>9.3000000000000007</v>
      </c>
      <c r="AG118" s="136">
        <v>7</v>
      </c>
      <c r="AH118" s="55"/>
      <c r="AI118" s="56"/>
      <c r="AK118" s="57"/>
    </row>
    <row r="119" spans="1:37" x14ac:dyDescent="0.25">
      <c r="A119" s="121" t="s">
        <v>123</v>
      </c>
      <c r="B119" s="133">
        <v>0</v>
      </c>
      <c r="C119" s="134">
        <f t="shared" si="30"/>
        <v>0</v>
      </c>
      <c r="D119" s="134">
        <f t="shared" si="30"/>
        <v>0</v>
      </c>
      <c r="E119" s="134">
        <f t="shared" si="30"/>
        <v>0</v>
      </c>
      <c r="F119" s="134">
        <f t="shared" si="30"/>
        <v>0</v>
      </c>
      <c r="G119" s="134">
        <f t="shared" si="30"/>
        <v>0</v>
      </c>
      <c r="H119" s="134">
        <f t="shared" si="30"/>
        <v>0</v>
      </c>
      <c r="I119" s="134">
        <f t="shared" si="30"/>
        <v>0</v>
      </c>
      <c r="J119" s="134">
        <f t="shared" si="30"/>
        <v>0</v>
      </c>
      <c r="K119" s="134">
        <f t="shared" si="30"/>
        <v>0</v>
      </c>
      <c r="L119" s="134">
        <f t="shared" si="30"/>
        <v>0</v>
      </c>
      <c r="M119" s="134">
        <f t="shared" si="30"/>
        <v>0</v>
      </c>
      <c r="N119" s="134">
        <f t="shared" si="30"/>
        <v>0</v>
      </c>
      <c r="O119" s="134">
        <f t="shared" si="30"/>
        <v>0</v>
      </c>
      <c r="P119" s="134">
        <f t="shared" si="30"/>
        <v>0</v>
      </c>
      <c r="Q119" s="134">
        <f t="shared" si="30"/>
        <v>0</v>
      </c>
      <c r="R119" s="134">
        <f t="shared" si="30"/>
        <v>0</v>
      </c>
      <c r="S119" s="134">
        <f t="shared" si="29"/>
        <v>0</v>
      </c>
      <c r="T119" s="134">
        <f t="shared" si="29"/>
        <v>0</v>
      </c>
      <c r="U119" s="134">
        <f t="shared" si="29"/>
        <v>0</v>
      </c>
      <c r="V119" s="134">
        <f t="shared" si="29"/>
        <v>0</v>
      </c>
      <c r="W119" s="134">
        <f t="shared" si="29"/>
        <v>0</v>
      </c>
      <c r="X119" s="134">
        <f t="shared" si="29"/>
        <v>0</v>
      </c>
      <c r="Y119" s="134">
        <f t="shared" si="29"/>
        <v>0</v>
      </c>
      <c r="Z119" s="134">
        <f t="shared" si="29"/>
        <v>0</v>
      </c>
      <c r="AA119" s="134">
        <f t="shared" si="29"/>
        <v>0</v>
      </c>
      <c r="AB119" s="134">
        <f t="shared" si="29"/>
        <v>0</v>
      </c>
      <c r="AC119" s="134">
        <f t="shared" si="29"/>
        <v>0</v>
      </c>
      <c r="AD119" s="134">
        <f t="shared" si="29"/>
        <v>0</v>
      </c>
      <c r="AE119" s="134">
        <f t="shared" si="29"/>
        <v>0</v>
      </c>
      <c r="AF119" s="134">
        <f t="shared" si="29"/>
        <v>0</v>
      </c>
      <c r="AG119" s="136">
        <v>6.6</v>
      </c>
      <c r="AH119" s="55"/>
      <c r="AI119" s="56"/>
      <c r="AK119" s="57"/>
    </row>
    <row r="120" spans="1:37" x14ac:dyDescent="0.25">
      <c r="A120" s="121" t="s">
        <v>124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125</v>
      </c>
      <c r="B121" s="133">
        <v>5</v>
      </c>
      <c r="C121" s="134">
        <f t="shared" si="30"/>
        <v>5</v>
      </c>
      <c r="D121" s="134">
        <f t="shared" si="30"/>
        <v>5</v>
      </c>
      <c r="E121" s="134">
        <f t="shared" si="30"/>
        <v>5</v>
      </c>
      <c r="F121" s="134">
        <f t="shared" si="30"/>
        <v>5</v>
      </c>
      <c r="G121" s="134">
        <f t="shared" si="30"/>
        <v>5</v>
      </c>
      <c r="H121" s="134">
        <f t="shared" si="30"/>
        <v>5</v>
      </c>
      <c r="I121" s="134">
        <f t="shared" si="30"/>
        <v>5</v>
      </c>
      <c r="J121" s="134">
        <f t="shared" si="30"/>
        <v>5</v>
      </c>
      <c r="K121" s="134">
        <f t="shared" si="30"/>
        <v>5</v>
      </c>
      <c r="L121" s="134">
        <f t="shared" si="30"/>
        <v>5</v>
      </c>
      <c r="M121" s="134">
        <f t="shared" si="30"/>
        <v>5</v>
      </c>
      <c r="N121" s="134">
        <f t="shared" si="30"/>
        <v>5</v>
      </c>
      <c r="O121" s="134">
        <f t="shared" si="30"/>
        <v>5</v>
      </c>
      <c r="P121" s="134">
        <f t="shared" si="30"/>
        <v>5</v>
      </c>
      <c r="Q121" s="134">
        <f t="shared" si="30"/>
        <v>5</v>
      </c>
      <c r="R121" s="134">
        <f t="shared" si="30"/>
        <v>5</v>
      </c>
      <c r="S121" s="134">
        <f t="shared" si="29"/>
        <v>5</v>
      </c>
      <c r="T121" s="134">
        <f t="shared" si="29"/>
        <v>5</v>
      </c>
      <c r="U121" s="134">
        <f t="shared" si="29"/>
        <v>5</v>
      </c>
      <c r="V121" s="134">
        <f t="shared" si="29"/>
        <v>5</v>
      </c>
      <c r="W121" s="134">
        <f t="shared" si="29"/>
        <v>5</v>
      </c>
      <c r="X121" s="134">
        <f t="shared" si="29"/>
        <v>5</v>
      </c>
      <c r="Y121" s="134">
        <f t="shared" si="29"/>
        <v>5</v>
      </c>
      <c r="Z121" s="134">
        <f t="shared" si="29"/>
        <v>5</v>
      </c>
      <c r="AA121" s="134">
        <f t="shared" si="29"/>
        <v>5</v>
      </c>
      <c r="AB121" s="134">
        <f t="shared" si="29"/>
        <v>5</v>
      </c>
      <c r="AC121" s="134">
        <f t="shared" si="29"/>
        <v>5</v>
      </c>
      <c r="AD121" s="134">
        <f t="shared" si="29"/>
        <v>5</v>
      </c>
      <c r="AE121" s="134">
        <f t="shared" si="29"/>
        <v>5</v>
      </c>
      <c r="AF121" s="134">
        <f t="shared" si="29"/>
        <v>5</v>
      </c>
      <c r="AG121" s="136">
        <v>6.4</v>
      </c>
      <c r="AH121" s="55"/>
      <c r="AI121" s="56"/>
      <c r="AK121" s="57"/>
    </row>
    <row r="122" spans="1:37" x14ac:dyDescent="0.25">
      <c r="A122" s="121" t="s">
        <v>126</v>
      </c>
      <c r="B122" s="133">
        <v>1</v>
      </c>
      <c r="C122" s="134">
        <f t="shared" si="30"/>
        <v>1</v>
      </c>
      <c r="D122" s="134">
        <f t="shared" si="30"/>
        <v>1</v>
      </c>
      <c r="E122" s="134">
        <f t="shared" si="30"/>
        <v>1</v>
      </c>
      <c r="F122" s="134">
        <f t="shared" si="30"/>
        <v>1</v>
      </c>
      <c r="G122" s="134">
        <f t="shared" si="30"/>
        <v>1</v>
      </c>
      <c r="H122" s="134">
        <f t="shared" si="30"/>
        <v>1</v>
      </c>
      <c r="I122" s="134">
        <f t="shared" si="30"/>
        <v>1</v>
      </c>
      <c r="J122" s="134">
        <f t="shared" si="30"/>
        <v>1</v>
      </c>
      <c r="K122" s="134">
        <f t="shared" si="30"/>
        <v>1</v>
      </c>
      <c r="L122" s="134">
        <f t="shared" si="30"/>
        <v>1</v>
      </c>
      <c r="M122" s="134">
        <f t="shared" si="30"/>
        <v>1</v>
      </c>
      <c r="N122" s="134">
        <f t="shared" si="30"/>
        <v>1</v>
      </c>
      <c r="O122" s="134">
        <f t="shared" si="30"/>
        <v>1</v>
      </c>
      <c r="P122" s="134">
        <f t="shared" si="30"/>
        <v>1</v>
      </c>
      <c r="Q122" s="134">
        <f t="shared" si="30"/>
        <v>1</v>
      </c>
      <c r="R122" s="134">
        <f t="shared" si="30"/>
        <v>1</v>
      </c>
      <c r="S122" s="134">
        <f t="shared" si="29"/>
        <v>1</v>
      </c>
      <c r="T122" s="134">
        <f t="shared" si="29"/>
        <v>1</v>
      </c>
      <c r="U122" s="134">
        <f t="shared" si="29"/>
        <v>1</v>
      </c>
      <c r="V122" s="134">
        <f t="shared" si="29"/>
        <v>1</v>
      </c>
      <c r="W122" s="134">
        <f t="shared" si="29"/>
        <v>1</v>
      </c>
      <c r="X122" s="134">
        <f t="shared" si="29"/>
        <v>1</v>
      </c>
      <c r="Y122" s="134">
        <f t="shared" si="29"/>
        <v>1</v>
      </c>
      <c r="Z122" s="134">
        <f t="shared" si="29"/>
        <v>1</v>
      </c>
      <c r="AA122" s="134">
        <f t="shared" si="29"/>
        <v>1</v>
      </c>
      <c r="AB122" s="134">
        <f t="shared" si="29"/>
        <v>1</v>
      </c>
      <c r="AC122" s="134">
        <f t="shared" si="29"/>
        <v>1</v>
      </c>
      <c r="AD122" s="134">
        <f t="shared" si="29"/>
        <v>1</v>
      </c>
      <c r="AE122" s="134">
        <f t="shared" si="29"/>
        <v>1</v>
      </c>
      <c r="AF122" s="134">
        <f t="shared" si="29"/>
        <v>1</v>
      </c>
      <c r="AG122" s="136">
        <v>6</v>
      </c>
      <c r="AH122" s="55"/>
      <c r="AI122" s="56"/>
      <c r="AK122" s="57"/>
    </row>
    <row r="123" spans="1:37" x14ac:dyDescent="0.25">
      <c r="A123" s="121" t="s">
        <v>127</v>
      </c>
      <c r="B123" s="133">
        <v>1.58</v>
      </c>
      <c r="C123" s="134">
        <f t="shared" si="30"/>
        <v>1.58</v>
      </c>
      <c r="D123" s="134">
        <f t="shared" si="30"/>
        <v>1.58</v>
      </c>
      <c r="E123" s="134">
        <f t="shared" si="30"/>
        <v>1.58</v>
      </c>
      <c r="F123" s="134">
        <f t="shared" si="30"/>
        <v>1.58</v>
      </c>
      <c r="G123" s="134">
        <f t="shared" si="30"/>
        <v>1.58</v>
      </c>
      <c r="H123" s="134">
        <f t="shared" si="30"/>
        <v>1.58</v>
      </c>
      <c r="I123" s="134">
        <f t="shared" si="30"/>
        <v>1.58</v>
      </c>
      <c r="J123" s="134">
        <f t="shared" si="30"/>
        <v>1.58</v>
      </c>
      <c r="K123" s="134">
        <f t="shared" si="30"/>
        <v>1.58</v>
      </c>
      <c r="L123" s="134">
        <f t="shared" si="30"/>
        <v>1.58</v>
      </c>
      <c r="M123" s="134">
        <f t="shared" si="30"/>
        <v>1.58</v>
      </c>
      <c r="N123" s="134">
        <f t="shared" si="30"/>
        <v>1.58</v>
      </c>
      <c r="O123" s="134">
        <f t="shared" si="30"/>
        <v>1.58</v>
      </c>
      <c r="P123" s="134">
        <f t="shared" si="30"/>
        <v>1.58</v>
      </c>
      <c r="Q123" s="134">
        <f t="shared" si="30"/>
        <v>1.58</v>
      </c>
      <c r="R123" s="134">
        <f t="shared" si="30"/>
        <v>1.58</v>
      </c>
      <c r="S123" s="134">
        <f t="shared" si="29"/>
        <v>1.58</v>
      </c>
      <c r="T123" s="134">
        <f t="shared" si="29"/>
        <v>1.58</v>
      </c>
      <c r="U123" s="134">
        <f t="shared" si="29"/>
        <v>1.58</v>
      </c>
      <c r="V123" s="134">
        <f t="shared" si="29"/>
        <v>1.58</v>
      </c>
      <c r="W123" s="134">
        <f t="shared" si="29"/>
        <v>1.58</v>
      </c>
      <c r="X123" s="134">
        <f t="shared" si="29"/>
        <v>1.58</v>
      </c>
      <c r="Y123" s="134">
        <f t="shared" si="29"/>
        <v>1.58</v>
      </c>
      <c r="Z123" s="134">
        <f t="shared" si="29"/>
        <v>1.58</v>
      </c>
      <c r="AA123" s="134">
        <f t="shared" si="29"/>
        <v>1.58</v>
      </c>
      <c r="AB123" s="134">
        <f t="shared" si="29"/>
        <v>1.58</v>
      </c>
      <c r="AC123" s="134">
        <f t="shared" si="29"/>
        <v>1.58</v>
      </c>
      <c r="AD123" s="134">
        <f t="shared" si="29"/>
        <v>1.58</v>
      </c>
      <c r="AE123" s="134">
        <f t="shared" si="29"/>
        <v>1.58</v>
      </c>
      <c r="AF123" s="134">
        <f t="shared" si="29"/>
        <v>1.58</v>
      </c>
      <c r="AG123" s="136">
        <v>5.0999999999999996</v>
      </c>
      <c r="AH123" s="55"/>
      <c r="AI123" s="56"/>
      <c r="AK123" s="57"/>
    </row>
    <row r="124" spans="1:37" x14ac:dyDescent="0.25">
      <c r="A124" s="121" t="s">
        <v>128</v>
      </c>
      <c r="B124" s="133">
        <v>1.46</v>
      </c>
      <c r="C124" s="134">
        <f t="shared" si="30"/>
        <v>1.46</v>
      </c>
      <c r="D124" s="134">
        <f t="shared" si="30"/>
        <v>1.46</v>
      </c>
      <c r="E124" s="134">
        <f t="shared" si="30"/>
        <v>1.46</v>
      </c>
      <c r="F124" s="134">
        <f t="shared" si="30"/>
        <v>1.46</v>
      </c>
      <c r="G124" s="134">
        <f t="shared" si="30"/>
        <v>1.46</v>
      </c>
      <c r="H124" s="134">
        <f t="shared" si="30"/>
        <v>1.46</v>
      </c>
      <c r="I124" s="134">
        <f t="shared" si="30"/>
        <v>1.46</v>
      </c>
      <c r="J124" s="134">
        <f t="shared" si="30"/>
        <v>1.46</v>
      </c>
      <c r="K124" s="134">
        <f t="shared" si="30"/>
        <v>1.46</v>
      </c>
      <c r="L124" s="134">
        <f t="shared" si="30"/>
        <v>1.46</v>
      </c>
      <c r="M124" s="134">
        <f t="shared" si="30"/>
        <v>1.46</v>
      </c>
      <c r="N124" s="134">
        <f t="shared" si="30"/>
        <v>1.46</v>
      </c>
      <c r="O124" s="134">
        <f t="shared" si="30"/>
        <v>1.46</v>
      </c>
      <c r="P124" s="134">
        <f t="shared" si="30"/>
        <v>1.46</v>
      </c>
      <c r="Q124" s="134">
        <f t="shared" si="30"/>
        <v>1.46</v>
      </c>
      <c r="R124" s="134">
        <f t="shared" si="30"/>
        <v>1.46</v>
      </c>
      <c r="S124" s="134">
        <f t="shared" ref="S124:AF125" si="31">R124</f>
        <v>1.46</v>
      </c>
      <c r="T124" s="134">
        <f t="shared" si="31"/>
        <v>1.46</v>
      </c>
      <c r="U124" s="134">
        <f t="shared" si="31"/>
        <v>1.46</v>
      </c>
      <c r="V124" s="134">
        <f t="shared" si="31"/>
        <v>1.46</v>
      </c>
      <c r="W124" s="134">
        <f t="shared" si="31"/>
        <v>1.46</v>
      </c>
      <c r="X124" s="134">
        <f t="shared" si="31"/>
        <v>1.46</v>
      </c>
      <c r="Y124" s="134">
        <f t="shared" si="31"/>
        <v>1.46</v>
      </c>
      <c r="Z124" s="134">
        <f t="shared" si="31"/>
        <v>1.46</v>
      </c>
      <c r="AA124" s="134">
        <f t="shared" si="31"/>
        <v>1.46</v>
      </c>
      <c r="AB124" s="134">
        <f t="shared" si="31"/>
        <v>1.46</v>
      </c>
      <c r="AC124" s="134">
        <f t="shared" si="31"/>
        <v>1.46</v>
      </c>
      <c r="AD124" s="134">
        <f t="shared" si="31"/>
        <v>1.46</v>
      </c>
      <c r="AE124" s="134">
        <f t="shared" si="31"/>
        <v>1.46</v>
      </c>
      <c r="AF124" s="134">
        <f t="shared" si="31"/>
        <v>1.46</v>
      </c>
      <c r="AG124" s="136">
        <v>5</v>
      </c>
      <c r="AH124" s="55"/>
      <c r="AI124" s="56"/>
      <c r="AK124" s="57"/>
    </row>
    <row r="125" spans="1:37" x14ac:dyDescent="0.25">
      <c r="A125" s="119" t="s">
        <v>129</v>
      </c>
      <c r="B125" s="133">
        <v>1.48</v>
      </c>
      <c r="C125" s="134">
        <f t="shared" si="30"/>
        <v>1.48</v>
      </c>
      <c r="D125" s="134">
        <f t="shared" si="30"/>
        <v>1.48</v>
      </c>
      <c r="E125" s="134">
        <f t="shared" si="30"/>
        <v>1.48</v>
      </c>
      <c r="F125" s="134">
        <f t="shared" si="30"/>
        <v>1.48</v>
      </c>
      <c r="G125" s="134">
        <f t="shared" si="30"/>
        <v>1.48</v>
      </c>
      <c r="H125" s="134">
        <f t="shared" si="30"/>
        <v>1.48</v>
      </c>
      <c r="I125" s="134">
        <f t="shared" si="30"/>
        <v>1.48</v>
      </c>
      <c r="J125" s="134">
        <f t="shared" si="30"/>
        <v>1.48</v>
      </c>
      <c r="K125" s="134">
        <f t="shared" si="30"/>
        <v>1.48</v>
      </c>
      <c r="L125" s="134">
        <f t="shared" si="30"/>
        <v>1.48</v>
      </c>
      <c r="M125" s="134">
        <f t="shared" si="30"/>
        <v>1.48</v>
      </c>
      <c r="N125" s="134">
        <f t="shared" si="30"/>
        <v>1.48</v>
      </c>
      <c r="O125" s="134">
        <f t="shared" si="30"/>
        <v>1.48</v>
      </c>
      <c r="P125" s="134">
        <f t="shared" si="30"/>
        <v>1.48</v>
      </c>
      <c r="Q125" s="134">
        <f t="shared" si="30"/>
        <v>1.48</v>
      </c>
      <c r="R125" s="134">
        <f t="shared" si="30"/>
        <v>1.48</v>
      </c>
      <c r="S125" s="134">
        <f t="shared" si="31"/>
        <v>1.48</v>
      </c>
      <c r="T125" s="134">
        <f t="shared" si="31"/>
        <v>1.48</v>
      </c>
      <c r="U125" s="134">
        <f t="shared" si="31"/>
        <v>1.48</v>
      </c>
      <c r="V125" s="134">
        <f t="shared" si="31"/>
        <v>1.48</v>
      </c>
      <c r="W125" s="134">
        <f t="shared" si="31"/>
        <v>1.48</v>
      </c>
      <c r="X125" s="134">
        <f t="shared" si="31"/>
        <v>1.48</v>
      </c>
      <c r="Y125" s="134">
        <f t="shared" si="31"/>
        <v>1.48</v>
      </c>
      <c r="Z125" s="134">
        <f t="shared" si="31"/>
        <v>1.48</v>
      </c>
      <c r="AA125" s="134">
        <f t="shared" si="31"/>
        <v>1.48</v>
      </c>
      <c r="AB125" s="134">
        <f t="shared" si="31"/>
        <v>1.48</v>
      </c>
      <c r="AC125" s="134">
        <f t="shared" si="31"/>
        <v>1.48</v>
      </c>
      <c r="AD125" s="134">
        <f t="shared" si="31"/>
        <v>1.48</v>
      </c>
      <c r="AE125" s="134">
        <f t="shared" si="31"/>
        <v>1.48</v>
      </c>
      <c r="AF125" s="134">
        <f t="shared" si="31"/>
        <v>1.48</v>
      </c>
      <c r="AG125" s="135">
        <v>5</v>
      </c>
      <c r="AH125" s="55"/>
      <c r="AI125" s="56"/>
      <c r="AK125" s="57"/>
    </row>
    <row r="126" spans="1:37" x14ac:dyDescent="0.25">
      <c r="A126" s="121" t="s">
        <v>130</v>
      </c>
      <c r="B126" s="133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6">
        <v>5</v>
      </c>
      <c r="AH126" s="55"/>
      <c r="AI126" s="56"/>
      <c r="AK126" s="57"/>
    </row>
    <row r="127" spans="1:37" x14ac:dyDescent="0.25">
      <c r="A127" s="121" t="s">
        <v>131</v>
      </c>
      <c r="B127" s="133">
        <v>2.2000000000000002</v>
      </c>
      <c r="C127" s="134">
        <f t="shared" ref="C127:R134" si="32">B127</f>
        <v>2.2000000000000002</v>
      </c>
      <c r="D127" s="134">
        <f t="shared" si="32"/>
        <v>2.2000000000000002</v>
      </c>
      <c r="E127" s="134">
        <f t="shared" si="32"/>
        <v>2.2000000000000002</v>
      </c>
      <c r="F127" s="134">
        <f t="shared" si="32"/>
        <v>2.2000000000000002</v>
      </c>
      <c r="G127" s="134">
        <f t="shared" si="32"/>
        <v>2.2000000000000002</v>
      </c>
      <c r="H127" s="134">
        <f t="shared" si="32"/>
        <v>2.2000000000000002</v>
      </c>
      <c r="I127" s="134">
        <f t="shared" si="32"/>
        <v>2.2000000000000002</v>
      </c>
      <c r="J127" s="134">
        <f t="shared" si="32"/>
        <v>2.2000000000000002</v>
      </c>
      <c r="K127" s="134">
        <f t="shared" si="32"/>
        <v>2.2000000000000002</v>
      </c>
      <c r="L127" s="134">
        <f t="shared" si="32"/>
        <v>2.2000000000000002</v>
      </c>
      <c r="M127" s="134">
        <f t="shared" si="32"/>
        <v>2.2000000000000002</v>
      </c>
      <c r="N127" s="134">
        <f t="shared" si="32"/>
        <v>2.2000000000000002</v>
      </c>
      <c r="O127" s="134">
        <f t="shared" si="32"/>
        <v>2.2000000000000002</v>
      </c>
      <c r="P127" s="134">
        <f t="shared" si="32"/>
        <v>2.2000000000000002</v>
      </c>
      <c r="Q127" s="134">
        <f t="shared" si="32"/>
        <v>2.2000000000000002</v>
      </c>
      <c r="R127" s="134">
        <f t="shared" si="32"/>
        <v>2.2000000000000002</v>
      </c>
      <c r="S127" s="134">
        <f t="shared" ref="S127:AF134" si="33">R127</f>
        <v>2.2000000000000002</v>
      </c>
      <c r="T127" s="134">
        <f t="shared" si="33"/>
        <v>2.2000000000000002</v>
      </c>
      <c r="U127" s="134">
        <f t="shared" si="33"/>
        <v>2.2000000000000002</v>
      </c>
      <c r="V127" s="134">
        <f t="shared" si="33"/>
        <v>2.2000000000000002</v>
      </c>
      <c r="W127" s="134">
        <f t="shared" si="33"/>
        <v>2.2000000000000002</v>
      </c>
      <c r="X127" s="134">
        <f t="shared" si="33"/>
        <v>2.2000000000000002</v>
      </c>
      <c r="Y127" s="134">
        <f t="shared" si="33"/>
        <v>2.2000000000000002</v>
      </c>
      <c r="Z127" s="134">
        <f t="shared" si="33"/>
        <v>2.2000000000000002</v>
      </c>
      <c r="AA127" s="134">
        <f t="shared" si="33"/>
        <v>2.2000000000000002</v>
      </c>
      <c r="AB127" s="134">
        <f t="shared" si="33"/>
        <v>2.2000000000000002</v>
      </c>
      <c r="AC127" s="134">
        <f t="shared" si="33"/>
        <v>2.2000000000000002</v>
      </c>
      <c r="AD127" s="134">
        <f t="shared" si="33"/>
        <v>2.2000000000000002</v>
      </c>
      <c r="AE127" s="134">
        <f t="shared" si="33"/>
        <v>2.2000000000000002</v>
      </c>
      <c r="AF127" s="134">
        <f t="shared" si="33"/>
        <v>2.2000000000000002</v>
      </c>
      <c r="AG127" s="136">
        <v>5</v>
      </c>
      <c r="AH127" s="55"/>
      <c r="AI127" s="56"/>
      <c r="AK127" s="57"/>
    </row>
    <row r="128" spans="1:37" x14ac:dyDescent="0.25">
      <c r="A128" s="121" t="s">
        <v>132</v>
      </c>
      <c r="B128" s="133">
        <v>2</v>
      </c>
      <c r="C128" s="134">
        <f t="shared" si="32"/>
        <v>2</v>
      </c>
      <c r="D128" s="134">
        <f t="shared" si="32"/>
        <v>2</v>
      </c>
      <c r="E128" s="134">
        <f t="shared" si="32"/>
        <v>2</v>
      </c>
      <c r="F128" s="134">
        <f t="shared" si="32"/>
        <v>2</v>
      </c>
      <c r="G128" s="134">
        <f t="shared" si="32"/>
        <v>2</v>
      </c>
      <c r="H128" s="134">
        <f t="shared" si="32"/>
        <v>2</v>
      </c>
      <c r="I128" s="134">
        <f t="shared" si="32"/>
        <v>2</v>
      </c>
      <c r="J128" s="134">
        <f t="shared" si="32"/>
        <v>2</v>
      </c>
      <c r="K128" s="134">
        <f t="shared" si="32"/>
        <v>2</v>
      </c>
      <c r="L128" s="134">
        <f t="shared" si="32"/>
        <v>2</v>
      </c>
      <c r="M128" s="134">
        <f t="shared" si="32"/>
        <v>2</v>
      </c>
      <c r="N128" s="134">
        <f t="shared" si="32"/>
        <v>2</v>
      </c>
      <c r="O128" s="134">
        <f t="shared" si="32"/>
        <v>2</v>
      </c>
      <c r="P128" s="134">
        <f t="shared" si="32"/>
        <v>2</v>
      </c>
      <c r="Q128" s="134">
        <f t="shared" si="32"/>
        <v>2</v>
      </c>
      <c r="R128" s="134">
        <f t="shared" si="32"/>
        <v>2</v>
      </c>
      <c r="S128" s="134">
        <f t="shared" si="33"/>
        <v>2</v>
      </c>
      <c r="T128" s="134">
        <f t="shared" si="33"/>
        <v>2</v>
      </c>
      <c r="U128" s="134">
        <f t="shared" si="33"/>
        <v>2</v>
      </c>
      <c r="V128" s="134">
        <f t="shared" si="33"/>
        <v>2</v>
      </c>
      <c r="W128" s="134">
        <f t="shared" si="33"/>
        <v>2</v>
      </c>
      <c r="X128" s="134">
        <f t="shared" si="33"/>
        <v>2</v>
      </c>
      <c r="Y128" s="134">
        <f t="shared" si="33"/>
        <v>2</v>
      </c>
      <c r="Z128" s="134">
        <f t="shared" si="33"/>
        <v>2</v>
      </c>
      <c r="AA128" s="134">
        <f t="shared" si="33"/>
        <v>2</v>
      </c>
      <c r="AB128" s="134">
        <f t="shared" si="33"/>
        <v>2</v>
      </c>
      <c r="AC128" s="134">
        <f t="shared" si="33"/>
        <v>2</v>
      </c>
      <c r="AD128" s="134">
        <f t="shared" si="33"/>
        <v>2</v>
      </c>
      <c r="AE128" s="134">
        <f t="shared" si="33"/>
        <v>2</v>
      </c>
      <c r="AF128" s="134">
        <f t="shared" si="33"/>
        <v>2</v>
      </c>
      <c r="AG128" s="136">
        <v>5</v>
      </c>
      <c r="AH128" s="55"/>
      <c r="AI128" s="56"/>
      <c r="AK128" s="57"/>
    </row>
    <row r="129" spans="1:37" x14ac:dyDescent="0.25">
      <c r="A129" s="121" t="s">
        <v>133</v>
      </c>
      <c r="B129" s="133">
        <v>1.25</v>
      </c>
      <c r="C129" s="134">
        <f t="shared" si="32"/>
        <v>1.25</v>
      </c>
      <c r="D129" s="134">
        <f t="shared" si="32"/>
        <v>1.25</v>
      </c>
      <c r="E129" s="134">
        <f t="shared" si="32"/>
        <v>1.25</v>
      </c>
      <c r="F129" s="134">
        <f t="shared" si="32"/>
        <v>1.25</v>
      </c>
      <c r="G129" s="134">
        <f t="shared" si="32"/>
        <v>1.25</v>
      </c>
      <c r="H129" s="134">
        <f t="shared" si="32"/>
        <v>1.25</v>
      </c>
      <c r="I129" s="134">
        <f t="shared" si="32"/>
        <v>1.25</v>
      </c>
      <c r="J129" s="134">
        <f t="shared" si="32"/>
        <v>1.25</v>
      </c>
      <c r="K129" s="134">
        <f t="shared" si="32"/>
        <v>1.25</v>
      </c>
      <c r="L129" s="134">
        <f t="shared" si="32"/>
        <v>1.25</v>
      </c>
      <c r="M129" s="134">
        <f t="shared" si="32"/>
        <v>1.25</v>
      </c>
      <c r="N129" s="134">
        <f t="shared" si="32"/>
        <v>1.25</v>
      </c>
      <c r="O129" s="134">
        <f t="shared" si="32"/>
        <v>1.25</v>
      </c>
      <c r="P129" s="134">
        <f t="shared" si="32"/>
        <v>1.25</v>
      </c>
      <c r="Q129" s="134">
        <f t="shared" si="32"/>
        <v>1.25</v>
      </c>
      <c r="R129" s="134">
        <f t="shared" si="32"/>
        <v>1.25</v>
      </c>
      <c r="S129" s="134">
        <f t="shared" si="33"/>
        <v>1.25</v>
      </c>
      <c r="T129" s="134">
        <f t="shared" si="33"/>
        <v>1.25</v>
      </c>
      <c r="U129" s="134">
        <f t="shared" si="33"/>
        <v>1.25</v>
      </c>
      <c r="V129" s="134">
        <f t="shared" si="33"/>
        <v>1.25</v>
      </c>
      <c r="W129" s="134">
        <f t="shared" si="33"/>
        <v>1.25</v>
      </c>
      <c r="X129" s="134">
        <f t="shared" si="33"/>
        <v>1.25</v>
      </c>
      <c r="Y129" s="134">
        <f t="shared" si="33"/>
        <v>1.25</v>
      </c>
      <c r="Z129" s="134">
        <f t="shared" si="33"/>
        <v>1.25</v>
      </c>
      <c r="AA129" s="134">
        <f t="shared" si="33"/>
        <v>1.25</v>
      </c>
      <c r="AB129" s="134">
        <f t="shared" si="33"/>
        <v>1.25</v>
      </c>
      <c r="AC129" s="134">
        <f t="shared" si="33"/>
        <v>1.25</v>
      </c>
      <c r="AD129" s="134">
        <f t="shared" si="33"/>
        <v>1.25</v>
      </c>
      <c r="AE129" s="134">
        <f t="shared" si="33"/>
        <v>1.25</v>
      </c>
      <c r="AF129" s="134">
        <f t="shared" si="33"/>
        <v>1.25</v>
      </c>
      <c r="AG129" s="136">
        <v>5</v>
      </c>
      <c r="AH129" s="55"/>
      <c r="AI129" s="56"/>
      <c r="AK129" s="57"/>
    </row>
    <row r="130" spans="1:37" x14ac:dyDescent="0.25">
      <c r="A130" s="121" t="s">
        <v>134</v>
      </c>
      <c r="B130" s="133">
        <v>1.1499999999999999</v>
      </c>
      <c r="C130" s="134">
        <f t="shared" si="32"/>
        <v>1.1499999999999999</v>
      </c>
      <c r="D130" s="134">
        <f t="shared" si="32"/>
        <v>1.1499999999999999</v>
      </c>
      <c r="E130" s="134">
        <f t="shared" si="32"/>
        <v>1.1499999999999999</v>
      </c>
      <c r="F130" s="134">
        <f t="shared" si="32"/>
        <v>1.1499999999999999</v>
      </c>
      <c r="G130" s="134">
        <f t="shared" si="32"/>
        <v>1.1499999999999999</v>
      </c>
      <c r="H130" s="134">
        <f t="shared" si="32"/>
        <v>1.1499999999999999</v>
      </c>
      <c r="I130" s="134">
        <f t="shared" si="32"/>
        <v>1.1499999999999999</v>
      </c>
      <c r="J130" s="134">
        <f t="shared" si="32"/>
        <v>1.1499999999999999</v>
      </c>
      <c r="K130" s="134">
        <f t="shared" si="32"/>
        <v>1.1499999999999999</v>
      </c>
      <c r="L130" s="134">
        <f t="shared" si="32"/>
        <v>1.1499999999999999</v>
      </c>
      <c r="M130" s="134">
        <f t="shared" si="32"/>
        <v>1.1499999999999999</v>
      </c>
      <c r="N130" s="134">
        <f t="shared" si="32"/>
        <v>1.1499999999999999</v>
      </c>
      <c r="O130" s="134">
        <f t="shared" si="32"/>
        <v>1.1499999999999999</v>
      </c>
      <c r="P130" s="134">
        <f t="shared" si="32"/>
        <v>1.1499999999999999</v>
      </c>
      <c r="Q130" s="134">
        <f t="shared" si="32"/>
        <v>1.1499999999999999</v>
      </c>
      <c r="R130" s="134">
        <f t="shared" si="32"/>
        <v>1.1499999999999999</v>
      </c>
      <c r="S130" s="134">
        <f t="shared" si="33"/>
        <v>1.1499999999999999</v>
      </c>
      <c r="T130" s="134">
        <f t="shared" si="33"/>
        <v>1.1499999999999999</v>
      </c>
      <c r="U130" s="134">
        <f t="shared" si="33"/>
        <v>1.1499999999999999</v>
      </c>
      <c r="V130" s="134">
        <f t="shared" si="33"/>
        <v>1.1499999999999999</v>
      </c>
      <c r="W130" s="134">
        <f t="shared" si="33"/>
        <v>1.1499999999999999</v>
      </c>
      <c r="X130" s="134">
        <f t="shared" si="33"/>
        <v>1.1499999999999999</v>
      </c>
      <c r="Y130" s="134">
        <f t="shared" si="33"/>
        <v>1.1499999999999999</v>
      </c>
      <c r="Z130" s="134">
        <f t="shared" si="33"/>
        <v>1.1499999999999999</v>
      </c>
      <c r="AA130" s="134">
        <f t="shared" si="33"/>
        <v>1.1499999999999999</v>
      </c>
      <c r="AB130" s="134">
        <f t="shared" si="33"/>
        <v>1.1499999999999999</v>
      </c>
      <c r="AC130" s="134">
        <f t="shared" si="33"/>
        <v>1.1499999999999999</v>
      </c>
      <c r="AD130" s="134">
        <f t="shared" si="33"/>
        <v>1.1499999999999999</v>
      </c>
      <c r="AE130" s="134">
        <f t="shared" si="33"/>
        <v>1.1499999999999999</v>
      </c>
      <c r="AF130" s="134">
        <f t="shared" si="33"/>
        <v>1.1499999999999999</v>
      </c>
      <c r="AG130" s="136">
        <v>5</v>
      </c>
      <c r="AH130" s="55"/>
      <c r="AI130" s="56"/>
      <c r="AK130" s="57"/>
    </row>
    <row r="131" spans="1:37" x14ac:dyDescent="0.25">
      <c r="A131" s="121" t="s">
        <v>135</v>
      </c>
      <c r="B131" s="133">
        <v>2.133</v>
      </c>
      <c r="C131" s="134">
        <f t="shared" si="32"/>
        <v>2.133</v>
      </c>
      <c r="D131" s="134">
        <f t="shared" si="32"/>
        <v>2.133</v>
      </c>
      <c r="E131" s="134">
        <f t="shared" si="32"/>
        <v>2.133</v>
      </c>
      <c r="F131" s="134">
        <f t="shared" si="32"/>
        <v>2.133</v>
      </c>
      <c r="G131" s="134">
        <f t="shared" si="32"/>
        <v>2.133</v>
      </c>
      <c r="H131" s="134">
        <f t="shared" si="32"/>
        <v>2.133</v>
      </c>
      <c r="I131" s="134">
        <f t="shared" si="32"/>
        <v>2.133</v>
      </c>
      <c r="J131" s="134">
        <f t="shared" si="32"/>
        <v>2.133</v>
      </c>
      <c r="K131" s="134">
        <f t="shared" si="32"/>
        <v>2.133</v>
      </c>
      <c r="L131" s="134">
        <f t="shared" si="32"/>
        <v>2.133</v>
      </c>
      <c r="M131" s="134">
        <f t="shared" si="32"/>
        <v>2.133</v>
      </c>
      <c r="N131" s="134">
        <f t="shared" si="32"/>
        <v>2.133</v>
      </c>
      <c r="O131" s="134">
        <f t="shared" si="32"/>
        <v>2.133</v>
      </c>
      <c r="P131" s="134">
        <f t="shared" si="32"/>
        <v>2.133</v>
      </c>
      <c r="Q131" s="134">
        <f t="shared" si="32"/>
        <v>2.133</v>
      </c>
      <c r="R131" s="134">
        <f t="shared" si="32"/>
        <v>2.133</v>
      </c>
      <c r="S131" s="134">
        <f t="shared" si="33"/>
        <v>2.133</v>
      </c>
      <c r="T131" s="134">
        <f t="shared" si="33"/>
        <v>2.133</v>
      </c>
      <c r="U131" s="134">
        <f t="shared" si="33"/>
        <v>2.133</v>
      </c>
      <c r="V131" s="134">
        <f t="shared" si="33"/>
        <v>2.133</v>
      </c>
      <c r="W131" s="134">
        <f t="shared" si="33"/>
        <v>2.133</v>
      </c>
      <c r="X131" s="134">
        <f t="shared" si="33"/>
        <v>2.133</v>
      </c>
      <c r="Y131" s="134">
        <f t="shared" si="33"/>
        <v>2.133</v>
      </c>
      <c r="Z131" s="134">
        <f t="shared" si="33"/>
        <v>2.133</v>
      </c>
      <c r="AA131" s="134">
        <f t="shared" si="33"/>
        <v>2.133</v>
      </c>
      <c r="AB131" s="134">
        <f t="shared" si="33"/>
        <v>2.133</v>
      </c>
      <c r="AC131" s="134">
        <f t="shared" si="33"/>
        <v>2.133</v>
      </c>
      <c r="AD131" s="134">
        <f t="shared" si="33"/>
        <v>2.133</v>
      </c>
      <c r="AE131" s="134">
        <f t="shared" si="33"/>
        <v>2.133</v>
      </c>
      <c r="AF131" s="134">
        <f t="shared" si="33"/>
        <v>2.133</v>
      </c>
      <c r="AG131" s="136">
        <v>4.9930000000000003</v>
      </c>
      <c r="AH131" s="55"/>
      <c r="AI131" s="56"/>
      <c r="AK131" s="57"/>
    </row>
    <row r="132" spans="1:37" x14ac:dyDescent="0.25">
      <c r="A132" s="121" t="s">
        <v>136</v>
      </c>
      <c r="B132" s="133">
        <v>2.09</v>
      </c>
      <c r="C132" s="134">
        <f t="shared" si="32"/>
        <v>2.09</v>
      </c>
      <c r="D132" s="134">
        <f t="shared" si="32"/>
        <v>2.09</v>
      </c>
      <c r="E132" s="134">
        <f t="shared" si="32"/>
        <v>2.09</v>
      </c>
      <c r="F132" s="134">
        <f t="shared" si="32"/>
        <v>2.09</v>
      </c>
      <c r="G132" s="134">
        <f t="shared" si="32"/>
        <v>2.09</v>
      </c>
      <c r="H132" s="134">
        <f t="shared" si="32"/>
        <v>2.09</v>
      </c>
      <c r="I132" s="134">
        <f t="shared" si="32"/>
        <v>2.09</v>
      </c>
      <c r="J132" s="134">
        <f t="shared" si="32"/>
        <v>2.09</v>
      </c>
      <c r="K132" s="134">
        <f t="shared" si="32"/>
        <v>2.09</v>
      </c>
      <c r="L132" s="134">
        <f t="shared" si="32"/>
        <v>2.09</v>
      </c>
      <c r="M132" s="134">
        <f t="shared" si="32"/>
        <v>2.09</v>
      </c>
      <c r="N132" s="134">
        <f t="shared" si="32"/>
        <v>2.09</v>
      </c>
      <c r="O132" s="134">
        <f t="shared" si="32"/>
        <v>2.09</v>
      </c>
      <c r="P132" s="134">
        <f t="shared" si="32"/>
        <v>2.09</v>
      </c>
      <c r="Q132" s="134">
        <f t="shared" si="32"/>
        <v>2.09</v>
      </c>
      <c r="R132" s="134">
        <f t="shared" si="32"/>
        <v>2.09</v>
      </c>
      <c r="S132" s="134">
        <f t="shared" si="33"/>
        <v>2.09</v>
      </c>
      <c r="T132" s="134">
        <f t="shared" si="33"/>
        <v>2.09</v>
      </c>
      <c r="U132" s="134">
        <f t="shared" si="33"/>
        <v>2.09</v>
      </c>
      <c r="V132" s="134">
        <f t="shared" si="33"/>
        <v>2.09</v>
      </c>
      <c r="W132" s="134">
        <f t="shared" si="33"/>
        <v>2.09</v>
      </c>
      <c r="X132" s="134">
        <f t="shared" si="33"/>
        <v>2.09</v>
      </c>
      <c r="Y132" s="134">
        <f t="shared" si="33"/>
        <v>2.09</v>
      </c>
      <c r="Z132" s="134">
        <f t="shared" si="33"/>
        <v>2.09</v>
      </c>
      <c r="AA132" s="134">
        <f t="shared" si="33"/>
        <v>2.09</v>
      </c>
      <c r="AB132" s="134">
        <f t="shared" si="33"/>
        <v>2.09</v>
      </c>
      <c r="AC132" s="134">
        <f t="shared" si="33"/>
        <v>2.09</v>
      </c>
      <c r="AD132" s="134">
        <f t="shared" si="33"/>
        <v>2.09</v>
      </c>
      <c r="AE132" s="134">
        <f t="shared" si="33"/>
        <v>2.09</v>
      </c>
      <c r="AF132" s="134">
        <f t="shared" si="33"/>
        <v>2.09</v>
      </c>
      <c r="AG132" s="136">
        <v>4.9800000000000004</v>
      </c>
      <c r="AH132" s="55"/>
      <c r="AI132" s="56"/>
      <c r="AK132" s="57"/>
    </row>
    <row r="133" spans="1:37" x14ac:dyDescent="0.25">
      <c r="A133" s="121" t="s">
        <v>137</v>
      </c>
      <c r="B133" s="133">
        <v>1.1399999999999999</v>
      </c>
      <c r="C133" s="134">
        <f t="shared" si="32"/>
        <v>1.1399999999999999</v>
      </c>
      <c r="D133" s="134">
        <f t="shared" si="32"/>
        <v>1.1399999999999999</v>
      </c>
      <c r="E133" s="134">
        <f t="shared" si="32"/>
        <v>1.1399999999999999</v>
      </c>
      <c r="F133" s="134">
        <f t="shared" si="32"/>
        <v>1.1399999999999999</v>
      </c>
      <c r="G133" s="134">
        <f t="shared" si="32"/>
        <v>1.1399999999999999</v>
      </c>
      <c r="H133" s="134">
        <f t="shared" si="32"/>
        <v>1.1399999999999999</v>
      </c>
      <c r="I133" s="134">
        <f t="shared" si="32"/>
        <v>1.1399999999999999</v>
      </c>
      <c r="J133" s="134">
        <f t="shared" si="32"/>
        <v>1.1399999999999999</v>
      </c>
      <c r="K133" s="134">
        <f t="shared" si="32"/>
        <v>1.1399999999999999</v>
      </c>
      <c r="L133" s="134">
        <f t="shared" si="32"/>
        <v>1.1399999999999999</v>
      </c>
      <c r="M133" s="134">
        <f t="shared" si="32"/>
        <v>1.1399999999999999</v>
      </c>
      <c r="N133" s="134">
        <f t="shared" si="32"/>
        <v>1.1399999999999999</v>
      </c>
      <c r="O133" s="134">
        <f t="shared" si="32"/>
        <v>1.1399999999999999</v>
      </c>
      <c r="P133" s="134">
        <f t="shared" si="32"/>
        <v>1.1399999999999999</v>
      </c>
      <c r="Q133" s="134">
        <f t="shared" si="32"/>
        <v>1.1399999999999999</v>
      </c>
      <c r="R133" s="134">
        <f t="shared" si="32"/>
        <v>1.1399999999999999</v>
      </c>
      <c r="S133" s="134">
        <f t="shared" si="33"/>
        <v>1.1399999999999999</v>
      </c>
      <c r="T133" s="134">
        <f t="shared" si="33"/>
        <v>1.1399999999999999</v>
      </c>
      <c r="U133" s="134">
        <f t="shared" si="33"/>
        <v>1.1399999999999999</v>
      </c>
      <c r="V133" s="134">
        <f t="shared" si="33"/>
        <v>1.1399999999999999</v>
      </c>
      <c r="W133" s="134">
        <f t="shared" si="33"/>
        <v>1.1399999999999999</v>
      </c>
      <c r="X133" s="134">
        <f t="shared" si="33"/>
        <v>1.1399999999999999</v>
      </c>
      <c r="Y133" s="134">
        <f t="shared" si="33"/>
        <v>1.1399999999999999</v>
      </c>
      <c r="Z133" s="134">
        <f t="shared" si="33"/>
        <v>1.1399999999999999</v>
      </c>
      <c r="AA133" s="134">
        <f t="shared" si="33"/>
        <v>1.1399999999999999</v>
      </c>
      <c r="AB133" s="134">
        <f t="shared" si="33"/>
        <v>1.1399999999999999</v>
      </c>
      <c r="AC133" s="134">
        <f t="shared" si="33"/>
        <v>1.1399999999999999</v>
      </c>
      <c r="AD133" s="134">
        <f t="shared" si="33"/>
        <v>1.1399999999999999</v>
      </c>
      <c r="AE133" s="134">
        <f t="shared" si="33"/>
        <v>1.1399999999999999</v>
      </c>
      <c r="AF133" s="134">
        <f t="shared" si="33"/>
        <v>1.1399999999999999</v>
      </c>
      <c r="AG133" s="136">
        <v>4.95</v>
      </c>
      <c r="AH133" s="55"/>
      <c r="AI133" s="56"/>
      <c r="AK133" s="57"/>
    </row>
    <row r="134" spans="1:37" x14ac:dyDescent="0.25">
      <c r="A134" s="121" t="s">
        <v>138</v>
      </c>
      <c r="B134" s="133">
        <v>0.82</v>
      </c>
      <c r="C134" s="134">
        <f t="shared" si="32"/>
        <v>0.82</v>
      </c>
      <c r="D134" s="134">
        <f t="shared" si="32"/>
        <v>0.82</v>
      </c>
      <c r="E134" s="134">
        <f t="shared" si="32"/>
        <v>0.82</v>
      </c>
      <c r="F134" s="134">
        <f t="shared" si="32"/>
        <v>0.82</v>
      </c>
      <c r="G134" s="134">
        <f t="shared" si="32"/>
        <v>0.82</v>
      </c>
      <c r="H134" s="134">
        <f t="shared" si="32"/>
        <v>0.82</v>
      </c>
      <c r="I134" s="134">
        <f t="shared" si="32"/>
        <v>0.82</v>
      </c>
      <c r="J134" s="134">
        <f t="shared" si="32"/>
        <v>0.82</v>
      </c>
      <c r="K134" s="134">
        <f t="shared" si="32"/>
        <v>0.82</v>
      </c>
      <c r="L134" s="134">
        <f t="shared" si="32"/>
        <v>0.82</v>
      </c>
      <c r="M134" s="134">
        <f t="shared" si="32"/>
        <v>0.82</v>
      </c>
      <c r="N134" s="134">
        <f t="shared" si="32"/>
        <v>0.82</v>
      </c>
      <c r="O134" s="134">
        <f t="shared" si="32"/>
        <v>0.82</v>
      </c>
      <c r="P134" s="134">
        <f t="shared" si="32"/>
        <v>0.82</v>
      </c>
      <c r="Q134" s="134">
        <f t="shared" si="32"/>
        <v>0.82</v>
      </c>
      <c r="R134" s="134">
        <f t="shared" si="32"/>
        <v>0.82</v>
      </c>
      <c r="S134" s="134">
        <f t="shared" si="33"/>
        <v>0.82</v>
      </c>
      <c r="T134" s="134">
        <f t="shared" si="33"/>
        <v>0.82</v>
      </c>
      <c r="U134" s="134">
        <f t="shared" si="33"/>
        <v>0.82</v>
      </c>
      <c r="V134" s="134">
        <f t="shared" si="33"/>
        <v>0.82</v>
      </c>
      <c r="W134" s="134">
        <f t="shared" si="33"/>
        <v>0.82</v>
      </c>
      <c r="X134" s="134">
        <f t="shared" si="33"/>
        <v>0.82</v>
      </c>
      <c r="Y134" s="134">
        <f t="shared" si="33"/>
        <v>0.82</v>
      </c>
      <c r="Z134" s="134">
        <f t="shared" si="33"/>
        <v>0.82</v>
      </c>
      <c r="AA134" s="134">
        <f t="shared" si="33"/>
        <v>0.82</v>
      </c>
      <c r="AB134" s="134">
        <f t="shared" si="33"/>
        <v>0.82</v>
      </c>
      <c r="AC134" s="134">
        <f t="shared" si="33"/>
        <v>0.82</v>
      </c>
      <c r="AD134" s="134">
        <f t="shared" si="33"/>
        <v>0.82</v>
      </c>
      <c r="AE134" s="134">
        <f t="shared" si="33"/>
        <v>0.82</v>
      </c>
      <c r="AF134" s="134">
        <f t="shared" si="33"/>
        <v>0.82</v>
      </c>
      <c r="AG134" s="136">
        <v>4.95</v>
      </c>
      <c r="AH134" s="55"/>
      <c r="AI134" s="56"/>
      <c r="AK134" s="57"/>
    </row>
    <row r="135" spans="1:37" x14ac:dyDescent="0.25">
      <c r="A135" s="121" t="s">
        <v>139</v>
      </c>
      <c r="B135" s="133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6">
        <v>4.8</v>
      </c>
      <c r="AH135" s="55"/>
      <c r="AI135" s="56"/>
      <c r="AK135" s="57"/>
    </row>
    <row r="136" spans="1:37" x14ac:dyDescent="0.25">
      <c r="A136" s="121" t="s">
        <v>140</v>
      </c>
      <c r="B136" s="133">
        <v>2</v>
      </c>
      <c r="C136" s="134">
        <f t="shared" ref="C136:R142" si="34">B136</f>
        <v>2</v>
      </c>
      <c r="D136" s="134">
        <f t="shared" si="34"/>
        <v>2</v>
      </c>
      <c r="E136" s="134">
        <f t="shared" si="34"/>
        <v>2</v>
      </c>
      <c r="F136" s="134">
        <f t="shared" si="34"/>
        <v>2</v>
      </c>
      <c r="G136" s="134">
        <f t="shared" si="34"/>
        <v>2</v>
      </c>
      <c r="H136" s="134">
        <f t="shared" si="34"/>
        <v>2</v>
      </c>
      <c r="I136" s="134">
        <f t="shared" si="34"/>
        <v>2</v>
      </c>
      <c r="J136" s="134">
        <f t="shared" si="34"/>
        <v>2</v>
      </c>
      <c r="K136" s="134">
        <f t="shared" si="34"/>
        <v>2</v>
      </c>
      <c r="L136" s="134">
        <f t="shared" si="34"/>
        <v>2</v>
      </c>
      <c r="M136" s="134">
        <f t="shared" si="34"/>
        <v>2</v>
      </c>
      <c r="N136" s="134">
        <f t="shared" si="34"/>
        <v>2</v>
      </c>
      <c r="O136" s="134">
        <f t="shared" si="34"/>
        <v>2</v>
      </c>
      <c r="P136" s="134">
        <f t="shared" si="34"/>
        <v>2</v>
      </c>
      <c r="Q136" s="134">
        <f t="shared" si="34"/>
        <v>2</v>
      </c>
      <c r="R136" s="134">
        <f t="shared" si="34"/>
        <v>2</v>
      </c>
      <c r="S136" s="134">
        <f t="shared" ref="S136:AF142" si="35">R136</f>
        <v>2</v>
      </c>
      <c r="T136" s="134">
        <f t="shared" si="35"/>
        <v>2</v>
      </c>
      <c r="U136" s="134">
        <f t="shared" si="35"/>
        <v>2</v>
      </c>
      <c r="V136" s="134">
        <f t="shared" si="35"/>
        <v>2</v>
      </c>
      <c r="W136" s="134">
        <f t="shared" si="35"/>
        <v>2</v>
      </c>
      <c r="X136" s="134">
        <f t="shared" si="35"/>
        <v>2</v>
      </c>
      <c r="Y136" s="134">
        <f t="shared" si="35"/>
        <v>2</v>
      </c>
      <c r="Z136" s="134">
        <f t="shared" si="35"/>
        <v>2</v>
      </c>
      <c r="AA136" s="134">
        <f t="shared" si="35"/>
        <v>2</v>
      </c>
      <c r="AB136" s="134">
        <f t="shared" si="35"/>
        <v>2</v>
      </c>
      <c r="AC136" s="134">
        <f t="shared" si="35"/>
        <v>2</v>
      </c>
      <c r="AD136" s="134">
        <f t="shared" si="35"/>
        <v>2</v>
      </c>
      <c r="AE136" s="134">
        <f t="shared" si="35"/>
        <v>2</v>
      </c>
      <c r="AF136" s="134">
        <f t="shared" si="35"/>
        <v>2</v>
      </c>
      <c r="AG136" s="136">
        <v>4.8</v>
      </c>
      <c r="AH136" s="55"/>
      <c r="AI136" s="56"/>
      <c r="AK136" s="57"/>
    </row>
    <row r="137" spans="1:37" x14ac:dyDescent="0.25">
      <c r="A137" s="121" t="s">
        <v>141</v>
      </c>
      <c r="B137" s="133">
        <v>5.61</v>
      </c>
      <c r="C137" s="134">
        <f t="shared" si="34"/>
        <v>5.61</v>
      </c>
      <c r="D137" s="134">
        <f t="shared" si="34"/>
        <v>5.61</v>
      </c>
      <c r="E137" s="134">
        <f t="shared" si="34"/>
        <v>5.61</v>
      </c>
      <c r="F137" s="134">
        <f t="shared" si="34"/>
        <v>5.61</v>
      </c>
      <c r="G137" s="134">
        <f t="shared" si="34"/>
        <v>5.61</v>
      </c>
      <c r="H137" s="134">
        <f t="shared" si="34"/>
        <v>5.61</v>
      </c>
      <c r="I137" s="134">
        <f t="shared" si="34"/>
        <v>5.61</v>
      </c>
      <c r="J137" s="134">
        <f t="shared" si="34"/>
        <v>5.61</v>
      </c>
      <c r="K137" s="134">
        <f t="shared" si="34"/>
        <v>5.61</v>
      </c>
      <c r="L137" s="134">
        <f t="shared" si="34"/>
        <v>5.61</v>
      </c>
      <c r="M137" s="134">
        <f t="shared" si="34"/>
        <v>5.61</v>
      </c>
      <c r="N137" s="134">
        <f t="shared" si="34"/>
        <v>5.61</v>
      </c>
      <c r="O137" s="134">
        <f t="shared" si="34"/>
        <v>5.61</v>
      </c>
      <c r="P137" s="134">
        <f t="shared" si="34"/>
        <v>5.61</v>
      </c>
      <c r="Q137" s="134">
        <f t="shared" si="34"/>
        <v>5.61</v>
      </c>
      <c r="R137" s="134">
        <f t="shared" si="34"/>
        <v>5.61</v>
      </c>
      <c r="S137" s="134">
        <f t="shared" si="35"/>
        <v>5.61</v>
      </c>
      <c r="T137" s="134">
        <f t="shared" si="35"/>
        <v>5.61</v>
      </c>
      <c r="U137" s="134">
        <f t="shared" si="35"/>
        <v>5.61</v>
      </c>
      <c r="V137" s="134">
        <f t="shared" si="35"/>
        <v>5.61</v>
      </c>
      <c r="W137" s="134">
        <f t="shared" si="35"/>
        <v>5.61</v>
      </c>
      <c r="X137" s="134">
        <f t="shared" si="35"/>
        <v>5.61</v>
      </c>
      <c r="Y137" s="134">
        <f t="shared" si="35"/>
        <v>5.61</v>
      </c>
      <c r="Z137" s="134">
        <f t="shared" si="35"/>
        <v>5.61</v>
      </c>
      <c r="AA137" s="134">
        <f t="shared" si="35"/>
        <v>5.61</v>
      </c>
      <c r="AB137" s="134">
        <f t="shared" si="35"/>
        <v>5.61</v>
      </c>
      <c r="AC137" s="134">
        <f t="shared" si="35"/>
        <v>5.61</v>
      </c>
      <c r="AD137" s="134">
        <f t="shared" si="35"/>
        <v>5.61</v>
      </c>
      <c r="AE137" s="134">
        <f t="shared" si="35"/>
        <v>5.61</v>
      </c>
      <c r="AF137" s="134">
        <f t="shared" si="35"/>
        <v>5.61</v>
      </c>
      <c r="AG137" s="136">
        <v>4.8</v>
      </c>
      <c r="AH137" s="55"/>
      <c r="AI137" s="56"/>
      <c r="AK137" s="57"/>
    </row>
    <row r="138" spans="1:37" x14ac:dyDescent="0.25">
      <c r="A138" s="121" t="s">
        <v>142</v>
      </c>
      <c r="B138" s="133">
        <v>1.25</v>
      </c>
      <c r="C138" s="134">
        <f t="shared" si="34"/>
        <v>1.25</v>
      </c>
      <c r="D138" s="134">
        <f t="shared" si="34"/>
        <v>1.25</v>
      </c>
      <c r="E138" s="134">
        <f t="shared" si="34"/>
        <v>1.25</v>
      </c>
      <c r="F138" s="134">
        <f t="shared" si="34"/>
        <v>1.25</v>
      </c>
      <c r="G138" s="134">
        <f t="shared" si="34"/>
        <v>1.25</v>
      </c>
      <c r="H138" s="134">
        <f t="shared" si="34"/>
        <v>1.25</v>
      </c>
      <c r="I138" s="134">
        <f t="shared" si="34"/>
        <v>1.25</v>
      </c>
      <c r="J138" s="134">
        <f t="shared" si="34"/>
        <v>1.25</v>
      </c>
      <c r="K138" s="134">
        <f t="shared" si="34"/>
        <v>1.25</v>
      </c>
      <c r="L138" s="134">
        <f t="shared" si="34"/>
        <v>1.25</v>
      </c>
      <c r="M138" s="134">
        <f t="shared" si="34"/>
        <v>1.25</v>
      </c>
      <c r="N138" s="134">
        <f t="shared" si="34"/>
        <v>1.25</v>
      </c>
      <c r="O138" s="134">
        <f t="shared" si="34"/>
        <v>1.25</v>
      </c>
      <c r="P138" s="134">
        <f t="shared" si="34"/>
        <v>1.25</v>
      </c>
      <c r="Q138" s="134">
        <f t="shared" si="34"/>
        <v>1.25</v>
      </c>
      <c r="R138" s="134">
        <f t="shared" si="34"/>
        <v>1.25</v>
      </c>
      <c r="S138" s="134">
        <f t="shared" si="35"/>
        <v>1.25</v>
      </c>
      <c r="T138" s="134">
        <f t="shared" si="35"/>
        <v>1.25</v>
      </c>
      <c r="U138" s="134">
        <f t="shared" si="35"/>
        <v>1.25</v>
      </c>
      <c r="V138" s="134">
        <f t="shared" si="35"/>
        <v>1.25</v>
      </c>
      <c r="W138" s="134">
        <f t="shared" si="35"/>
        <v>1.25</v>
      </c>
      <c r="X138" s="134">
        <f t="shared" si="35"/>
        <v>1.25</v>
      </c>
      <c r="Y138" s="134">
        <f t="shared" si="35"/>
        <v>1.25</v>
      </c>
      <c r="Z138" s="134">
        <f t="shared" si="35"/>
        <v>1.25</v>
      </c>
      <c r="AA138" s="134">
        <f t="shared" si="35"/>
        <v>1.25</v>
      </c>
      <c r="AB138" s="134">
        <f t="shared" si="35"/>
        <v>1.25</v>
      </c>
      <c r="AC138" s="134">
        <f t="shared" si="35"/>
        <v>1.25</v>
      </c>
      <c r="AD138" s="134">
        <f t="shared" si="35"/>
        <v>1.25</v>
      </c>
      <c r="AE138" s="134">
        <f t="shared" si="35"/>
        <v>1.25</v>
      </c>
      <c r="AF138" s="134">
        <f t="shared" si="35"/>
        <v>1.25</v>
      </c>
      <c r="AG138" s="136">
        <v>4.5</v>
      </c>
      <c r="AH138" s="55"/>
      <c r="AI138" s="56"/>
      <c r="AK138" s="57"/>
    </row>
    <row r="139" spans="1:37" x14ac:dyDescent="0.25">
      <c r="A139" s="121" t="s">
        <v>143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144</v>
      </c>
      <c r="B140" s="133">
        <v>1.46</v>
      </c>
      <c r="C140" s="134">
        <f t="shared" si="34"/>
        <v>1.46</v>
      </c>
      <c r="D140" s="134">
        <f t="shared" si="34"/>
        <v>1.46</v>
      </c>
      <c r="E140" s="134">
        <f t="shared" si="34"/>
        <v>1.46</v>
      </c>
      <c r="F140" s="134">
        <f t="shared" si="34"/>
        <v>1.46</v>
      </c>
      <c r="G140" s="134">
        <f t="shared" si="34"/>
        <v>1.46</v>
      </c>
      <c r="H140" s="134">
        <f t="shared" si="34"/>
        <v>1.46</v>
      </c>
      <c r="I140" s="134">
        <f t="shared" si="34"/>
        <v>1.46</v>
      </c>
      <c r="J140" s="134">
        <f t="shared" si="34"/>
        <v>1.46</v>
      </c>
      <c r="K140" s="134">
        <f t="shared" si="34"/>
        <v>1.46</v>
      </c>
      <c r="L140" s="134">
        <f t="shared" si="34"/>
        <v>1.46</v>
      </c>
      <c r="M140" s="134">
        <f t="shared" si="34"/>
        <v>1.46</v>
      </c>
      <c r="N140" s="134">
        <f t="shared" si="34"/>
        <v>1.46</v>
      </c>
      <c r="O140" s="134">
        <f t="shared" si="34"/>
        <v>1.46</v>
      </c>
      <c r="P140" s="134">
        <f t="shared" si="34"/>
        <v>1.46</v>
      </c>
      <c r="Q140" s="134">
        <f t="shared" si="34"/>
        <v>1.46</v>
      </c>
      <c r="R140" s="134">
        <f t="shared" si="34"/>
        <v>1.46</v>
      </c>
      <c r="S140" s="134">
        <f t="shared" si="35"/>
        <v>1.46</v>
      </c>
      <c r="T140" s="134">
        <f t="shared" si="35"/>
        <v>1.46</v>
      </c>
      <c r="U140" s="134">
        <f t="shared" si="35"/>
        <v>1.46</v>
      </c>
      <c r="V140" s="134">
        <f t="shared" si="35"/>
        <v>1.46</v>
      </c>
      <c r="W140" s="134">
        <f t="shared" si="35"/>
        <v>1.46</v>
      </c>
      <c r="X140" s="134">
        <f t="shared" si="35"/>
        <v>1.46</v>
      </c>
      <c r="Y140" s="134">
        <f t="shared" si="35"/>
        <v>1.46</v>
      </c>
      <c r="Z140" s="134">
        <f t="shared" si="35"/>
        <v>1.46</v>
      </c>
      <c r="AA140" s="134">
        <f t="shared" si="35"/>
        <v>1.46</v>
      </c>
      <c r="AB140" s="134">
        <f t="shared" si="35"/>
        <v>1.46</v>
      </c>
      <c r="AC140" s="134">
        <f t="shared" si="35"/>
        <v>1.46</v>
      </c>
      <c r="AD140" s="134">
        <f t="shared" si="35"/>
        <v>1.46</v>
      </c>
      <c r="AE140" s="134">
        <f t="shared" si="35"/>
        <v>1.46</v>
      </c>
      <c r="AF140" s="134">
        <f t="shared" si="35"/>
        <v>1.46</v>
      </c>
      <c r="AG140" s="136">
        <v>4.4550000000000001</v>
      </c>
      <c r="AH140" s="55"/>
      <c r="AI140" s="56"/>
      <c r="AK140" s="57"/>
    </row>
    <row r="141" spans="1:37" x14ac:dyDescent="0.25">
      <c r="A141" s="121" t="s">
        <v>145</v>
      </c>
      <c r="B141" s="133">
        <v>3</v>
      </c>
      <c r="C141" s="134">
        <f t="shared" si="34"/>
        <v>3</v>
      </c>
      <c r="D141" s="134">
        <f t="shared" si="34"/>
        <v>3</v>
      </c>
      <c r="E141" s="134">
        <f t="shared" si="34"/>
        <v>3</v>
      </c>
      <c r="F141" s="134">
        <f t="shared" si="34"/>
        <v>3</v>
      </c>
      <c r="G141" s="134">
        <f t="shared" si="34"/>
        <v>3</v>
      </c>
      <c r="H141" s="134">
        <f t="shared" si="34"/>
        <v>3</v>
      </c>
      <c r="I141" s="134">
        <f t="shared" si="34"/>
        <v>3</v>
      </c>
      <c r="J141" s="134">
        <f t="shared" si="34"/>
        <v>3</v>
      </c>
      <c r="K141" s="134">
        <f t="shared" si="34"/>
        <v>3</v>
      </c>
      <c r="L141" s="134">
        <f t="shared" si="34"/>
        <v>3</v>
      </c>
      <c r="M141" s="134">
        <f t="shared" si="34"/>
        <v>3</v>
      </c>
      <c r="N141" s="134">
        <f t="shared" si="34"/>
        <v>3</v>
      </c>
      <c r="O141" s="134">
        <f t="shared" si="34"/>
        <v>3</v>
      </c>
      <c r="P141" s="134">
        <f t="shared" si="34"/>
        <v>3</v>
      </c>
      <c r="Q141" s="134">
        <f t="shared" si="34"/>
        <v>3</v>
      </c>
      <c r="R141" s="134">
        <f t="shared" si="34"/>
        <v>3</v>
      </c>
      <c r="S141" s="134">
        <f t="shared" si="35"/>
        <v>3</v>
      </c>
      <c r="T141" s="134">
        <f t="shared" si="35"/>
        <v>3</v>
      </c>
      <c r="U141" s="134">
        <f t="shared" si="35"/>
        <v>3</v>
      </c>
      <c r="V141" s="134">
        <f t="shared" si="35"/>
        <v>3</v>
      </c>
      <c r="W141" s="134">
        <f t="shared" si="35"/>
        <v>3</v>
      </c>
      <c r="X141" s="134">
        <f t="shared" si="35"/>
        <v>3</v>
      </c>
      <c r="Y141" s="134">
        <f t="shared" si="35"/>
        <v>3</v>
      </c>
      <c r="Z141" s="134">
        <f t="shared" si="35"/>
        <v>3</v>
      </c>
      <c r="AA141" s="134">
        <f t="shared" si="35"/>
        <v>3</v>
      </c>
      <c r="AB141" s="134">
        <f t="shared" si="35"/>
        <v>3</v>
      </c>
      <c r="AC141" s="134">
        <f t="shared" si="35"/>
        <v>3</v>
      </c>
      <c r="AD141" s="134">
        <f t="shared" si="35"/>
        <v>3</v>
      </c>
      <c r="AE141" s="134">
        <f t="shared" si="35"/>
        <v>3</v>
      </c>
      <c r="AF141" s="134">
        <f t="shared" si="35"/>
        <v>3</v>
      </c>
      <c r="AG141" s="136">
        <v>4.41</v>
      </c>
      <c r="AH141" s="55"/>
      <c r="AI141" s="56"/>
      <c r="AK141" s="57"/>
    </row>
    <row r="142" spans="1:37" x14ac:dyDescent="0.25">
      <c r="A142" s="121" t="s">
        <v>146</v>
      </c>
      <c r="B142" s="133">
        <v>3.3</v>
      </c>
      <c r="C142" s="134">
        <f t="shared" si="34"/>
        <v>3.3</v>
      </c>
      <c r="D142" s="134">
        <f t="shared" si="34"/>
        <v>3.3</v>
      </c>
      <c r="E142" s="134">
        <f t="shared" si="34"/>
        <v>3.3</v>
      </c>
      <c r="F142" s="134">
        <f t="shared" si="34"/>
        <v>3.3</v>
      </c>
      <c r="G142" s="134">
        <f t="shared" si="34"/>
        <v>3.3</v>
      </c>
      <c r="H142" s="134">
        <f t="shared" si="34"/>
        <v>3.3</v>
      </c>
      <c r="I142" s="134">
        <f t="shared" si="34"/>
        <v>3.3</v>
      </c>
      <c r="J142" s="134">
        <f t="shared" si="34"/>
        <v>3.3</v>
      </c>
      <c r="K142" s="134">
        <f t="shared" si="34"/>
        <v>3.3</v>
      </c>
      <c r="L142" s="134">
        <f t="shared" si="34"/>
        <v>3.3</v>
      </c>
      <c r="M142" s="134">
        <f t="shared" si="34"/>
        <v>3.3</v>
      </c>
      <c r="N142" s="134">
        <f t="shared" si="34"/>
        <v>3.3</v>
      </c>
      <c r="O142" s="134">
        <f t="shared" si="34"/>
        <v>3.3</v>
      </c>
      <c r="P142" s="134">
        <f t="shared" si="34"/>
        <v>3.3</v>
      </c>
      <c r="Q142" s="134">
        <f t="shared" si="34"/>
        <v>3.3</v>
      </c>
      <c r="R142" s="134">
        <f t="shared" si="34"/>
        <v>3.3</v>
      </c>
      <c r="S142" s="134">
        <f t="shared" si="35"/>
        <v>3.3</v>
      </c>
      <c r="T142" s="134">
        <f t="shared" si="35"/>
        <v>3.3</v>
      </c>
      <c r="U142" s="134">
        <f t="shared" si="35"/>
        <v>3.3</v>
      </c>
      <c r="V142" s="134">
        <f t="shared" si="35"/>
        <v>3.3</v>
      </c>
      <c r="W142" s="134">
        <f t="shared" si="35"/>
        <v>3.3</v>
      </c>
      <c r="X142" s="134">
        <f t="shared" si="35"/>
        <v>3.3</v>
      </c>
      <c r="Y142" s="134">
        <f t="shared" si="35"/>
        <v>3.3</v>
      </c>
      <c r="Z142" s="134">
        <f t="shared" si="35"/>
        <v>3.3</v>
      </c>
      <c r="AA142" s="134">
        <f t="shared" si="35"/>
        <v>3.3</v>
      </c>
      <c r="AB142" s="134">
        <f t="shared" si="35"/>
        <v>3.3</v>
      </c>
      <c r="AC142" s="134">
        <f t="shared" si="35"/>
        <v>3.3</v>
      </c>
      <c r="AD142" s="134">
        <f t="shared" si="35"/>
        <v>3.3</v>
      </c>
      <c r="AE142" s="134">
        <f t="shared" si="35"/>
        <v>3.3</v>
      </c>
      <c r="AF142" s="134">
        <f t="shared" si="35"/>
        <v>3.3</v>
      </c>
      <c r="AG142" s="136">
        <v>4.4000000000000004</v>
      </c>
      <c r="AH142" s="55"/>
      <c r="AI142" s="56"/>
      <c r="AK142" s="57"/>
    </row>
    <row r="143" spans="1:37" x14ac:dyDescent="0.25">
      <c r="A143" s="121" t="s">
        <v>147</v>
      </c>
      <c r="B143" s="133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6">
        <v>4.3600000000000003</v>
      </c>
      <c r="AH143" s="55"/>
      <c r="AI143" s="56"/>
      <c r="AK143" s="57"/>
    </row>
    <row r="144" spans="1:37" x14ac:dyDescent="0.25">
      <c r="A144" s="121" t="s">
        <v>148</v>
      </c>
      <c r="B144" s="133">
        <v>1.76</v>
      </c>
      <c r="C144" s="134">
        <f t="shared" ref="C144:R145" si="36">B144</f>
        <v>1.76</v>
      </c>
      <c r="D144" s="134">
        <f t="shared" si="36"/>
        <v>1.76</v>
      </c>
      <c r="E144" s="134">
        <f t="shared" si="36"/>
        <v>1.76</v>
      </c>
      <c r="F144" s="134">
        <f t="shared" si="36"/>
        <v>1.76</v>
      </c>
      <c r="G144" s="134">
        <f t="shared" si="36"/>
        <v>1.76</v>
      </c>
      <c r="H144" s="134">
        <f t="shared" si="36"/>
        <v>1.76</v>
      </c>
      <c r="I144" s="134">
        <f t="shared" si="36"/>
        <v>1.76</v>
      </c>
      <c r="J144" s="134">
        <f t="shared" si="36"/>
        <v>1.76</v>
      </c>
      <c r="K144" s="134">
        <f t="shared" si="36"/>
        <v>1.76</v>
      </c>
      <c r="L144" s="134">
        <f t="shared" si="36"/>
        <v>1.76</v>
      </c>
      <c r="M144" s="134">
        <f t="shared" si="36"/>
        <v>1.76</v>
      </c>
      <c r="N144" s="134">
        <f t="shared" si="36"/>
        <v>1.76</v>
      </c>
      <c r="O144" s="134">
        <f t="shared" si="36"/>
        <v>1.76</v>
      </c>
      <c r="P144" s="134">
        <f t="shared" si="36"/>
        <v>1.76</v>
      </c>
      <c r="Q144" s="134">
        <f t="shared" si="36"/>
        <v>1.76</v>
      </c>
      <c r="R144" s="134">
        <f t="shared" si="36"/>
        <v>1.76</v>
      </c>
      <c r="S144" s="134">
        <f t="shared" ref="S144:AF145" si="37">R144</f>
        <v>1.76</v>
      </c>
      <c r="T144" s="134">
        <f t="shared" si="37"/>
        <v>1.76</v>
      </c>
      <c r="U144" s="134">
        <f t="shared" si="37"/>
        <v>1.76</v>
      </c>
      <c r="V144" s="134">
        <f t="shared" si="37"/>
        <v>1.76</v>
      </c>
      <c r="W144" s="134">
        <f t="shared" si="37"/>
        <v>1.76</v>
      </c>
      <c r="X144" s="134">
        <f t="shared" si="37"/>
        <v>1.76</v>
      </c>
      <c r="Y144" s="134">
        <f t="shared" si="37"/>
        <v>1.76</v>
      </c>
      <c r="Z144" s="134">
        <f t="shared" si="37"/>
        <v>1.76</v>
      </c>
      <c r="AA144" s="134">
        <f t="shared" si="37"/>
        <v>1.76</v>
      </c>
      <c r="AB144" s="134">
        <f t="shared" si="37"/>
        <v>1.76</v>
      </c>
      <c r="AC144" s="134">
        <f t="shared" si="37"/>
        <v>1.76</v>
      </c>
      <c r="AD144" s="134">
        <f t="shared" si="37"/>
        <v>1.76</v>
      </c>
      <c r="AE144" s="134">
        <f t="shared" si="37"/>
        <v>1.76</v>
      </c>
      <c r="AF144" s="134">
        <f t="shared" si="37"/>
        <v>1.76</v>
      </c>
      <c r="AG144" s="136">
        <v>4.2</v>
      </c>
      <c r="AH144" s="55"/>
      <c r="AI144" s="56"/>
      <c r="AK144" s="57"/>
    </row>
    <row r="145" spans="1:37" x14ac:dyDescent="0.25">
      <c r="A145" s="121" t="s">
        <v>149</v>
      </c>
      <c r="B145" s="133">
        <v>0</v>
      </c>
      <c r="C145" s="134">
        <f t="shared" si="36"/>
        <v>0</v>
      </c>
      <c r="D145" s="134">
        <f t="shared" si="36"/>
        <v>0</v>
      </c>
      <c r="E145" s="134">
        <f t="shared" si="36"/>
        <v>0</v>
      </c>
      <c r="F145" s="134">
        <f t="shared" si="36"/>
        <v>0</v>
      </c>
      <c r="G145" s="134">
        <f t="shared" si="36"/>
        <v>0</v>
      </c>
      <c r="H145" s="134">
        <f t="shared" si="36"/>
        <v>0</v>
      </c>
      <c r="I145" s="134">
        <f t="shared" si="36"/>
        <v>0</v>
      </c>
      <c r="J145" s="134">
        <f t="shared" si="36"/>
        <v>0</v>
      </c>
      <c r="K145" s="134">
        <f t="shared" si="36"/>
        <v>0</v>
      </c>
      <c r="L145" s="134">
        <f t="shared" si="36"/>
        <v>0</v>
      </c>
      <c r="M145" s="134">
        <f t="shared" si="36"/>
        <v>0</v>
      </c>
      <c r="N145" s="134">
        <f t="shared" si="36"/>
        <v>0</v>
      </c>
      <c r="O145" s="134">
        <f t="shared" si="36"/>
        <v>0</v>
      </c>
      <c r="P145" s="134">
        <f t="shared" si="36"/>
        <v>0</v>
      </c>
      <c r="Q145" s="134">
        <f t="shared" si="36"/>
        <v>0</v>
      </c>
      <c r="R145" s="134">
        <f t="shared" si="36"/>
        <v>0</v>
      </c>
      <c r="S145" s="134">
        <f t="shared" si="37"/>
        <v>0</v>
      </c>
      <c r="T145" s="134">
        <f t="shared" si="37"/>
        <v>0</v>
      </c>
      <c r="U145" s="134">
        <f t="shared" si="37"/>
        <v>0</v>
      </c>
      <c r="V145" s="134">
        <f t="shared" si="37"/>
        <v>0</v>
      </c>
      <c r="W145" s="134">
        <f t="shared" si="37"/>
        <v>0</v>
      </c>
      <c r="X145" s="134">
        <f t="shared" si="37"/>
        <v>0</v>
      </c>
      <c r="Y145" s="134">
        <f t="shared" si="37"/>
        <v>0</v>
      </c>
      <c r="Z145" s="134">
        <f t="shared" si="37"/>
        <v>0</v>
      </c>
      <c r="AA145" s="134">
        <f t="shared" si="37"/>
        <v>0</v>
      </c>
      <c r="AB145" s="134">
        <f t="shared" si="37"/>
        <v>0</v>
      </c>
      <c r="AC145" s="134">
        <f t="shared" si="37"/>
        <v>0</v>
      </c>
      <c r="AD145" s="134">
        <f t="shared" si="37"/>
        <v>0</v>
      </c>
      <c r="AE145" s="134">
        <f t="shared" si="37"/>
        <v>0</v>
      </c>
      <c r="AF145" s="134">
        <f t="shared" si="37"/>
        <v>0</v>
      </c>
      <c r="AG145" s="136">
        <v>4</v>
      </c>
      <c r="AH145" s="55"/>
      <c r="AI145" s="56"/>
      <c r="AK145" s="57"/>
    </row>
    <row r="146" spans="1:37" x14ac:dyDescent="0.25">
      <c r="A146" s="121" t="s">
        <v>150</v>
      </c>
      <c r="B146" s="133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6">
        <v>4</v>
      </c>
      <c r="AH146" s="55"/>
      <c r="AI146" s="56"/>
      <c r="AK146" s="57"/>
    </row>
    <row r="147" spans="1:37" x14ac:dyDescent="0.25">
      <c r="A147" s="121" t="s">
        <v>151</v>
      </c>
      <c r="B147" s="133">
        <v>0.1</v>
      </c>
      <c r="C147" s="134">
        <f t="shared" ref="C147:R150" si="38">B147</f>
        <v>0.1</v>
      </c>
      <c r="D147" s="134">
        <f t="shared" si="38"/>
        <v>0.1</v>
      </c>
      <c r="E147" s="134">
        <f t="shared" si="38"/>
        <v>0.1</v>
      </c>
      <c r="F147" s="134">
        <f t="shared" si="38"/>
        <v>0.1</v>
      </c>
      <c r="G147" s="134">
        <f t="shared" si="38"/>
        <v>0.1</v>
      </c>
      <c r="H147" s="134">
        <f t="shared" si="38"/>
        <v>0.1</v>
      </c>
      <c r="I147" s="134">
        <f t="shared" si="38"/>
        <v>0.1</v>
      </c>
      <c r="J147" s="134">
        <f t="shared" si="38"/>
        <v>0.1</v>
      </c>
      <c r="K147" s="134">
        <f t="shared" si="38"/>
        <v>0.1</v>
      </c>
      <c r="L147" s="134">
        <f t="shared" si="38"/>
        <v>0.1</v>
      </c>
      <c r="M147" s="134">
        <f t="shared" si="38"/>
        <v>0.1</v>
      </c>
      <c r="N147" s="134">
        <f t="shared" si="38"/>
        <v>0.1</v>
      </c>
      <c r="O147" s="134">
        <f t="shared" si="38"/>
        <v>0.1</v>
      </c>
      <c r="P147" s="134">
        <f t="shared" si="38"/>
        <v>0.1</v>
      </c>
      <c r="Q147" s="134">
        <f t="shared" si="38"/>
        <v>0.1</v>
      </c>
      <c r="R147" s="134">
        <f t="shared" si="38"/>
        <v>0.1</v>
      </c>
      <c r="S147" s="134">
        <f t="shared" ref="S147:AF150" si="39">R147</f>
        <v>0.1</v>
      </c>
      <c r="T147" s="134">
        <f t="shared" si="39"/>
        <v>0.1</v>
      </c>
      <c r="U147" s="134">
        <f t="shared" si="39"/>
        <v>0.1</v>
      </c>
      <c r="V147" s="134">
        <f t="shared" si="39"/>
        <v>0.1</v>
      </c>
      <c r="W147" s="134">
        <f t="shared" si="39"/>
        <v>0.1</v>
      </c>
      <c r="X147" s="134">
        <f t="shared" si="39"/>
        <v>0.1</v>
      </c>
      <c r="Y147" s="134">
        <f t="shared" si="39"/>
        <v>0.1</v>
      </c>
      <c r="Z147" s="134">
        <f t="shared" si="39"/>
        <v>0.1</v>
      </c>
      <c r="AA147" s="134">
        <f t="shared" si="39"/>
        <v>0.1</v>
      </c>
      <c r="AB147" s="134">
        <f t="shared" si="39"/>
        <v>0.1</v>
      </c>
      <c r="AC147" s="134">
        <f t="shared" si="39"/>
        <v>0.1</v>
      </c>
      <c r="AD147" s="134">
        <f t="shared" si="39"/>
        <v>0.1</v>
      </c>
      <c r="AE147" s="134">
        <f t="shared" si="39"/>
        <v>0.1</v>
      </c>
      <c r="AF147" s="134">
        <f t="shared" si="39"/>
        <v>0.1</v>
      </c>
      <c r="AG147" s="136">
        <v>4</v>
      </c>
      <c r="AH147" s="55"/>
      <c r="AI147" s="56"/>
      <c r="AK147" s="57"/>
    </row>
    <row r="148" spans="1:37" x14ac:dyDescent="0.25">
      <c r="A148" s="121" t="s">
        <v>152</v>
      </c>
      <c r="B148" s="133">
        <v>2.0499999999999998</v>
      </c>
      <c r="C148" s="134">
        <f t="shared" si="38"/>
        <v>2.0499999999999998</v>
      </c>
      <c r="D148" s="134">
        <f t="shared" si="38"/>
        <v>2.0499999999999998</v>
      </c>
      <c r="E148" s="134">
        <f t="shared" si="38"/>
        <v>2.0499999999999998</v>
      </c>
      <c r="F148" s="134">
        <f t="shared" si="38"/>
        <v>2.0499999999999998</v>
      </c>
      <c r="G148" s="134">
        <f t="shared" si="38"/>
        <v>2.0499999999999998</v>
      </c>
      <c r="H148" s="134">
        <f t="shared" si="38"/>
        <v>2.0499999999999998</v>
      </c>
      <c r="I148" s="134">
        <f t="shared" si="38"/>
        <v>2.0499999999999998</v>
      </c>
      <c r="J148" s="134">
        <f t="shared" si="38"/>
        <v>2.0499999999999998</v>
      </c>
      <c r="K148" s="134">
        <f t="shared" si="38"/>
        <v>2.0499999999999998</v>
      </c>
      <c r="L148" s="134">
        <f t="shared" si="38"/>
        <v>2.0499999999999998</v>
      </c>
      <c r="M148" s="134">
        <f t="shared" si="38"/>
        <v>2.0499999999999998</v>
      </c>
      <c r="N148" s="134">
        <f t="shared" si="38"/>
        <v>2.0499999999999998</v>
      </c>
      <c r="O148" s="134">
        <f t="shared" si="38"/>
        <v>2.0499999999999998</v>
      </c>
      <c r="P148" s="134">
        <f t="shared" si="38"/>
        <v>2.0499999999999998</v>
      </c>
      <c r="Q148" s="134">
        <f t="shared" si="38"/>
        <v>2.0499999999999998</v>
      </c>
      <c r="R148" s="134">
        <f t="shared" si="38"/>
        <v>2.0499999999999998</v>
      </c>
      <c r="S148" s="134">
        <f t="shared" si="39"/>
        <v>2.0499999999999998</v>
      </c>
      <c r="T148" s="134">
        <f t="shared" si="39"/>
        <v>2.0499999999999998</v>
      </c>
      <c r="U148" s="134">
        <f t="shared" si="39"/>
        <v>2.0499999999999998</v>
      </c>
      <c r="V148" s="134">
        <f t="shared" si="39"/>
        <v>2.0499999999999998</v>
      </c>
      <c r="W148" s="134">
        <f t="shared" si="39"/>
        <v>2.0499999999999998</v>
      </c>
      <c r="X148" s="134">
        <f t="shared" si="39"/>
        <v>2.0499999999999998</v>
      </c>
      <c r="Y148" s="134">
        <f t="shared" si="39"/>
        <v>2.0499999999999998</v>
      </c>
      <c r="Z148" s="134">
        <f t="shared" si="39"/>
        <v>2.0499999999999998</v>
      </c>
      <c r="AA148" s="134">
        <f t="shared" si="39"/>
        <v>2.0499999999999998</v>
      </c>
      <c r="AB148" s="134">
        <f t="shared" si="39"/>
        <v>2.0499999999999998</v>
      </c>
      <c r="AC148" s="134">
        <f t="shared" si="39"/>
        <v>2.0499999999999998</v>
      </c>
      <c r="AD148" s="134">
        <f t="shared" si="39"/>
        <v>2.0499999999999998</v>
      </c>
      <c r="AE148" s="134">
        <f t="shared" si="39"/>
        <v>2.0499999999999998</v>
      </c>
      <c r="AF148" s="134">
        <f t="shared" si="39"/>
        <v>2.0499999999999998</v>
      </c>
      <c r="AG148" s="136">
        <v>4</v>
      </c>
      <c r="AH148" s="55"/>
      <c r="AI148" s="56"/>
      <c r="AK148" s="57"/>
    </row>
    <row r="149" spans="1:37" x14ac:dyDescent="0.25">
      <c r="A149" s="121" t="s">
        <v>153</v>
      </c>
      <c r="B149" s="133">
        <v>2.7</v>
      </c>
      <c r="C149" s="134">
        <f t="shared" si="38"/>
        <v>2.7</v>
      </c>
      <c r="D149" s="134">
        <f t="shared" si="38"/>
        <v>2.7</v>
      </c>
      <c r="E149" s="134">
        <f t="shared" si="38"/>
        <v>2.7</v>
      </c>
      <c r="F149" s="134">
        <f t="shared" si="38"/>
        <v>2.7</v>
      </c>
      <c r="G149" s="134">
        <f t="shared" si="38"/>
        <v>2.7</v>
      </c>
      <c r="H149" s="134">
        <f t="shared" si="38"/>
        <v>2.7</v>
      </c>
      <c r="I149" s="134">
        <f t="shared" si="38"/>
        <v>2.7</v>
      </c>
      <c r="J149" s="134">
        <f t="shared" si="38"/>
        <v>2.7</v>
      </c>
      <c r="K149" s="134">
        <f t="shared" si="38"/>
        <v>2.7</v>
      </c>
      <c r="L149" s="134">
        <f t="shared" si="38"/>
        <v>2.7</v>
      </c>
      <c r="M149" s="134">
        <f t="shared" si="38"/>
        <v>2.7</v>
      </c>
      <c r="N149" s="134">
        <f t="shared" si="38"/>
        <v>2.7</v>
      </c>
      <c r="O149" s="134">
        <f t="shared" si="38"/>
        <v>2.7</v>
      </c>
      <c r="P149" s="134">
        <f t="shared" si="38"/>
        <v>2.7</v>
      </c>
      <c r="Q149" s="134">
        <f t="shared" si="38"/>
        <v>2.7</v>
      </c>
      <c r="R149" s="134">
        <f t="shared" si="38"/>
        <v>2.7</v>
      </c>
      <c r="S149" s="134">
        <f t="shared" si="39"/>
        <v>2.7</v>
      </c>
      <c r="T149" s="134">
        <f t="shared" si="39"/>
        <v>2.7</v>
      </c>
      <c r="U149" s="134">
        <f t="shared" si="39"/>
        <v>2.7</v>
      </c>
      <c r="V149" s="134">
        <f t="shared" si="39"/>
        <v>2.7</v>
      </c>
      <c r="W149" s="134">
        <f t="shared" si="39"/>
        <v>2.7</v>
      </c>
      <c r="X149" s="134">
        <f t="shared" si="39"/>
        <v>2.7</v>
      </c>
      <c r="Y149" s="134">
        <f t="shared" si="39"/>
        <v>2.7</v>
      </c>
      <c r="Z149" s="134">
        <f t="shared" si="39"/>
        <v>2.7</v>
      </c>
      <c r="AA149" s="134">
        <f t="shared" si="39"/>
        <v>2.7</v>
      </c>
      <c r="AB149" s="134">
        <f t="shared" si="39"/>
        <v>2.7</v>
      </c>
      <c r="AC149" s="134">
        <f t="shared" si="39"/>
        <v>2.7</v>
      </c>
      <c r="AD149" s="134">
        <f t="shared" si="39"/>
        <v>2.7</v>
      </c>
      <c r="AE149" s="134">
        <f t="shared" si="39"/>
        <v>2.7</v>
      </c>
      <c r="AF149" s="134">
        <f t="shared" si="39"/>
        <v>2.7</v>
      </c>
      <c r="AG149" s="136">
        <v>4</v>
      </c>
      <c r="AH149" s="55"/>
      <c r="AI149" s="56"/>
      <c r="AK149" s="57"/>
    </row>
    <row r="150" spans="1:37" x14ac:dyDescent="0.25">
      <c r="A150" s="121" t="s">
        <v>154</v>
      </c>
      <c r="B150" s="133">
        <v>2.15</v>
      </c>
      <c r="C150" s="134">
        <f t="shared" si="38"/>
        <v>2.15</v>
      </c>
      <c r="D150" s="134">
        <f t="shared" si="38"/>
        <v>2.15</v>
      </c>
      <c r="E150" s="134">
        <f t="shared" si="38"/>
        <v>2.15</v>
      </c>
      <c r="F150" s="134">
        <f t="shared" si="38"/>
        <v>2.15</v>
      </c>
      <c r="G150" s="134">
        <f t="shared" si="38"/>
        <v>2.15</v>
      </c>
      <c r="H150" s="134">
        <f t="shared" si="38"/>
        <v>2.15</v>
      </c>
      <c r="I150" s="134">
        <f t="shared" si="38"/>
        <v>2.15</v>
      </c>
      <c r="J150" s="134">
        <f t="shared" si="38"/>
        <v>2.15</v>
      </c>
      <c r="K150" s="134">
        <f t="shared" si="38"/>
        <v>2.15</v>
      </c>
      <c r="L150" s="134">
        <f t="shared" si="38"/>
        <v>2.15</v>
      </c>
      <c r="M150" s="134">
        <f t="shared" si="38"/>
        <v>2.15</v>
      </c>
      <c r="N150" s="134">
        <f t="shared" si="38"/>
        <v>2.15</v>
      </c>
      <c r="O150" s="134">
        <f t="shared" si="38"/>
        <v>2.15</v>
      </c>
      <c r="P150" s="134">
        <f t="shared" si="38"/>
        <v>2.15</v>
      </c>
      <c r="Q150" s="134">
        <f t="shared" si="38"/>
        <v>2.15</v>
      </c>
      <c r="R150" s="134">
        <f t="shared" si="38"/>
        <v>2.15</v>
      </c>
      <c r="S150" s="134">
        <f t="shared" si="39"/>
        <v>2.15</v>
      </c>
      <c r="T150" s="134">
        <f t="shared" si="39"/>
        <v>2.15</v>
      </c>
      <c r="U150" s="134">
        <f t="shared" si="39"/>
        <v>2.15</v>
      </c>
      <c r="V150" s="134">
        <f t="shared" si="39"/>
        <v>2.15</v>
      </c>
      <c r="W150" s="134">
        <f t="shared" si="39"/>
        <v>2.15</v>
      </c>
      <c r="X150" s="134">
        <f t="shared" si="39"/>
        <v>2.15</v>
      </c>
      <c r="Y150" s="134">
        <f t="shared" si="39"/>
        <v>2.15</v>
      </c>
      <c r="Z150" s="134">
        <f t="shared" si="39"/>
        <v>2.15</v>
      </c>
      <c r="AA150" s="134">
        <f t="shared" si="39"/>
        <v>2.15</v>
      </c>
      <c r="AB150" s="134">
        <f t="shared" si="39"/>
        <v>2.15</v>
      </c>
      <c r="AC150" s="134">
        <f t="shared" si="39"/>
        <v>2.15</v>
      </c>
      <c r="AD150" s="134">
        <f t="shared" si="39"/>
        <v>2.15</v>
      </c>
      <c r="AE150" s="134">
        <f t="shared" si="39"/>
        <v>2.15</v>
      </c>
      <c r="AF150" s="134">
        <f t="shared" si="39"/>
        <v>2.15</v>
      </c>
      <c r="AG150" s="136">
        <v>4</v>
      </c>
      <c r="AH150" s="55"/>
      <c r="AI150" s="56"/>
      <c r="AK150" s="57"/>
    </row>
    <row r="151" spans="1:37" x14ac:dyDescent="0.25">
      <c r="A151" s="121" t="s">
        <v>155</v>
      </c>
      <c r="B151" s="133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6">
        <v>4</v>
      </c>
      <c r="AH151" s="55"/>
      <c r="AI151" s="56"/>
      <c r="AK151" s="57"/>
    </row>
    <row r="152" spans="1:37" x14ac:dyDescent="0.25">
      <c r="A152" s="121" t="s">
        <v>156</v>
      </c>
      <c r="B152" s="133">
        <v>0.9</v>
      </c>
      <c r="C152" s="134">
        <f t="shared" ref="C152:R164" si="40">B152</f>
        <v>0.9</v>
      </c>
      <c r="D152" s="134">
        <f t="shared" si="40"/>
        <v>0.9</v>
      </c>
      <c r="E152" s="134">
        <f t="shared" si="40"/>
        <v>0.9</v>
      </c>
      <c r="F152" s="134">
        <f t="shared" si="40"/>
        <v>0.9</v>
      </c>
      <c r="G152" s="134">
        <f t="shared" si="40"/>
        <v>0.9</v>
      </c>
      <c r="H152" s="134">
        <f t="shared" si="40"/>
        <v>0.9</v>
      </c>
      <c r="I152" s="134">
        <f t="shared" si="40"/>
        <v>0.9</v>
      </c>
      <c r="J152" s="134">
        <f t="shared" si="40"/>
        <v>0.9</v>
      </c>
      <c r="K152" s="134">
        <f t="shared" si="40"/>
        <v>0.9</v>
      </c>
      <c r="L152" s="134">
        <f t="shared" si="40"/>
        <v>0.9</v>
      </c>
      <c r="M152" s="134">
        <f t="shared" si="40"/>
        <v>0.9</v>
      </c>
      <c r="N152" s="134">
        <f t="shared" si="40"/>
        <v>0.9</v>
      </c>
      <c r="O152" s="134">
        <f t="shared" si="40"/>
        <v>0.9</v>
      </c>
      <c r="P152" s="134">
        <f t="shared" si="40"/>
        <v>0.9</v>
      </c>
      <c r="Q152" s="134">
        <f t="shared" si="40"/>
        <v>0.9</v>
      </c>
      <c r="R152" s="134">
        <f t="shared" si="40"/>
        <v>0.9</v>
      </c>
      <c r="S152" s="134">
        <f t="shared" ref="R152:AF164" si="41">R152</f>
        <v>0.9</v>
      </c>
      <c r="T152" s="134">
        <f t="shared" si="41"/>
        <v>0.9</v>
      </c>
      <c r="U152" s="134">
        <f t="shared" si="41"/>
        <v>0.9</v>
      </c>
      <c r="V152" s="134">
        <f t="shared" si="41"/>
        <v>0.9</v>
      </c>
      <c r="W152" s="134">
        <f t="shared" si="41"/>
        <v>0.9</v>
      </c>
      <c r="X152" s="134">
        <f t="shared" si="41"/>
        <v>0.9</v>
      </c>
      <c r="Y152" s="134">
        <f t="shared" si="41"/>
        <v>0.9</v>
      </c>
      <c r="Z152" s="134">
        <f t="shared" si="41"/>
        <v>0.9</v>
      </c>
      <c r="AA152" s="134">
        <f t="shared" si="41"/>
        <v>0.9</v>
      </c>
      <c r="AB152" s="134">
        <f t="shared" si="41"/>
        <v>0.9</v>
      </c>
      <c r="AC152" s="134">
        <f t="shared" si="41"/>
        <v>0.9</v>
      </c>
      <c r="AD152" s="134">
        <f t="shared" si="41"/>
        <v>0.9</v>
      </c>
      <c r="AE152" s="134">
        <f t="shared" si="41"/>
        <v>0.9</v>
      </c>
      <c r="AF152" s="134">
        <f t="shared" si="41"/>
        <v>0.9</v>
      </c>
      <c r="AG152" s="136">
        <v>4</v>
      </c>
      <c r="AH152" s="55"/>
      <c r="AI152" s="56"/>
      <c r="AK152" s="57"/>
    </row>
    <row r="153" spans="1:37" x14ac:dyDescent="0.25">
      <c r="A153" s="121" t="s">
        <v>157</v>
      </c>
      <c r="B153" s="133">
        <v>1.08</v>
      </c>
      <c r="C153" s="134">
        <f t="shared" si="40"/>
        <v>1.08</v>
      </c>
      <c r="D153" s="134">
        <f t="shared" si="40"/>
        <v>1.08</v>
      </c>
      <c r="E153" s="134">
        <f t="shared" si="40"/>
        <v>1.08</v>
      </c>
      <c r="F153" s="134">
        <f t="shared" si="40"/>
        <v>1.08</v>
      </c>
      <c r="G153" s="134">
        <f t="shared" si="40"/>
        <v>1.08</v>
      </c>
      <c r="H153" s="134">
        <f t="shared" si="40"/>
        <v>1.08</v>
      </c>
      <c r="I153" s="134">
        <f t="shared" si="40"/>
        <v>1.08</v>
      </c>
      <c r="J153" s="134">
        <f t="shared" si="40"/>
        <v>1.08</v>
      </c>
      <c r="K153" s="134">
        <f t="shared" si="40"/>
        <v>1.08</v>
      </c>
      <c r="L153" s="134">
        <f t="shared" si="40"/>
        <v>1.08</v>
      </c>
      <c r="M153" s="134">
        <f t="shared" si="40"/>
        <v>1.08</v>
      </c>
      <c r="N153" s="134">
        <f t="shared" si="40"/>
        <v>1.08</v>
      </c>
      <c r="O153" s="134">
        <f t="shared" si="40"/>
        <v>1.08</v>
      </c>
      <c r="P153" s="134">
        <f t="shared" si="40"/>
        <v>1.08</v>
      </c>
      <c r="Q153" s="134">
        <f t="shared" si="40"/>
        <v>1.08</v>
      </c>
      <c r="R153" s="134">
        <f t="shared" si="40"/>
        <v>1.08</v>
      </c>
      <c r="S153" s="134">
        <f t="shared" si="41"/>
        <v>1.08</v>
      </c>
      <c r="T153" s="134">
        <f t="shared" si="41"/>
        <v>1.08</v>
      </c>
      <c r="U153" s="134">
        <f t="shared" si="41"/>
        <v>1.08</v>
      </c>
      <c r="V153" s="134">
        <f t="shared" si="41"/>
        <v>1.08</v>
      </c>
      <c r="W153" s="134">
        <f t="shared" si="41"/>
        <v>1.08</v>
      </c>
      <c r="X153" s="134">
        <f t="shared" si="41"/>
        <v>1.08</v>
      </c>
      <c r="Y153" s="134">
        <f t="shared" si="41"/>
        <v>1.08</v>
      </c>
      <c r="Z153" s="134">
        <f t="shared" si="41"/>
        <v>1.08</v>
      </c>
      <c r="AA153" s="134">
        <f t="shared" si="41"/>
        <v>1.08</v>
      </c>
      <c r="AB153" s="134">
        <f t="shared" si="41"/>
        <v>1.08</v>
      </c>
      <c r="AC153" s="134">
        <f t="shared" si="41"/>
        <v>1.08</v>
      </c>
      <c r="AD153" s="134">
        <f t="shared" si="41"/>
        <v>1.08</v>
      </c>
      <c r="AE153" s="134">
        <f t="shared" si="41"/>
        <v>1.08</v>
      </c>
      <c r="AF153" s="134">
        <f t="shared" si="41"/>
        <v>1.08</v>
      </c>
      <c r="AG153" s="136">
        <v>3.75</v>
      </c>
      <c r="AH153" s="55"/>
      <c r="AI153" s="56"/>
      <c r="AK153" s="57"/>
    </row>
    <row r="154" spans="1:37" x14ac:dyDescent="0.25">
      <c r="A154" s="121" t="s">
        <v>158</v>
      </c>
      <c r="B154" s="133">
        <v>2.37</v>
      </c>
      <c r="C154" s="134">
        <f t="shared" si="40"/>
        <v>2.37</v>
      </c>
      <c r="D154" s="134">
        <f t="shared" si="40"/>
        <v>2.37</v>
      </c>
      <c r="E154" s="134">
        <f t="shared" si="40"/>
        <v>2.37</v>
      </c>
      <c r="F154" s="134">
        <f t="shared" si="40"/>
        <v>2.37</v>
      </c>
      <c r="G154" s="134">
        <f t="shared" si="40"/>
        <v>2.37</v>
      </c>
      <c r="H154" s="134">
        <f t="shared" si="40"/>
        <v>2.37</v>
      </c>
      <c r="I154" s="134">
        <f t="shared" si="40"/>
        <v>2.37</v>
      </c>
      <c r="J154" s="134">
        <f t="shared" si="40"/>
        <v>2.37</v>
      </c>
      <c r="K154" s="134">
        <f t="shared" si="40"/>
        <v>2.37</v>
      </c>
      <c r="L154" s="134">
        <f t="shared" si="40"/>
        <v>2.37</v>
      </c>
      <c r="M154" s="134">
        <f t="shared" si="40"/>
        <v>2.37</v>
      </c>
      <c r="N154" s="134">
        <f t="shared" si="40"/>
        <v>2.37</v>
      </c>
      <c r="O154" s="134">
        <f t="shared" si="40"/>
        <v>2.37</v>
      </c>
      <c r="P154" s="134">
        <f t="shared" si="40"/>
        <v>2.37</v>
      </c>
      <c r="Q154" s="134">
        <f t="shared" si="40"/>
        <v>2.37</v>
      </c>
      <c r="R154" s="134">
        <f t="shared" si="40"/>
        <v>2.37</v>
      </c>
      <c r="S154" s="134">
        <f t="shared" si="41"/>
        <v>2.37</v>
      </c>
      <c r="T154" s="134">
        <f t="shared" si="41"/>
        <v>2.37</v>
      </c>
      <c r="U154" s="134">
        <f t="shared" si="41"/>
        <v>2.37</v>
      </c>
      <c r="V154" s="134">
        <f t="shared" si="41"/>
        <v>2.37</v>
      </c>
      <c r="W154" s="134">
        <f t="shared" si="41"/>
        <v>2.37</v>
      </c>
      <c r="X154" s="134">
        <f t="shared" si="41"/>
        <v>2.37</v>
      </c>
      <c r="Y154" s="134">
        <f t="shared" si="41"/>
        <v>2.37</v>
      </c>
      <c r="Z154" s="134">
        <f t="shared" si="41"/>
        <v>2.37</v>
      </c>
      <c r="AA154" s="134">
        <f t="shared" si="41"/>
        <v>2.37</v>
      </c>
      <c r="AB154" s="134">
        <f t="shared" si="41"/>
        <v>2.37</v>
      </c>
      <c r="AC154" s="134">
        <f t="shared" si="41"/>
        <v>2.37</v>
      </c>
      <c r="AD154" s="134">
        <f t="shared" si="41"/>
        <v>2.37</v>
      </c>
      <c r="AE154" s="134">
        <f t="shared" si="41"/>
        <v>2.37</v>
      </c>
      <c r="AF154" s="134">
        <f t="shared" si="41"/>
        <v>2.37</v>
      </c>
      <c r="AG154" s="136">
        <v>3.52</v>
      </c>
      <c r="AH154" s="55"/>
      <c r="AI154" s="56"/>
      <c r="AK154" s="57"/>
    </row>
    <row r="155" spans="1:37" x14ac:dyDescent="0.25">
      <c r="A155" s="121" t="s">
        <v>159</v>
      </c>
      <c r="B155" s="133">
        <v>1.81</v>
      </c>
      <c r="C155" s="134">
        <f t="shared" si="40"/>
        <v>1.81</v>
      </c>
      <c r="D155" s="134">
        <f t="shared" si="40"/>
        <v>1.81</v>
      </c>
      <c r="E155" s="134">
        <f t="shared" si="40"/>
        <v>1.81</v>
      </c>
      <c r="F155" s="134">
        <f t="shared" si="40"/>
        <v>1.81</v>
      </c>
      <c r="G155" s="134">
        <f t="shared" si="40"/>
        <v>1.81</v>
      </c>
      <c r="H155" s="134">
        <f t="shared" si="40"/>
        <v>1.81</v>
      </c>
      <c r="I155" s="134">
        <f t="shared" si="40"/>
        <v>1.81</v>
      </c>
      <c r="J155" s="134">
        <f t="shared" si="40"/>
        <v>1.81</v>
      </c>
      <c r="K155" s="134">
        <f t="shared" si="40"/>
        <v>1.81</v>
      </c>
      <c r="L155" s="134">
        <f t="shared" si="40"/>
        <v>1.81</v>
      </c>
      <c r="M155" s="134">
        <f t="shared" si="40"/>
        <v>1.81</v>
      </c>
      <c r="N155" s="134">
        <f t="shared" si="40"/>
        <v>1.81</v>
      </c>
      <c r="O155" s="134">
        <f t="shared" si="40"/>
        <v>1.81</v>
      </c>
      <c r="P155" s="134">
        <f t="shared" si="40"/>
        <v>1.81</v>
      </c>
      <c r="Q155" s="134">
        <f t="shared" si="40"/>
        <v>1.81</v>
      </c>
      <c r="R155" s="134">
        <f t="shared" si="40"/>
        <v>1.81</v>
      </c>
      <c r="S155" s="134">
        <f t="shared" si="41"/>
        <v>1.81</v>
      </c>
      <c r="T155" s="134">
        <f t="shared" si="41"/>
        <v>1.81</v>
      </c>
      <c r="U155" s="134">
        <f t="shared" si="41"/>
        <v>1.81</v>
      </c>
      <c r="V155" s="134">
        <f t="shared" si="41"/>
        <v>1.81</v>
      </c>
      <c r="W155" s="134">
        <f t="shared" si="41"/>
        <v>1.81</v>
      </c>
      <c r="X155" s="134">
        <f t="shared" si="41"/>
        <v>1.81</v>
      </c>
      <c r="Y155" s="134">
        <f t="shared" si="41"/>
        <v>1.81</v>
      </c>
      <c r="Z155" s="134">
        <f t="shared" si="41"/>
        <v>1.81</v>
      </c>
      <c r="AA155" s="134">
        <f t="shared" si="41"/>
        <v>1.81</v>
      </c>
      <c r="AB155" s="134">
        <f t="shared" si="41"/>
        <v>1.81</v>
      </c>
      <c r="AC155" s="134">
        <f t="shared" si="41"/>
        <v>1.81</v>
      </c>
      <c r="AD155" s="134">
        <f t="shared" si="41"/>
        <v>1.81</v>
      </c>
      <c r="AE155" s="134">
        <f t="shared" si="41"/>
        <v>1.81</v>
      </c>
      <c r="AF155" s="134">
        <f t="shared" si="41"/>
        <v>1.81</v>
      </c>
      <c r="AG155" s="136">
        <v>3.33</v>
      </c>
      <c r="AH155" s="55"/>
      <c r="AI155" s="56"/>
      <c r="AK155" s="57"/>
    </row>
    <row r="156" spans="1:37" x14ac:dyDescent="0.25">
      <c r="A156" s="121" t="s">
        <v>160</v>
      </c>
      <c r="B156" s="133">
        <v>1.0900000000000001</v>
      </c>
      <c r="C156" s="134">
        <f t="shared" si="40"/>
        <v>1.0900000000000001</v>
      </c>
      <c r="D156" s="134">
        <f t="shared" si="40"/>
        <v>1.0900000000000001</v>
      </c>
      <c r="E156" s="134">
        <f t="shared" si="40"/>
        <v>1.0900000000000001</v>
      </c>
      <c r="F156" s="134">
        <f t="shared" si="40"/>
        <v>1.0900000000000001</v>
      </c>
      <c r="G156" s="134">
        <f t="shared" si="40"/>
        <v>1.0900000000000001</v>
      </c>
      <c r="H156" s="134">
        <f t="shared" si="40"/>
        <v>1.0900000000000001</v>
      </c>
      <c r="I156" s="134">
        <f t="shared" si="40"/>
        <v>1.0900000000000001</v>
      </c>
      <c r="J156" s="134">
        <f t="shared" si="40"/>
        <v>1.0900000000000001</v>
      </c>
      <c r="K156" s="134">
        <f t="shared" si="40"/>
        <v>1.0900000000000001</v>
      </c>
      <c r="L156" s="134">
        <f t="shared" si="40"/>
        <v>1.0900000000000001</v>
      </c>
      <c r="M156" s="134">
        <f t="shared" si="40"/>
        <v>1.0900000000000001</v>
      </c>
      <c r="N156" s="134">
        <f t="shared" si="40"/>
        <v>1.0900000000000001</v>
      </c>
      <c r="O156" s="134">
        <f t="shared" si="40"/>
        <v>1.0900000000000001</v>
      </c>
      <c r="P156" s="134">
        <f t="shared" si="40"/>
        <v>1.0900000000000001</v>
      </c>
      <c r="Q156" s="134">
        <f t="shared" si="40"/>
        <v>1.0900000000000001</v>
      </c>
      <c r="R156" s="134">
        <f t="shared" si="40"/>
        <v>1.0900000000000001</v>
      </c>
      <c r="S156" s="134">
        <f t="shared" si="41"/>
        <v>1.0900000000000001</v>
      </c>
      <c r="T156" s="134">
        <f t="shared" si="41"/>
        <v>1.0900000000000001</v>
      </c>
      <c r="U156" s="134">
        <f t="shared" si="41"/>
        <v>1.0900000000000001</v>
      </c>
      <c r="V156" s="134">
        <f t="shared" si="41"/>
        <v>1.0900000000000001</v>
      </c>
      <c r="W156" s="134">
        <f t="shared" si="41"/>
        <v>1.0900000000000001</v>
      </c>
      <c r="X156" s="134">
        <f t="shared" si="41"/>
        <v>1.0900000000000001</v>
      </c>
      <c r="Y156" s="134">
        <f t="shared" si="41"/>
        <v>1.0900000000000001</v>
      </c>
      <c r="Z156" s="134">
        <f t="shared" si="41"/>
        <v>1.0900000000000001</v>
      </c>
      <c r="AA156" s="134">
        <f t="shared" si="41"/>
        <v>1.0900000000000001</v>
      </c>
      <c r="AB156" s="134">
        <f t="shared" si="41"/>
        <v>1.0900000000000001</v>
      </c>
      <c r="AC156" s="134">
        <f t="shared" si="41"/>
        <v>1.0900000000000001</v>
      </c>
      <c r="AD156" s="134">
        <f t="shared" si="41"/>
        <v>1.0900000000000001</v>
      </c>
      <c r="AE156" s="134">
        <f t="shared" si="41"/>
        <v>1.0900000000000001</v>
      </c>
      <c r="AF156" s="134">
        <f t="shared" si="41"/>
        <v>1.0900000000000001</v>
      </c>
      <c r="AG156" s="136">
        <v>3.2</v>
      </c>
      <c r="AH156" s="55"/>
      <c r="AI156" s="56"/>
      <c r="AK156" s="57"/>
    </row>
    <row r="157" spans="1:37" x14ac:dyDescent="0.25">
      <c r="A157" s="121" t="s">
        <v>161</v>
      </c>
      <c r="B157" s="133">
        <v>1.58</v>
      </c>
      <c r="C157" s="134">
        <f t="shared" si="40"/>
        <v>1.58</v>
      </c>
      <c r="D157" s="134">
        <f t="shared" si="40"/>
        <v>1.58</v>
      </c>
      <c r="E157" s="134">
        <f t="shared" si="40"/>
        <v>1.58</v>
      </c>
      <c r="F157" s="134">
        <f t="shared" si="40"/>
        <v>1.58</v>
      </c>
      <c r="G157" s="134">
        <f t="shared" si="40"/>
        <v>1.58</v>
      </c>
      <c r="H157" s="134">
        <f t="shared" si="40"/>
        <v>1.58</v>
      </c>
      <c r="I157" s="134">
        <f t="shared" si="40"/>
        <v>1.58</v>
      </c>
      <c r="J157" s="134">
        <f t="shared" si="40"/>
        <v>1.58</v>
      </c>
      <c r="K157" s="134">
        <f t="shared" si="40"/>
        <v>1.58</v>
      </c>
      <c r="L157" s="134">
        <f t="shared" si="40"/>
        <v>1.58</v>
      </c>
      <c r="M157" s="134">
        <f t="shared" si="40"/>
        <v>1.58</v>
      </c>
      <c r="N157" s="134">
        <f t="shared" si="40"/>
        <v>1.58</v>
      </c>
      <c r="O157" s="134">
        <f t="shared" si="40"/>
        <v>1.58</v>
      </c>
      <c r="P157" s="134">
        <f t="shared" si="40"/>
        <v>1.58</v>
      </c>
      <c r="Q157" s="134">
        <f t="shared" si="40"/>
        <v>1.58</v>
      </c>
      <c r="R157" s="134">
        <f t="shared" si="40"/>
        <v>1.58</v>
      </c>
      <c r="S157" s="134">
        <f t="shared" si="41"/>
        <v>1.58</v>
      </c>
      <c r="T157" s="134">
        <f t="shared" si="41"/>
        <v>1.58</v>
      </c>
      <c r="U157" s="134">
        <f t="shared" si="41"/>
        <v>1.58</v>
      </c>
      <c r="V157" s="134">
        <f t="shared" si="41"/>
        <v>1.58</v>
      </c>
      <c r="W157" s="134">
        <f t="shared" si="41"/>
        <v>1.58</v>
      </c>
      <c r="X157" s="134">
        <f t="shared" si="41"/>
        <v>1.58</v>
      </c>
      <c r="Y157" s="134">
        <f t="shared" si="41"/>
        <v>1.58</v>
      </c>
      <c r="Z157" s="134">
        <f t="shared" si="41"/>
        <v>1.58</v>
      </c>
      <c r="AA157" s="134">
        <f t="shared" si="41"/>
        <v>1.58</v>
      </c>
      <c r="AB157" s="134">
        <f t="shared" si="41"/>
        <v>1.58</v>
      </c>
      <c r="AC157" s="134">
        <f t="shared" si="41"/>
        <v>1.58</v>
      </c>
      <c r="AD157" s="134">
        <f t="shared" si="41"/>
        <v>1.58</v>
      </c>
      <c r="AE157" s="134">
        <f t="shared" si="41"/>
        <v>1.58</v>
      </c>
      <c r="AF157" s="134">
        <f t="shared" si="41"/>
        <v>1.58</v>
      </c>
      <c r="AG157" s="136">
        <v>3</v>
      </c>
      <c r="AH157" s="55"/>
      <c r="AI157" s="56"/>
      <c r="AK157" s="57"/>
    </row>
    <row r="158" spans="1:37" x14ac:dyDescent="0.25">
      <c r="A158" s="121" t="s">
        <v>162</v>
      </c>
      <c r="B158" s="133">
        <v>2</v>
      </c>
      <c r="C158" s="134">
        <f t="shared" si="40"/>
        <v>2</v>
      </c>
      <c r="D158" s="134">
        <f t="shared" si="40"/>
        <v>2</v>
      </c>
      <c r="E158" s="134">
        <f t="shared" si="40"/>
        <v>2</v>
      </c>
      <c r="F158" s="134">
        <f t="shared" si="40"/>
        <v>2</v>
      </c>
      <c r="G158" s="134">
        <f t="shared" si="40"/>
        <v>2</v>
      </c>
      <c r="H158" s="134">
        <f t="shared" si="40"/>
        <v>2</v>
      </c>
      <c r="I158" s="134">
        <f t="shared" si="40"/>
        <v>2</v>
      </c>
      <c r="J158" s="134">
        <f t="shared" si="40"/>
        <v>2</v>
      </c>
      <c r="K158" s="134">
        <f t="shared" si="40"/>
        <v>2</v>
      </c>
      <c r="L158" s="134">
        <f t="shared" si="40"/>
        <v>2</v>
      </c>
      <c r="M158" s="134">
        <f t="shared" si="40"/>
        <v>2</v>
      </c>
      <c r="N158" s="134">
        <f t="shared" si="40"/>
        <v>2</v>
      </c>
      <c r="O158" s="134">
        <f t="shared" si="40"/>
        <v>2</v>
      </c>
      <c r="P158" s="134">
        <f t="shared" si="40"/>
        <v>2</v>
      </c>
      <c r="Q158" s="134">
        <f t="shared" si="40"/>
        <v>2</v>
      </c>
      <c r="R158" s="134">
        <f t="shared" si="40"/>
        <v>2</v>
      </c>
      <c r="S158" s="134">
        <f t="shared" si="41"/>
        <v>2</v>
      </c>
      <c r="T158" s="134">
        <f t="shared" si="41"/>
        <v>2</v>
      </c>
      <c r="U158" s="134">
        <f t="shared" si="41"/>
        <v>2</v>
      </c>
      <c r="V158" s="134">
        <f t="shared" si="41"/>
        <v>2</v>
      </c>
      <c r="W158" s="134">
        <f t="shared" si="41"/>
        <v>2</v>
      </c>
      <c r="X158" s="134">
        <f t="shared" si="41"/>
        <v>2</v>
      </c>
      <c r="Y158" s="134">
        <f t="shared" si="41"/>
        <v>2</v>
      </c>
      <c r="Z158" s="134">
        <f t="shared" si="41"/>
        <v>2</v>
      </c>
      <c r="AA158" s="134">
        <f t="shared" si="41"/>
        <v>2</v>
      </c>
      <c r="AB158" s="134">
        <f t="shared" si="41"/>
        <v>2</v>
      </c>
      <c r="AC158" s="134">
        <f t="shared" si="41"/>
        <v>2</v>
      </c>
      <c r="AD158" s="134">
        <f t="shared" si="41"/>
        <v>2</v>
      </c>
      <c r="AE158" s="134">
        <f t="shared" si="41"/>
        <v>2</v>
      </c>
      <c r="AF158" s="134">
        <f t="shared" si="41"/>
        <v>2</v>
      </c>
      <c r="AG158" s="136">
        <v>3</v>
      </c>
      <c r="AH158" s="55"/>
      <c r="AI158" s="56"/>
      <c r="AK158" s="57"/>
    </row>
    <row r="159" spans="1:37" x14ac:dyDescent="0.25">
      <c r="A159" s="121" t="s">
        <v>163</v>
      </c>
      <c r="B159" s="133">
        <v>0.47</v>
      </c>
      <c r="C159" s="134">
        <f t="shared" si="40"/>
        <v>0.47</v>
      </c>
      <c r="D159" s="134">
        <f t="shared" si="40"/>
        <v>0.47</v>
      </c>
      <c r="E159" s="134">
        <f t="shared" si="40"/>
        <v>0.47</v>
      </c>
      <c r="F159" s="134">
        <f t="shared" si="40"/>
        <v>0.47</v>
      </c>
      <c r="G159" s="134">
        <f t="shared" si="40"/>
        <v>0.47</v>
      </c>
      <c r="H159" s="134">
        <f t="shared" si="40"/>
        <v>0.47</v>
      </c>
      <c r="I159" s="134">
        <f t="shared" si="40"/>
        <v>0.47</v>
      </c>
      <c r="J159" s="134">
        <f t="shared" si="40"/>
        <v>0.47</v>
      </c>
      <c r="K159" s="134">
        <f t="shared" si="40"/>
        <v>0.47</v>
      </c>
      <c r="L159" s="134">
        <f t="shared" si="40"/>
        <v>0.47</v>
      </c>
      <c r="M159" s="134">
        <f t="shared" si="40"/>
        <v>0.47</v>
      </c>
      <c r="N159" s="134">
        <f t="shared" si="40"/>
        <v>0.47</v>
      </c>
      <c r="O159" s="134">
        <f t="shared" si="40"/>
        <v>0.47</v>
      </c>
      <c r="P159" s="134">
        <f t="shared" si="40"/>
        <v>0.47</v>
      </c>
      <c r="Q159" s="134">
        <f t="shared" si="40"/>
        <v>0.47</v>
      </c>
      <c r="R159" s="134">
        <f t="shared" si="40"/>
        <v>0.47</v>
      </c>
      <c r="S159" s="134">
        <f t="shared" si="41"/>
        <v>0.47</v>
      </c>
      <c r="T159" s="134">
        <f t="shared" si="41"/>
        <v>0.47</v>
      </c>
      <c r="U159" s="134">
        <f t="shared" si="41"/>
        <v>0.47</v>
      </c>
      <c r="V159" s="134">
        <f t="shared" si="41"/>
        <v>0.47</v>
      </c>
      <c r="W159" s="134">
        <f t="shared" si="41"/>
        <v>0.47</v>
      </c>
      <c r="X159" s="134">
        <f t="shared" si="41"/>
        <v>0.47</v>
      </c>
      <c r="Y159" s="134">
        <f t="shared" si="41"/>
        <v>0.47</v>
      </c>
      <c r="Z159" s="134">
        <f t="shared" si="41"/>
        <v>0.47</v>
      </c>
      <c r="AA159" s="134">
        <f t="shared" si="41"/>
        <v>0.47</v>
      </c>
      <c r="AB159" s="134">
        <f t="shared" si="41"/>
        <v>0.47</v>
      </c>
      <c r="AC159" s="134">
        <f t="shared" si="41"/>
        <v>0.47</v>
      </c>
      <c r="AD159" s="134">
        <f t="shared" si="41"/>
        <v>0.47</v>
      </c>
      <c r="AE159" s="134">
        <f t="shared" si="41"/>
        <v>0.47</v>
      </c>
      <c r="AF159" s="134">
        <f t="shared" si="41"/>
        <v>0.47</v>
      </c>
      <c r="AG159" s="136">
        <v>3</v>
      </c>
      <c r="AH159" s="55"/>
      <c r="AI159" s="56"/>
      <c r="AK159" s="57"/>
    </row>
    <row r="160" spans="1:37" x14ac:dyDescent="0.25">
      <c r="A160" s="121" t="s">
        <v>164</v>
      </c>
      <c r="B160" s="133">
        <v>0</v>
      </c>
      <c r="C160" s="134">
        <f t="shared" si="40"/>
        <v>0</v>
      </c>
      <c r="D160" s="134">
        <f t="shared" si="40"/>
        <v>0</v>
      </c>
      <c r="E160" s="134">
        <f t="shared" si="40"/>
        <v>0</v>
      </c>
      <c r="F160" s="134">
        <f t="shared" si="40"/>
        <v>0</v>
      </c>
      <c r="G160" s="134">
        <f t="shared" si="40"/>
        <v>0</v>
      </c>
      <c r="H160" s="134">
        <f t="shared" si="40"/>
        <v>0</v>
      </c>
      <c r="I160" s="134">
        <f t="shared" si="40"/>
        <v>0</v>
      </c>
      <c r="J160" s="134">
        <f t="shared" si="40"/>
        <v>0</v>
      </c>
      <c r="K160" s="134">
        <f t="shared" si="40"/>
        <v>0</v>
      </c>
      <c r="L160" s="134">
        <f t="shared" si="40"/>
        <v>0</v>
      </c>
      <c r="M160" s="134">
        <f t="shared" si="40"/>
        <v>0</v>
      </c>
      <c r="N160" s="134">
        <f t="shared" si="40"/>
        <v>0</v>
      </c>
      <c r="O160" s="134">
        <f t="shared" si="40"/>
        <v>0</v>
      </c>
      <c r="P160" s="134">
        <f t="shared" si="40"/>
        <v>0</v>
      </c>
      <c r="Q160" s="134">
        <f t="shared" si="40"/>
        <v>0</v>
      </c>
      <c r="R160" s="134">
        <f t="shared" si="40"/>
        <v>0</v>
      </c>
      <c r="S160" s="134">
        <f t="shared" si="41"/>
        <v>0</v>
      </c>
      <c r="T160" s="134">
        <f t="shared" si="41"/>
        <v>0</v>
      </c>
      <c r="U160" s="134">
        <f t="shared" si="41"/>
        <v>0</v>
      </c>
      <c r="V160" s="134">
        <f t="shared" si="41"/>
        <v>0</v>
      </c>
      <c r="W160" s="134">
        <f t="shared" si="41"/>
        <v>0</v>
      </c>
      <c r="X160" s="134">
        <f t="shared" si="41"/>
        <v>0</v>
      </c>
      <c r="Y160" s="134">
        <f t="shared" si="41"/>
        <v>0</v>
      </c>
      <c r="Z160" s="134">
        <f t="shared" si="41"/>
        <v>0</v>
      </c>
      <c r="AA160" s="134">
        <f t="shared" si="41"/>
        <v>0</v>
      </c>
      <c r="AB160" s="134">
        <f t="shared" si="41"/>
        <v>0</v>
      </c>
      <c r="AC160" s="134">
        <f t="shared" si="41"/>
        <v>0</v>
      </c>
      <c r="AD160" s="134">
        <f t="shared" si="41"/>
        <v>0</v>
      </c>
      <c r="AE160" s="134">
        <f t="shared" si="41"/>
        <v>0</v>
      </c>
      <c r="AF160" s="134">
        <f t="shared" si="41"/>
        <v>0</v>
      </c>
      <c r="AG160" s="136">
        <v>3</v>
      </c>
      <c r="AH160" s="55"/>
      <c r="AI160" s="56"/>
      <c r="AK160" s="57"/>
    </row>
    <row r="161" spans="1:37" x14ac:dyDescent="0.25">
      <c r="A161" s="121" t="s">
        <v>165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1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166</v>
      </c>
      <c r="B162" s="133">
        <v>0.8</v>
      </c>
      <c r="C162" s="134">
        <f t="shared" si="40"/>
        <v>0.8</v>
      </c>
      <c r="D162" s="134">
        <f t="shared" si="40"/>
        <v>0.8</v>
      </c>
      <c r="E162" s="134">
        <f t="shared" si="40"/>
        <v>0.8</v>
      </c>
      <c r="F162" s="134">
        <f t="shared" si="40"/>
        <v>0.8</v>
      </c>
      <c r="G162" s="134">
        <f t="shared" si="40"/>
        <v>0.8</v>
      </c>
      <c r="H162" s="134">
        <f t="shared" si="40"/>
        <v>0.8</v>
      </c>
      <c r="I162" s="134">
        <f t="shared" si="40"/>
        <v>0.8</v>
      </c>
      <c r="J162" s="134">
        <f t="shared" si="40"/>
        <v>0.8</v>
      </c>
      <c r="K162" s="134">
        <f t="shared" si="40"/>
        <v>0.8</v>
      </c>
      <c r="L162" s="134">
        <f t="shared" si="40"/>
        <v>0.8</v>
      </c>
      <c r="M162" s="134">
        <f t="shared" si="40"/>
        <v>0.8</v>
      </c>
      <c r="N162" s="134">
        <f t="shared" si="40"/>
        <v>0.8</v>
      </c>
      <c r="O162" s="134">
        <f t="shared" si="40"/>
        <v>0.8</v>
      </c>
      <c r="P162" s="134">
        <f t="shared" si="40"/>
        <v>0.8</v>
      </c>
      <c r="Q162" s="134">
        <f t="shared" si="40"/>
        <v>0.8</v>
      </c>
      <c r="R162" s="134">
        <f t="shared" si="41"/>
        <v>0.8</v>
      </c>
      <c r="S162" s="134">
        <f t="shared" si="41"/>
        <v>0.8</v>
      </c>
      <c r="T162" s="134">
        <f t="shared" si="41"/>
        <v>0.8</v>
      </c>
      <c r="U162" s="134">
        <f t="shared" si="41"/>
        <v>0.8</v>
      </c>
      <c r="V162" s="134">
        <f t="shared" si="41"/>
        <v>0.8</v>
      </c>
      <c r="W162" s="134">
        <f t="shared" si="41"/>
        <v>0.8</v>
      </c>
      <c r="X162" s="134">
        <f t="shared" si="41"/>
        <v>0.8</v>
      </c>
      <c r="Y162" s="134">
        <f t="shared" si="41"/>
        <v>0.8</v>
      </c>
      <c r="Z162" s="134">
        <f t="shared" si="41"/>
        <v>0.8</v>
      </c>
      <c r="AA162" s="134">
        <f t="shared" si="41"/>
        <v>0.8</v>
      </c>
      <c r="AB162" s="134">
        <f t="shared" si="41"/>
        <v>0.8</v>
      </c>
      <c r="AC162" s="134">
        <f t="shared" si="41"/>
        <v>0.8</v>
      </c>
      <c r="AD162" s="134">
        <f t="shared" si="41"/>
        <v>0.8</v>
      </c>
      <c r="AE162" s="134">
        <f t="shared" si="41"/>
        <v>0.8</v>
      </c>
      <c r="AF162" s="134">
        <f t="shared" si="41"/>
        <v>0.8</v>
      </c>
      <c r="AG162" s="136">
        <v>3</v>
      </c>
      <c r="AH162" s="55"/>
      <c r="AI162" s="56"/>
      <c r="AK162" s="57"/>
    </row>
    <row r="163" spans="1:37" x14ac:dyDescent="0.25">
      <c r="A163" s="121" t="s">
        <v>167</v>
      </c>
      <c r="B163" s="133">
        <v>1.5</v>
      </c>
      <c r="C163" s="134">
        <f t="shared" si="40"/>
        <v>1.5</v>
      </c>
      <c r="D163" s="134">
        <f t="shared" si="40"/>
        <v>1.5</v>
      </c>
      <c r="E163" s="134">
        <f t="shared" si="40"/>
        <v>1.5</v>
      </c>
      <c r="F163" s="134">
        <f t="shared" si="40"/>
        <v>1.5</v>
      </c>
      <c r="G163" s="134">
        <f t="shared" si="40"/>
        <v>1.5</v>
      </c>
      <c r="H163" s="134">
        <f t="shared" si="40"/>
        <v>1.5</v>
      </c>
      <c r="I163" s="134">
        <f t="shared" si="40"/>
        <v>1.5</v>
      </c>
      <c r="J163" s="134">
        <f t="shared" si="40"/>
        <v>1.5</v>
      </c>
      <c r="K163" s="134">
        <f t="shared" si="40"/>
        <v>1.5</v>
      </c>
      <c r="L163" s="134">
        <f t="shared" si="40"/>
        <v>1.5</v>
      </c>
      <c r="M163" s="134">
        <f t="shared" si="40"/>
        <v>1.5</v>
      </c>
      <c r="N163" s="134">
        <f t="shared" si="40"/>
        <v>1.5</v>
      </c>
      <c r="O163" s="134">
        <f t="shared" si="40"/>
        <v>1.5</v>
      </c>
      <c r="P163" s="134">
        <f t="shared" si="40"/>
        <v>1.5</v>
      </c>
      <c r="Q163" s="134">
        <f t="shared" si="40"/>
        <v>1.5</v>
      </c>
      <c r="R163" s="134">
        <f t="shared" si="41"/>
        <v>1.5</v>
      </c>
      <c r="S163" s="134">
        <f t="shared" si="41"/>
        <v>1.5</v>
      </c>
      <c r="T163" s="134">
        <f t="shared" si="41"/>
        <v>1.5</v>
      </c>
      <c r="U163" s="134">
        <f t="shared" si="41"/>
        <v>1.5</v>
      </c>
      <c r="V163" s="134">
        <f t="shared" si="41"/>
        <v>1.5</v>
      </c>
      <c r="W163" s="134">
        <f t="shared" si="41"/>
        <v>1.5</v>
      </c>
      <c r="X163" s="134">
        <f t="shared" si="41"/>
        <v>1.5</v>
      </c>
      <c r="Y163" s="134">
        <f t="shared" si="41"/>
        <v>1.5</v>
      </c>
      <c r="Z163" s="134">
        <f t="shared" si="41"/>
        <v>1.5</v>
      </c>
      <c r="AA163" s="134">
        <f t="shared" si="41"/>
        <v>1.5</v>
      </c>
      <c r="AB163" s="134">
        <f t="shared" si="41"/>
        <v>1.5</v>
      </c>
      <c r="AC163" s="134">
        <f t="shared" si="41"/>
        <v>1.5</v>
      </c>
      <c r="AD163" s="134">
        <f t="shared" si="41"/>
        <v>1.5</v>
      </c>
      <c r="AE163" s="134">
        <f t="shared" si="41"/>
        <v>1.5</v>
      </c>
      <c r="AF163" s="134">
        <f t="shared" si="41"/>
        <v>1.5</v>
      </c>
      <c r="AG163" s="136">
        <v>3</v>
      </c>
      <c r="AH163" s="55"/>
      <c r="AI163" s="56"/>
      <c r="AK163" s="57"/>
    </row>
    <row r="164" spans="1:37" x14ac:dyDescent="0.25">
      <c r="A164" s="121" t="s">
        <v>168</v>
      </c>
      <c r="B164" s="133">
        <v>1</v>
      </c>
      <c r="C164" s="134">
        <f t="shared" si="40"/>
        <v>1</v>
      </c>
      <c r="D164" s="134">
        <f t="shared" si="40"/>
        <v>1</v>
      </c>
      <c r="E164" s="134">
        <f t="shared" si="40"/>
        <v>1</v>
      </c>
      <c r="F164" s="134">
        <f t="shared" si="40"/>
        <v>1</v>
      </c>
      <c r="G164" s="134">
        <f t="shared" si="40"/>
        <v>1</v>
      </c>
      <c r="H164" s="134">
        <f t="shared" si="40"/>
        <v>1</v>
      </c>
      <c r="I164" s="134">
        <f t="shared" si="40"/>
        <v>1</v>
      </c>
      <c r="J164" s="134">
        <f t="shared" si="40"/>
        <v>1</v>
      </c>
      <c r="K164" s="134">
        <f t="shared" si="40"/>
        <v>1</v>
      </c>
      <c r="L164" s="134">
        <f t="shared" si="40"/>
        <v>1</v>
      </c>
      <c r="M164" s="134">
        <f t="shared" si="40"/>
        <v>1</v>
      </c>
      <c r="N164" s="134">
        <f t="shared" si="40"/>
        <v>1</v>
      </c>
      <c r="O164" s="134">
        <f t="shared" si="40"/>
        <v>1</v>
      </c>
      <c r="P164" s="134">
        <f t="shared" si="40"/>
        <v>1</v>
      </c>
      <c r="Q164" s="134">
        <f t="shared" si="40"/>
        <v>1</v>
      </c>
      <c r="R164" s="134">
        <f t="shared" si="41"/>
        <v>1</v>
      </c>
      <c r="S164" s="134">
        <f t="shared" si="41"/>
        <v>1</v>
      </c>
      <c r="T164" s="134">
        <f t="shared" si="41"/>
        <v>1</v>
      </c>
      <c r="U164" s="134">
        <f t="shared" si="41"/>
        <v>1</v>
      </c>
      <c r="V164" s="134">
        <f t="shared" si="41"/>
        <v>1</v>
      </c>
      <c r="W164" s="134">
        <f t="shared" si="41"/>
        <v>1</v>
      </c>
      <c r="X164" s="134">
        <f t="shared" si="41"/>
        <v>1</v>
      </c>
      <c r="Y164" s="134">
        <f t="shared" si="41"/>
        <v>1</v>
      </c>
      <c r="Z164" s="134">
        <f t="shared" si="41"/>
        <v>1</v>
      </c>
      <c r="AA164" s="134">
        <f t="shared" si="41"/>
        <v>1</v>
      </c>
      <c r="AB164" s="134">
        <f t="shared" si="41"/>
        <v>1</v>
      </c>
      <c r="AC164" s="134">
        <f t="shared" si="41"/>
        <v>1</v>
      </c>
      <c r="AD164" s="134">
        <f t="shared" si="41"/>
        <v>1</v>
      </c>
      <c r="AE164" s="134">
        <f t="shared" si="41"/>
        <v>1</v>
      </c>
      <c r="AF164" s="134">
        <f t="shared" si="41"/>
        <v>1</v>
      </c>
      <c r="AG164" s="136">
        <v>3</v>
      </c>
      <c r="AH164" s="55"/>
      <c r="AI164" s="56"/>
      <c r="AK164" s="57"/>
    </row>
    <row r="165" spans="1:37" x14ac:dyDescent="0.25">
      <c r="A165" s="121" t="s">
        <v>169</v>
      </c>
      <c r="B165" s="133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6">
        <v>2.83</v>
      </c>
      <c r="AH165" s="55"/>
      <c r="AI165" s="56"/>
      <c r="AK165" s="57"/>
    </row>
    <row r="166" spans="1:37" x14ac:dyDescent="0.25">
      <c r="A166" s="121" t="s">
        <v>170</v>
      </c>
      <c r="B166" s="133">
        <v>1</v>
      </c>
      <c r="C166" s="134">
        <f t="shared" ref="C166:R173" si="42">B166</f>
        <v>1</v>
      </c>
      <c r="D166" s="134">
        <f t="shared" si="42"/>
        <v>1</v>
      </c>
      <c r="E166" s="134">
        <f t="shared" si="42"/>
        <v>1</v>
      </c>
      <c r="F166" s="134">
        <f t="shared" si="42"/>
        <v>1</v>
      </c>
      <c r="G166" s="134">
        <f t="shared" si="42"/>
        <v>1</v>
      </c>
      <c r="H166" s="134">
        <f t="shared" si="42"/>
        <v>1</v>
      </c>
      <c r="I166" s="134">
        <f t="shared" si="42"/>
        <v>1</v>
      </c>
      <c r="J166" s="134">
        <f t="shared" si="42"/>
        <v>1</v>
      </c>
      <c r="K166" s="134">
        <f t="shared" si="42"/>
        <v>1</v>
      </c>
      <c r="L166" s="134">
        <f t="shared" si="42"/>
        <v>1</v>
      </c>
      <c r="M166" s="134">
        <f t="shared" si="42"/>
        <v>1</v>
      </c>
      <c r="N166" s="134">
        <f t="shared" si="42"/>
        <v>1</v>
      </c>
      <c r="O166" s="134">
        <f t="shared" si="42"/>
        <v>1</v>
      </c>
      <c r="P166" s="134">
        <f t="shared" si="42"/>
        <v>1</v>
      </c>
      <c r="Q166" s="134">
        <f t="shared" si="42"/>
        <v>1</v>
      </c>
      <c r="R166" s="134">
        <f t="shared" si="42"/>
        <v>1</v>
      </c>
      <c r="S166" s="134">
        <f t="shared" ref="R166:AF173" si="43">R166</f>
        <v>1</v>
      </c>
      <c r="T166" s="134">
        <f t="shared" si="43"/>
        <v>1</v>
      </c>
      <c r="U166" s="134">
        <f t="shared" si="43"/>
        <v>1</v>
      </c>
      <c r="V166" s="134">
        <f t="shared" si="43"/>
        <v>1</v>
      </c>
      <c r="W166" s="134">
        <f t="shared" si="43"/>
        <v>1</v>
      </c>
      <c r="X166" s="134">
        <f t="shared" si="43"/>
        <v>1</v>
      </c>
      <c r="Y166" s="134">
        <f t="shared" si="43"/>
        <v>1</v>
      </c>
      <c r="Z166" s="134">
        <f t="shared" si="43"/>
        <v>1</v>
      </c>
      <c r="AA166" s="134">
        <f t="shared" si="43"/>
        <v>1</v>
      </c>
      <c r="AB166" s="134">
        <f t="shared" si="43"/>
        <v>1</v>
      </c>
      <c r="AC166" s="134">
        <f t="shared" si="43"/>
        <v>1</v>
      </c>
      <c r="AD166" s="134">
        <f t="shared" si="43"/>
        <v>1</v>
      </c>
      <c r="AE166" s="134">
        <f t="shared" si="43"/>
        <v>1</v>
      </c>
      <c r="AF166" s="134">
        <f t="shared" si="43"/>
        <v>1</v>
      </c>
      <c r="AG166" s="136">
        <v>2.5</v>
      </c>
      <c r="AH166" s="55"/>
      <c r="AI166" s="56"/>
      <c r="AK166" s="57"/>
    </row>
    <row r="167" spans="1:37" x14ac:dyDescent="0.25">
      <c r="A167" s="121" t="s">
        <v>171</v>
      </c>
      <c r="B167" s="133">
        <v>0.42</v>
      </c>
      <c r="C167" s="134">
        <f t="shared" si="42"/>
        <v>0.42</v>
      </c>
      <c r="D167" s="134">
        <f t="shared" si="42"/>
        <v>0.42</v>
      </c>
      <c r="E167" s="134">
        <f t="shared" si="42"/>
        <v>0.42</v>
      </c>
      <c r="F167" s="134">
        <f t="shared" si="42"/>
        <v>0.42</v>
      </c>
      <c r="G167" s="134">
        <f t="shared" si="42"/>
        <v>0.42</v>
      </c>
      <c r="H167" s="134">
        <f t="shared" si="42"/>
        <v>0.42</v>
      </c>
      <c r="I167" s="134">
        <f t="shared" si="42"/>
        <v>0.42</v>
      </c>
      <c r="J167" s="134">
        <f t="shared" si="42"/>
        <v>0.42</v>
      </c>
      <c r="K167" s="134">
        <f t="shared" si="42"/>
        <v>0.42</v>
      </c>
      <c r="L167" s="134">
        <f t="shared" si="42"/>
        <v>0.42</v>
      </c>
      <c r="M167" s="134">
        <f t="shared" si="42"/>
        <v>0.42</v>
      </c>
      <c r="N167" s="134">
        <f t="shared" si="42"/>
        <v>0.42</v>
      </c>
      <c r="O167" s="134">
        <f t="shared" si="42"/>
        <v>0.42</v>
      </c>
      <c r="P167" s="134">
        <f t="shared" si="42"/>
        <v>0.42</v>
      </c>
      <c r="Q167" s="134">
        <f t="shared" si="42"/>
        <v>0.42</v>
      </c>
      <c r="R167" s="134">
        <f t="shared" si="43"/>
        <v>0.42</v>
      </c>
      <c r="S167" s="134">
        <f t="shared" si="43"/>
        <v>0.42</v>
      </c>
      <c r="T167" s="134">
        <f t="shared" si="43"/>
        <v>0.42</v>
      </c>
      <c r="U167" s="134">
        <f t="shared" si="43"/>
        <v>0.42</v>
      </c>
      <c r="V167" s="134">
        <f t="shared" si="43"/>
        <v>0.42</v>
      </c>
      <c r="W167" s="134">
        <f t="shared" si="43"/>
        <v>0.42</v>
      </c>
      <c r="X167" s="134">
        <f t="shared" si="43"/>
        <v>0.42</v>
      </c>
      <c r="Y167" s="134">
        <f t="shared" si="43"/>
        <v>0.42</v>
      </c>
      <c r="Z167" s="134">
        <f t="shared" si="43"/>
        <v>0.42</v>
      </c>
      <c r="AA167" s="134">
        <f t="shared" si="43"/>
        <v>0.42</v>
      </c>
      <c r="AB167" s="134">
        <f t="shared" si="43"/>
        <v>0.42</v>
      </c>
      <c r="AC167" s="134">
        <f t="shared" si="43"/>
        <v>0.42</v>
      </c>
      <c r="AD167" s="134">
        <f t="shared" si="43"/>
        <v>0.42</v>
      </c>
      <c r="AE167" s="134">
        <f t="shared" si="43"/>
        <v>0.42</v>
      </c>
      <c r="AF167" s="134">
        <f t="shared" si="43"/>
        <v>0.42</v>
      </c>
      <c r="AG167" s="136">
        <v>2.5</v>
      </c>
      <c r="AH167" s="55"/>
      <c r="AI167" s="56"/>
      <c r="AK167" s="57"/>
    </row>
    <row r="168" spans="1:37" x14ac:dyDescent="0.25">
      <c r="A168" s="121" t="s">
        <v>172</v>
      </c>
      <c r="B168" s="133">
        <v>0.46</v>
      </c>
      <c r="C168" s="134">
        <f t="shared" si="42"/>
        <v>0.46</v>
      </c>
      <c r="D168" s="134">
        <f t="shared" si="42"/>
        <v>0.46</v>
      </c>
      <c r="E168" s="134">
        <f t="shared" si="42"/>
        <v>0.46</v>
      </c>
      <c r="F168" s="134">
        <f t="shared" si="42"/>
        <v>0.46</v>
      </c>
      <c r="G168" s="134">
        <f t="shared" si="42"/>
        <v>0.46</v>
      </c>
      <c r="H168" s="134">
        <f t="shared" si="42"/>
        <v>0.46</v>
      </c>
      <c r="I168" s="134">
        <f t="shared" si="42"/>
        <v>0.46</v>
      </c>
      <c r="J168" s="134">
        <f t="shared" si="42"/>
        <v>0.46</v>
      </c>
      <c r="K168" s="134">
        <f t="shared" si="42"/>
        <v>0.46</v>
      </c>
      <c r="L168" s="134">
        <f t="shared" si="42"/>
        <v>0.46</v>
      </c>
      <c r="M168" s="134">
        <f t="shared" si="42"/>
        <v>0.46</v>
      </c>
      <c r="N168" s="134">
        <f t="shared" si="42"/>
        <v>0.46</v>
      </c>
      <c r="O168" s="134">
        <f t="shared" si="42"/>
        <v>0.46</v>
      </c>
      <c r="P168" s="134">
        <f t="shared" si="42"/>
        <v>0.46</v>
      </c>
      <c r="Q168" s="134">
        <f t="shared" si="42"/>
        <v>0.46</v>
      </c>
      <c r="R168" s="134">
        <f t="shared" si="43"/>
        <v>0.46</v>
      </c>
      <c r="S168" s="134">
        <f t="shared" si="43"/>
        <v>0.46</v>
      </c>
      <c r="T168" s="134">
        <f t="shared" si="43"/>
        <v>0.46</v>
      </c>
      <c r="U168" s="134">
        <f t="shared" si="43"/>
        <v>0.46</v>
      </c>
      <c r="V168" s="134">
        <f t="shared" si="43"/>
        <v>0.46</v>
      </c>
      <c r="W168" s="134">
        <f t="shared" si="43"/>
        <v>0.46</v>
      </c>
      <c r="X168" s="134">
        <f t="shared" si="43"/>
        <v>0.46</v>
      </c>
      <c r="Y168" s="134">
        <f t="shared" si="43"/>
        <v>0.46</v>
      </c>
      <c r="Z168" s="134">
        <f t="shared" si="43"/>
        <v>0.46</v>
      </c>
      <c r="AA168" s="134">
        <f t="shared" si="43"/>
        <v>0.46</v>
      </c>
      <c r="AB168" s="134">
        <f t="shared" si="43"/>
        <v>0.46</v>
      </c>
      <c r="AC168" s="134">
        <f t="shared" si="43"/>
        <v>0.46</v>
      </c>
      <c r="AD168" s="134">
        <f t="shared" si="43"/>
        <v>0.46</v>
      </c>
      <c r="AE168" s="134">
        <f t="shared" si="43"/>
        <v>0.46</v>
      </c>
      <c r="AF168" s="134">
        <f t="shared" si="43"/>
        <v>0.46</v>
      </c>
      <c r="AG168" s="136">
        <v>2.4</v>
      </c>
      <c r="AH168" s="55"/>
      <c r="AI168" s="56"/>
      <c r="AK168" s="57"/>
    </row>
    <row r="169" spans="1:37" x14ac:dyDescent="0.25">
      <c r="A169" s="121" t="s">
        <v>173</v>
      </c>
      <c r="B169" s="133">
        <v>0.85</v>
      </c>
      <c r="C169" s="134">
        <f t="shared" si="42"/>
        <v>0.85</v>
      </c>
      <c r="D169" s="134">
        <f t="shared" si="42"/>
        <v>0.85</v>
      </c>
      <c r="E169" s="134">
        <f t="shared" si="42"/>
        <v>0.85</v>
      </c>
      <c r="F169" s="134">
        <f t="shared" si="42"/>
        <v>0.85</v>
      </c>
      <c r="G169" s="134">
        <f t="shared" si="42"/>
        <v>0.85</v>
      </c>
      <c r="H169" s="134">
        <f t="shared" si="42"/>
        <v>0.85</v>
      </c>
      <c r="I169" s="134">
        <f t="shared" si="42"/>
        <v>0.85</v>
      </c>
      <c r="J169" s="134">
        <f t="shared" si="42"/>
        <v>0.85</v>
      </c>
      <c r="K169" s="134">
        <f t="shared" si="42"/>
        <v>0.85</v>
      </c>
      <c r="L169" s="134">
        <f t="shared" si="42"/>
        <v>0.85</v>
      </c>
      <c r="M169" s="134">
        <f t="shared" si="42"/>
        <v>0.85</v>
      </c>
      <c r="N169" s="134">
        <f t="shared" si="42"/>
        <v>0.85</v>
      </c>
      <c r="O169" s="134">
        <f t="shared" si="42"/>
        <v>0.85</v>
      </c>
      <c r="P169" s="134">
        <f t="shared" si="42"/>
        <v>0.85</v>
      </c>
      <c r="Q169" s="134">
        <f t="shared" si="42"/>
        <v>0.85</v>
      </c>
      <c r="R169" s="134">
        <f t="shared" si="43"/>
        <v>0.85</v>
      </c>
      <c r="S169" s="134">
        <f t="shared" si="43"/>
        <v>0.85</v>
      </c>
      <c r="T169" s="134">
        <f t="shared" si="43"/>
        <v>0.85</v>
      </c>
      <c r="U169" s="134">
        <f t="shared" si="43"/>
        <v>0.85</v>
      </c>
      <c r="V169" s="134">
        <f t="shared" si="43"/>
        <v>0.85</v>
      </c>
      <c r="W169" s="134">
        <f t="shared" si="43"/>
        <v>0.85</v>
      </c>
      <c r="X169" s="134">
        <f t="shared" si="43"/>
        <v>0.85</v>
      </c>
      <c r="Y169" s="134">
        <f t="shared" si="43"/>
        <v>0.85</v>
      </c>
      <c r="Z169" s="134">
        <f t="shared" si="43"/>
        <v>0.85</v>
      </c>
      <c r="AA169" s="134">
        <f t="shared" si="43"/>
        <v>0.85</v>
      </c>
      <c r="AB169" s="134">
        <f t="shared" si="43"/>
        <v>0.85</v>
      </c>
      <c r="AC169" s="134">
        <f t="shared" si="43"/>
        <v>0.85</v>
      </c>
      <c r="AD169" s="134">
        <f t="shared" si="43"/>
        <v>0.85</v>
      </c>
      <c r="AE169" s="134">
        <f t="shared" si="43"/>
        <v>0.85</v>
      </c>
      <c r="AF169" s="134">
        <f t="shared" si="43"/>
        <v>0.85</v>
      </c>
      <c r="AG169" s="136">
        <v>2.4</v>
      </c>
      <c r="AH169" s="55"/>
      <c r="AI169" s="56"/>
      <c r="AK169" s="57"/>
    </row>
    <row r="170" spans="1:37" x14ac:dyDescent="0.25">
      <c r="A170" s="121" t="s">
        <v>174</v>
      </c>
      <c r="B170" s="133">
        <v>0.9</v>
      </c>
      <c r="C170" s="134">
        <f t="shared" si="42"/>
        <v>0.9</v>
      </c>
      <c r="D170" s="134">
        <f t="shared" si="42"/>
        <v>0.9</v>
      </c>
      <c r="E170" s="134">
        <f t="shared" si="42"/>
        <v>0.9</v>
      </c>
      <c r="F170" s="134">
        <f t="shared" si="42"/>
        <v>0.9</v>
      </c>
      <c r="G170" s="134">
        <f t="shared" si="42"/>
        <v>0.9</v>
      </c>
      <c r="H170" s="134">
        <f t="shared" si="42"/>
        <v>0.9</v>
      </c>
      <c r="I170" s="134">
        <f t="shared" si="42"/>
        <v>0.9</v>
      </c>
      <c r="J170" s="134">
        <f t="shared" si="42"/>
        <v>0.9</v>
      </c>
      <c r="K170" s="134">
        <f t="shared" si="42"/>
        <v>0.9</v>
      </c>
      <c r="L170" s="134">
        <f t="shared" si="42"/>
        <v>0.9</v>
      </c>
      <c r="M170" s="134">
        <f t="shared" si="42"/>
        <v>0.9</v>
      </c>
      <c r="N170" s="134">
        <f t="shared" si="42"/>
        <v>0.9</v>
      </c>
      <c r="O170" s="134">
        <f t="shared" si="42"/>
        <v>0.9</v>
      </c>
      <c r="P170" s="134">
        <f t="shared" si="42"/>
        <v>0.9</v>
      </c>
      <c r="Q170" s="134">
        <f t="shared" si="42"/>
        <v>0.9</v>
      </c>
      <c r="R170" s="134">
        <f t="shared" si="43"/>
        <v>0.9</v>
      </c>
      <c r="S170" s="134">
        <f t="shared" si="43"/>
        <v>0.9</v>
      </c>
      <c r="T170" s="134">
        <f t="shared" si="43"/>
        <v>0.9</v>
      </c>
      <c r="U170" s="134">
        <f t="shared" si="43"/>
        <v>0.9</v>
      </c>
      <c r="V170" s="134">
        <f t="shared" si="43"/>
        <v>0.9</v>
      </c>
      <c r="W170" s="134">
        <f t="shared" si="43"/>
        <v>0.9</v>
      </c>
      <c r="X170" s="134">
        <f t="shared" si="43"/>
        <v>0.9</v>
      </c>
      <c r="Y170" s="134">
        <f t="shared" si="43"/>
        <v>0.9</v>
      </c>
      <c r="Z170" s="134">
        <f t="shared" si="43"/>
        <v>0.9</v>
      </c>
      <c r="AA170" s="134">
        <f t="shared" si="43"/>
        <v>0.9</v>
      </c>
      <c r="AB170" s="134">
        <f t="shared" si="43"/>
        <v>0.9</v>
      </c>
      <c r="AC170" s="134">
        <f t="shared" si="43"/>
        <v>0.9</v>
      </c>
      <c r="AD170" s="134">
        <f t="shared" si="43"/>
        <v>0.9</v>
      </c>
      <c r="AE170" s="134">
        <f t="shared" si="43"/>
        <v>0.9</v>
      </c>
      <c r="AF170" s="134">
        <f t="shared" si="43"/>
        <v>0.9</v>
      </c>
      <c r="AG170" s="136">
        <v>2.2000000000000002</v>
      </c>
      <c r="AH170" s="55"/>
      <c r="AI170" s="56"/>
      <c r="AK170" s="57"/>
    </row>
    <row r="171" spans="1:37" x14ac:dyDescent="0.25">
      <c r="A171" s="121" t="s">
        <v>175</v>
      </c>
      <c r="B171" s="133">
        <v>0.44</v>
      </c>
      <c r="C171" s="134">
        <f t="shared" si="42"/>
        <v>0.44</v>
      </c>
      <c r="D171" s="134">
        <f t="shared" si="42"/>
        <v>0.44</v>
      </c>
      <c r="E171" s="134">
        <f t="shared" si="42"/>
        <v>0.44</v>
      </c>
      <c r="F171" s="134">
        <f t="shared" si="42"/>
        <v>0.44</v>
      </c>
      <c r="G171" s="134">
        <f t="shared" si="42"/>
        <v>0.44</v>
      </c>
      <c r="H171" s="134">
        <f t="shared" si="42"/>
        <v>0.44</v>
      </c>
      <c r="I171" s="134">
        <f t="shared" si="42"/>
        <v>0.44</v>
      </c>
      <c r="J171" s="134">
        <f t="shared" si="42"/>
        <v>0.44</v>
      </c>
      <c r="K171" s="134">
        <f t="shared" si="42"/>
        <v>0.44</v>
      </c>
      <c r="L171" s="134">
        <f t="shared" si="42"/>
        <v>0.44</v>
      </c>
      <c r="M171" s="134">
        <f t="shared" si="42"/>
        <v>0.44</v>
      </c>
      <c r="N171" s="134">
        <f t="shared" si="42"/>
        <v>0.44</v>
      </c>
      <c r="O171" s="134">
        <f t="shared" si="42"/>
        <v>0.44</v>
      </c>
      <c r="P171" s="134">
        <f t="shared" si="42"/>
        <v>0.44</v>
      </c>
      <c r="Q171" s="134">
        <f t="shared" si="42"/>
        <v>0.44</v>
      </c>
      <c r="R171" s="134">
        <f t="shared" si="43"/>
        <v>0.44</v>
      </c>
      <c r="S171" s="134">
        <f t="shared" si="43"/>
        <v>0.44</v>
      </c>
      <c r="T171" s="134">
        <f t="shared" si="43"/>
        <v>0.44</v>
      </c>
      <c r="U171" s="134">
        <f t="shared" si="43"/>
        <v>0.44</v>
      </c>
      <c r="V171" s="134">
        <f t="shared" si="43"/>
        <v>0.44</v>
      </c>
      <c r="W171" s="134">
        <f t="shared" si="43"/>
        <v>0.44</v>
      </c>
      <c r="X171" s="134">
        <f t="shared" si="43"/>
        <v>0.44</v>
      </c>
      <c r="Y171" s="134">
        <f t="shared" si="43"/>
        <v>0.44</v>
      </c>
      <c r="Z171" s="134">
        <f t="shared" si="43"/>
        <v>0.44</v>
      </c>
      <c r="AA171" s="134">
        <f t="shared" si="43"/>
        <v>0.44</v>
      </c>
      <c r="AB171" s="134">
        <f t="shared" si="43"/>
        <v>0.44</v>
      </c>
      <c r="AC171" s="134">
        <f t="shared" si="43"/>
        <v>0.44</v>
      </c>
      <c r="AD171" s="134">
        <f t="shared" si="43"/>
        <v>0.44</v>
      </c>
      <c r="AE171" s="134">
        <f t="shared" si="43"/>
        <v>0.44</v>
      </c>
      <c r="AF171" s="134">
        <f t="shared" si="43"/>
        <v>0.44</v>
      </c>
      <c r="AG171" s="136">
        <v>2</v>
      </c>
      <c r="AH171" s="55"/>
      <c r="AI171" s="56"/>
      <c r="AK171" s="57"/>
    </row>
    <row r="172" spans="1:37" x14ac:dyDescent="0.25">
      <c r="A172" s="121" t="s">
        <v>176</v>
      </c>
      <c r="B172" s="133">
        <v>2.1</v>
      </c>
      <c r="C172" s="134">
        <f t="shared" si="42"/>
        <v>2.1</v>
      </c>
      <c r="D172" s="134">
        <f t="shared" si="42"/>
        <v>2.1</v>
      </c>
      <c r="E172" s="134">
        <f t="shared" si="42"/>
        <v>2.1</v>
      </c>
      <c r="F172" s="134">
        <f t="shared" si="42"/>
        <v>2.1</v>
      </c>
      <c r="G172" s="134">
        <f t="shared" si="42"/>
        <v>2.1</v>
      </c>
      <c r="H172" s="134">
        <f t="shared" si="42"/>
        <v>2.1</v>
      </c>
      <c r="I172" s="134">
        <f t="shared" si="42"/>
        <v>2.1</v>
      </c>
      <c r="J172" s="134">
        <f t="shared" si="42"/>
        <v>2.1</v>
      </c>
      <c r="K172" s="134">
        <f t="shared" si="42"/>
        <v>2.1</v>
      </c>
      <c r="L172" s="134">
        <f t="shared" si="42"/>
        <v>2.1</v>
      </c>
      <c r="M172" s="134">
        <f t="shared" si="42"/>
        <v>2.1</v>
      </c>
      <c r="N172" s="134">
        <f t="shared" si="42"/>
        <v>2.1</v>
      </c>
      <c r="O172" s="134">
        <f t="shared" si="42"/>
        <v>2.1</v>
      </c>
      <c r="P172" s="134">
        <f t="shared" si="42"/>
        <v>2.1</v>
      </c>
      <c r="Q172" s="134">
        <f t="shared" si="42"/>
        <v>2.1</v>
      </c>
      <c r="R172" s="134">
        <f t="shared" si="43"/>
        <v>2.1</v>
      </c>
      <c r="S172" s="134">
        <f t="shared" si="43"/>
        <v>2.1</v>
      </c>
      <c r="T172" s="134">
        <f t="shared" si="43"/>
        <v>2.1</v>
      </c>
      <c r="U172" s="134">
        <f t="shared" si="43"/>
        <v>2.1</v>
      </c>
      <c r="V172" s="134">
        <f t="shared" si="43"/>
        <v>2.1</v>
      </c>
      <c r="W172" s="134">
        <f t="shared" si="43"/>
        <v>2.1</v>
      </c>
      <c r="X172" s="134">
        <f t="shared" si="43"/>
        <v>2.1</v>
      </c>
      <c r="Y172" s="134">
        <f t="shared" si="43"/>
        <v>2.1</v>
      </c>
      <c r="Z172" s="134">
        <f t="shared" si="43"/>
        <v>2.1</v>
      </c>
      <c r="AA172" s="134">
        <f t="shared" si="43"/>
        <v>2.1</v>
      </c>
      <c r="AB172" s="134">
        <f t="shared" si="43"/>
        <v>2.1</v>
      </c>
      <c r="AC172" s="134">
        <f t="shared" si="43"/>
        <v>2.1</v>
      </c>
      <c r="AD172" s="134">
        <f t="shared" si="43"/>
        <v>2.1</v>
      </c>
      <c r="AE172" s="134">
        <f t="shared" si="43"/>
        <v>2.1</v>
      </c>
      <c r="AF172" s="134">
        <f t="shared" si="43"/>
        <v>2.1</v>
      </c>
      <c r="AG172" s="136">
        <v>2</v>
      </c>
      <c r="AH172" s="55"/>
      <c r="AI172" s="56"/>
      <c r="AK172" s="57"/>
    </row>
    <row r="173" spans="1:37" x14ac:dyDescent="0.25">
      <c r="A173" s="121" t="s">
        <v>177</v>
      </c>
      <c r="B173" s="133">
        <v>0.9</v>
      </c>
      <c r="C173" s="134">
        <f t="shared" si="42"/>
        <v>0.9</v>
      </c>
      <c r="D173" s="134">
        <f t="shared" si="42"/>
        <v>0.9</v>
      </c>
      <c r="E173" s="134">
        <f t="shared" si="42"/>
        <v>0.9</v>
      </c>
      <c r="F173" s="134">
        <f t="shared" si="42"/>
        <v>0.9</v>
      </c>
      <c r="G173" s="134">
        <f t="shared" si="42"/>
        <v>0.9</v>
      </c>
      <c r="H173" s="134">
        <f t="shared" si="42"/>
        <v>0.9</v>
      </c>
      <c r="I173" s="134">
        <f t="shared" si="42"/>
        <v>0.9</v>
      </c>
      <c r="J173" s="134">
        <f t="shared" si="42"/>
        <v>0.9</v>
      </c>
      <c r="K173" s="134">
        <f t="shared" si="42"/>
        <v>0.9</v>
      </c>
      <c r="L173" s="134">
        <f t="shared" si="42"/>
        <v>0.9</v>
      </c>
      <c r="M173" s="134">
        <f t="shared" si="42"/>
        <v>0.9</v>
      </c>
      <c r="N173" s="134">
        <f t="shared" si="42"/>
        <v>0.9</v>
      </c>
      <c r="O173" s="134">
        <f t="shared" si="42"/>
        <v>0.9</v>
      </c>
      <c r="P173" s="134">
        <f t="shared" si="42"/>
        <v>0.9</v>
      </c>
      <c r="Q173" s="134">
        <f t="shared" si="42"/>
        <v>0.9</v>
      </c>
      <c r="R173" s="134">
        <f t="shared" si="43"/>
        <v>0.9</v>
      </c>
      <c r="S173" s="134">
        <f t="shared" si="43"/>
        <v>0.9</v>
      </c>
      <c r="T173" s="134">
        <f t="shared" si="43"/>
        <v>0.9</v>
      </c>
      <c r="U173" s="134">
        <f t="shared" si="43"/>
        <v>0.9</v>
      </c>
      <c r="V173" s="134">
        <f t="shared" si="43"/>
        <v>0.9</v>
      </c>
      <c r="W173" s="134">
        <f t="shared" si="43"/>
        <v>0.9</v>
      </c>
      <c r="X173" s="134">
        <f t="shared" si="43"/>
        <v>0.9</v>
      </c>
      <c r="Y173" s="134">
        <f t="shared" si="43"/>
        <v>0.9</v>
      </c>
      <c r="Z173" s="134">
        <f t="shared" si="43"/>
        <v>0.9</v>
      </c>
      <c r="AA173" s="134">
        <f t="shared" si="43"/>
        <v>0.9</v>
      </c>
      <c r="AB173" s="134">
        <f t="shared" si="43"/>
        <v>0.9</v>
      </c>
      <c r="AC173" s="134">
        <f t="shared" si="43"/>
        <v>0.9</v>
      </c>
      <c r="AD173" s="134">
        <f t="shared" si="43"/>
        <v>0.9</v>
      </c>
      <c r="AE173" s="134">
        <f t="shared" si="43"/>
        <v>0.9</v>
      </c>
      <c r="AF173" s="134">
        <f t="shared" si="43"/>
        <v>0.9</v>
      </c>
      <c r="AG173" s="136">
        <v>2</v>
      </c>
      <c r="AH173" s="55"/>
      <c r="AI173" s="56"/>
      <c r="AK173" s="57"/>
    </row>
    <row r="174" spans="1:37" x14ac:dyDescent="0.25">
      <c r="A174" s="121" t="s">
        <v>178</v>
      </c>
      <c r="B174" s="133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6">
        <v>1.8</v>
      </c>
      <c r="AH174" s="55"/>
      <c r="AI174" s="56"/>
      <c r="AK174" s="57"/>
    </row>
    <row r="175" spans="1:37" x14ac:dyDescent="0.25">
      <c r="A175" s="121" t="s">
        <v>179</v>
      </c>
      <c r="B175" s="133">
        <v>0.57999999999999996</v>
      </c>
      <c r="C175" s="134">
        <f t="shared" ref="C175:R187" si="44">B175</f>
        <v>0.57999999999999996</v>
      </c>
      <c r="D175" s="134">
        <f t="shared" si="44"/>
        <v>0.57999999999999996</v>
      </c>
      <c r="E175" s="134">
        <f t="shared" si="44"/>
        <v>0.57999999999999996</v>
      </c>
      <c r="F175" s="134">
        <f t="shared" si="44"/>
        <v>0.57999999999999996</v>
      </c>
      <c r="G175" s="134">
        <f t="shared" si="44"/>
        <v>0.57999999999999996</v>
      </c>
      <c r="H175" s="134">
        <f t="shared" si="44"/>
        <v>0.57999999999999996</v>
      </c>
      <c r="I175" s="134">
        <f t="shared" si="44"/>
        <v>0.57999999999999996</v>
      </c>
      <c r="J175" s="134">
        <f t="shared" si="44"/>
        <v>0.57999999999999996</v>
      </c>
      <c r="K175" s="134">
        <f t="shared" si="44"/>
        <v>0.57999999999999996</v>
      </c>
      <c r="L175" s="134">
        <f t="shared" si="44"/>
        <v>0.57999999999999996</v>
      </c>
      <c r="M175" s="134">
        <f t="shared" si="44"/>
        <v>0.57999999999999996</v>
      </c>
      <c r="N175" s="134">
        <f t="shared" si="44"/>
        <v>0.57999999999999996</v>
      </c>
      <c r="O175" s="134">
        <f t="shared" si="44"/>
        <v>0.57999999999999996</v>
      </c>
      <c r="P175" s="134">
        <f t="shared" si="44"/>
        <v>0.57999999999999996</v>
      </c>
      <c r="Q175" s="134">
        <f t="shared" si="44"/>
        <v>0.57999999999999996</v>
      </c>
      <c r="R175" s="134">
        <f t="shared" si="44"/>
        <v>0.57999999999999996</v>
      </c>
      <c r="S175" s="134">
        <f t="shared" ref="R175:AF187" si="45">R175</f>
        <v>0.57999999999999996</v>
      </c>
      <c r="T175" s="134">
        <f t="shared" si="45"/>
        <v>0.57999999999999996</v>
      </c>
      <c r="U175" s="134">
        <f t="shared" si="45"/>
        <v>0.57999999999999996</v>
      </c>
      <c r="V175" s="134">
        <f t="shared" si="45"/>
        <v>0.57999999999999996</v>
      </c>
      <c r="W175" s="134">
        <f t="shared" si="45"/>
        <v>0.57999999999999996</v>
      </c>
      <c r="X175" s="134">
        <f t="shared" si="45"/>
        <v>0.57999999999999996</v>
      </c>
      <c r="Y175" s="134">
        <f t="shared" si="45"/>
        <v>0.57999999999999996</v>
      </c>
      <c r="Z175" s="134">
        <f t="shared" si="45"/>
        <v>0.57999999999999996</v>
      </c>
      <c r="AA175" s="134">
        <f t="shared" si="45"/>
        <v>0.57999999999999996</v>
      </c>
      <c r="AB175" s="134">
        <f t="shared" si="45"/>
        <v>0.57999999999999996</v>
      </c>
      <c r="AC175" s="134">
        <f t="shared" si="45"/>
        <v>0.57999999999999996</v>
      </c>
      <c r="AD175" s="134">
        <f t="shared" si="45"/>
        <v>0.57999999999999996</v>
      </c>
      <c r="AE175" s="134">
        <f t="shared" si="45"/>
        <v>0.57999999999999996</v>
      </c>
      <c r="AF175" s="134">
        <f t="shared" si="45"/>
        <v>0.57999999999999996</v>
      </c>
      <c r="AG175" s="136">
        <v>1.8</v>
      </c>
      <c r="AH175" s="55"/>
      <c r="AI175" s="56"/>
      <c r="AK175" s="57"/>
    </row>
    <row r="176" spans="1:37" x14ac:dyDescent="0.25">
      <c r="A176" s="121" t="s">
        <v>180</v>
      </c>
      <c r="B176" s="133">
        <v>0.8</v>
      </c>
      <c r="C176" s="134">
        <f t="shared" si="44"/>
        <v>0.8</v>
      </c>
      <c r="D176" s="134">
        <f t="shared" si="44"/>
        <v>0.8</v>
      </c>
      <c r="E176" s="134">
        <f t="shared" si="44"/>
        <v>0.8</v>
      </c>
      <c r="F176" s="134">
        <f t="shared" si="44"/>
        <v>0.8</v>
      </c>
      <c r="G176" s="134">
        <f t="shared" si="44"/>
        <v>0.8</v>
      </c>
      <c r="H176" s="134">
        <f t="shared" si="44"/>
        <v>0.8</v>
      </c>
      <c r="I176" s="134">
        <f t="shared" si="44"/>
        <v>0.8</v>
      </c>
      <c r="J176" s="134">
        <f t="shared" si="44"/>
        <v>0.8</v>
      </c>
      <c r="K176" s="134">
        <f t="shared" si="44"/>
        <v>0.8</v>
      </c>
      <c r="L176" s="134">
        <f t="shared" si="44"/>
        <v>0.8</v>
      </c>
      <c r="M176" s="134">
        <f t="shared" si="44"/>
        <v>0.8</v>
      </c>
      <c r="N176" s="134">
        <f t="shared" si="44"/>
        <v>0.8</v>
      </c>
      <c r="O176" s="134">
        <f t="shared" si="44"/>
        <v>0.8</v>
      </c>
      <c r="P176" s="134">
        <f t="shared" si="44"/>
        <v>0.8</v>
      </c>
      <c r="Q176" s="134">
        <f t="shared" si="44"/>
        <v>0.8</v>
      </c>
      <c r="R176" s="134">
        <f t="shared" si="44"/>
        <v>0.8</v>
      </c>
      <c r="S176" s="134">
        <f t="shared" si="45"/>
        <v>0.8</v>
      </c>
      <c r="T176" s="134">
        <f t="shared" si="45"/>
        <v>0.8</v>
      </c>
      <c r="U176" s="134">
        <f t="shared" si="45"/>
        <v>0.8</v>
      </c>
      <c r="V176" s="134">
        <f t="shared" si="45"/>
        <v>0.8</v>
      </c>
      <c r="W176" s="134">
        <f t="shared" si="45"/>
        <v>0.8</v>
      </c>
      <c r="X176" s="134">
        <f t="shared" si="45"/>
        <v>0.8</v>
      </c>
      <c r="Y176" s="134">
        <f t="shared" si="45"/>
        <v>0.8</v>
      </c>
      <c r="Z176" s="134">
        <f t="shared" si="45"/>
        <v>0.8</v>
      </c>
      <c r="AA176" s="134">
        <f t="shared" si="45"/>
        <v>0.8</v>
      </c>
      <c r="AB176" s="134">
        <f t="shared" si="45"/>
        <v>0.8</v>
      </c>
      <c r="AC176" s="134">
        <f t="shared" si="45"/>
        <v>0.8</v>
      </c>
      <c r="AD176" s="134">
        <f t="shared" si="45"/>
        <v>0.8</v>
      </c>
      <c r="AE176" s="134">
        <f t="shared" si="45"/>
        <v>0.8</v>
      </c>
      <c r="AF176" s="134">
        <f t="shared" si="45"/>
        <v>0.8</v>
      </c>
      <c r="AG176" s="136">
        <v>1.65</v>
      </c>
      <c r="AH176" s="55"/>
      <c r="AI176" s="56"/>
      <c r="AK176" s="57"/>
    </row>
    <row r="177" spans="1:37" x14ac:dyDescent="0.25">
      <c r="A177" s="121" t="s">
        <v>181</v>
      </c>
      <c r="B177" s="133">
        <v>0</v>
      </c>
      <c r="C177" s="134">
        <f t="shared" si="44"/>
        <v>0</v>
      </c>
      <c r="D177" s="134">
        <f t="shared" si="44"/>
        <v>0</v>
      </c>
      <c r="E177" s="134">
        <f t="shared" si="44"/>
        <v>0</v>
      </c>
      <c r="F177" s="134">
        <f t="shared" si="44"/>
        <v>0</v>
      </c>
      <c r="G177" s="134">
        <f t="shared" si="44"/>
        <v>0</v>
      </c>
      <c r="H177" s="134">
        <f t="shared" si="44"/>
        <v>0</v>
      </c>
      <c r="I177" s="134">
        <f t="shared" si="44"/>
        <v>0</v>
      </c>
      <c r="J177" s="134">
        <f t="shared" si="44"/>
        <v>0</v>
      </c>
      <c r="K177" s="134">
        <f t="shared" si="44"/>
        <v>0</v>
      </c>
      <c r="L177" s="134">
        <f t="shared" si="44"/>
        <v>0</v>
      </c>
      <c r="M177" s="134">
        <f t="shared" si="44"/>
        <v>0</v>
      </c>
      <c r="N177" s="134">
        <f t="shared" si="44"/>
        <v>0</v>
      </c>
      <c r="O177" s="134">
        <f t="shared" si="44"/>
        <v>0</v>
      </c>
      <c r="P177" s="134">
        <f t="shared" si="44"/>
        <v>0</v>
      </c>
      <c r="Q177" s="134">
        <f t="shared" si="44"/>
        <v>0</v>
      </c>
      <c r="R177" s="134">
        <f t="shared" si="44"/>
        <v>0</v>
      </c>
      <c r="S177" s="134">
        <f t="shared" si="45"/>
        <v>0</v>
      </c>
      <c r="T177" s="134">
        <f t="shared" si="45"/>
        <v>0</v>
      </c>
      <c r="U177" s="134">
        <f t="shared" si="45"/>
        <v>0</v>
      </c>
      <c r="V177" s="134">
        <f t="shared" si="45"/>
        <v>0</v>
      </c>
      <c r="W177" s="134">
        <f t="shared" si="45"/>
        <v>0</v>
      </c>
      <c r="X177" s="134">
        <f t="shared" si="45"/>
        <v>0</v>
      </c>
      <c r="Y177" s="134">
        <f t="shared" si="45"/>
        <v>0</v>
      </c>
      <c r="Z177" s="134">
        <f t="shared" si="45"/>
        <v>0</v>
      </c>
      <c r="AA177" s="134">
        <f t="shared" si="45"/>
        <v>0</v>
      </c>
      <c r="AB177" s="134">
        <f t="shared" si="45"/>
        <v>0</v>
      </c>
      <c r="AC177" s="134">
        <f t="shared" si="45"/>
        <v>0</v>
      </c>
      <c r="AD177" s="134">
        <f t="shared" si="45"/>
        <v>0</v>
      </c>
      <c r="AE177" s="134">
        <f t="shared" si="45"/>
        <v>0</v>
      </c>
      <c r="AF177" s="134">
        <f t="shared" si="45"/>
        <v>0</v>
      </c>
      <c r="AG177" s="136">
        <v>1.5</v>
      </c>
      <c r="AH177" s="55"/>
      <c r="AI177" s="56"/>
      <c r="AK177" s="57"/>
    </row>
    <row r="178" spans="1:37" x14ac:dyDescent="0.25">
      <c r="A178" s="121" t="s">
        <v>182</v>
      </c>
      <c r="B178" s="133">
        <v>0.6</v>
      </c>
      <c r="C178" s="134">
        <f t="shared" si="44"/>
        <v>0.6</v>
      </c>
      <c r="D178" s="134">
        <f t="shared" si="44"/>
        <v>0.6</v>
      </c>
      <c r="E178" s="134">
        <f t="shared" si="44"/>
        <v>0.6</v>
      </c>
      <c r="F178" s="134">
        <f t="shared" si="44"/>
        <v>0.6</v>
      </c>
      <c r="G178" s="134">
        <f t="shared" si="44"/>
        <v>0.6</v>
      </c>
      <c r="H178" s="134">
        <f t="shared" si="44"/>
        <v>0.6</v>
      </c>
      <c r="I178" s="134">
        <f t="shared" si="44"/>
        <v>0.6</v>
      </c>
      <c r="J178" s="134">
        <f t="shared" si="44"/>
        <v>0.6</v>
      </c>
      <c r="K178" s="134">
        <f t="shared" si="44"/>
        <v>0.6</v>
      </c>
      <c r="L178" s="134">
        <f t="shared" si="44"/>
        <v>0.6</v>
      </c>
      <c r="M178" s="134">
        <f t="shared" si="44"/>
        <v>0.6</v>
      </c>
      <c r="N178" s="134">
        <f t="shared" si="44"/>
        <v>0.6</v>
      </c>
      <c r="O178" s="134">
        <f t="shared" si="44"/>
        <v>0.6</v>
      </c>
      <c r="P178" s="134">
        <f t="shared" si="44"/>
        <v>0.6</v>
      </c>
      <c r="Q178" s="134">
        <f t="shared" si="44"/>
        <v>0.6</v>
      </c>
      <c r="R178" s="134">
        <f t="shared" si="44"/>
        <v>0.6</v>
      </c>
      <c r="S178" s="134">
        <f t="shared" si="45"/>
        <v>0.6</v>
      </c>
      <c r="T178" s="134">
        <f t="shared" si="45"/>
        <v>0.6</v>
      </c>
      <c r="U178" s="134">
        <f t="shared" si="45"/>
        <v>0.6</v>
      </c>
      <c r="V178" s="134">
        <f t="shared" si="45"/>
        <v>0.6</v>
      </c>
      <c r="W178" s="134">
        <f t="shared" si="45"/>
        <v>0.6</v>
      </c>
      <c r="X178" s="134">
        <f t="shared" si="45"/>
        <v>0.6</v>
      </c>
      <c r="Y178" s="134">
        <f t="shared" si="45"/>
        <v>0.6</v>
      </c>
      <c r="Z178" s="134">
        <f t="shared" si="45"/>
        <v>0.6</v>
      </c>
      <c r="AA178" s="134">
        <f t="shared" si="45"/>
        <v>0.6</v>
      </c>
      <c r="AB178" s="134">
        <f t="shared" si="45"/>
        <v>0.6</v>
      </c>
      <c r="AC178" s="134">
        <f t="shared" si="45"/>
        <v>0.6</v>
      </c>
      <c r="AD178" s="134">
        <f t="shared" si="45"/>
        <v>0.6</v>
      </c>
      <c r="AE178" s="134">
        <f t="shared" si="45"/>
        <v>0.6</v>
      </c>
      <c r="AF178" s="134">
        <f t="shared" si="45"/>
        <v>0.6</v>
      </c>
      <c r="AG178" s="136">
        <v>0.998</v>
      </c>
      <c r="AH178" s="55"/>
      <c r="AI178" s="56"/>
      <c r="AK178" s="57"/>
    </row>
    <row r="179" spans="1:37" x14ac:dyDescent="0.25">
      <c r="A179" s="121" t="s">
        <v>183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0.997</v>
      </c>
      <c r="AH179" s="55"/>
      <c r="AI179" s="56"/>
      <c r="AK179" s="57"/>
    </row>
    <row r="180" spans="1:37" x14ac:dyDescent="0.25">
      <c r="A180" s="121" t="s">
        <v>184</v>
      </c>
      <c r="B180" s="133">
        <v>0.35</v>
      </c>
      <c r="C180" s="134">
        <f t="shared" si="44"/>
        <v>0.35</v>
      </c>
      <c r="D180" s="134">
        <f t="shared" si="44"/>
        <v>0.35</v>
      </c>
      <c r="E180" s="134">
        <f t="shared" si="44"/>
        <v>0.35</v>
      </c>
      <c r="F180" s="134">
        <f t="shared" si="44"/>
        <v>0.35</v>
      </c>
      <c r="G180" s="134">
        <f t="shared" si="44"/>
        <v>0.35</v>
      </c>
      <c r="H180" s="134">
        <f t="shared" si="44"/>
        <v>0.35</v>
      </c>
      <c r="I180" s="134">
        <f t="shared" si="44"/>
        <v>0.35</v>
      </c>
      <c r="J180" s="134">
        <f t="shared" si="44"/>
        <v>0.35</v>
      </c>
      <c r="K180" s="134">
        <f t="shared" si="44"/>
        <v>0.35</v>
      </c>
      <c r="L180" s="134">
        <f t="shared" si="44"/>
        <v>0.35</v>
      </c>
      <c r="M180" s="134">
        <f t="shared" si="44"/>
        <v>0.35</v>
      </c>
      <c r="N180" s="134">
        <f t="shared" si="44"/>
        <v>0.35</v>
      </c>
      <c r="O180" s="134">
        <f t="shared" si="44"/>
        <v>0.35</v>
      </c>
      <c r="P180" s="134">
        <f t="shared" si="44"/>
        <v>0.35</v>
      </c>
      <c r="Q180" s="134">
        <f t="shared" si="44"/>
        <v>0.35</v>
      </c>
      <c r="R180" s="134">
        <f t="shared" si="44"/>
        <v>0.35</v>
      </c>
      <c r="S180" s="134">
        <f t="shared" si="45"/>
        <v>0.35</v>
      </c>
      <c r="T180" s="134">
        <f t="shared" si="45"/>
        <v>0.35</v>
      </c>
      <c r="U180" s="134">
        <f t="shared" si="45"/>
        <v>0.35</v>
      </c>
      <c r="V180" s="134">
        <f t="shared" si="45"/>
        <v>0.35</v>
      </c>
      <c r="W180" s="134">
        <f t="shared" si="45"/>
        <v>0.35</v>
      </c>
      <c r="X180" s="134">
        <f t="shared" si="45"/>
        <v>0.35</v>
      </c>
      <c r="Y180" s="134">
        <f t="shared" si="45"/>
        <v>0.35</v>
      </c>
      <c r="Z180" s="134">
        <f t="shared" si="45"/>
        <v>0.35</v>
      </c>
      <c r="AA180" s="134">
        <f t="shared" si="45"/>
        <v>0.35</v>
      </c>
      <c r="AB180" s="134">
        <f t="shared" si="45"/>
        <v>0.35</v>
      </c>
      <c r="AC180" s="134">
        <f t="shared" si="45"/>
        <v>0.35</v>
      </c>
      <c r="AD180" s="134">
        <f t="shared" si="45"/>
        <v>0.35</v>
      </c>
      <c r="AE180" s="134">
        <f t="shared" si="45"/>
        <v>0.35</v>
      </c>
      <c r="AF180" s="134">
        <f t="shared" si="45"/>
        <v>0.35</v>
      </c>
      <c r="AG180" s="136">
        <v>0.997</v>
      </c>
      <c r="AH180" s="55"/>
      <c r="AI180" s="56"/>
      <c r="AK180" s="57"/>
    </row>
    <row r="181" spans="1:37" x14ac:dyDescent="0.25">
      <c r="A181" s="121" t="s">
        <v>185</v>
      </c>
      <c r="B181" s="133">
        <v>0.28999999999999998</v>
      </c>
      <c r="C181" s="134">
        <f t="shared" si="44"/>
        <v>0.28999999999999998</v>
      </c>
      <c r="D181" s="134">
        <f t="shared" si="44"/>
        <v>0.28999999999999998</v>
      </c>
      <c r="E181" s="134">
        <f t="shared" si="44"/>
        <v>0.28999999999999998</v>
      </c>
      <c r="F181" s="134">
        <f t="shared" si="44"/>
        <v>0.28999999999999998</v>
      </c>
      <c r="G181" s="134">
        <f t="shared" si="44"/>
        <v>0.28999999999999998</v>
      </c>
      <c r="H181" s="134">
        <f t="shared" si="44"/>
        <v>0.28999999999999998</v>
      </c>
      <c r="I181" s="134">
        <f t="shared" si="44"/>
        <v>0.28999999999999998</v>
      </c>
      <c r="J181" s="134">
        <f t="shared" si="44"/>
        <v>0.28999999999999998</v>
      </c>
      <c r="K181" s="134">
        <f t="shared" si="44"/>
        <v>0.28999999999999998</v>
      </c>
      <c r="L181" s="134">
        <f t="shared" si="44"/>
        <v>0.28999999999999998</v>
      </c>
      <c r="M181" s="134">
        <f t="shared" si="44"/>
        <v>0.28999999999999998</v>
      </c>
      <c r="N181" s="134">
        <f t="shared" si="44"/>
        <v>0.28999999999999998</v>
      </c>
      <c r="O181" s="134">
        <f t="shared" si="44"/>
        <v>0.28999999999999998</v>
      </c>
      <c r="P181" s="134">
        <f t="shared" si="44"/>
        <v>0.28999999999999998</v>
      </c>
      <c r="Q181" s="134">
        <f t="shared" si="44"/>
        <v>0.28999999999999998</v>
      </c>
      <c r="R181" s="134">
        <f t="shared" si="44"/>
        <v>0.28999999999999998</v>
      </c>
      <c r="S181" s="134">
        <f t="shared" si="45"/>
        <v>0.28999999999999998</v>
      </c>
      <c r="T181" s="134">
        <f t="shared" si="45"/>
        <v>0.28999999999999998</v>
      </c>
      <c r="U181" s="134">
        <f t="shared" si="45"/>
        <v>0.28999999999999998</v>
      </c>
      <c r="V181" s="134">
        <f t="shared" si="45"/>
        <v>0.28999999999999998</v>
      </c>
      <c r="W181" s="134">
        <f t="shared" si="45"/>
        <v>0.28999999999999998</v>
      </c>
      <c r="X181" s="134">
        <f t="shared" si="45"/>
        <v>0.28999999999999998</v>
      </c>
      <c r="Y181" s="134">
        <f t="shared" si="45"/>
        <v>0.28999999999999998</v>
      </c>
      <c r="Z181" s="134">
        <f t="shared" si="45"/>
        <v>0.28999999999999998</v>
      </c>
      <c r="AA181" s="134">
        <f t="shared" si="45"/>
        <v>0.28999999999999998</v>
      </c>
      <c r="AB181" s="134">
        <f t="shared" si="45"/>
        <v>0.28999999999999998</v>
      </c>
      <c r="AC181" s="134">
        <f t="shared" si="45"/>
        <v>0.28999999999999998</v>
      </c>
      <c r="AD181" s="134">
        <f t="shared" si="45"/>
        <v>0.28999999999999998</v>
      </c>
      <c r="AE181" s="134">
        <f t="shared" si="45"/>
        <v>0.28999999999999998</v>
      </c>
      <c r="AF181" s="134">
        <f t="shared" si="45"/>
        <v>0.28999999999999998</v>
      </c>
      <c r="AG181" s="136">
        <v>0.996</v>
      </c>
      <c r="AH181" s="55"/>
      <c r="AI181" s="56"/>
      <c r="AK181" s="57"/>
    </row>
    <row r="182" spans="1:37" x14ac:dyDescent="0.25">
      <c r="A182" s="121" t="s">
        <v>186</v>
      </c>
      <c r="B182" s="133">
        <v>0.06</v>
      </c>
      <c r="C182" s="134">
        <f t="shared" si="44"/>
        <v>0.06</v>
      </c>
      <c r="D182" s="134">
        <f t="shared" si="44"/>
        <v>0.06</v>
      </c>
      <c r="E182" s="134">
        <f t="shared" si="44"/>
        <v>0.06</v>
      </c>
      <c r="F182" s="134">
        <f t="shared" si="44"/>
        <v>0.06</v>
      </c>
      <c r="G182" s="134">
        <f t="shared" si="44"/>
        <v>0.06</v>
      </c>
      <c r="H182" s="134">
        <f t="shared" si="44"/>
        <v>0.06</v>
      </c>
      <c r="I182" s="134">
        <f t="shared" si="44"/>
        <v>0.06</v>
      </c>
      <c r="J182" s="134">
        <f t="shared" si="44"/>
        <v>0.06</v>
      </c>
      <c r="K182" s="134">
        <f t="shared" si="44"/>
        <v>0.06</v>
      </c>
      <c r="L182" s="134">
        <f t="shared" si="44"/>
        <v>0.06</v>
      </c>
      <c r="M182" s="134">
        <f t="shared" si="44"/>
        <v>0.06</v>
      </c>
      <c r="N182" s="134">
        <f t="shared" si="44"/>
        <v>0.06</v>
      </c>
      <c r="O182" s="134">
        <f t="shared" si="44"/>
        <v>0.06</v>
      </c>
      <c r="P182" s="134">
        <f t="shared" si="44"/>
        <v>0.06</v>
      </c>
      <c r="Q182" s="134">
        <f t="shared" si="44"/>
        <v>0.06</v>
      </c>
      <c r="R182" s="134">
        <f t="shared" si="44"/>
        <v>0.06</v>
      </c>
      <c r="S182" s="134">
        <f t="shared" si="45"/>
        <v>0.06</v>
      </c>
      <c r="T182" s="134">
        <f t="shared" si="45"/>
        <v>0.06</v>
      </c>
      <c r="U182" s="134">
        <f t="shared" si="45"/>
        <v>0.06</v>
      </c>
      <c r="V182" s="134">
        <f t="shared" si="45"/>
        <v>0.06</v>
      </c>
      <c r="W182" s="134">
        <f t="shared" si="45"/>
        <v>0.06</v>
      </c>
      <c r="X182" s="134">
        <f t="shared" si="45"/>
        <v>0.06</v>
      </c>
      <c r="Y182" s="134">
        <f t="shared" si="45"/>
        <v>0.06</v>
      </c>
      <c r="Z182" s="134">
        <f t="shared" si="45"/>
        <v>0.06</v>
      </c>
      <c r="AA182" s="134">
        <f t="shared" si="45"/>
        <v>0.06</v>
      </c>
      <c r="AB182" s="134">
        <f t="shared" si="45"/>
        <v>0.06</v>
      </c>
      <c r="AC182" s="134">
        <f t="shared" si="45"/>
        <v>0.06</v>
      </c>
      <c r="AD182" s="134">
        <f t="shared" si="45"/>
        <v>0.06</v>
      </c>
      <c r="AE182" s="134">
        <f t="shared" si="45"/>
        <v>0.06</v>
      </c>
      <c r="AF182" s="134">
        <f t="shared" si="45"/>
        <v>0.06</v>
      </c>
      <c r="AG182" s="136">
        <v>0.996</v>
      </c>
      <c r="AH182" s="55"/>
      <c r="AI182" s="56"/>
      <c r="AK182" s="57"/>
    </row>
    <row r="183" spans="1:37" x14ac:dyDescent="0.25">
      <c r="A183" s="121" t="s">
        <v>187</v>
      </c>
      <c r="B183" s="133">
        <v>0.11</v>
      </c>
      <c r="C183" s="134">
        <f t="shared" si="44"/>
        <v>0.11</v>
      </c>
      <c r="D183" s="134">
        <f t="shared" si="44"/>
        <v>0.11</v>
      </c>
      <c r="E183" s="134">
        <f t="shared" si="44"/>
        <v>0.11</v>
      </c>
      <c r="F183" s="134">
        <f t="shared" si="44"/>
        <v>0.11</v>
      </c>
      <c r="G183" s="134">
        <f t="shared" si="44"/>
        <v>0.11</v>
      </c>
      <c r="H183" s="134">
        <f t="shared" si="44"/>
        <v>0.11</v>
      </c>
      <c r="I183" s="134">
        <f t="shared" si="44"/>
        <v>0.11</v>
      </c>
      <c r="J183" s="134">
        <f t="shared" si="44"/>
        <v>0.11</v>
      </c>
      <c r="K183" s="134">
        <f t="shared" si="44"/>
        <v>0.11</v>
      </c>
      <c r="L183" s="134">
        <f t="shared" si="44"/>
        <v>0.11</v>
      </c>
      <c r="M183" s="134">
        <f t="shared" si="44"/>
        <v>0.11</v>
      </c>
      <c r="N183" s="134">
        <f t="shared" si="44"/>
        <v>0.11</v>
      </c>
      <c r="O183" s="134">
        <f t="shared" si="44"/>
        <v>0.11</v>
      </c>
      <c r="P183" s="134">
        <f t="shared" si="44"/>
        <v>0.11</v>
      </c>
      <c r="Q183" s="134">
        <f t="shared" si="44"/>
        <v>0.11</v>
      </c>
      <c r="R183" s="134">
        <f t="shared" si="44"/>
        <v>0.11</v>
      </c>
      <c r="S183" s="134">
        <f t="shared" si="45"/>
        <v>0.11</v>
      </c>
      <c r="T183" s="134">
        <f t="shared" si="45"/>
        <v>0.11</v>
      </c>
      <c r="U183" s="134">
        <f t="shared" si="45"/>
        <v>0.11</v>
      </c>
      <c r="V183" s="134">
        <f t="shared" si="45"/>
        <v>0.11</v>
      </c>
      <c r="W183" s="134">
        <f t="shared" si="45"/>
        <v>0.11</v>
      </c>
      <c r="X183" s="134">
        <f t="shared" si="45"/>
        <v>0.11</v>
      </c>
      <c r="Y183" s="134">
        <f t="shared" si="45"/>
        <v>0.11</v>
      </c>
      <c r="Z183" s="134">
        <f t="shared" si="45"/>
        <v>0.11</v>
      </c>
      <c r="AA183" s="134">
        <f t="shared" si="45"/>
        <v>0.11</v>
      </c>
      <c r="AB183" s="134">
        <f t="shared" si="45"/>
        <v>0.11</v>
      </c>
      <c r="AC183" s="134">
        <f t="shared" si="45"/>
        <v>0.11</v>
      </c>
      <c r="AD183" s="134">
        <f t="shared" si="45"/>
        <v>0.11</v>
      </c>
      <c r="AE183" s="134">
        <f t="shared" si="45"/>
        <v>0.11</v>
      </c>
      <c r="AF183" s="134">
        <f t="shared" si="45"/>
        <v>0.11</v>
      </c>
      <c r="AG183" s="136">
        <v>0.996</v>
      </c>
      <c r="AH183" s="55"/>
      <c r="AI183" s="56"/>
      <c r="AK183" s="57"/>
    </row>
    <row r="184" spans="1:37" x14ac:dyDescent="0.25">
      <c r="A184" s="121" t="s">
        <v>188</v>
      </c>
      <c r="B184" s="133">
        <v>0.1</v>
      </c>
      <c r="C184" s="134">
        <f t="shared" si="44"/>
        <v>0.1</v>
      </c>
      <c r="D184" s="134">
        <f t="shared" si="44"/>
        <v>0.1</v>
      </c>
      <c r="E184" s="134">
        <f t="shared" si="44"/>
        <v>0.1</v>
      </c>
      <c r="F184" s="134">
        <f t="shared" si="44"/>
        <v>0.1</v>
      </c>
      <c r="G184" s="134">
        <f t="shared" si="44"/>
        <v>0.1</v>
      </c>
      <c r="H184" s="134">
        <f t="shared" si="44"/>
        <v>0.1</v>
      </c>
      <c r="I184" s="134">
        <f t="shared" si="44"/>
        <v>0.1</v>
      </c>
      <c r="J184" s="134">
        <f t="shared" si="44"/>
        <v>0.1</v>
      </c>
      <c r="K184" s="134">
        <f t="shared" si="44"/>
        <v>0.1</v>
      </c>
      <c r="L184" s="134">
        <f t="shared" si="44"/>
        <v>0.1</v>
      </c>
      <c r="M184" s="134">
        <f t="shared" si="44"/>
        <v>0.1</v>
      </c>
      <c r="N184" s="134">
        <f t="shared" si="44"/>
        <v>0.1</v>
      </c>
      <c r="O184" s="134">
        <f t="shared" si="44"/>
        <v>0.1</v>
      </c>
      <c r="P184" s="134">
        <f t="shared" si="44"/>
        <v>0.1</v>
      </c>
      <c r="Q184" s="134">
        <f t="shared" si="44"/>
        <v>0.1</v>
      </c>
      <c r="R184" s="134">
        <f t="shared" si="45"/>
        <v>0.1</v>
      </c>
      <c r="S184" s="134">
        <f t="shared" si="45"/>
        <v>0.1</v>
      </c>
      <c r="T184" s="134">
        <f t="shared" si="45"/>
        <v>0.1</v>
      </c>
      <c r="U184" s="134">
        <f t="shared" si="45"/>
        <v>0.1</v>
      </c>
      <c r="V184" s="134">
        <f t="shared" si="45"/>
        <v>0.1</v>
      </c>
      <c r="W184" s="134">
        <f t="shared" si="45"/>
        <v>0.1</v>
      </c>
      <c r="X184" s="134">
        <f t="shared" si="45"/>
        <v>0.1</v>
      </c>
      <c r="Y184" s="134">
        <f t="shared" si="45"/>
        <v>0.1</v>
      </c>
      <c r="Z184" s="134">
        <f t="shared" si="45"/>
        <v>0.1</v>
      </c>
      <c r="AA184" s="134">
        <f t="shared" si="45"/>
        <v>0.1</v>
      </c>
      <c r="AB184" s="134">
        <f t="shared" si="45"/>
        <v>0.1</v>
      </c>
      <c r="AC184" s="134">
        <f t="shared" si="45"/>
        <v>0.1</v>
      </c>
      <c r="AD184" s="134">
        <f t="shared" si="45"/>
        <v>0.1</v>
      </c>
      <c r="AE184" s="134">
        <f t="shared" si="45"/>
        <v>0.1</v>
      </c>
      <c r="AF184" s="134">
        <f t="shared" si="45"/>
        <v>0.1</v>
      </c>
      <c r="AG184" s="136">
        <v>0.995</v>
      </c>
      <c r="AH184" s="55"/>
      <c r="AI184" s="56"/>
      <c r="AK184" s="57"/>
    </row>
    <row r="185" spans="1:37" x14ac:dyDescent="0.25">
      <c r="A185" s="121" t="s">
        <v>189</v>
      </c>
      <c r="B185" s="133">
        <v>0.09</v>
      </c>
      <c r="C185" s="134">
        <f t="shared" si="44"/>
        <v>0.09</v>
      </c>
      <c r="D185" s="134">
        <f t="shared" si="44"/>
        <v>0.09</v>
      </c>
      <c r="E185" s="134">
        <f t="shared" si="44"/>
        <v>0.09</v>
      </c>
      <c r="F185" s="134">
        <f t="shared" si="44"/>
        <v>0.09</v>
      </c>
      <c r="G185" s="134">
        <f t="shared" si="44"/>
        <v>0.09</v>
      </c>
      <c r="H185" s="134">
        <f t="shared" si="44"/>
        <v>0.09</v>
      </c>
      <c r="I185" s="134">
        <f t="shared" si="44"/>
        <v>0.09</v>
      </c>
      <c r="J185" s="134">
        <f t="shared" si="44"/>
        <v>0.09</v>
      </c>
      <c r="K185" s="134">
        <f t="shared" si="44"/>
        <v>0.09</v>
      </c>
      <c r="L185" s="134">
        <f t="shared" si="44"/>
        <v>0.09</v>
      </c>
      <c r="M185" s="134">
        <f t="shared" si="44"/>
        <v>0.09</v>
      </c>
      <c r="N185" s="134">
        <f t="shared" si="44"/>
        <v>0.09</v>
      </c>
      <c r="O185" s="134">
        <f t="shared" si="44"/>
        <v>0.09</v>
      </c>
      <c r="P185" s="134">
        <f t="shared" si="44"/>
        <v>0.09</v>
      </c>
      <c r="Q185" s="134">
        <f t="shared" si="44"/>
        <v>0.09</v>
      </c>
      <c r="R185" s="134">
        <f t="shared" si="45"/>
        <v>0.09</v>
      </c>
      <c r="S185" s="134">
        <f t="shared" si="45"/>
        <v>0.09</v>
      </c>
      <c r="T185" s="134">
        <f t="shared" si="45"/>
        <v>0.09</v>
      </c>
      <c r="U185" s="134">
        <f t="shared" si="45"/>
        <v>0.09</v>
      </c>
      <c r="V185" s="134">
        <f t="shared" si="45"/>
        <v>0.09</v>
      </c>
      <c r="W185" s="134">
        <f t="shared" si="45"/>
        <v>0.09</v>
      </c>
      <c r="X185" s="134">
        <f t="shared" si="45"/>
        <v>0.09</v>
      </c>
      <c r="Y185" s="134">
        <f t="shared" si="45"/>
        <v>0.09</v>
      </c>
      <c r="Z185" s="134">
        <f t="shared" si="45"/>
        <v>0.09</v>
      </c>
      <c r="AA185" s="134">
        <f t="shared" si="45"/>
        <v>0.09</v>
      </c>
      <c r="AB185" s="134">
        <f t="shared" si="45"/>
        <v>0.09</v>
      </c>
      <c r="AC185" s="134">
        <f t="shared" si="45"/>
        <v>0.09</v>
      </c>
      <c r="AD185" s="134">
        <f t="shared" si="45"/>
        <v>0.09</v>
      </c>
      <c r="AE185" s="134">
        <f t="shared" si="45"/>
        <v>0.09</v>
      </c>
      <c r="AF185" s="134">
        <f t="shared" si="45"/>
        <v>0.09</v>
      </c>
      <c r="AG185" s="136">
        <v>0.99299999999999999</v>
      </c>
      <c r="AH185" s="55"/>
      <c r="AI185" s="56"/>
      <c r="AK185" s="57"/>
    </row>
    <row r="186" spans="1:37" x14ac:dyDescent="0.25">
      <c r="A186" s="121" t="s">
        <v>190</v>
      </c>
      <c r="B186" s="54">
        <v>0.04</v>
      </c>
      <c r="C186" s="134">
        <f t="shared" si="44"/>
        <v>0.04</v>
      </c>
      <c r="D186" s="134">
        <f t="shared" si="44"/>
        <v>0.04</v>
      </c>
      <c r="E186" s="134">
        <f t="shared" si="44"/>
        <v>0.04</v>
      </c>
      <c r="F186" s="134">
        <f t="shared" si="44"/>
        <v>0.04</v>
      </c>
      <c r="G186" s="134">
        <f t="shared" si="44"/>
        <v>0.04</v>
      </c>
      <c r="H186" s="134">
        <f t="shared" si="44"/>
        <v>0.04</v>
      </c>
      <c r="I186" s="134">
        <f t="shared" si="44"/>
        <v>0.04</v>
      </c>
      <c r="J186" s="134">
        <f t="shared" si="44"/>
        <v>0.04</v>
      </c>
      <c r="K186" s="134">
        <f t="shared" si="44"/>
        <v>0.04</v>
      </c>
      <c r="L186" s="134">
        <f t="shared" si="44"/>
        <v>0.04</v>
      </c>
      <c r="M186" s="134">
        <f t="shared" si="44"/>
        <v>0.04</v>
      </c>
      <c r="N186" s="134">
        <f t="shared" si="44"/>
        <v>0.04</v>
      </c>
      <c r="O186" s="134">
        <f t="shared" si="44"/>
        <v>0.04</v>
      </c>
      <c r="P186" s="134">
        <f t="shared" si="44"/>
        <v>0.04</v>
      </c>
      <c r="Q186" s="134">
        <f t="shared" si="44"/>
        <v>0.04</v>
      </c>
      <c r="R186" s="134">
        <f t="shared" si="45"/>
        <v>0.04</v>
      </c>
      <c r="S186" s="134">
        <f t="shared" si="45"/>
        <v>0.04</v>
      </c>
      <c r="T186" s="134">
        <f t="shared" si="45"/>
        <v>0.04</v>
      </c>
      <c r="U186" s="134">
        <f t="shared" si="45"/>
        <v>0.04</v>
      </c>
      <c r="V186" s="134">
        <f t="shared" si="45"/>
        <v>0.04</v>
      </c>
      <c r="W186" s="134">
        <f t="shared" si="45"/>
        <v>0.04</v>
      </c>
      <c r="X186" s="134">
        <f t="shared" si="45"/>
        <v>0.04</v>
      </c>
      <c r="Y186" s="134">
        <f t="shared" si="45"/>
        <v>0.04</v>
      </c>
      <c r="Z186" s="134">
        <f t="shared" si="45"/>
        <v>0.04</v>
      </c>
      <c r="AA186" s="134">
        <f t="shared" si="45"/>
        <v>0.04</v>
      </c>
      <c r="AB186" s="134">
        <f t="shared" si="45"/>
        <v>0.04</v>
      </c>
      <c r="AC186" s="134">
        <f t="shared" si="45"/>
        <v>0.04</v>
      </c>
      <c r="AD186" s="134">
        <f t="shared" si="45"/>
        <v>0.04</v>
      </c>
      <c r="AE186" s="134">
        <f t="shared" si="45"/>
        <v>0.04</v>
      </c>
      <c r="AF186" s="134">
        <f t="shared" si="45"/>
        <v>0.04</v>
      </c>
      <c r="AG186" s="136">
        <v>0.99</v>
      </c>
      <c r="AH186" s="55"/>
      <c r="AI186" s="56"/>
      <c r="AK186" s="57"/>
    </row>
    <row r="187" spans="1:37" x14ac:dyDescent="0.25">
      <c r="A187" s="121" t="s">
        <v>191</v>
      </c>
      <c r="B187" s="54">
        <v>2.3E-2</v>
      </c>
      <c r="C187" s="134">
        <f>B187</f>
        <v>2.3E-2</v>
      </c>
      <c r="D187" s="134">
        <f t="shared" si="44"/>
        <v>2.3E-2</v>
      </c>
      <c r="E187" s="134">
        <f t="shared" si="44"/>
        <v>2.3E-2</v>
      </c>
      <c r="F187" s="134">
        <f t="shared" si="44"/>
        <v>2.3E-2</v>
      </c>
      <c r="G187" s="134">
        <f t="shared" si="44"/>
        <v>2.3E-2</v>
      </c>
      <c r="H187" s="134">
        <f t="shared" si="44"/>
        <v>2.3E-2</v>
      </c>
      <c r="I187" s="134">
        <f t="shared" si="44"/>
        <v>2.3E-2</v>
      </c>
      <c r="J187" s="134">
        <f t="shared" si="44"/>
        <v>2.3E-2</v>
      </c>
      <c r="K187" s="134">
        <f t="shared" si="44"/>
        <v>2.3E-2</v>
      </c>
      <c r="L187" s="134">
        <f t="shared" si="44"/>
        <v>2.3E-2</v>
      </c>
      <c r="M187" s="134">
        <f t="shared" si="44"/>
        <v>2.3E-2</v>
      </c>
      <c r="N187" s="134">
        <f t="shared" si="44"/>
        <v>2.3E-2</v>
      </c>
      <c r="O187" s="134">
        <f t="shared" si="44"/>
        <v>2.3E-2</v>
      </c>
      <c r="P187" s="134">
        <f t="shared" si="44"/>
        <v>2.3E-2</v>
      </c>
      <c r="Q187" s="134">
        <f t="shared" si="44"/>
        <v>2.3E-2</v>
      </c>
      <c r="R187" s="134">
        <f t="shared" si="45"/>
        <v>2.3E-2</v>
      </c>
      <c r="S187" s="134">
        <f t="shared" si="45"/>
        <v>2.3E-2</v>
      </c>
      <c r="T187" s="134">
        <f t="shared" si="45"/>
        <v>2.3E-2</v>
      </c>
      <c r="U187" s="134">
        <f t="shared" si="45"/>
        <v>2.3E-2</v>
      </c>
      <c r="V187" s="134">
        <f t="shared" si="45"/>
        <v>2.3E-2</v>
      </c>
      <c r="W187" s="134">
        <f t="shared" si="45"/>
        <v>2.3E-2</v>
      </c>
      <c r="X187" s="134">
        <f t="shared" si="45"/>
        <v>2.3E-2</v>
      </c>
      <c r="Y187" s="134">
        <f t="shared" si="45"/>
        <v>2.3E-2</v>
      </c>
      <c r="Z187" s="134">
        <f t="shared" si="45"/>
        <v>2.3E-2</v>
      </c>
      <c r="AA187" s="134">
        <f t="shared" si="45"/>
        <v>2.3E-2</v>
      </c>
      <c r="AB187" s="134">
        <f t="shared" si="45"/>
        <v>2.3E-2</v>
      </c>
      <c r="AC187" s="134">
        <f t="shared" si="45"/>
        <v>2.3E-2</v>
      </c>
      <c r="AD187" s="134">
        <f t="shared" si="45"/>
        <v>2.3E-2</v>
      </c>
      <c r="AE187" s="134">
        <f t="shared" si="45"/>
        <v>2.3E-2</v>
      </c>
      <c r="AF187" s="134">
        <f t="shared" si="45"/>
        <v>2.3E-2</v>
      </c>
      <c r="AG187" s="136">
        <v>0.97899999999999998</v>
      </c>
      <c r="AH187" s="55"/>
      <c r="AI187" s="56"/>
      <c r="AK187" s="57"/>
    </row>
    <row r="188" spans="1:37" ht="15.75" thickBot="1" x14ac:dyDescent="0.3">
      <c r="A188" s="137" t="s">
        <v>192</v>
      </c>
      <c r="B188" s="138">
        <f t="shared" ref="B188:AG188" si="46">SUM(B98:B187)</f>
        <v>194.70600000000002</v>
      </c>
      <c r="C188" s="138">
        <f t="shared" si="46"/>
        <v>194.70600000000002</v>
      </c>
      <c r="D188" s="138">
        <f t="shared" si="46"/>
        <v>194.70600000000002</v>
      </c>
      <c r="E188" s="138">
        <f t="shared" si="46"/>
        <v>194.70600000000002</v>
      </c>
      <c r="F188" s="138">
        <f t="shared" si="46"/>
        <v>194.70600000000002</v>
      </c>
      <c r="G188" s="138">
        <f t="shared" si="46"/>
        <v>194.70600000000002</v>
      </c>
      <c r="H188" s="138">
        <f t="shared" si="46"/>
        <v>194.70600000000002</v>
      </c>
      <c r="I188" s="138">
        <f t="shared" si="46"/>
        <v>192.10600000000005</v>
      </c>
      <c r="J188" s="138">
        <f t="shared" si="46"/>
        <v>192.10600000000005</v>
      </c>
      <c r="K188" s="138">
        <f t="shared" si="46"/>
        <v>192.10600000000005</v>
      </c>
      <c r="L188" s="138">
        <f t="shared" si="46"/>
        <v>192.10600000000005</v>
      </c>
      <c r="M188" s="138">
        <f t="shared" si="46"/>
        <v>192.10600000000005</v>
      </c>
      <c r="N188" s="138">
        <f t="shared" si="46"/>
        <v>192.10600000000005</v>
      </c>
      <c r="O188" s="138">
        <f t="shared" si="46"/>
        <v>192.10600000000005</v>
      </c>
      <c r="P188" s="138">
        <f t="shared" si="46"/>
        <v>192.10600000000005</v>
      </c>
      <c r="Q188" s="138">
        <f t="shared" si="46"/>
        <v>192.10600000000005</v>
      </c>
      <c r="R188" s="138">
        <f t="shared" si="46"/>
        <v>192.10600000000005</v>
      </c>
      <c r="S188" s="138">
        <f t="shared" si="46"/>
        <v>192.10600000000005</v>
      </c>
      <c r="T188" s="138">
        <f t="shared" si="46"/>
        <v>192.10600000000005</v>
      </c>
      <c r="U188" s="138">
        <f t="shared" si="46"/>
        <v>192.10600000000005</v>
      </c>
      <c r="V188" s="138">
        <f t="shared" si="46"/>
        <v>192.10600000000005</v>
      </c>
      <c r="W188" s="138">
        <f t="shared" si="46"/>
        <v>192.10600000000005</v>
      </c>
      <c r="X188" s="138">
        <f t="shared" si="46"/>
        <v>192.10600000000005</v>
      </c>
      <c r="Y188" s="138">
        <f t="shared" si="46"/>
        <v>192.10600000000005</v>
      </c>
      <c r="Z188" s="138">
        <f t="shared" si="46"/>
        <v>192.10600000000005</v>
      </c>
      <c r="AA188" s="138">
        <f t="shared" si="46"/>
        <v>192.10600000000005</v>
      </c>
      <c r="AB188" s="138">
        <f t="shared" si="46"/>
        <v>192.10600000000005</v>
      </c>
      <c r="AC188" s="138">
        <f t="shared" si="46"/>
        <v>192.10600000000005</v>
      </c>
      <c r="AD188" s="138">
        <f t="shared" si="46"/>
        <v>192.10600000000005</v>
      </c>
      <c r="AE188" s="138">
        <f t="shared" si="46"/>
        <v>192.10600000000005</v>
      </c>
      <c r="AF188" s="138">
        <f t="shared" si="46"/>
        <v>192.10600000000005</v>
      </c>
      <c r="AG188" s="139">
        <f t="shared" si="46"/>
        <v>412.72299999999984</v>
      </c>
      <c r="AH188" s="55"/>
      <c r="AI188" s="56"/>
      <c r="AK188" s="57"/>
    </row>
    <row r="189" spans="1:37" ht="15.75" thickBot="1" x14ac:dyDescent="0.3">
      <c r="A189" s="28" t="s">
        <v>56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55"/>
      <c r="AI189" s="56"/>
      <c r="AK189" s="57"/>
    </row>
    <row r="190" spans="1:37" x14ac:dyDescent="0.25">
      <c r="A190" s="113" t="s">
        <v>193</v>
      </c>
      <c r="B190" s="140">
        <v>0.3</v>
      </c>
      <c r="C190" s="140">
        <f t="shared" ref="C190:R195" si="47">B190</f>
        <v>0.3</v>
      </c>
      <c r="D190" s="140">
        <f t="shared" si="47"/>
        <v>0.3</v>
      </c>
      <c r="E190" s="140">
        <f t="shared" si="47"/>
        <v>0.3</v>
      </c>
      <c r="F190" s="140">
        <f t="shared" si="47"/>
        <v>0.3</v>
      </c>
      <c r="G190" s="140">
        <f t="shared" si="47"/>
        <v>0.3</v>
      </c>
      <c r="H190" s="140">
        <f t="shared" si="47"/>
        <v>0.3</v>
      </c>
      <c r="I190" s="140">
        <f t="shared" si="47"/>
        <v>0.3</v>
      </c>
      <c r="J190" s="140">
        <f t="shared" si="47"/>
        <v>0.3</v>
      </c>
      <c r="K190" s="140">
        <f t="shared" si="47"/>
        <v>0.3</v>
      </c>
      <c r="L190" s="140">
        <f t="shared" si="47"/>
        <v>0.3</v>
      </c>
      <c r="M190" s="140">
        <f t="shared" si="47"/>
        <v>0.3</v>
      </c>
      <c r="N190" s="140">
        <f t="shared" si="47"/>
        <v>0.3</v>
      </c>
      <c r="O190" s="140">
        <f t="shared" si="47"/>
        <v>0.3</v>
      </c>
      <c r="P190" s="140">
        <f t="shared" si="47"/>
        <v>0.3</v>
      </c>
      <c r="Q190" s="140">
        <f t="shared" si="47"/>
        <v>0.3</v>
      </c>
      <c r="R190" s="140">
        <f t="shared" si="47"/>
        <v>0.3</v>
      </c>
      <c r="S190" s="140">
        <f t="shared" ref="S190:AF195" si="48">R190</f>
        <v>0.3</v>
      </c>
      <c r="T190" s="140">
        <f t="shared" si="48"/>
        <v>0.3</v>
      </c>
      <c r="U190" s="140">
        <f t="shared" si="48"/>
        <v>0.3</v>
      </c>
      <c r="V190" s="140">
        <f t="shared" si="48"/>
        <v>0.3</v>
      </c>
      <c r="W190" s="140">
        <f t="shared" si="48"/>
        <v>0.3</v>
      </c>
      <c r="X190" s="140">
        <f t="shared" si="48"/>
        <v>0.3</v>
      </c>
      <c r="Y190" s="140">
        <f t="shared" si="48"/>
        <v>0.3</v>
      </c>
      <c r="Z190" s="140">
        <f t="shared" si="48"/>
        <v>0.3</v>
      </c>
      <c r="AA190" s="140">
        <f t="shared" si="48"/>
        <v>0.3</v>
      </c>
      <c r="AB190" s="140">
        <f t="shared" si="48"/>
        <v>0.3</v>
      </c>
      <c r="AC190" s="140">
        <f t="shared" si="48"/>
        <v>0.3</v>
      </c>
      <c r="AD190" s="140">
        <f t="shared" si="48"/>
        <v>0.3</v>
      </c>
      <c r="AE190" s="140">
        <f t="shared" si="48"/>
        <v>0.3</v>
      </c>
      <c r="AF190" s="140">
        <f t="shared" si="48"/>
        <v>0.3</v>
      </c>
      <c r="AG190" s="141">
        <v>2.4</v>
      </c>
      <c r="AH190" s="55"/>
      <c r="AI190" s="56"/>
      <c r="AK190" s="57"/>
    </row>
    <row r="191" spans="1:37" x14ac:dyDescent="0.25">
      <c r="A191" s="119" t="s">
        <v>194</v>
      </c>
      <c r="B191" s="134">
        <v>0.4</v>
      </c>
      <c r="C191" s="134">
        <f t="shared" si="47"/>
        <v>0.4</v>
      </c>
      <c r="D191" s="134">
        <f t="shared" si="47"/>
        <v>0.4</v>
      </c>
      <c r="E191" s="134">
        <f t="shared" si="47"/>
        <v>0.4</v>
      </c>
      <c r="F191" s="134">
        <f t="shared" si="47"/>
        <v>0.4</v>
      </c>
      <c r="G191" s="134">
        <f t="shared" si="47"/>
        <v>0.4</v>
      </c>
      <c r="H191" s="134">
        <f t="shared" si="47"/>
        <v>0.4</v>
      </c>
      <c r="I191" s="134">
        <f t="shared" si="47"/>
        <v>0.4</v>
      </c>
      <c r="J191" s="134">
        <f t="shared" si="47"/>
        <v>0.4</v>
      </c>
      <c r="K191" s="134">
        <f t="shared" si="47"/>
        <v>0.4</v>
      </c>
      <c r="L191" s="134">
        <f t="shared" si="47"/>
        <v>0.4</v>
      </c>
      <c r="M191" s="134">
        <f t="shared" si="47"/>
        <v>0.4</v>
      </c>
      <c r="N191" s="134">
        <f t="shared" si="47"/>
        <v>0.4</v>
      </c>
      <c r="O191" s="134">
        <f t="shared" si="47"/>
        <v>0.4</v>
      </c>
      <c r="P191" s="134">
        <f t="shared" si="47"/>
        <v>0.4</v>
      </c>
      <c r="Q191" s="134">
        <f t="shared" si="47"/>
        <v>0.4</v>
      </c>
      <c r="R191" s="134">
        <f t="shared" si="47"/>
        <v>0.4</v>
      </c>
      <c r="S191" s="134">
        <f t="shared" si="48"/>
        <v>0.4</v>
      </c>
      <c r="T191" s="134">
        <f t="shared" si="48"/>
        <v>0.4</v>
      </c>
      <c r="U191" s="134">
        <f t="shared" si="48"/>
        <v>0.4</v>
      </c>
      <c r="V191" s="134">
        <f>U191</f>
        <v>0.4</v>
      </c>
      <c r="W191" s="134">
        <f>V191</f>
        <v>0.4</v>
      </c>
      <c r="X191" s="134">
        <f t="shared" si="48"/>
        <v>0.4</v>
      </c>
      <c r="Y191" s="134">
        <f t="shared" si="48"/>
        <v>0.4</v>
      </c>
      <c r="Z191" s="134">
        <f t="shared" si="48"/>
        <v>0.4</v>
      </c>
      <c r="AA191" s="134">
        <f t="shared" si="48"/>
        <v>0.4</v>
      </c>
      <c r="AB191" s="134">
        <f t="shared" si="48"/>
        <v>0.4</v>
      </c>
      <c r="AC191" s="134">
        <f t="shared" si="48"/>
        <v>0.4</v>
      </c>
      <c r="AD191" s="134">
        <f t="shared" si="48"/>
        <v>0.4</v>
      </c>
      <c r="AE191" s="134">
        <f t="shared" si="48"/>
        <v>0.4</v>
      </c>
      <c r="AF191" s="134">
        <f t="shared" si="48"/>
        <v>0.4</v>
      </c>
      <c r="AG191" s="142">
        <v>2</v>
      </c>
      <c r="AH191" s="55"/>
      <c r="AI191" s="56"/>
      <c r="AK191" s="57"/>
    </row>
    <row r="192" spans="1:37" x14ac:dyDescent="0.25">
      <c r="A192" s="119" t="s">
        <v>195</v>
      </c>
      <c r="B192" s="134">
        <v>1.5</v>
      </c>
      <c r="C192" s="134">
        <f t="shared" si="47"/>
        <v>1.5</v>
      </c>
      <c r="D192" s="134">
        <f t="shared" si="47"/>
        <v>1.5</v>
      </c>
      <c r="E192" s="134">
        <f t="shared" si="47"/>
        <v>1.5</v>
      </c>
      <c r="F192" s="134">
        <f t="shared" si="47"/>
        <v>1.5</v>
      </c>
      <c r="G192" s="134">
        <f t="shared" si="47"/>
        <v>1.5</v>
      </c>
      <c r="H192" s="134">
        <f t="shared" si="47"/>
        <v>1.5</v>
      </c>
      <c r="I192" s="134">
        <f t="shared" si="47"/>
        <v>1.5</v>
      </c>
      <c r="J192" s="134">
        <f t="shared" si="47"/>
        <v>1.5</v>
      </c>
      <c r="K192" s="134">
        <f t="shared" si="47"/>
        <v>1.5</v>
      </c>
      <c r="L192" s="134">
        <f t="shared" si="47"/>
        <v>1.5</v>
      </c>
      <c r="M192" s="134">
        <f t="shared" si="47"/>
        <v>1.5</v>
      </c>
      <c r="N192" s="134">
        <f t="shared" si="47"/>
        <v>1.5</v>
      </c>
      <c r="O192" s="134">
        <f t="shared" si="47"/>
        <v>1.5</v>
      </c>
      <c r="P192" s="134">
        <f t="shared" si="47"/>
        <v>1.5</v>
      </c>
      <c r="Q192" s="134">
        <f t="shared" si="47"/>
        <v>1.5</v>
      </c>
      <c r="R192" s="134">
        <f t="shared" si="47"/>
        <v>1.5</v>
      </c>
      <c r="S192" s="134">
        <f t="shared" si="48"/>
        <v>1.5</v>
      </c>
      <c r="T192" s="134">
        <f t="shared" si="48"/>
        <v>1.5</v>
      </c>
      <c r="U192" s="134">
        <f t="shared" si="48"/>
        <v>1.5</v>
      </c>
      <c r="V192" s="134">
        <f t="shared" si="48"/>
        <v>1.5</v>
      </c>
      <c r="W192" s="134">
        <f t="shared" si="48"/>
        <v>1.5</v>
      </c>
      <c r="X192" s="134">
        <f t="shared" si="48"/>
        <v>1.5</v>
      </c>
      <c r="Y192" s="134">
        <f t="shared" si="48"/>
        <v>1.5</v>
      </c>
      <c r="Z192" s="134">
        <f t="shared" si="48"/>
        <v>1.5</v>
      </c>
      <c r="AA192" s="134">
        <f t="shared" si="48"/>
        <v>1.5</v>
      </c>
      <c r="AB192" s="134">
        <f t="shared" si="48"/>
        <v>1.5</v>
      </c>
      <c r="AC192" s="134">
        <f t="shared" si="48"/>
        <v>1.5</v>
      </c>
      <c r="AD192" s="134">
        <f t="shared" si="48"/>
        <v>1.5</v>
      </c>
      <c r="AE192" s="134">
        <f t="shared" si="48"/>
        <v>1.5</v>
      </c>
      <c r="AF192" s="134">
        <f t="shared" si="48"/>
        <v>1.5</v>
      </c>
      <c r="AG192" s="142">
        <v>1.5</v>
      </c>
      <c r="AH192" s="55"/>
      <c r="AI192" s="56"/>
      <c r="AK192" s="57"/>
    </row>
    <row r="193" spans="1:37" x14ac:dyDescent="0.25">
      <c r="A193" s="119" t="s">
        <v>196</v>
      </c>
      <c r="B193" s="134">
        <v>0.3</v>
      </c>
      <c r="C193" s="134">
        <f t="shared" si="47"/>
        <v>0.3</v>
      </c>
      <c r="D193" s="134">
        <f t="shared" si="47"/>
        <v>0.3</v>
      </c>
      <c r="E193" s="134">
        <f t="shared" si="47"/>
        <v>0.3</v>
      </c>
      <c r="F193" s="134">
        <f t="shared" si="47"/>
        <v>0.3</v>
      </c>
      <c r="G193" s="134">
        <f t="shared" si="47"/>
        <v>0.3</v>
      </c>
      <c r="H193" s="134">
        <f t="shared" si="47"/>
        <v>0.3</v>
      </c>
      <c r="I193" s="134">
        <f t="shared" si="47"/>
        <v>0.3</v>
      </c>
      <c r="J193" s="134">
        <f t="shared" si="47"/>
        <v>0.3</v>
      </c>
      <c r="K193" s="134">
        <f t="shared" si="47"/>
        <v>0.3</v>
      </c>
      <c r="L193" s="134">
        <f t="shared" si="47"/>
        <v>0.3</v>
      </c>
      <c r="M193" s="134">
        <f t="shared" si="47"/>
        <v>0.3</v>
      </c>
      <c r="N193" s="134">
        <f t="shared" si="47"/>
        <v>0.3</v>
      </c>
      <c r="O193" s="134">
        <f t="shared" si="47"/>
        <v>0.3</v>
      </c>
      <c r="P193" s="134">
        <f t="shared" si="47"/>
        <v>0.3</v>
      </c>
      <c r="Q193" s="134">
        <f t="shared" si="47"/>
        <v>0.3</v>
      </c>
      <c r="R193" s="134">
        <f t="shared" si="47"/>
        <v>0.3</v>
      </c>
      <c r="S193" s="134">
        <f t="shared" si="48"/>
        <v>0.3</v>
      </c>
      <c r="T193" s="134">
        <f t="shared" si="48"/>
        <v>0.3</v>
      </c>
      <c r="U193" s="134">
        <f t="shared" si="48"/>
        <v>0.3</v>
      </c>
      <c r="V193" s="134">
        <f t="shared" si="48"/>
        <v>0.3</v>
      </c>
      <c r="W193" s="134">
        <f t="shared" si="48"/>
        <v>0.3</v>
      </c>
      <c r="X193" s="134">
        <f t="shared" si="48"/>
        <v>0.3</v>
      </c>
      <c r="Y193" s="134">
        <f t="shared" si="48"/>
        <v>0.3</v>
      </c>
      <c r="Z193" s="134">
        <f t="shared" si="48"/>
        <v>0.3</v>
      </c>
      <c r="AA193" s="134">
        <f t="shared" si="48"/>
        <v>0.3</v>
      </c>
      <c r="AB193" s="134">
        <f t="shared" si="48"/>
        <v>0.3</v>
      </c>
      <c r="AC193" s="134">
        <f t="shared" si="48"/>
        <v>0.3</v>
      </c>
      <c r="AD193" s="134">
        <f t="shared" si="48"/>
        <v>0.3</v>
      </c>
      <c r="AE193" s="134">
        <f t="shared" si="48"/>
        <v>0.3</v>
      </c>
      <c r="AF193" s="134">
        <f t="shared" si="48"/>
        <v>0.3</v>
      </c>
      <c r="AG193" s="142">
        <v>1</v>
      </c>
      <c r="AH193" s="55"/>
      <c r="AI193" s="56"/>
      <c r="AK193" s="57"/>
    </row>
    <row r="194" spans="1:37" x14ac:dyDescent="0.25">
      <c r="A194" s="119" t="s">
        <v>197</v>
      </c>
      <c r="B194" s="134">
        <v>0.4</v>
      </c>
      <c r="C194" s="134">
        <f t="shared" si="47"/>
        <v>0.4</v>
      </c>
      <c r="D194" s="134">
        <f t="shared" si="47"/>
        <v>0.4</v>
      </c>
      <c r="E194" s="134">
        <f t="shared" si="47"/>
        <v>0.4</v>
      </c>
      <c r="F194" s="134">
        <f t="shared" si="47"/>
        <v>0.4</v>
      </c>
      <c r="G194" s="134">
        <f t="shared" si="47"/>
        <v>0.4</v>
      </c>
      <c r="H194" s="134">
        <f t="shared" si="47"/>
        <v>0.4</v>
      </c>
      <c r="I194" s="134">
        <f t="shared" si="47"/>
        <v>0.4</v>
      </c>
      <c r="J194" s="134">
        <f t="shared" si="47"/>
        <v>0.4</v>
      </c>
      <c r="K194" s="134">
        <f t="shared" si="47"/>
        <v>0.4</v>
      </c>
      <c r="L194" s="134">
        <f t="shared" si="47"/>
        <v>0.4</v>
      </c>
      <c r="M194" s="134">
        <f t="shared" si="47"/>
        <v>0.4</v>
      </c>
      <c r="N194" s="134">
        <f t="shared" si="47"/>
        <v>0.4</v>
      </c>
      <c r="O194" s="134">
        <f t="shared" si="47"/>
        <v>0.4</v>
      </c>
      <c r="P194" s="134">
        <f t="shared" si="47"/>
        <v>0.4</v>
      </c>
      <c r="Q194" s="134">
        <f t="shared" si="47"/>
        <v>0.4</v>
      </c>
      <c r="R194" s="134">
        <f t="shared" si="47"/>
        <v>0.4</v>
      </c>
      <c r="S194" s="134">
        <f t="shared" si="48"/>
        <v>0.4</v>
      </c>
      <c r="T194" s="134">
        <f t="shared" si="48"/>
        <v>0.4</v>
      </c>
      <c r="U194" s="134">
        <f t="shared" si="48"/>
        <v>0.4</v>
      </c>
      <c r="V194" s="134">
        <f t="shared" si="48"/>
        <v>0.4</v>
      </c>
      <c r="W194" s="134">
        <f t="shared" si="48"/>
        <v>0.4</v>
      </c>
      <c r="X194" s="134">
        <f t="shared" si="48"/>
        <v>0.4</v>
      </c>
      <c r="Y194" s="134">
        <f t="shared" si="48"/>
        <v>0.4</v>
      </c>
      <c r="Z194" s="134">
        <f t="shared" si="48"/>
        <v>0.4</v>
      </c>
      <c r="AA194" s="134">
        <f t="shared" si="48"/>
        <v>0.4</v>
      </c>
      <c r="AB194" s="134">
        <f t="shared" si="48"/>
        <v>0.4</v>
      </c>
      <c r="AC194" s="134">
        <f t="shared" si="48"/>
        <v>0.4</v>
      </c>
      <c r="AD194" s="134">
        <f t="shared" si="48"/>
        <v>0.4</v>
      </c>
      <c r="AE194" s="134">
        <f t="shared" si="48"/>
        <v>0.4</v>
      </c>
      <c r="AF194" s="134">
        <f t="shared" si="48"/>
        <v>0.4</v>
      </c>
      <c r="AG194" s="142">
        <v>1</v>
      </c>
      <c r="AH194" s="55"/>
      <c r="AI194" s="56"/>
      <c r="AK194" s="57"/>
    </row>
    <row r="195" spans="1:37" ht="15.75" thickBot="1" x14ac:dyDescent="0.3">
      <c r="A195" s="121" t="s">
        <v>198</v>
      </c>
      <c r="B195" s="143">
        <v>0.64</v>
      </c>
      <c r="C195" s="143">
        <f t="shared" si="47"/>
        <v>0.64</v>
      </c>
      <c r="D195" s="143">
        <f t="shared" si="47"/>
        <v>0.64</v>
      </c>
      <c r="E195" s="143">
        <f t="shared" si="47"/>
        <v>0.64</v>
      </c>
      <c r="F195" s="143">
        <f t="shared" si="47"/>
        <v>0.64</v>
      </c>
      <c r="G195" s="143">
        <f t="shared" si="47"/>
        <v>0.64</v>
      </c>
      <c r="H195" s="143">
        <f t="shared" si="47"/>
        <v>0.64</v>
      </c>
      <c r="I195" s="143">
        <f t="shared" si="47"/>
        <v>0.64</v>
      </c>
      <c r="J195" s="143">
        <f t="shared" si="47"/>
        <v>0.64</v>
      </c>
      <c r="K195" s="143">
        <f t="shared" si="47"/>
        <v>0.64</v>
      </c>
      <c r="L195" s="143">
        <f t="shared" si="47"/>
        <v>0.64</v>
      </c>
      <c r="M195" s="143">
        <f t="shared" si="47"/>
        <v>0.64</v>
      </c>
      <c r="N195" s="143">
        <f t="shared" si="47"/>
        <v>0.64</v>
      </c>
      <c r="O195" s="143">
        <f t="shared" si="47"/>
        <v>0.64</v>
      </c>
      <c r="P195" s="143">
        <f t="shared" si="47"/>
        <v>0.64</v>
      </c>
      <c r="Q195" s="143">
        <f t="shared" si="47"/>
        <v>0.64</v>
      </c>
      <c r="R195" s="143">
        <f t="shared" si="47"/>
        <v>0.64</v>
      </c>
      <c r="S195" s="143">
        <f t="shared" si="48"/>
        <v>0.64</v>
      </c>
      <c r="T195" s="143">
        <f t="shared" si="48"/>
        <v>0.64</v>
      </c>
      <c r="U195" s="143">
        <f t="shared" si="48"/>
        <v>0.64</v>
      </c>
      <c r="V195" s="143">
        <f t="shared" si="48"/>
        <v>0.64</v>
      </c>
      <c r="W195" s="143">
        <f t="shared" si="48"/>
        <v>0.64</v>
      </c>
      <c r="X195" s="143">
        <f t="shared" si="48"/>
        <v>0.64</v>
      </c>
      <c r="Y195" s="143">
        <f t="shared" si="48"/>
        <v>0.64</v>
      </c>
      <c r="Z195" s="143">
        <f t="shared" si="48"/>
        <v>0.64</v>
      </c>
      <c r="AA195" s="143">
        <f t="shared" si="48"/>
        <v>0.64</v>
      </c>
      <c r="AB195" s="143">
        <f t="shared" si="48"/>
        <v>0.64</v>
      </c>
      <c r="AC195" s="143">
        <f t="shared" si="48"/>
        <v>0.64</v>
      </c>
      <c r="AD195" s="143">
        <f t="shared" si="48"/>
        <v>0.64</v>
      </c>
      <c r="AE195" s="143">
        <f t="shared" si="48"/>
        <v>0.64</v>
      </c>
      <c r="AF195" s="143">
        <f t="shared" si="48"/>
        <v>0.64</v>
      </c>
      <c r="AG195" s="144">
        <v>0.66</v>
      </c>
      <c r="AH195" s="55"/>
      <c r="AI195" s="56"/>
    </row>
    <row r="196" spans="1:37" ht="15.75" thickBot="1" x14ac:dyDescent="0.3">
      <c r="A196" s="145" t="s">
        <v>56</v>
      </c>
      <c r="B196" s="146">
        <f>SUM(B190:B195)</f>
        <v>3.54</v>
      </c>
      <c r="C196" s="146">
        <f t="shared" ref="C196:K196" si="49">SUM(C190:C195)</f>
        <v>3.54</v>
      </c>
      <c r="D196" s="146">
        <f t="shared" si="49"/>
        <v>3.54</v>
      </c>
      <c r="E196" s="146">
        <f t="shared" si="49"/>
        <v>3.54</v>
      </c>
      <c r="F196" s="146">
        <f t="shared" si="49"/>
        <v>3.54</v>
      </c>
      <c r="G196" s="146">
        <f t="shared" si="49"/>
        <v>3.54</v>
      </c>
      <c r="H196" s="146">
        <f t="shared" si="49"/>
        <v>3.54</v>
      </c>
      <c r="I196" s="146">
        <f t="shared" si="49"/>
        <v>3.54</v>
      </c>
      <c r="J196" s="146">
        <f t="shared" si="49"/>
        <v>3.54</v>
      </c>
      <c r="K196" s="146">
        <f t="shared" si="49"/>
        <v>3.54</v>
      </c>
      <c r="L196" s="146">
        <f>SUM(L190:L195)</f>
        <v>3.54</v>
      </c>
      <c r="M196" s="146">
        <f t="shared" ref="M196:R196" si="50">SUM(M190:M195)</f>
        <v>3.54</v>
      </c>
      <c r="N196" s="146">
        <f t="shared" si="50"/>
        <v>3.54</v>
      </c>
      <c r="O196" s="146">
        <f t="shared" si="50"/>
        <v>3.54</v>
      </c>
      <c r="P196" s="146">
        <f t="shared" si="50"/>
        <v>3.54</v>
      </c>
      <c r="Q196" s="146">
        <f t="shared" si="50"/>
        <v>3.54</v>
      </c>
      <c r="R196" s="146">
        <f t="shared" si="50"/>
        <v>3.54</v>
      </c>
      <c r="S196" s="146">
        <f>SUM(S190:S195)</f>
        <v>3.54</v>
      </c>
      <c r="T196" s="146">
        <f t="shared" ref="T196:AG196" si="51">SUM(T190:T195)</f>
        <v>3.54</v>
      </c>
      <c r="U196" s="146">
        <f t="shared" si="51"/>
        <v>3.54</v>
      </c>
      <c r="V196" s="146">
        <f t="shared" si="51"/>
        <v>3.54</v>
      </c>
      <c r="W196" s="146">
        <f t="shared" si="51"/>
        <v>3.54</v>
      </c>
      <c r="X196" s="146">
        <f t="shared" si="51"/>
        <v>3.54</v>
      </c>
      <c r="Y196" s="146">
        <f t="shared" si="51"/>
        <v>3.54</v>
      </c>
      <c r="Z196" s="146">
        <f t="shared" si="51"/>
        <v>3.54</v>
      </c>
      <c r="AA196" s="146">
        <f t="shared" si="51"/>
        <v>3.54</v>
      </c>
      <c r="AB196" s="146">
        <f t="shared" si="51"/>
        <v>3.54</v>
      </c>
      <c r="AC196" s="146">
        <f t="shared" si="51"/>
        <v>3.54</v>
      </c>
      <c r="AD196" s="146">
        <f t="shared" si="51"/>
        <v>3.54</v>
      </c>
      <c r="AE196" s="146">
        <f t="shared" si="51"/>
        <v>3.54</v>
      </c>
      <c r="AF196" s="146">
        <f t="shared" si="51"/>
        <v>3.54</v>
      </c>
      <c r="AG196" s="147">
        <f t="shared" si="51"/>
        <v>8.56</v>
      </c>
      <c r="AH196" s="55"/>
      <c r="AI196" s="56"/>
    </row>
    <row r="197" spans="1:37" ht="15.75" thickBot="1" x14ac:dyDescent="0.3"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109"/>
      <c r="AH197" s="47"/>
    </row>
    <row r="198" spans="1:37" x14ac:dyDescent="0.25">
      <c r="A198" s="92" t="s">
        <v>199</v>
      </c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9"/>
      <c r="AG198" s="47"/>
      <c r="AH198" s="55"/>
      <c r="AI198" s="56"/>
    </row>
    <row r="199" spans="1:37" x14ac:dyDescent="0.25">
      <c r="A199" s="150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153"/>
      <c r="AH199" s="55"/>
      <c r="AI199" s="56"/>
    </row>
    <row r="200" spans="1:37" x14ac:dyDescent="0.25">
      <c r="A200" s="96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3"/>
      <c r="AH200" s="55"/>
      <c r="AI200" s="56"/>
    </row>
    <row r="201" spans="1:37" x14ac:dyDescent="0.25">
      <c r="A201" s="96" t="s">
        <v>202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ht="15.75" thickBot="1" x14ac:dyDescent="0.3">
      <c r="A202" s="156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3"/>
      <c r="AH202" s="55"/>
      <c r="AI202" s="56"/>
    </row>
    <row r="203" spans="1:37" x14ac:dyDescent="0.25"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</row>
    <row r="204" spans="1:37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159" t="s">
        <v>204</v>
      </c>
      <c r="B205" s="160">
        <f>MAX(F72:M72)</f>
        <v>992.24</v>
      </c>
      <c r="C205" s="161">
        <f>INDEX(F9:M9,1,MATCH(MAX(F72:M72),F72:M72,0))</f>
        <v>0.375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162" t="str">
        <f ca="1">MID(CELL("filename",C7),FIND("]",CELL("filename",C7))+1,600)</f>
        <v>2</v>
      </c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97" t="s">
        <v>205</v>
      </c>
      <c r="B207" s="197"/>
      <c r="C207" s="47"/>
      <c r="D207" s="162" t="str">
        <f ca="1">"Pie Chart of Daily Peak Demand(Inclusive of Export) of Nepal ("&amp;A4&amp;" "&amp;B4&amp;")"</f>
        <v>Pie Chart of Daily Peak Demand(Inclusive of Export) of Nepal (Nepali Date: 2078/06/2)</v>
      </c>
      <c r="E207" s="47"/>
      <c r="F207" s="47"/>
      <c r="G207" s="162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"Daily Load Curve(Excluding of Export) of Nepal ("&amp;A4&amp;" "&amp;B4&amp;")"</f>
        <v>Daily Load Curve(Excluding of Export) of Nepal (Nepali Date: 2078/06/2)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ht="12.75" customHeight="1" thickBot="1" x14ac:dyDescent="0.3">
      <c r="A208" s="163" t="s">
        <v>7</v>
      </c>
      <c r="B208" s="164"/>
      <c r="C208" s="47"/>
      <c r="D208" s="16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5.75" thickTop="1" x14ac:dyDescent="0.25">
      <c r="A209" s="163" t="s">
        <v>206</v>
      </c>
      <c r="B209" s="164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6" t="s">
        <v>207</v>
      </c>
      <c r="T209" s="167">
        <v>4.1666666666666664E-2</v>
      </c>
      <c r="U209" s="168">
        <v>8.3333333333333301E-2</v>
      </c>
      <c r="V209" s="168">
        <v>0.125</v>
      </c>
      <c r="W209" s="168">
        <v>0.16666666666666699</v>
      </c>
      <c r="X209" s="168">
        <v>0.20833333333333301</v>
      </c>
      <c r="Y209" s="168">
        <v>0.22916666666666666</v>
      </c>
      <c r="Z209" s="168">
        <v>0.25</v>
      </c>
      <c r="AA209" s="168">
        <v>0.27083333333333331</v>
      </c>
      <c r="AB209" s="168">
        <v>0.29166666666666669</v>
      </c>
      <c r="AC209" s="168">
        <v>0.3125</v>
      </c>
      <c r="AD209" s="169">
        <v>0.33333333333333331</v>
      </c>
      <c r="AE209" s="169">
        <v>0.375</v>
      </c>
      <c r="AF209" s="169">
        <v>0.41666666666666702</v>
      </c>
      <c r="AG209" s="169">
        <v>0.45833333333333298</v>
      </c>
      <c r="AH209" s="169">
        <v>0.5</v>
      </c>
      <c r="AI209" s="169">
        <v>0.54166666666666696</v>
      </c>
      <c r="AJ209" s="169">
        <v>0.58333333333333304</v>
      </c>
      <c r="AK209" s="169">
        <v>0.625</v>
      </c>
      <c r="AL209" s="169">
        <v>0.66666666666666696</v>
      </c>
      <c r="AM209" s="169">
        <v>0.70833333333333304</v>
      </c>
      <c r="AN209" s="169">
        <v>0.72916666666666663</v>
      </c>
      <c r="AO209" s="169">
        <v>0.75</v>
      </c>
      <c r="AP209" s="169">
        <v>0.77083333333333337</v>
      </c>
      <c r="AQ209" s="169">
        <v>0.79166666666666663</v>
      </c>
      <c r="AR209" s="169">
        <v>0.8125</v>
      </c>
      <c r="AS209" s="168">
        <v>0.83333333333333337</v>
      </c>
      <c r="AT209" s="168">
        <v>0.85416666666666663</v>
      </c>
      <c r="AU209" s="168">
        <v>0.875</v>
      </c>
      <c r="AV209" s="168">
        <v>0.91666666666666696</v>
      </c>
      <c r="AW209" s="168">
        <v>0.95833333333333304</v>
      </c>
      <c r="AX209" s="168">
        <v>1</v>
      </c>
    </row>
    <row r="210" spans="1:50" x14ac:dyDescent="0.25">
      <c r="A210" s="163" t="s">
        <v>208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 t="s">
        <v>209</v>
      </c>
      <c r="T210" s="170">
        <f t="shared" ref="T210:AX210" si="52">B72</f>
        <v>799.83999999999992</v>
      </c>
      <c r="U210" s="170">
        <f t="shared" si="52"/>
        <v>782.83999999999992</v>
      </c>
      <c r="V210" s="170">
        <f t="shared" si="52"/>
        <v>760.2399999999999</v>
      </c>
      <c r="W210" s="170">
        <f t="shared" si="52"/>
        <v>751.93999999999983</v>
      </c>
      <c r="X210" s="170">
        <f t="shared" si="52"/>
        <v>767.14</v>
      </c>
      <c r="Y210" s="170">
        <f t="shared" si="52"/>
        <v>768.74</v>
      </c>
      <c r="Z210" s="170">
        <f t="shared" si="52"/>
        <v>765.33999999999992</v>
      </c>
      <c r="AA210" s="170">
        <f t="shared" si="52"/>
        <v>823.7399999999999</v>
      </c>
      <c r="AB210" s="170">
        <f t="shared" si="52"/>
        <v>860.64</v>
      </c>
      <c r="AC210" s="170">
        <f t="shared" si="52"/>
        <v>891.63999999999987</v>
      </c>
      <c r="AD210" s="170">
        <f t="shared" si="52"/>
        <v>926.34000000000015</v>
      </c>
      <c r="AE210" s="170">
        <f t="shared" si="52"/>
        <v>992.24</v>
      </c>
      <c r="AF210" s="170">
        <f t="shared" si="52"/>
        <v>1016.3399999999999</v>
      </c>
      <c r="AG210" s="170">
        <f t="shared" si="52"/>
        <v>1041.44</v>
      </c>
      <c r="AH210" s="170">
        <f t="shared" si="52"/>
        <v>1057.1400000000001</v>
      </c>
      <c r="AI210" s="170">
        <f t="shared" si="52"/>
        <v>1078.24</v>
      </c>
      <c r="AJ210" s="170">
        <f t="shared" si="52"/>
        <v>1120.24</v>
      </c>
      <c r="AK210" s="170">
        <f t="shared" si="52"/>
        <v>1095.74</v>
      </c>
      <c r="AL210" s="170">
        <f t="shared" si="52"/>
        <v>1014.44</v>
      </c>
      <c r="AM210" s="170">
        <f t="shared" si="52"/>
        <v>1049.94</v>
      </c>
      <c r="AN210" s="170">
        <f t="shared" si="52"/>
        <v>1064.94</v>
      </c>
      <c r="AO210" s="170">
        <f t="shared" si="52"/>
        <v>1084.1399999999999</v>
      </c>
      <c r="AP210" s="170">
        <f t="shared" si="52"/>
        <v>1176.04</v>
      </c>
      <c r="AQ210" s="170">
        <f t="shared" si="52"/>
        <v>1363.64</v>
      </c>
      <c r="AR210" s="170">
        <f t="shared" si="52"/>
        <v>1349.04</v>
      </c>
      <c r="AS210" s="170">
        <f t="shared" si="52"/>
        <v>1308.6400000000001</v>
      </c>
      <c r="AT210" s="170">
        <f t="shared" si="52"/>
        <v>1297.04</v>
      </c>
      <c r="AU210" s="170">
        <f t="shared" si="52"/>
        <v>1210.6400000000001</v>
      </c>
      <c r="AV210" s="170">
        <f t="shared" si="52"/>
        <v>1113.3400000000001</v>
      </c>
      <c r="AW210" s="170">
        <f t="shared" si="52"/>
        <v>1043.3400000000001</v>
      </c>
      <c r="AX210" s="170">
        <f t="shared" si="52"/>
        <v>1081.24</v>
      </c>
    </row>
    <row r="211" spans="1:50" x14ac:dyDescent="0.25">
      <c r="A211" s="163" t="s">
        <v>210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63" t="s">
        <v>211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212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213</v>
      </c>
      <c r="B214" s="171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214</v>
      </c>
      <c r="B215" s="16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A231" s="172" t="s">
        <v>199</v>
      </c>
      <c r="B231" s="173">
        <f t="shared" ref="B231:AF231" si="53">B195</f>
        <v>0.64</v>
      </c>
      <c r="C231" s="173">
        <f t="shared" si="53"/>
        <v>0.64</v>
      </c>
      <c r="D231" s="173">
        <f t="shared" si="53"/>
        <v>0.64</v>
      </c>
      <c r="E231" s="173">
        <f t="shared" si="53"/>
        <v>0.64</v>
      </c>
      <c r="F231" s="173">
        <f t="shared" si="53"/>
        <v>0.64</v>
      </c>
      <c r="G231" s="173">
        <f t="shared" si="53"/>
        <v>0.64</v>
      </c>
      <c r="H231" s="173">
        <f t="shared" si="53"/>
        <v>0.64</v>
      </c>
      <c r="I231" s="173">
        <f t="shared" si="53"/>
        <v>0.64</v>
      </c>
      <c r="J231" s="173">
        <f t="shared" si="53"/>
        <v>0.64</v>
      </c>
      <c r="K231" s="173">
        <f t="shared" si="53"/>
        <v>0.64</v>
      </c>
      <c r="L231" s="173">
        <f t="shared" si="53"/>
        <v>0.64</v>
      </c>
      <c r="M231" s="173">
        <f t="shared" si="53"/>
        <v>0.64</v>
      </c>
      <c r="N231" s="173">
        <f t="shared" si="53"/>
        <v>0.64</v>
      </c>
      <c r="O231" s="173">
        <f t="shared" si="53"/>
        <v>0.64</v>
      </c>
      <c r="P231" s="173">
        <f t="shared" si="53"/>
        <v>0.64</v>
      </c>
      <c r="Q231" s="173">
        <f t="shared" si="53"/>
        <v>0.64</v>
      </c>
      <c r="R231" s="173">
        <f t="shared" si="53"/>
        <v>0.64</v>
      </c>
      <c r="S231" s="173">
        <f t="shared" si="53"/>
        <v>0.64</v>
      </c>
      <c r="T231" s="173">
        <f t="shared" si="53"/>
        <v>0.64</v>
      </c>
      <c r="U231" s="173">
        <f t="shared" si="53"/>
        <v>0.64</v>
      </c>
      <c r="V231" s="173">
        <f t="shared" si="53"/>
        <v>0.64</v>
      </c>
      <c r="W231" s="173">
        <f t="shared" si="53"/>
        <v>0.64</v>
      </c>
      <c r="X231" s="173">
        <f t="shared" si="53"/>
        <v>0.64</v>
      </c>
      <c r="Y231" s="173">
        <f t="shared" si="53"/>
        <v>0.64</v>
      </c>
      <c r="Z231" s="173">
        <f t="shared" si="53"/>
        <v>0.64</v>
      </c>
      <c r="AA231" s="173">
        <f t="shared" si="53"/>
        <v>0.64</v>
      </c>
      <c r="AB231" s="173">
        <f t="shared" si="53"/>
        <v>0.64</v>
      </c>
      <c r="AC231" s="173">
        <f t="shared" si="53"/>
        <v>0.64</v>
      </c>
      <c r="AD231" s="173">
        <f t="shared" si="53"/>
        <v>0.64</v>
      </c>
      <c r="AE231" s="173">
        <f t="shared" si="53"/>
        <v>0.64</v>
      </c>
      <c r="AF231" s="173">
        <f t="shared" si="53"/>
        <v>0.64</v>
      </c>
      <c r="AG231" s="47"/>
      <c r="AH231" s="47"/>
    </row>
    <row r="232" spans="1:34" x14ac:dyDescent="0.25">
      <c r="A232" s="117" t="str">
        <f>A199</f>
        <v>KGA</v>
      </c>
      <c r="B232" s="117" t="str">
        <f>IF(B199&lt;100,"",B199-520)</f>
        <v/>
      </c>
      <c r="C232" s="117" t="str">
        <f t="shared" ref="C232:AF232" si="54">IF(C199&lt;100,"",C199-520)</f>
        <v/>
      </c>
      <c r="D232" s="117" t="str">
        <f t="shared" si="54"/>
        <v/>
      </c>
      <c r="E232" s="117" t="str">
        <f t="shared" si="54"/>
        <v/>
      </c>
      <c r="F232" s="117" t="str">
        <f t="shared" si="54"/>
        <v/>
      </c>
      <c r="G232" s="117" t="str">
        <f t="shared" si="54"/>
        <v/>
      </c>
      <c r="H232" s="117" t="str">
        <f t="shared" si="54"/>
        <v/>
      </c>
      <c r="I232" s="117" t="str">
        <f t="shared" si="54"/>
        <v/>
      </c>
      <c r="J232" s="117" t="str">
        <f t="shared" si="54"/>
        <v/>
      </c>
      <c r="K232" s="117" t="str">
        <f t="shared" si="54"/>
        <v/>
      </c>
      <c r="L232" s="117" t="str">
        <f t="shared" si="54"/>
        <v/>
      </c>
      <c r="M232" s="117" t="str">
        <f t="shared" si="54"/>
        <v/>
      </c>
      <c r="N232" s="117" t="str">
        <f t="shared" si="54"/>
        <v/>
      </c>
      <c r="O232" s="117" t="str">
        <f t="shared" si="54"/>
        <v/>
      </c>
      <c r="P232" s="117" t="str">
        <f t="shared" si="54"/>
        <v/>
      </c>
      <c r="Q232" s="117" t="str">
        <f t="shared" si="54"/>
        <v/>
      </c>
      <c r="R232" s="117" t="str">
        <f t="shared" si="54"/>
        <v/>
      </c>
      <c r="S232" s="117" t="str">
        <f t="shared" si="54"/>
        <v/>
      </c>
      <c r="T232" s="117" t="str">
        <f t="shared" si="54"/>
        <v/>
      </c>
      <c r="U232" s="117" t="str">
        <f t="shared" si="54"/>
        <v/>
      </c>
      <c r="V232" s="117" t="str">
        <f t="shared" si="54"/>
        <v/>
      </c>
      <c r="W232" s="117" t="str">
        <f t="shared" si="54"/>
        <v/>
      </c>
      <c r="X232" s="117" t="str">
        <f t="shared" si="54"/>
        <v/>
      </c>
      <c r="Y232" s="117" t="str">
        <f t="shared" si="54"/>
        <v/>
      </c>
      <c r="Z232" s="117" t="str">
        <f t="shared" si="54"/>
        <v/>
      </c>
      <c r="AA232" s="117" t="str">
        <f t="shared" si="54"/>
        <v/>
      </c>
      <c r="AB232" s="117" t="str">
        <f t="shared" si="54"/>
        <v/>
      </c>
      <c r="AC232" s="117" t="str">
        <f t="shared" si="54"/>
        <v/>
      </c>
      <c r="AD232" s="117" t="str">
        <f t="shared" si="54"/>
        <v/>
      </c>
      <c r="AE232" s="117" t="str">
        <f t="shared" si="54"/>
        <v/>
      </c>
      <c r="AF232" s="117" t="str">
        <f t="shared" si="54"/>
        <v/>
      </c>
      <c r="AG232" s="47"/>
      <c r="AH232" s="47"/>
    </row>
    <row r="233" spans="1:34" x14ac:dyDescent="0.25">
      <c r="A233" s="117" t="str">
        <f>A200</f>
        <v>MMRS</v>
      </c>
      <c r="B233" s="117" t="str">
        <f t="shared" ref="B233:AF233" si="55">IF(B200&lt;100,"",B200-620)</f>
        <v/>
      </c>
      <c r="C233" s="117" t="str">
        <f t="shared" si="55"/>
        <v/>
      </c>
      <c r="D233" s="117" t="str">
        <f t="shared" si="55"/>
        <v/>
      </c>
      <c r="E233" s="117" t="str">
        <f t="shared" si="55"/>
        <v/>
      </c>
      <c r="F233" s="117" t="str">
        <f t="shared" si="55"/>
        <v/>
      </c>
      <c r="G233" s="117" t="str">
        <f t="shared" si="55"/>
        <v/>
      </c>
      <c r="H233" s="117" t="str">
        <f t="shared" si="55"/>
        <v/>
      </c>
      <c r="I233" s="117" t="str">
        <f t="shared" si="55"/>
        <v/>
      </c>
      <c r="J233" s="117" t="str">
        <f t="shared" si="55"/>
        <v/>
      </c>
      <c r="K233" s="117" t="str">
        <f t="shared" si="55"/>
        <v/>
      </c>
      <c r="L233" s="117" t="str">
        <f t="shared" si="55"/>
        <v/>
      </c>
      <c r="M233" s="117" t="str">
        <f t="shared" si="55"/>
        <v/>
      </c>
      <c r="N233" s="117" t="str">
        <f t="shared" si="55"/>
        <v/>
      </c>
      <c r="O233" s="117" t="str">
        <f t="shared" si="55"/>
        <v/>
      </c>
      <c r="P233" s="117" t="str">
        <f t="shared" si="55"/>
        <v/>
      </c>
      <c r="Q233" s="117" t="str">
        <f t="shared" si="55"/>
        <v/>
      </c>
      <c r="R233" s="117" t="str">
        <f t="shared" si="55"/>
        <v/>
      </c>
      <c r="S233" s="117" t="str">
        <f t="shared" si="55"/>
        <v/>
      </c>
      <c r="T233" s="117" t="str">
        <f t="shared" si="55"/>
        <v/>
      </c>
      <c r="U233" s="117" t="str">
        <f t="shared" si="55"/>
        <v/>
      </c>
      <c r="V233" s="117" t="str">
        <f t="shared" si="55"/>
        <v/>
      </c>
      <c r="W233" s="117" t="str">
        <f t="shared" si="55"/>
        <v/>
      </c>
      <c r="X233" s="117" t="str">
        <f t="shared" si="55"/>
        <v/>
      </c>
      <c r="Y233" s="117" t="str">
        <f t="shared" si="55"/>
        <v/>
      </c>
      <c r="Z233" s="117" t="str">
        <f t="shared" si="55"/>
        <v/>
      </c>
      <c r="AA233" s="117" t="str">
        <f t="shared" si="55"/>
        <v/>
      </c>
      <c r="AB233" s="117" t="str">
        <f t="shared" si="55"/>
        <v/>
      </c>
      <c r="AC233" s="117" t="str">
        <f t="shared" si="55"/>
        <v/>
      </c>
      <c r="AD233" s="117" t="str">
        <f t="shared" si="55"/>
        <v/>
      </c>
      <c r="AE233" s="117" t="str">
        <f t="shared" si="55"/>
        <v/>
      </c>
      <c r="AF233" s="117" t="str">
        <f t="shared" si="55"/>
        <v/>
      </c>
      <c r="AG233" s="47"/>
      <c r="AH233" s="47"/>
    </row>
    <row r="234" spans="1:34" x14ac:dyDescent="0.25">
      <c r="A234" s="117" t="str">
        <f>A201</f>
        <v>MRS</v>
      </c>
      <c r="B234" s="117" t="str">
        <f t="shared" ref="B234:AF234" si="56">IF(B201&lt;100,"",B201-330)</f>
        <v/>
      </c>
      <c r="C234" s="117" t="str">
        <f t="shared" si="56"/>
        <v/>
      </c>
      <c r="D234" s="117" t="str">
        <f t="shared" si="56"/>
        <v/>
      </c>
      <c r="E234" s="117" t="str">
        <f t="shared" si="56"/>
        <v/>
      </c>
      <c r="F234" s="117" t="str">
        <f t="shared" si="56"/>
        <v/>
      </c>
      <c r="G234" s="117" t="str">
        <f t="shared" si="56"/>
        <v/>
      </c>
      <c r="H234" s="117" t="str">
        <f t="shared" si="56"/>
        <v/>
      </c>
      <c r="I234" s="117" t="str">
        <f t="shared" si="56"/>
        <v/>
      </c>
      <c r="J234" s="117" t="str">
        <f t="shared" si="56"/>
        <v/>
      </c>
      <c r="K234" s="117" t="str">
        <f t="shared" si="56"/>
        <v/>
      </c>
      <c r="L234" s="117" t="str">
        <f t="shared" si="56"/>
        <v/>
      </c>
      <c r="M234" s="117" t="str">
        <f t="shared" si="56"/>
        <v/>
      </c>
      <c r="N234" s="117" t="str">
        <f t="shared" si="56"/>
        <v/>
      </c>
      <c r="O234" s="117" t="str">
        <f t="shared" si="56"/>
        <v/>
      </c>
      <c r="P234" s="117" t="str">
        <f t="shared" si="56"/>
        <v/>
      </c>
      <c r="Q234" s="117" t="str">
        <f t="shared" si="56"/>
        <v/>
      </c>
      <c r="R234" s="117" t="str">
        <f t="shared" si="56"/>
        <v/>
      </c>
      <c r="S234" s="117" t="str">
        <f t="shared" si="56"/>
        <v/>
      </c>
      <c r="T234" s="117" t="str">
        <f t="shared" si="56"/>
        <v/>
      </c>
      <c r="U234" s="117" t="str">
        <f t="shared" si="56"/>
        <v/>
      </c>
      <c r="V234" s="117" t="str">
        <f t="shared" si="56"/>
        <v/>
      </c>
      <c r="W234" s="117" t="str">
        <f t="shared" si="56"/>
        <v/>
      </c>
      <c r="X234" s="117" t="str">
        <f t="shared" si="56"/>
        <v/>
      </c>
      <c r="Y234" s="117" t="str">
        <f t="shared" si="56"/>
        <v/>
      </c>
      <c r="Z234" s="117" t="str">
        <f t="shared" si="56"/>
        <v/>
      </c>
      <c r="AA234" s="117" t="str">
        <f t="shared" si="56"/>
        <v/>
      </c>
      <c r="AB234" s="117" t="str">
        <f t="shared" si="56"/>
        <v/>
      </c>
      <c r="AC234" s="117" t="str">
        <f t="shared" si="56"/>
        <v/>
      </c>
      <c r="AD234" s="117" t="str">
        <f t="shared" si="56"/>
        <v/>
      </c>
      <c r="AE234" s="117" t="str">
        <f t="shared" si="56"/>
        <v/>
      </c>
      <c r="AF234" s="117" t="str">
        <f t="shared" si="56"/>
        <v/>
      </c>
      <c r="AG234" s="47"/>
      <c r="AH234" s="47"/>
    </row>
    <row r="235" spans="1:34" x14ac:dyDescent="0.25">
      <c r="A235" s="117" t="str">
        <f>A202</f>
        <v>KL 1</v>
      </c>
      <c r="B235" s="117" t="str">
        <f>IF(B202&lt;100,"",B202-1500)</f>
        <v/>
      </c>
      <c r="C235" s="117" t="str">
        <f t="shared" ref="C235:AF235" si="57">IF(C202&lt;100,"",C202-1500)</f>
        <v/>
      </c>
      <c r="D235" s="117" t="str">
        <f t="shared" si="57"/>
        <v/>
      </c>
      <c r="E235" s="117" t="str">
        <f t="shared" si="57"/>
        <v/>
      </c>
      <c r="F235" s="117" t="str">
        <f t="shared" si="57"/>
        <v/>
      </c>
      <c r="G235" s="117" t="str">
        <f t="shared" si="57"/>
        <v/>
      </c>
      <c r="H235" s="117" t="str">
        <f t="shared" si="57"/>
        <v/>
      </c>
      <c r="I235" s="117" t="str">
        <f t="shared" si="57"/>
        <v/>
      </c>
      <c r="J235" s="117" t="str">
        <f t="shared" si="57"/>
        <v/>
      </c>
      <c r="K235" s="117" t="str">
        <f t="shared" si="57"/>
        <v/>
      </c>
      <c r="L235" s="117" t="str">
        <f t="shared" si="57"/>
        <v/>
      </c>
      <c r="M235" s="117" t="str">
        <f t="shared" si="57"/>
        <v/>
      </c>
      <c r="N235" s="117" t="str">
        <f t="shared" si="57"/>
        <v/>
      </c>
      <c r="O235" s="117" t="str">
        <f t="shared" si="57"/>
        <v/>
      </c>
      <c r="P235" s="117" t="str">
        <f t="shared" si="57"/>
        <v/>
      </c>
      <c r="Q235" s="117" t="str">
        <f t="shared" si="57"/>
        <v/>
      </c>
      <c r="R235" s="117" t="str">
        <f t="shared" si="57"/>
        <v/>
      </c>
      <c r="S235" s="117" t="str">
        <f t="shared" si="57"/>
        <v/>
      </c>
      <c r="T235" s="117" t="str">
        <f t="shared" si="57"/>
        <v/>
      </c>
      <c r="U235" s="117" t="str">
        <f t="shared" si="57"/>
        <v/>
      </c>
      <c r="V235" s="117" t="str">
        <f t="shared" si="57"/>
        <v/>
      </c>
      <c r="W235" s="117" t="str">
        <f t="shared" si="57"/>
        <v/>
      </c>
      <c r="X235" s="117" t="str">
        <f t="shared" si="57"/>
        <v/>
      </c>
      <c r="Y235" s="117" t="str">
        <f t="shared" si="57"/>
        <v/>
      </c>
      <c r="Z235" s="117" t="str">
        <f t="shared" si="57"/>
        <v/>
      </c>
      <c r="AA235" s="117" t="str">
        <f t="shared" si="57"/>
        <v/>
      </c>
      <c r="AB235" s="117" t="str">
        <f t="shared" si="57"/>
        <v/>
      </c>
      <c r="AC235" s="117" t="str">
        <f t="shared" si="57"/>
        <v/>
      </c>
      <c r="AD235" s="117" t="str">
        <f t="shared" si="57"/>
        <v/>
      </c>
      <c r="AE235" s="117" t="str">
        <f t="shared" si="57"/>
        <v/>
      </c>
      <c r="AF235" s="117" t="str">
        <f t="shared" si="57"/>
        <v/>
      </c>
      <c r="AG235" s="47"/>
      <c r="AH235" s="47"/>
    </row>
    <row r="236" spans="1:34" x14ac:dyDescent="0.25"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6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417" priority="456">
      <formula>S$9&gt;=20/24</formula>
    </cfRule>
    <cfRule type="expression" dxfId="10416" priority="457">
      <formula>AND(S$9&gt;=14/24,S$9&lt;20/24)</formula>
    </cfRule>
    <cfRule type="expression" dxfId="10415" priority="458">
      <formula>AND(S$9&gt;=8/24,S$9&lt;14/24)</formula>
    </cfRule>
    <cfRule type="expression" dxfId="10414" priority="459">
      <formula>S$9&lt;8/24</formula>
    </cfRule>
  </conditionalFormatting>
  <conditionalFormatting sqref="B8:AF10 AA78:AF78 C78:Q78 C53:AF53 C79:AF79 C190:AF196 C65:AF69 M59:M64 T209:AX209 C71:AF72 N58:N64 O57:Q64 L55:Q56 AA81:AF88 F58:M58 F57:N57 F54:K56 C60:E64 C54:E58 M36:U39 V37:X39 M34:V34 N11:V13 V36:V38 O42:V45 L50:X52 R55:V64 AB50:AF52">
    <cfRule type="expression" dxfId="10413" priority="452">
      <formula>B$9&gt;=20/24</formula>
    </cfRule>
    <cfRule type="expression" dxfId="10412" priority="453">
      <formula>AND(B$9&gt;=14/24,B$9&lt;20/24)</formula>
    </cfRule>
    <cfRule type="expression" dxfId="10411" priority="454">
      <formula>AND(B$9&gt;=8/24,B$9&lt;14/24)</formula>
    </cfRule>
    <cfRule type="expression" dxfId="10410" priority="455">
      <formula>B$9&lt;8/24</formula>
    </cfRule>
  </conditionalFormatting>
  <conditionalFormatting sqref="B188:AF188">
    <cfRule type="expression" dxfId="10409" priority="448">
      <formula>B$9&gt;=20/24</formula>
    </cfRule>
    <cfRule type="expression" dxfId="10408" priority="449">
      <formula>AND(B$9&gt;=14/24,B$9&lt;20/24)</formula>
    </cfRule>
    <cfRule type="expression" dxfId="10407" priority="450">
      <formula>AND(B$9&gt;=8/24,B$9&lt;14/24)</formula>
    </cfRule>
    <cfRule type="expression" dxfId="10406" priority="451">
      <formula>B$9&lt;8/24</formula>
    </cfRule>
  </conditionalFormatting>
  <conditionalFormatting sqref="AL4:AL6">
    <cfRule type="iconSet" priority="447">
      <iconSet iconSet="3TrafficLights2" reverse="1">
        <cfvo type="percent" val="0"/>
        <cfvo type="num" val="1"/>
        <cfvo type="num" val="1"/>
      </iconSet>
    </cfRule>
  </conditionalFormatting>
  <conditionalFormatting sqref="L54:V54">
    <cfRule type="expression" dxfId="10405" priority="443">
      <formula>L$9&gt;=20/24</formula>
    </cfRule>
    <cfRule type="expression" dxfId="10404" priority="444">
      <formula>AND(L$9&gt;=14/24,L$9&lt;20/24)</formula>
    </cfRule>
    <cfRule type="expression" dxfId="10403" priority="445">
      <formula>AND(L$9&gt;=8/24,L$9&lt;14/24)</formula>
    </cfRule>
    <cfRule type="expression" dxfId="10402" priority="446">
      <formula>L$9&lt;8/24</formula>
    </cfRule>
  </conditionalFormatting>
  <conditionalFormatting sqref="M40:V40">
    <cfRule type="expression" dxfId="10401" priority="439">
      <formula>M$9&gt;=20/24</formula>
    </cfRule>
    <cfRule type="expression" dxfId="10400" priority="440">
      <formula>AND(M$9&gt;=14/24,M$9&lt;20/24)</formula>
    </cfRule>
    <cfRule type="expression" dxfId="10399" priority="441">
      <formula>AND(M$9&gt;=8/24,M$9&lt;14/24)</formula>
    </cfRule>
    <cfRule type="expression" dxfId="10398" priority="442">
      <formula>M$9&lt;8/24</formula>
    </cfRule>
  </conditionalFormatting>
  <conditionalFormatting sqref="V36:X36">
    <cfRule type="expression" dxfId="10397" priority="431">
      <formula>V$9&gt;=20/24</formula>
    </cfRule>
    <cfRule type="expression" dxfId="10396" priority="432">
      <formula>AND(V$9&gt;=14/24,V$9&lt;20/24)</formula>
    </cfRule>
    <cfRule type="expression" dxfId="10395" priority="433">
      <formula>AND(V$9&gt;=8/24,V$9&lt;14/24)</formula>
    </cfRule>
    <cfRule type="expression" dxfId="10394" priority="434">
      <formula>V$9&lt;8/24</formula>
    </cfRule>
  </conditionalFormatting>
  <conditionalFormatting sqref="R78:Z78">
    <cfRule type="expression" dxfId="10393" priority="423">
      <formula>R$9&gt;=20/24</formula>
    </cfRule>
    <cfRule type="expression" dxfId="10392" priority="424">
      <formula>AND(R$9&gt;=14/24,R$9&lt;20/24)</formula>
    </cfRule>
    <cfRule type="expression" dxfId="10391" priority="425">
      <formula>AND(R$9&gt;=8/24,R$9&lt;14/24)</formula>
    </cfRule>
    <cfRule type="expression" dxfId="10390" priority="426">
      <formula>R$9&lt;8/24</formula>
    </cfRule>
  </conditionalFormatting>
  <conditionalFormatting sqref="O46:V46">
    <cfRule type="expression" dxfId="10389" priority="411">
      <formula>O$9&gt;=20/24</formula>
    </cfRule>
    <cfRule type="expression" dxfId="10388" priority="412">
      <formula>AND(O$9&gt;=14/24,O$9&lt;20/24)</formula>
    </cfRule>
    <cfRule type="expression" dxfId="10387" priority="413">
      <formula>AND(O$9&gt;=8/24,O$9&lt;14/24)</formula>
    </cfRule>
    <cfRule type="expression" dxfId="10386" priority="414">
      <formula>O$9&lt;8/24</formula>
    </cfRule>
  </conditionalFormatting>
  <conditionalFormatting sqref="O47:V47">
    <cfRule type="expression" dxfId="10385" priority="407">
      <formula>O$9&gt;=20/24</formula>
    </cfRule>
    <cfRule type="expression" dxfId="10384" priority="408">
      <formula>AND(O$9&gt;=14/24,O$9&lt;20/24)</formula>
    </cfRule>
    <cfRule type="expression" dxfId="10383" priority="409">
      <formula>AND(O$9&gt;=8/24,O$9&lt;14/24)</formula>
    </cfRule>
    <cfRule type="expression" dxfId="10382" priority="410">
      <formula>O$9&lt;8/24</formula>
    </cfRule>
  </conditionalFormatting>
  <conditionalFormatting sqref="O42:V45">
    <cfRule type="expression" dxfId="10381" priority="403">
      <formula>O$9&gt;=20/24</formula>
    </cfRule>
    <cfRule type="expression" dxfId="10380" priority="404">
      <formula>AND(O$9&gt;=14/24,O$9&lt;20/24)</formula>
    </cfRule>
    <cfRule type="expression" dxfId="10379" priority="405">
      <formula>AND(O$9&gt;=8/24,O$9&lt;14/24)</formula>
    </cfRule>
    <cfRule type="expression" dxfId="10378" priority="406">
      <formula>O$9&lt;8/24</formula>
    </cfRule>
  </conditionalFormatting>
  <conditionalFormatting sqref="AA34:AD34">
    <cfRule type="expression" dxfId="10377" priority="399">
      <formula>AA$9&gt;=20/24</formula>
    </cfRule>
    <cfRule type="expression" dxfId="10376" priority="400">
      <formula>AND(AA$9&gt;=14/24,AA$9&lt;20/24)</formula>
    </cfRule>
    <cfRule type="expression" dxfId="10375" priority="401">
      <formula>AND(AA$9&gt;=8/24,AA$9&lt;14/24)</formula>
    </cfRule>
    <cfRule type="expression" dxfId="10374" priority="402">
      <formula>AA$9&lt;8/24</formula>
    </cfRule>
  </conditionalFormatting>
  <conditionalFormatting sqref="V40:X40 V42:X45">
    <cfRule type="expression" dxfId="10373" priority="391">
      <formula>V$9&gt;=20/24</formula>
    </cfRule>
    <cfRule type="expression" dxfId="10372" priority="392">
      <formula>AND(V$9&gt;=14/24,V$9&lt;20/24)</formula>
    </cfRule>
    <cfRule type="expression" dxfId="10371" priority="393">
      <formula>AND(V$9&gt;=8/24,V$9&lt;14/24)</formula>
    </cfRule>
    <cfRule type="expression" dxfId="10370" priority="394">
      <formula>V$9&lt;8/24</formula>
    </cfRule>
  </conditionalFormatting>
  <conditionalFormatting sqref="V46:X46">
    <cfRule type="expression" dxfId="10369" priority="387">
      <formula>V$9&gt;=20/24</formula>
    </cfRule>
    <cfRule type="expression" dxfId="10368" priority="388">
      <formula>AND(V$9&gt;=14/24,V$9&lt;20/24)</formula>
    </cfRule>
    <cfRule type="expression" dxfId="10367" priority="389">
      <formula>AND(V$9&gt;=8/24,V$9&lt;14/24)</formula>
    </cfRule>
    <cfRule type="expression" dxfId="10366" priority="390">
      <formula>V$9&lt;8/24</formula>
    </cfRule>
  </conditionalFormatting>
  <conditionalFormatting sqref="V47:X47">
    <cfRule type="expression" dxfId="10365" priority="383">
      <formula>V$9&gt;=20/24</formula>
    </cfRule>
    <cfRule type="expression" dxfId="10364" priority="384">
      <formula>AND(V$9&gt;=14/24,V$9&lt;20/24)</formula>
    </cfRule>
    <cfRule type="expression" dxfId="10363" priority="385">
      <formula>AND(V$9&gt;=8/24,V$9&lt;14/24)</formula>
    </cfRule>
    <cfRule type="expression" dxfId="10362" priority="386">
      <formula>V$9&lt;8/24</formula>
    </cfRule>
  </conditionalFormatting>
  <conditionalFormatting sqref="AA91:AF94">
    <cfRule type="expression" dxfId="10361" priority="375">
      <formula>AA$9&gt;=20/24</formula>
    </cfRule>
    <cfRule type="expression" dxfId="10360" priority="376">
      <formula>AND(AA$9&gt;=14/24,AA$9&lt;20/24)</formula>
    </cfRule>
    <cfRule type="expression" dxfId="10359" priority="377">
      <formula>AND(AA$9&gt;=8/24,AA$9&lt;14/24)</formula>
    </cfRule>
    <cfRule type="expression" dxfId="10358" priority="378">
      <formula>AA$9&lt;8/24</formula>
    </cfRule>
  </conditionalFormatting>
  <conditionalFormatting sqref="H60:H64 I59:K64 C59:H59">
    <cfRule type="expression" dxfId="10357" priority="371">
      <formula>C$9&gt;=20/24</formula>
    </cfRule>
    <cfRule type="expression" dxfId="10356" priority="372">
      <formula>AND(C$9&gt;=14/24,C$9&lt;20/24)</formula>
    </cfRule>
    <cfRule type="expression" dxfId="10355" priority="373">
      <formula>AND(C$9&gt;=8/24,C$9&lt;14/24)</formula>
    </cfRule>
    <cfRule type="expression" dxfId="10354" priority="374">
      <formula>C$9&lt;8/24</formula>
    </cfRule>
  </conditionalFormatting>
  <conditionalFormatting sqref="AG48 G11:K12 C42:K47 C36:K40 M34:P34 P33 Q33:V34 N11:V13 M36:X40 O42:X47 C53:AF53 C48:X52 C35:AF35 AA34:AF34 AB50:AF52 Y48:AF49">
    <cfRule type="expression" dxfId="10353" priority="366">
      <formula>C11&gt;$AG11</formula>
    </cfRule>
  </conditionalFormatting>
  <conditionalFormatting sqref="A97:A153 A81:A94 A11:A13 A15:A30 A42:A69 A77:A79 A71:A75 A32:A40 A166:A197">
    <cfRule type="expression" dxfId="10352" priority="365">
      <formula>$AH11=0</formula>
    </cfRule>
  </conditionalFormatting>
  <conditionalFormatting sqref="AA95:AF95">
    <cfRule type="expression" dxfId="10351" priority="361">
      <formula>AA$9&gt;=20/24</formula>
    </cfRule>
    <cfRule type="expression" dxfId="10350" priority="362">
      <formula>AND(AA$9&gt;=14/24,AA$9&lt;20/24)</formula>
    </cfRule>
    <cfRule type="expression" dxfId="10349" priority="363">
      <formula>AND(AA$9&gt;=8/24,AA$9&lt;14/24)</formula>
    </cfRule>
    <cfRule type="expression" dxfId="10348" priority="364">
      <formula>AA$9&lt;8/24</formula>
    </cfRule>
  </conditionalFormatting>
  <conditionalFormatting sqref="A95">
    <cfRule type="expression" dxfId="10347" priority="356">
      <formula>$AH95=0</formula>
    </cfRule>
  </conditionalFormatting>
  <conditionalFormatting sqref="P33:V33">
    <cfRule type="expression" dxfId="10346" priority="352">
      <formula>P$9&gt;=20/24</formula>
    </cfRule>
    <cfRule type="expression" dxfId="10345" priority="353">
      <formula>AND(P$9&gt;=14/24,P$9&lt;20/24)</formula>
    </cfRule>
    <cfRule type="expression" dxfId="10344" priority="354">
      <formula>AND(P$9&gt;=8/24,P$9&lt;14/24)</formula>
    </cfRule>
    <cfRule type="expression" dxfId="10343" priority="355">
      <formula>P$9&lt;8/24</formula>
    </cfRule>
  </conditionalFormatting>
  <conditionalFormatting sqref="F60:G64">
    <cfRule type="expression" dxfId="10342" priority="340">
      <formula>F$9&gt;=20/24</formula>
    </cfRule>
    <cfRule type="expression" dxfId="10341" priority="341">
      <formula>AND(F$9&gt;=14/24,F$9&lt;20/24)</formula>
    </cfRule>
    <cfRule type="expression" dxfId="10340" priority="342">
      <formula>AND(F$9&gt;=8/24,F$9&lt;14/24)</formula>
    </cfRule>
    <cfRule type="expression" dxfId="10339" priority="343">
      <formula>F$9&lt;8/24</formula>
    </cfRule>
  </conditionalFormatting>
  <conditionalFormatting sqref="L59:L64">
    <cfRule type="expression" dxfId="10338" priority="336">
      <formula>L$9&gt;=20/24</formula>
    </cfRule>
    <cfRule type="expression" dxfId="10337" priority="337">
      <formula>AND(L$9&gt;=14/24,L$9&lt;20/24)</formula>
    </cfRule>
    <cfRule type="expression" dxfId="10336" priority="338">
      <formula>AND(L$9&gt;=8/24,L$9&lt;14/24)</formula>
    </cfRule>
    <cfRule type="expression" dxfId="10335" priority="339">
      <formula>L$9&lt;8/24</formula>
    </cfRule>
  </conditionalFormatting>
  <conditionalFormatting sqref="AL30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0334" priority="321">
      <formula>$AH31=0</formula>
    </cfRule>
  </conditionalFormatting>
  <conditionalFormatting sqref="C80:AF80">
    <cfRule type="expression" dxfId="10333" priority="317">
      <formula>C$9&gt;=20/24</formula>
    </cfRule>
    <cfRule type="expression" dxfId="10332" priority="318">
      <formula>AND(C$9&gt;=14/24,C$9&lt;20/24)</formula>
    </cfRule>
    <cfRule type="expression" dxfId="10331" priority="319">
      <formula>AND(C$9&gt;=8/24,C$9&lt;14/24)</formula>
    </cfRule>
    <cfRule type="expression" dxfId="10330" priority="320">
      <formula>C$9&lt;8/24</formula>
    </cfRule>
  </conditionalFormatting>
  <conditionalFormatting sqref="A80">
    <cfRule type="expression" dxfId="10329" priority="316">
      <formula>$AH80=0</formula>
    </cfRule>
  </conditionalFormatting>
  <conditionalFormatting sqref="A14">
    <cfRule type="expression" dxfId="10328" priority="306">
      <formula>$AH14=0</formula>
    </cfRule>
  </conditionalFormatting>
  <conditionalFormatting sqref="A160:A165">
    <cfRule type="expression" dxfId="10327" priority="305">
      <formula>$AH160=0</formula>
    </cfRule>
  </conditionalFormatting>
  <conditionalFormatting sqref="A154:A159">
    <cfRule type="expression" dxfId="10326" priority="304">
      <formula>$AH154=0</formula>
    </cfRule>
  </conditionalFormatting>
  <conditionalFormatting sqref="O41:U41">
    <cfRule type="expression" dxfId="10325" priority="296">
      <formula>O$9&gt;=20/24</formula>
    </cfRule>
    <cfRule type="expression" dxfId="10324" priority="297">
      <formula>AND(O$9&gt;=14/24,O$9&lt;20/24)</formula>
    </cfRule>
    <cfRule type="expression" dxfId="10323" priority="298">
      <formula>AND(O$9&gt;=8/24,O$9&lt;14/24)</formula>
    </cfRule>
    <cfRule type="expression" dxfId="10322" priority="299">
      <formula>O$9&lt;8/24</formula>
    </cfRule>
  </conditionalFormatting>
  <conditionalFormatting sqref="V41:X41">
    <cfRule type="expression" dxfId="10321" priority="292">
      <formula>V$9&gt;=20/24</formula>
    </cfRule>
    <cfRule type="expression" dxfId="10320" priority="293">
      <formula>AND(V$9&gt;=14/24,V$9&lt;20/24)</formula>
    </cfRule>
    <cfRule type="expression" dxfId="10319" priority="294">
      <formula>AND(V$9&gt;=8/24,V$9&lt;14/24)</formula>
    </cfRule>
    <cfRule type="expression" dxfId="10318" priority="295">
      <formula>V$9&lt;8/24</formula>
    </cfRule>
  </conditionalFormatting>
  <conditionalFormatting sqref="C41:K41 O41:X41">
    <cfRule type="expression" dxfId="10317" priority="291">
      <formula>C41&gt;$AG41</formula>
    </cfRule>
  </conditionalFormatting>
  <conditionalFormatting sqref="A41">
    <cfRule type="expression" dxfId="10316" priority="290">
      <formula>$AH41=0</formula>
    </cfRule>
  </conditionalFormatting>
  <conditionalFormatting sqref="A76">
    <cfRule type="expression" dxfId="10315" priority="285">
      <formula>$AH76=0</formula>
    </cfRule>
  </conditionalFormatting>
  <conditionalFormatting sqref="C70:AG70">
    <cfRule type="expression" dxfId="10314" priority="281">
      <formula>C$9&gt;=20/24</formula>
    </cfRule>
    <cfRule type="expression" dxfId="10313" priority="282">
      <formula>AND(C$9&gt;=14/24,C$9&lt;20/24)</formula>
    </cfRule>
    <cfRule type="expression" dxfId="10312" priority="283">
      <formula>AND(C$9&gt;=8/24,C$9&lt;14/24)</formula>
    </cfRule>
    <cfRule type="expression" dxfId="10311" priority="284">
      <formula>C$9&lt;8/24</formula>
    </cfRule>
  </conditionalFormatting>
  <conditionalFormatting sqref="A70">
    <cfRule type="expression" dxfId="10310" priority="280">
      <formula>$AH70=0</formula>
    </cfRule>
  </conditionalFormatting>
  <conditionalFormatting sqref="AL31:AL32 AL7:AL29">
    <cfRule type="iconSet" priority="462">
      <iconSet iconSet="3TrafficLights2" reverse="1">
        <cfvo type="percent" val="0"/>
        <cfvo type="num" val="1"/>
        <cfvo type="num" val="1"/>
      </iconSet>
    </cfRule>
  </conditionalFormatting>
  <conditionalFormatting sqref="C81:V88">
    <cfRule type="expression" dxfId="10309" priority="268">
      <formula>C$9&gt;=20/24</formula>
    </cfRule>
    <cfRule type="expression" dxfId="10308" priority="269">
      <formula>AND(C$9&gt;=14/24,C$9&lt;20/24)</formula>
    </cfRule>
    <cfRule type="expression" dxfId="10307" priority="270">
      <formula>AND(C$9&gt;=8/24,C$9&lt;14/24)</formula>
    </cfRule>
    <cfRule type="expression" dxfId="10306" priority="271">
      <formula>C$9&lt;8/24</formula>
    </cfRule>
  </conditionalFormatting>
  <conditionalFormatting sqref="F92:L94 C91:E94">
    <cfRule type="expression" dxfId="10305" priority="260">
      <formula>C$9&gt;=20/24</formula>
    </cfRule>
    <cfRule type="expression" dxfId="10304" priority="261">
      <formula>AND(C$9&gt;=14/24,C$9&lt;20/24)</formula>
    </cfRule>
    <cfRule type="expression" dxfId="10303" priority="262">
      <formula>AND(C$9&gt;=8/24,C$9&lt;14/24)</formula>
    </cfRule>
    <cfRule type="expression" dxfId="10302" priority="263">
      <formula>C$9&lt;8/24</formula>
    </cfRule>
  </conditionalFormatting>
  <conditionalFormatting sqref="M92:Q94 N91:Q91 R91:V94">
    <cfRule type="expression" dxfId="10301" priority="256">
      <formula>M$9&gt;=20/24</formula>
    </cfRule>
    <cfRule type="expression" dxfId="10300" priority="257">
      <formula>AND(M$9&gt;=14/24,M$9&lt;20/24)</formula>
    </cfRule>
    <cfRule type="expression" dxfId="10299" priority="258">
      <formula>AND(M$9&gt;=8/24,M$9&lt;14/24)</formula>
    </cfRule>
    <cfRule type="expression" dxfId="10298" priority="259">
      <formula>M$9&lt;8/24</formula>
    </cfRule>
  </conditionalFormatting>
  <conditionalFormatting sqref="C95:L95">
    <cfRule type="expression" dxfId="10297" priority="248">
      <formula>C$9&gt;=20/24</formula>
    </cfRule>
    <cfRule type="expression" dxfId="10296" priority="249">
      <formula>AND(C$9&gt;=14/24,C$9&lt;20/24)</formula>
    </cfRule>
    <cfRule type="expression" dxfId="10295" priority="250">
      <formula>AND(C$9&gt;=8/24,C$9&lt;14/24)</formula>
    </cfRule>
    <cfRule type="expression" dxfId="10294" priority="251">
      <formula>C$9&lt;8/24</formula>
    </cfRule>
  </conditionalFormatting>
  <conditionalFormatting sqref="M95:V95">
    <cfRule type="expression" dxfId="10293" priority="244">
      <formula>M$9&gt;=20/24</formula>
    </cfRule>
    <cfRule type="expression" dxfId="10292" priority="245">
      <formula>AND(M$9&gt;=14/24,M$9&lt;20/24)</formula>
    </cfRule>
    <cfRule type="expression" dxfId="10291" priority="246">
      <formula>AND(M$9&gt;=8/24,M$9&lt;14/24)</formula>
    </cfRule>
    <cfRule type="expression" dxfId="10290" priority="247">
      <formula>M$9&lt;8/24</formula>
    </cfRule>
  </conditionalFormatting>
  <conditionalFormatting sqref="L91:M91">
    <cfRule type="expression" dxfId="10289" priority="236">
      <formula>L$9&gt;=20/24</formula>
    </cfRule>
    <cfRule type="expression" dxfId="10288" priority="237">
      <formula>AND(L$9&gt;=14/24,L$9&lt;20/24)</formula>
    </cfRule>
    <cfRule type="expression" dxfId="10287" priority="238">
      <formula>AND(L$9&gt;=8/24,L$9&lt;14/24)</formula>
    </cfRule>
    <cfRule type="expression" dxfId="10286" priority="239">
      <formula>L$9&lt;8/24</formula>
    </cfRule>
  </conditionalFormatting>
  <conditionalFormatting sqref="F91:K91">
    <cfRule type="expression" dxfId="10285" priority="232">
      <formula>F$9&gt;=20/24</formula>
    </cfRule>
    <cfRule type="expression" dxfId="10284" priority="233">
      <formula>AND(F$9&gt;=14/24,F$9&lt;20/24)</formula>
    </cfRule>
    <cfRule type="expression" dxfId="10283" priority="234">
      <formula>AND(F$9&gt;=8/24,F$9&lt;14/24)</formula>
    </cfRule>
    <cfRule type="expression" dxfId="10282" priority="235">
      <formula>F$9&lt;8/24</formula>
    </cfRule>
  </conditionalFormatting>
  <conditionalFormatting sqref="M91:V91">
    <cfRule type="expression" dxfId="10281" priority="224">
      <formula>M$9&gt;=20/24</formula>
    </cfRule>
    <cfRule type="expression" dxfId="10280" priority="225">
      <formula>AND(M$9&gt;=14/24,M$9&lt;20/24)</formula>
    </cfRule>
    <cfRule type="expression" dxfId="10279" priority="226">
      <formula>AND(M$9&gt;=8/24,M$9&lt;14/24)</formula>
    </cfRule>
    <cfRule type="expression" dxfId="10278" priority="227">
      <formula>M$9&lt;8/24</formula>
    </cfRule>
  </conditionalFormatting>
  <conditionalFormatting sqref="AA96:AF96">
    <cfRule type="expression" dxfId="10277" priority="220">
      <formula>AA$9&gt;=20/24</formula>
    </cfRule>
    <cfRule type="expression" dxfId="10276" priority="221">
      <formula>AND(AA$9&gt;=14/24,AA$9&lt;20/24)</formula>
    </cfRule>
    <cfRule type="expression" dxfId="10275" priority="222">
      <formula>AND(AA$9&gt;=8/24,AA$9&lt;14/24)</formula>
    </cfRule>
    <cfRule type="expression" dxfId="10274" priority="223">
      <formula>AA$9&lt;8/24</formula>
    </cfRule>
  </conditionalFormatting>
  <conditionalFormatting sqref="A96">
    <cfRule type="expression" dxfId="10273" priority="215">
      <formula>$AH96=0</formula>
    </cfRule>
  </conditionalFormatting>
  <conditionalFormatting sqref="C96:L96">
    <cfRule type="expression" dxfId="10272" priority="211">
      <formula>C$9&gt;=20/24</formula>
    </cfRule>
    <cfRule type="expression" dxfId="10271" priority="212">
      <formula>AND(C$9&gt;=14/24,C$9&lt;20/24)</formula>
    </cfRule>
    <cfRule type="expression" dxfId="10270" priority="213">
      <formula>AND(C$9&gt;=8/24,C$9&lt;14/24)</formula>
    </cfRule>
    <cfRule type="expression" dxfId="10269" priority="214">
      <formula>C$9&lt;8/24</formula>
    </cfRule>
  </conditionalFormatting>
  <conditionalFormatting sqref="M96:V96">
    <cfRule type="expression" dxfId="10268" priority="207">
      <formula>M$9&gt;=20/24</formula>
    </cfRule>
    <cfRule type="expression" dxfId="10267" priority="208">
      <formula>AND(M$9&gt;=14/24,M$9&lt;20/24)</formula>
    </cfRule>
    <cfRule type="expression" dxfId="10266" priority="209">
      <formula>AND(M$9&gt;=8/24,M$9&lt;14/24)</formula>
    </cfRule>
    <cfRule type="expression" dxfId="10265" priority="210">
      <formula>M$9&lt;8/24</formula>
    </cfRule>
  </conditionalFormatting>
  <conditionalFormatting sqref="B65:B69 B71:B75 B77:B79 B50:B57 B81:B88 B11:F13 C73:AF75 C77:AF77 G13:M13 B15:V20 B22:V29 B21:AF21">
    <cfRule type="expression" dxfId="10264" priority="183">
      <formula>B$9&gt;=20/24</formula>
    </cfRule>
    <cfRule type="expression" dxfId="10263" priority="184">
      <formula>AND(B$9&gt;=14/24,B$9&lt;20/24)</formula>
    </cfRule>
    <cfRule type="expression" dxfId="10262" priority="185">
      <formula>AND(B$9&gt;=8/24,B$9&lt;14/24)</formula>
    </cfRule>
    <cfRule type="expression" dxfId="10261" priority="186">
      <formula>B$9&lt;8/24</formula>
    </cfRule>
  </conditionalFormatting>
  <conditionalFormatting sqref="B30:V30">
    <cfRule type="expression" dxfId="10260" priority="179">
      <formula>B$9&gt;=20/24</formula>
    </cfRule>
    <cfRule type="expression" dxfId="10259" priority="180">
      <formula>AND(B$9&gt;=14/24,B$9&lt;20/24)</formula>
    </cfRule>
    <cfRule type="expression" dxfId="10258" priority="181">
      <formula>AND(B$9&gt;=8/24,B$9&lt;14/24)</formula>
    </cfRule>
    <cfRule type="expression" dxfId="10257" priority="182">
      <formula>B$9&lt;8/24</formula>
    </cfRule>
  </conditionalFormatting>
  <conditionalFormatting sqref="B34:L34">
    <cfRule type="expression" dxfId="10256" priority="175">
      <formula>B$9&gt;=20/24</formula>
    </cfRule>
    <cfRule type="expression" dxfId="10255" priority="176">
      <formula>AND(B$9&gt;=14/24,B$9&lt;20/24)</formula>
    </cfRule>
    <cfRule type="expression" dxfId="10254" priority="177">
      <formula>AND(B$9&gt;=8/24,B$9&lt;14/24)</formula>
    </cfRule>
    <cfRule type="expression" dxfId="10253" priority="178">
      <formula>B$9&lt;8/24</formula>
    </cfRule>
  </conditionalFormatting>
  <conditionalFormatting sqref="B32:V32">
    <cfRule type="expression" dxfId="10252" priority="171">
      <formula>B$9&gt;=20/24</formula>
    </cfRule>
    <cfRule type="expression" dxfId="10251" priority="172">
      <formula>AND(B$9&gt;=14/24,B$9&lt;20/24)</formula>
    </cfRule>
    <cfRule type="expression" dxfId="10250" priority="173">
      <formula>AND(B$9&gt;=8/24,B$9&lt;14/24)</formula>
    </cfRule>
    <cfRule type="expression" dxfId="10249" priority="174">
      <formula>B$9&lt;8/24</formula>
    </cfRule>
  </conditionalFormatting>
  <conditionalFormatting sqref="B58:B64">
    <cfRule type="expression" dxfId="10248" priority="167">
      <formula>B$9&gt;=20/24</formula>
    </cfRule>
    <cfRule type="expression" dxfId="10247" priority="168">
      <formula>AND(B$9&gt;=14/24,B$9&lt;20/24)</formula>
    </cfRule>
    <cfRule type="expression" dxfId="10246" priority="169">
      <formula>AND(B$9&gt;=8/24,B$9&lt;14/24)</formula>
    </cfRule>
    <cfRule type="expression" dxfId="10245" priority="170">
      <formula>B$9&lt;8/24</formula>
    </cfRule>
  </conditionalFormatting>
  <conditionalFormatting sqref="B91:B94">
    <cfRule type="expression" dxfId="10244" priority="163">
      <formula>B$9&gt;=20/24</formula>
    </cfRule>
    <cfRule type="expression" dxfId="10243" priority="164">
      <formula>AND(B$9&gt;=14/24,B$9&lt;20/24)</formula>
    </cfRule>
    <cfRule type="expression" dxfId="10242" priority="165">
      <formula>AND(B$9&gt;=8/24,B$9&lt;14/24)</formula>
    </cfRule>
    <cfRule type="expression" dxfId="10241" priority="166">
      <formula>B$9&lt;8/24</formula>
    </cfRule>
  </conditionalFormatting>
  <conditionalFormatting sqref="B42:B53 B32:B40 B11:F13 C32:L34 G13:M13 M32:O33 B15:V20 P32:V32 B22:V30 B21:AF21">
    <cfRule type="expression" dxfId="10240" priority="162">
      <formula>B11&gt;$AG11</formula>
    </cfRule>
  </conditionalFormatting>
  <conditionalFormatting sqref="B95">
    <cfRule type="expression" dxfId="10239" priority="158">
      <formula>B$9&gt;=20/24</formula>
    </cfRule>
    <cfRule type="expression" dxfId="10238" priority="159">
      <formula>AND(B$9&gt;=14/24,B$9&lt;20/24)</formula>
    </cfRule>
    <cfRule type="expression" dxfId="10237" priority="160">
      <formula>AND(B$9&gt;=8/24,B$9&lt;14/24)</formula>
    </cfRule>
    <cfRule type="expression" dxfId="10236" priority="161">
      <formula>B$9&lt;8/24</formula>
    </cfRule>
  </conditionalFormatting>
  <conditionalFormatting sqref="B33:O33">
    <cfRule type="expression" dxfId="10235" priority="154">
      <formula>B$9&gt;=20/24</formula>
    </cfRule>
    <cfRule type="expression" dxfId="10234" priority="155">
      <formula>AND(B$9&gt;=14/24,B$9&lt;20/24)</formula>
    </cfRule>
    <cfRule type="expression" dxfId="10233" priority="156">
      <formula>AND(B$9&gt;=8/24,B$9&lt;14/24)</formula>
    </cfRule>
    <cfRule type="expression" dxfId="10232" priority="157">
      <formula>B$9&lt;8/24</formula>
    </cfRule>
  </conditionalFormatting>
  <conditionalFormatting sqref="B33:O33">
    <cfRule type="expression" dxfId="10231" priority="150">
      <formula>B$9&gt;=20/24</formula>
    </cfRule>
    <cfRule type="expression" dxfId="10230" priority="151">
      <formula>AND(B$9&gt;=14/24,B$9&lt;20/24)</formula>
    </cfRule>
    <cfRule type="expression" dxfId="10229" priority="152">
      <formula>AND(B$9&gt;=8/24,B$9&lt;14/24)</formula>
    </cfRule>
    <cfRule type="expression" dxfId="10228" priority="153">
      <formula>B$9&lt;8/24</formula>
    </cfRule>
  </conditionalFormatting>
  <conditionalFormatting sqref="B31:V31">
    <cfRule type="expression" dxfId="10227" priority="146">
      <formula>B$9&gt;=20/24</formula>
    </cfRule>
    <cfRule type="expression" dxfId="10226" priority="147">
      <formula>AND(B$9&gt;=14/24,B$9&lt;20/24)</formula>
    </cfRule>
    <cfRule type="expression" dxfId="10225" priority="148">
      <formula>AND(B$9&gt;=8/24,B$9&lt;14/24)</formula>
    </cfRule>
    <cfRule type="expression" dxfId="10224" priority="149">
      <formula>B$9&lt;8/24</formula>
    </cfRule>
  </conditionalFormatting>
  <conditionalFormatting sqref="B31:V31">
    <cfRule type="expression" dxfId="10223" priority="145">
      <formula>B31&gt;$AG31</formula>
    </cfRule>
  </conditionalFormatting>
  <conditionalFormatting sqref="B80">
    <cfRule type="expression" dxfId="10222" priority="141">
      <formula>B$9&gt;=20/24</formula>
    </cfRule>
    <cfRule type="expression" dxfId="10221" priority="142">
      <formula>AND(B$9&gt;=14/24,B$9&lt;20/24)</formula>
    </cfRule>
    <cfRule type="expression" dxfId="10220" priority="143">
      <formula>AND(B$9&gt;=8/24,B$9&lt;14/24)</formula>
    </cfRule>
    <cfRule type="expression" dxfId="10219" priority="144">
      <formula>B$9&lt;8/24</formula>
    </cfRule>
  </conditionalFormatting>
  <conditionalFormatting sqref="B14:V14">
    <cfRule type="expression" dxfId="10218" priority="137">
      <formula>B$9&gt;=20/24</formula>
    </cfRule>
    <cfRule type="expression" dxfId="10217" priority="138">
      <formula>AND(B$9&gt;=14/24,B$9&lt;20/24)</formula>
    </cfRule>
    <cfRule type="expression" dxfId="10216" priority="139">
      <formula>AND(B$9&gt;=8/24,B$9&lt;14/24)</formula>
    </cfRule>
    <cfRule type="expression" dxfId="10215" priority="140">
      <formula>B$9&lt;8/24</formula>
    </cfRule>
  </conditionalFormatting>
  <conditionalFormatting sqref="B14:V14">
    <cfRule type="expression" dxfId="10214" priority="136">
      <formula>B14&gt;$AG14</formula>
    </cfRule>
  </conditionalFormatting>
  <conditionalFormatting sqref="B41">
    <cfRule type="expression" dxfId="10213" priority="135">
      <formula>B41&gt;$AG41</formula>
    </cfRule>
  </conditionalFormatting>
  <conditionalFormatting sqref="B76:AF76">
    <cfRule type="expression" dxfId="10212" priority="131">
      <formula>B$9&gt;=20/24</formula>
    </cfRule>
    <cfRule type="expression" dxfId="10211" priority="132">
      <formula>AND(B$9&gt;=14/24,B$9&lt;20/24)</formula>
    </cfRule>
    <cfRule type="expression" dxfId="10210" priority="133">
      <formula>AND(B$9&gt;=8/24,B$9&lt;14/24)</formula>
    </cfRule>
    <cfRule type="expression" dxfId="10209" priority="134">
      <formula>B$9&lt;8/24</formula>
    </cfRule>
  </conditionalFormatting>
  <conditionalFormatting sqref="B70">
    <cfRule type="expression" dxfId="10208" priority="127">
      <formula>B$9&gt;=20/24</formula>
    </cfRule>
    <cfRule type="expression" dxfId="10207" priority="128">
      <formula>AND(B$9&gt;=14/24,B$9&lt;20/24)</formula>
    </cfRule>
    <cfRule type="expression" dxfId="10206" priority="129">
      <formula>AND(B$9&gt;=8/24,B$9&lt;14/24)</formula>
    </cfRule>
    <cfRule type="expression" dxfId="10205" priority="130">
      <formula>B$9&lt;8/24</formula>
    </cfRule>
  </conditionalFormatting>
  <conditionalFormatting sqref="B96">
    <cfRule type="expression" dxfId="10204" priority="123">
      <formula>B$9&gt;=20/24</formula>
    </cfRule>
    <cfRule type="expression" dxfId="10203" priority="124">
      <formula>AND(B$9&gt;=14/24,B$9&lt;20/24)</formula>
    </cfRule>
    <cfRule type="expression" dxfId="10202" priority="125">
      <formula>AND(B$9&gt;=8/24,B$9&lt;14/24)</formula>
    </cfRule>
    <cfRule type="expression" dxfId="10201" priority="126">
      <formula>B$9&lt;8/24</formula>
    </cfRule>
  </conditionalFormatting>
  <conditionalFormatting sqref="L11:M12">
    <cfRule type="expression" dxfId="10200" priority="119">
      <formula>L$9&gt;=20/24</formula>
    </cfRule>
    <cfRule type="expression" dxfId="10199" priority="120">
      <formula>AND(L$9&gt;=14/24,L$9&lt;20/24)</formula>
    </cfRule>
    <cfRule type="expression" dxfId="10198" priority="121">
      <formula>AND(L$9&gt;=8/24,L$9&lt;14/24)</formula>
    </cfRule>
    <cfRule type="expression" dxfId="10197" priority="122">
      <formula>L$9&lt;8/24</formula>
    </cfRule>
  </conditionalFormatting>
  <conditionalFormatting sqref="L11:M12">
    <cfRule type="expression" dxfId="10196" priority="118">
      <formula>L11&gt;$AG11</formula>
    </cfRule>
  </conditionalFormatting>
  <conditionalFormatting sqref="L36:L39 L42:N45">
    <cfRule type="expression" dxfId="10195" priority="114">
      <formula>L$9&gt;=20/24</formula>
    </cfRule>
    <cfRule type="expression" dxfId="10194" priority="115">
      <formula>AND(L$9&gt;=14/24,L$9&lt;20/24)</formula>
    </cfRule>
    <cfRule type="expression" dxfId="10193" priority="116">
      <formula>AND(L$9&gt;=8/24,L$9&lt;14/24)</formula>
    </cfRule>
    <cfRule type="expression" dxfId="10192" priority="117">
      <formula>L$9&lt;8/24</formula>
    </cfRule>
  </conditionalFormatting>
  <conditionalFormatting sqref="L40">
    <cfRule type="expression" dxfId="10191" priority="110">
      <formula>L$9&gt;=20/24</formula>
    </cfRule>
    <cfRule type="expression" dxfId="10190" priority="111">
      <formula>AND(L$9&gt;=14/24,L$9&lt;20/24)</formula>
    </cfRule>
    <cfRule type="expression" dxfId="10189" priority="112">
      <formula>AND(L$9&gt;=8/24,L$9&lt;14/24)</formula>
    </cfRule>
    <cfRule type="expression" dxfId="10188" priority="113">
      <formula>L$9&lt;8/24</formula>
    </cfRule>
  </conditionalFormatting>
  <conditionalFormatting sqref="L46:N46">
    <cfRule type="expression" dxfId="10187" priority="106">
      <formula>L$9&gt;=20/24</formula>
    </cfRule>
    <cfRule type="expression" dxfId="10186" priority="107">
      <formula>AND(L$9&gt;=14/24,L$9&lt;20/24)</formula>
    </cfRule>
    <cfRule type="expression" dxfId="10185" priority="108">
      <formula>AND(L$9&gt;=8/24,L$9&lt;14/24)</formula>
    </cfRule>
    <cfRule type="expression" dxfId="10184" priority="109">
      <formula>L$9&lt;8/24</formula>
    </cfRule>
  </conditionalFormatting>
  <conditionalFormatting sqref="L47:N47">
    <cfRule type="expression" dxfId="10183" priority="102">
      <formula>L$9&gt;=20/24</formula>
    </cfRule>
    <cfRule type="expression" dxfId="10182" priority="103">
      <formula>AND(L$9&gt;=14/24,L$9&lt;20/24)</formula>
    </cfRule>
    <cfRule type="expression" dxfId="10181" priority="104">
      <formula>AND(L$9&gt;=8/24,L$9&lt;14/24)</formula>
    </cfRule>
    <cfRule type="expression" dxfId="10180" priority="105">
      <formula>L$9&lt;8/24</formula>
    </cfRule>
  </conditionalFormatting>
  <conditionalFormatting sqref="L42:N45">
    <cfRule type="expression" dxfId="10179" priority="98">
      <formula>L$9&gt;=20/24</formula>
    </cfRule>
    <cfRule type="expression" dxfId="10178" priority="99">
      <formula>AND(L$9&gt;=14/24,L$9&lt;20/24)</formula>
    </cfRule>
    <cfRule type="expression" dxfId="10177" priority="100">
      <formula>AND(L$9&gt;=8/24,L$9&lt;14/24)</formula>
    </cfRule>
    <cfRule type="expression" dxfId="10176" priority="101">
      <formula>L$9&lt;8/24</formula>
    </cfRule>
  </conditionalFormatting>
  <conditionalFormatting sqref="L36:L40 L42:N47">
    <cfRule type="expression" dxfId="10175" priority="97">
      <formula>L36&gt;$AG36</formula>
    </cfRule>
  </conditionalFormatting>
  <conditionalFormatting sqref="L41:N41">
    <cfRule type="expression" dxfId="10174" priority="93">
      <formula>L$9&gt;=20/24</formula>
    </cfRule>
    <cfRule type="expression" dxfId="10173" priority="94">
      <formula>AND(L$9&gt;=14/24,L$9&lt;20/24)</formula>
    </cfRule>
    <cfRule type="expression" dxfId="10172" priority="95">
      <formula>AND(L$9&gt;=8/24,L$9&lt;14/24)</formula>
    </cfRule>
    <cfRule type="expression" dxfId="10171" priority="96">
      <formula>L$9&lt;8/24</formula>
    </cfRule>
  </conditionalFormatting>
  <conditionalFormatting sqref="L41:N41">
    <cfRule type="expression" dxfId="10170" priority="92">
      <formula>L41&gt;$AG41</formula>
    </cfRule>
  </conditionalFormatting>
  <conditionalFormatting sqref="W34:X34 W11:X13">
    <cfRule type="expression" dxfId="10169" priority="88">
      <formula>W$9&gt;=20/24</formula>
    </cfRule>
    <cfRule type="expression" dxfId="10168" priority="89">
      <formula>AND(W$9&gt;=14/24,W$9&lt;20/24)</formula>
    </cfRule>
    <cfRule type="expression" dxfId="10167" priority="90">
      <formula>AND(W$9&gt;=8/24,W$9&lt;14/24)</formula>
    </cfRule>
    <cfRule type="expression" dxfId="10166" priority="91">
      <formula>W$9&lt;8/24</formula>
    </cfRule>
  </conditionalFormatting>
  <conditionalFormatting sqref="W33:X34 W11:X13">
    <cfRule type="expression" dxfId="10165" priority="87">
      <formula>W11&gt;$AG11</formula>
    </cfRule>
  </conditionalFormatting>
  <conditionalFormatting sqref="W33:X33">
    <cfRule type="expression" dxfId="10164" priority="83">
      <formula>W$9&gt;=20/24</formula>
    </cfRule>
    <cfRule type="expression" dxfId="10163" priority="84">
      <formula>AND(W$9&gt;=14/24,W$9&lt;20/24)</formula>
    </cfRule>
    <cfRule type="expression" dxfId="10162" priority="85">
      <formula>AND(W$9&gt;=8/24,W$9&lt;14/24)</formula>
    </cfRule>
    <cfRule type="expression" dxfId="10161" priority="86">
      <formula>W$9&lt;8/24</formula>
    </cfRule>
  </conditionalFormatting>
  <conditionalFormatting sqref="W15:X20 W22:X29">
    <cfRule type="expression" dxfId="10160" priority="79">
      <formula>W$9&gt;=20/24</formula>
    </cfRule>
    <cfRule type="expression" dxfId="10159" priority="80">
      <formula>AND(W$9&gt;=14/24,W$9&lt;20/24)</formula>
    </cfRule>
    <cfRule type="expression" dxfId="10158" priority="81">
      <formula>AND(W$9&gt;=8/24,W$9&lt;14/24)</formula>
    </cfRule>
    <cfRule type="expression" dxfId="10157" priority="82">
      <formula>W$9&lt;8/24</formula>
    </cfRule>
  </conditionalFormatting>
  <conditionalFormatting sqref="W30:X30">
    <cfRule type="expression" dxfId="10156" priority="75">
      <formula>W$9&gt;=20/24</formula>
    </cfRule>
    <cfRule type="expression" dxfId="10155" priority="76">
      <formula>AND(W$9&gt;=14/24,W$9&lt;20/24)</formula>
    </cfRule>
    <cfRule type="expression" dxfId="10154" priority="77">
      <formula>AND(W$9&gt;=8/24,W$9&lt;14/24)</formula>
    </cfRule>
    <cfRule type="expression" dxfId="10153" priority="78">
      <formula>W$9&lt;8/24</formula>
    </cfRule>
  </conditionalFormatting>
  <conditionalFormatting sqref="W32:X32">
    <cfRule type="expression" dxfId="10152" priority="71">
      <formula>W$9&gt;=20/24</formula>
    </cfRule>
    <cfRule type="expression" dxfId="10151" priority="72">
      <formula>AND(W$9&gt;=14/24,W$9&lt;20/24)</formula>
    </cfRule>
    <cfRule type="expression" dxfId="10150" priority="73">
      <formula>AND(W$9&gt;=8/24,W$9&lt;14/24)</formula>
    </cfRule>
    <cfRule type="expression" dxfId="10149" priority="74">
      <formula>W$9&lt;8/24</formula>
    </cfRule>
  </conditionalFormatting>
  <conditionalFormatting sqref="W15:X20 W32:X32 W22:X30">
    <cfRule type="expression" dxfId="10148" priority="70">
      <formula>W15&gt;$AG15</formula>
    </cfRule>
  </conditionalFormatting>
  <conditionalFormatting sqref="W31:X31">
    <cfRule type="expression" dxfId="10147" priority="66">
      <formula>W$9&gt;=20/24</formula>
    </cfRule>
    <cfRule type="expression" dxfId="10146" priority="67">
      <formula>AND(W$9&gt;=14/24,W$9&lt;20/24)</formula>
    </cfRule>
    <cfRule type="expression" dxfId="10145" priority="68">
      <formula>AND(W$9&gt;=8/24,W$9&lt;14/24)</formula>
    </cfRule>
    <cfRule type="expression" dxfId="10144" priority="69">
      <formula>W$9&lt;8/24</formula>
    </cfRule>
  </conditionalFormatting>
  <conditionalFormatting sqref="W31:X31">
    <cfRule type="expression" dxfId="10143" priority="65">
      <formula>W31&gt;$AG31</formula>
    </cfRule>
  </conditionalFormatting>
  <conditionalFormatting sqref="W14:X14">
    <cfRule type="expression" dxfId="10142" priority="61">
      <formula>W$9&gt;=20/24</formula>
    </cfRule>
    <cfRule type="expression" dxfId="10141" priority="62">
      <formula>AND(W$9&gt;=14/24,W$9&lt;20/24)</formula>
    </cfRule>
    <cfRule type="expression" dxfId="10140" priority="63">
      <formula>AND(W$9&gt;=8/24,W$9&lt;14/24)</formula>
    </cfRule>
    <cfRule type="expression" dxfId="10139" priority="64">
      <formula>W$9&lt;8/24</formula>
    </cfRule>
  </conditionalFormatting>
  <conditionalFormatting sqref="W14:X14">
    <cfRule type="expression" dxfId="10138" priority="60">
      <formula>W14&gt;$AG14</formula>
    </cfRule>
  </conditionalFormatting>
  <conditionalFormatting sqref="W55:X64">
    <cfRule type="expression" dxfId="10137" priority="56">
      <formula>W$9&gt;=20/24</formula>
    </cfRule>
    <cfRule type="expression" dxfId="10136" priority="57">
      <formula>AND(W$9&gt;=14/24,W$9&lt;20/24)</formula>
    </cfRule>
    <cfRule type="expression" dxfId="10135" priority="58">
      <formula>AND(W$9&gt;=8/24,W$9&lt;14/24)</formula>
    </cfRule>
    <cfRule type="expression" dxfId="10134" priority="59">
      <formula>W$9&lt;8/24</formula>
    </cfRule>
  </conditionalFormatting>
  <conditionalFormatting sqref="W54:X54">
    <cfRule type="expression" dxfId="10133" priority="52">
      <formula>W$9&gt;=20/24</formula>
    </cfRule>
    <cfRule type="expression" dxfId="10132" priority="53">
      <formula>AND(W$9&gt;=14/24,W$9&lt;20/24)</formula>
    </cfRule>
    <cfRule type="expression" dxfId="10131" priority="54">
      <formula>AND(W$9&gt;=8/24,W$9&lt;14/24)</formula>
    </cfRule>
    <cfRule type="expression" dxfId="10130" priority="55">
      <formula>W$9&lt;8/24</formula>
    </cfRule>
  </conditionalFormatting>
  <conditionalFormatting sqref="W81:Z88">
    <cfRule type="expression" dxfId="10129" priority="48">
      <formula>W$9&gt;=20/24</formula>
    </cfRule>
    <cfRule type="expression" dxfId="10128" priority="49">
      <formula>AND(W$9&gt;=14/24,W$9&lt;20/24)</formula>
    </cfRule>
    <cfRule type="expression" dxfId="10127" priority="50">
      <formula>AND(W$9&gt;=8/24,W$9&lt;14/24)</formula>
    </cfRule>
    <cfRule type="expression" dxfId="10126" priority="51">
      <formula>W$9&lt;8/24</formula>
    </cfRule>
  </conditionalFormatting>
  <conditionalFormatting sqref="W91:Z94">
    <cfRule type="expression" dxfId="10125" priority="44">
      <formula>W$9&gt;=20/24</formula>
    </cfRule>
    <cfRule type="expression" dxfId="10124" priority="45">
      <formula>AND(W$9&gt;=14/24,W$9&lt;20/24)</formula>
    </cfRule>
    <cfRule type="expression" dxfId="10123" priority="46">
      <formula>AND(W$9&gt;=8/24,W$9&lt;14/24)</formula>
    </cfRule>
    <cfRule type="expression" dxfId="10122" priority="47">
      <formula>W$9&lt;8/24</formula>
    </cfRule>
  </conditionalFormatting>
  <conditionalFormatting sqref="W95:Z95">
    <cfRule type="expression" dxfId="10121" priority="40">
      <formula>W$9&gt;=20/24</formula>
    </cfRule>
    <cfRule type="expression" dxfId="10120" priority="41">
      <formula>AND(W$9&gt;=14/24,W$9&lt;20/24)</formula>
    </cfRule>
    <cfRule type="expression" dxfId="10119" priority="42">
      <formula>AND(W$9&gt;=8/24,W$9&lt;14/24)</formula>
    </cfRule>
    <cfRule type="expression" dxfId="10118" priority="43">
      <formula>W$9&lt;8/24</formula>
    </cfRule>
  </conditionalFormatting>
  <conditionalFormatting sqref="W91:Z91">
    <cfRule type="expression" dxfId="10117" priority="36">
      <formula>W$9&gt;=20/24</formula>
    </cfRule>
    <cfRule type="expression" dxfId="10116" priority="37">
      <formula>AND(W$9&gt;=14/24,W$9&lt;20/24)</formula>
    </cfRule>
    <cfRule type="expression" dxfId="10115" priority="38">
      <formula>AND(W$9&gt;=8/24,W$9&lt;14/24)</formula>
    </cfRule>
    <cfRule type="expression" dxfId="10114" priority="39">
      <formula>W$9&lt;8/24</formula>
    </cfRule>
  </conditionalFormatting>
  <conditionalFormatting sqref="W96:Z96">
    <cfRule type="expression" dxfId="10113" priority="32">
      <formula>W$9&gt;=20/24</formula>
    </cfRule>
    <cfRule type="expression" dxfId="10112" priority="33">
      <formula>AND(W$9&gt;=14/24,W$9&lt;20/24)</formula>
    </cfRule>
    <cfRule type="expression" dxfId="10111" priority="34">
      <formula>AND(W$9&gt;=8/24,W$9&lt;14/24)</formula>
    </cfRule>
    <cfRule type="expression" dxfId="10110" priority="35">
      <formula>W$9&lt;8/24</formula>
    </cfRule>
  </conditionalFormatting>
  <conditionalFormatting sqref="Y50:AA52">
    <cfRule type="expression" dxfId="10109" priority="20">
      <formula>Y$9&gt;=20/24</formula>
    </cfRule>
    <cfRule type="expression" dxfId="10108" priority="21">
      <formula>AND(Y$9&gt;=14/24,Y$9&lt;20/24)</formula>
    </cfRule>
    <cfRule type="expression" dxfId="10107" priority="22">
      <formula>AND(Y$9&gt;=8/24,Y$9&lt;14/24)</formula>
    </cfRule>
    <cfRule type="expression" dxfId="10106" priority="23">
      <formula>Y$9&lt;8/24</formula>
    </cfRule>
  </conditionalFormatting>
  <conditionalFormatting sqref="Y50:AA52">
    <cfRule type="expression" dxfId="10105" priority="19">
      <formula>Y50&gt;$AG50</formula>
    </cfRule>
  </conditionalFormatting>
  <conditionalFormatting sqref="Y55:AF64">
    <cfRule type="expression" dxfId="10104" priority="15">
      <formula>Y$9&gt;=20/24</formula>
    </cfRule>
    <cfRule type="expression" dxfId="10103" priority="16">
      <formula>AND(Y$9&gt;=14/24,Y$9&lt;20/24)</formula>
    </cfRule>
    <cfRule type="expression" dxfId="10102" priority="17">
      <formula>AND(Y$9&gt;=8/24,Y$9&lt;14/24)</formula>
    </cfRule>
    <cfRule type="expression" dxfId="10101" priority="18">
      <formula>Y$9&lt;8/24</formula>
    </cfRule>
  </conditionalFormatting>
  <conditionalFormatting sqref="Y54:AF54">
    <cfRule type="expression" dxfId="10100" priority="11">
      <formula>Y$9&gt;=20/24</formula>
    </cfRule>
    <cfRule type="expression" dxfId="10099" priority="12">
      <formula>AND(Y$9&gt;=14/24,Y$9&lt;20/24)</formula>
    </cfRule>
    <cfRule type="expression" dxfId="10098" priority="13">
      <formula>AND(Y$9&gt;=8/24,Y$9&lt;14/24)</formula>
    </cfRule>
    <cfRule type="expression" dxfId="10097" priority="14">
      <formula>Y$9&lt;8/24</formula>
    </cfRule>
  </conditionalFormatting>
  <conditionalFormatting sqref="Y11:AF20 AA22:AF33 Y22:Z34">
    <cfRule type="expression" dxfId="10096" priority="7">
      <formula>Y$9&gt;=20/24</formula>
    </cfRule>
    <cfRule type="expression" dxfId="10095" priority="8">
      <formula>AND(Y$9&gt;=14/24,Y$9&lt;20/24)</formula>
    </cfRule>
    <cfRule type="expression" dxfId="10094" priority="9">
      <formula>AND(Y$9&gt;=8/24,Y$9&lt;14/24)</formula>
    </cfRule>
    <cfRule type="expression" dxfId="10093" priority="10">
      <formula>Y$9&lt;8/24</formula>
    </cfRule>
  </conditionalFormatting>
  <conditionalFormatting sqref="Y11:AF20 AA22:AF33 Y22:Z34">
    <cfRule type="expression" dxfId="10092" priority="6">
      <formula>Y11&gt;$AG11</formula>
    </cfRule>
  </conditionalFormatting>
  <conditionalFormatting sqref="Y36:AF47">
    <cfRule type="expression" dxfId="10091" priority="2">
      <formula>Y$9&gt;=20/24</formula>
    </cfRule>
    <cfRule type="expression" dxfId="10090" priority="3">
      <formula>AND(Y$9&gt;=14/24,Y$9&lt;20/24)</formula>
    </cfRule>
    <cfRule type="expression" dxfId="10089" priority="4">
      <formula>AND(Y$9&gt;=8/24,Y$9&lt;14/24)</formula>
    </cfRule>
    <cfRule type="expression" dxfId="10088" priority="5">
      <formula>Y$9&lt;8/24</formula>
    </cfRule>
  </conditionalFormatting>
  <conditionalFormatting sqref="Y36:AF47">
    <cfRule type="expression" dxfId="10087" priority="1">
      <formula>Y36&gt;$AG36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16" sqref="L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2078/04/3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AG53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B65</f>
        <v>0</v>
      </c>
      <c r="C5" s="32">
        <f t="shared" ref="C5:AF5" si="0">C65</f>
        <v>-28.200000000000003</v>
      </c>
      <c r="D5" s="32">
        <f t="shared" si="0"/>
        <v>8</v>
      </c>
      <c r="E5" s="32">
        <f t="shared" si="0"/>
        <v>-27</v>
      </c>
      <c r="F5" s="32">
        <f t="shared" si="0"/>
        <v>-42</v>
      </c>
      <c r="G5" s="32">
        <f t="shared" si="0"/>
        <v>-30.2</v>
      </c>
      <c r="H5" s="32">
        <f t="shared" si="0"/>
        <v>-34</v>
      </c>
      <c r="I5" s="32">
        <f t="shared" si="0"/>
        <v>-45</v>
      </c>
      <c r="J5" s="32">
        <f t="shared" si="0"/>
        <v>3.5</v>
      </c>
      <c r="K5" s="32">
        <f t="shared" si="0"/>
        <v>-13.4</v>
      </c>
      <c r="L5" s="32">
        <f t="shared" si="0"/>
        <v>-49.6</v>
      </c>
      <c r="M5" s="32">
        <f t="shared" si="0"/>
        <v>-14.8</v>
      </c>
      <c r="N5" s="32">
        <f t="shared" si="0"/>
        <v>-55.4</v>
      </c>
      <c r="O5" s="32">
        <f t="shared" si="0"/>
        <v>-17.2</v>
      </c>
      <c r="P5" s="32">
        <f t="shared" si="0"/>
        <v>-6.1000000000000005</v>
      </c>
      <c r="Q5" s="32">
        <f t="shared" si="0"/>
        <v>-37.5</v>
      </c>
      <c r="R5" s="32">
        <f t="shared" si="0"/>
        <v>-21.800000000000004</v>
      </c>
      <c r="S5" s="32">
        <f t="shared" si="0"/>
        <v>-48.300000000000004</v>
      </c>
      <c r="T5" s="32">
        <f t="shared" si="0"/>
        <v>-32.6</v>
      </c>
      <c r="U5" s="32">
        <f t="shared" si="0"/>
        <v>-33.9</v>
      </c>
      <c r="V5" s="32">
        <f t="shared" si="0"/>
        <v>-48.4</v>
      </c>
      <c r="W5" s="32">
        <f t="shared" si="0"/>
        <v>21.5</v>
      </c>
      <c r="X5" s="32">
        <f t="shared" si="0"/>
        <v>30.3</v>
      </c>
      <c r="Y5" s="32">
        <f t="shared" si="0"/>
        <v>92.4</v>
      </c>
      <c r="Z5" s="32">
        <f t="shared" si="0"/>
        <v>26.8</v>
      </c>
      <c r="AA5" s="32">
        <f t="shared" si="0"/>
        <v>69.7</v>
      </c>
      <c r="AB5" s="32">
        <f t="shared" si="0"/>
        <v>6.2000000000000028</v>
      </c>
      <c r="AC5" s="32">
        <f t="shared" si="0"/>
        <v>3.8999999999999986</v>
      </c>
      <c r="AD5" s="32">
        <f t="shared" si="0"/>
        <v>-20</v>
      </c>
      <c r="AE5" s="32">
        <f t="shared" si="0"/>
        <v>-20</v>
      </c>
      <c r="AF5" s="32">
        <f t="shared" si="0"/>
        <v>-21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1154MW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B72</f>
        <v>3.54</v>
      </c>
      <c r="C7" s="37">
        <f t="shared" si="1"/>
        <v>1039.6400000000001</v>
      </c>
      <c r="D7" s="37">
        <f t="shared" si="1"/>
        <v>1017.8399999999999</v>
      </c>
      <c r="E7" s="37">
        <f t="shared" si="1"/>
        <v>1000.0400000000001</v>
      </c>
      <c r="F7" s="37">
        <f t="shared" si="1"/>
        <v>988.6400000000001</v>
      </c>
      <c r="G7" s="37">
        <f t="shared" si="1"/>
        <v>999.1400000000001</v>
      </c>
      <c r="H7" s="37">
        <f t="shared" si="1"/>
        <v>964.84000000000015</v>
      </c>
      <c r="I7" s="37">
        <f t="shared" si="1"/>
        <v>1009.5400000000001</v>
      </c>
      <c r="J7" s="37">
        <f t="shared" si="1"/>
        <v>1101.94</v>
      </c>
      <c r="K7" s="37">
        <f t="shared" si="1"/>
        <v>1070.0400000000002</v>
      </c>
      <c r="L7" s="37">
        <f>L72</f>
        <v>1093.54</v>
      </c>
      <c r="M7" s="37">
        <f t="shared" si="1"/>
        <v>1154.44</v>
      </c>
      <c r="N7" s="37">
        <f t="shared" si="1"/>
        <v>1155.6400000000001</v>
      </c>
      <c r="O7" s="37">
        <f t="shared" si="1"/>
        <v>1161.6399999999999</v>
      </c>
      <c r="P7" s="37">
        <f t="shared" si="1"/>
        <v>1243.74</v>
      </c>
      <c r="Q7" s="37">
        <f t="shared" si="1"/>
        <v>1271.74</v>
      </c>
      <c r="R7" s="37">
        <f t="shared" si="1"/>
        <v>1287.74</v>
      </c>
      <c r="S7" s="37">
        <f t="shared" si="1"/>
        <v>1262.8400000000001</v>
      </c>
      <c r="T7" s="37">
        <f t="shared" si="1"/>
        <v>1246.74</v>
      </c>
      <c r="U7" s="37">
        <f t="shared" si="1"/>
        <v>1215.1399999999999</v>
      </c>
      <c r="V7" s="37">
        <f t="shared" si="1"/>
        <v>1229.04</v>
      </c>
      <c r="W7" s="37">
        <f t="shared" si="1"/>
        <v>1309.44</v>
      </c>
      <c r="X7" s="37">
        <f t="shared" si="1"/>
        <v>1450.44</v>
      </c>
      <c r="Y7" s="37">
        <f t="shared" si="1"/>
        <v>1458.3000000000002</v>
      </c>
      <c r="Z7" s="37">
        <f t="shared" si="1"/>
        <v>1435.94</v>
      </c>
      <c r="AA7" s="37">
        <f t="shared" si="1"/>
        <v>1413.6399999999999</v>
      </c>
      <c r="AB7" s="37">
        <f t="shared" si="1"/>
        <v>1386.94</v>
      </c>
      <c r="AC7" s="37">
        <f t="shared" si="1"/>
        <v>1371.24</v>
      </c>
      <c r="AD7" s="37">
        <f t="shared" si="1"/>
        <v>1266.04</v>
      </c>
      <c r="AE7" s="37">
        <f t="shared" si="1"/>
        <v>1215.74</v>
      </c>
      <c r="AF7" s="37">
        <f t="shared" si="1"/>
        <v>1214.94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/>
      <c r="C11" s="49">
        <v>117.7</v>
      </c>
      <c r="D11" s="49">
        <v>60</v>
      </c>
      <c r="E11" s="49">
        <v>76</v>
      </c>
      <c r="F11" s="49">
        <v>90</v>
      </c>
      <c r="G11" s="49">
        <v>110</v>
      </c>
      <c r="H11" s="49">
        <v>85</v>
      </c>
      <c r="I11" s="49">
        <v>148</v>
      </c>
      <c r="J11" s="49">
        <v>180.3</v>
      </c>
      <c r="K11" s="49">
        <v>180.3</v>
      </c>
      <c r="L11" s="50">
        <v>240</v>
      </c>
      <c r="M11" s="50">
        <v>248</v>
      </c>
      <c r="N11" s="50">
        <v>248</v>
      </c>
      <c r="O11" s="50">
        <v>240.2</v>
      </c>
      <c r="P11" s="50">
        <v>240</v>
      </c>
      <c r="Q11" s="51">
        <v>310</v>
      </c>
      <c r="R11" s="52">
        <v>308</v>
      </c>
      <c r="S11" s="52">
        <v>312</v>
      </c>
      <c r="T11" s="52">
        <v>280</v>
      </c>
      <c r="U11" s="52">
        <v>279.5</v>
      </c>
      <c r="V11" s="52">
        <v>278</v>
      </c>
      <c r="W11" s="52">
        <v>278</v>
      </c>
      <c r="X11" s="52">
        <v>304</v>
      </c>
      <c r="Y11" s="53">
        <v>303.7</v>
      </c>
      <c r="Z11" s="115">
        <v>302.7</v>
      </c>
      <c r="AA11" s="115">
        <v>302.7</v>
      </c>
      <c r="AB11" s="115">
        <v>380</v>
      </c>
      <c r="AC11" s="115">
        <v>330</v>
      </c>
      <c r="AD11" s="115">
        <v>250</v>
      </c>
      <c r="AE11" s="49">
        <v>200</v>
      </c>
      <c r="AF11" s="49">
        <v>200</v>
      </c>
      <c r="AG11" s="54">
        <v>456</v>
      </c>
      <c r="AH11" s="55">
        <f>MAX(B11:AF11)</f>
        <v>380</v>
      </c>
      <c r="AI11" s="56">
        <f>MIN(B11:AF11)</f>
        <v>60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179"/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179" t="s">
        <v>215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179" t="s">
        <v>216</v>
      </c>
      <c r="C14" s="62">
        <v>45.1</v>
      </c>
      <c r="D14" s="62">
        <v>45.1</v>
      </c>
      <c r="E14" s="62">
        <v>45.1</v>
      </c>
      <c r="F14" s="62">
        <v>45.1</v>
      </c>
      <c r="G14" s="62">
        <v>45.1</v>
      </c>
      <c r="H14" s="62">
        <v>45.1</v>
      </c>
      <c r="I14" s="62">
        <v>45.1</v>
      </c>
      <c r="J14" s="62">
        <v>45.1</v>
      </c>
      <c r="K14" s="62">
        <v>45.1</v>
      </c>
      <c r="L14" s="50">
        <v>45.1</v>
      </c>
      <c r="M14" s="50">
        <v>45.7</v>
      </c>
      <c r="N14" s="50">
        <v>45.7</v>
      </c>
      <c r="O14" s="50">
        <v>45.7</v>
      </c>
      <c r="P14" s="50">
        <v>45.7</v>
      </c>
      <c r="Q14" s="50">
        <v>45.7</v>
      </c>
      <c r="R14" s="61">
        <v>45.7</v>
      </c>
      <c r="S14" s="61">
        <v>45.7</v>
      </c>
      <c r="T14" s="61">
        <v>45.8</v>
      </c>
      <c r="U14" s="61">
        <v>45.8</v>
      </c>
      <c r="V14" s="61">
        <v>45.8</v>
      </c>
      <c r="W14" s="61">
        <v>45.8</v>
      </c>
      <c r="X14" s="61">
        <v>45.7</v>
      </c>
      <c r="Y14" s="50">
        <v>45.7</v>
      </c>
      <c r="Z14" s="50">
        <v>45.7</v>
      </c>
      <c r="AA14" s="50">
        <v>45.8</v>
      </c>
      <c r="AB14" s="50">
        <v>45.7</v>
      </c>
      <c r="AC14" s="50">
        <v>45.7</v>
      </c>
      <c r="AD14" s="50">
        <v>45.7</v>
      </c>
      <c r="AE14" s="50">
        <v>45.7</v>
      </c>
      <c r="AF14" s="50">
        <v>45.7</v>
      </c>
      <c r="AG14" s="63">
        <v>50</v>
      </c>
      <c r="AH14" s="55">
        <f t="shared" si="2"/>
        <v>45.8</v>
      </c>
      <c r="AI14" s="56">
        <f t="shared" si="3"/>
        <v>45.1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179" t="s">
        <v>217</v>
      </c>
      <c r="C15" s="49">
        <v>24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0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28</v>
      </c>
      <c r="Z15" s="50">
        <v>28</v>
      </c>
      <c r="AA15" s="50">
        <v>0</v>
      </c>
      <c r="AB15" s="50">
        <v>0</v>
      </c>
      <c r="AC15" s="50">
        <v>24</v>
      </c>
      <c r="AD15" s="50">
        <v>24</v>
      </c>
      <c r="AE15" s="50">
        <v>24</v>
      </c>
      <c r="AF15" s="50">
        <v>24</v>
      </c>
      <c r="AG15" s="60">
        <v>45</v>
      </c>
      <c r="AH15" s="55">
        <f t="shared" si="2"/>
        <v>28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179" t="s">
        <v>216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20</v>
      </c>
      <c r="L16" s="50">
        <v>20</v>
      </c>
      <c r="M16" s="50">
        <v>20</v>
      </c>
      <c r="N16" s="50">
        <v>20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179"/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179" t="s">
        <v>215</v>
      </c>
      <c r="C18" s="49">
        <v>26.3</v>
      </c>
      <c r="D18" s="49">
        <v>26.3</v>
      </c>
      <c r="E18" s="49">
        <v>26.3</v>
      </c>
      <c r="F18" s="49">
        <v>26.3</v>
      </c>
      <c r="G18" s="49">
        <v>26.3</v>
      </c>
      <c r="H18" s="49">
        <v>26.3</v>
      </c>
      <c r="I18" s="49">
        <v>26.3</v>
      </c>
      <c r="J18" s="49">
        <v>26.3</v>
      </c>
      <c r="K18" s="49">
        <v>26.3</v>
      </c>
      <c r="L18" s="50">
        <v>26.3</v>
      </c>
      <c r="M18" s="50">
        <v>26.3</v>
      </c>
      <c r="N18" s="50">
        <v>26.3</v>
      </c>
      <c r="O18" s="50">
        <v>0</v>
      </c>
      <c r="P18" s="50">
        <v>26.3</v>
      </c>
      <c r="Q18" s="50">
        <v>26.4</v>
      </c>
      <c r="R18" s="50">
        <v>26.4</v>
      </c>
      <c r="S18" s="50">
        <v>26.3</v>
      </c>
      <c r="T18" s="50">
        <v>26.3</v>
      </c>
      <c r="U18" s="50">
        <v>26.3</v>
      </c>
      <c r="V18" s="50">
        <v>26.3</v>
      </c>
      <c r="W18" s="50">
        <v>26.3</v>
      </c>
      <c r="X18" s="50">
        <v>26.3</v>
      </c>
      <c r="Y18" s="50">
        <v>26.4</v>
      </c>
      <c r="Z18" s="50">
        <v>26.4</v>
      </c>
      <c r="AA18" s="50">
        <v>25.4</v>
      </c>
      <c r="AB18" s="50">
        <v>26</v>
      </c>
      <c r="AC18" s="50">
        <v>26</v>
      </c>
      <c r="AD18" s="50">
        <v>26</v>
      </c>
      <c r="AE18" s="50">
        <v>26</v>
      </c>
      <c r="AF18" s="50">
        <v>26</v>
      </c>
      <c r="AG18" s="60">
        <v>30</v>
      </c>
      <c r="AH18" s="55">
        <f t="shared" si="2"/>
        <v>26.4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179" t="s">
        <v>218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179" t="s">
        <v>219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60">
        <v>25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179" t="s">
        <v>217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179" t="s">
        <v>220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17</v>
      </c>
      <c r="L22" s="50">
        <v>17</v>
      </c>
      <c r="M22" s="50">
        <v>17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17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179" t="s">
        <v>221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179" t="s">
        <v>222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17</v>
      </c>
      <c r="L24" s="50">
        <v>17</v>
      </c>
      <c r="M24" s="50">
        <v>17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17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179"/>
      <c r="C25" s="49">
        <v>7.8</v>
      </c>
      <c r="D25" s="49">
        <v>7.8</v>
      </c>
      <c r="E25" s="49">
        <v>7.8</v>
      </c>
      <c r="F25" s="49">
        <v>7.8</v>
      </c>
      <c r="G25" s="49">
        <v>7.8</v>
      </c>
      <c r="H25" s="49">
        <v>7.8</v>
      </c>
      <c r="I25" s="49">
        <v>7.8</v>
      </c>
      <c r="J25" s="49">
        <v>7.8</v>
      </c>
      <c r="K25" s="49">
        <v>7.8</v>
      </c>
      <c r="L25" s="50">
        <v>7.8</v>
      </c>
      <c r="M25" s="50">
        <v>7.8</v>
      </c>
      <c r="N25" s="50">
        <v>7.8</v>
      </c>
      <c r="O25" s="50">
        <v>14.9</v>
      </c>
      <c r="P25" s="50">
        <v>14.9</v>
      </c>
      <c r="Q25" s="50">
        <v>14.9</v>
      </c>
      <c r="R25" s="50">
        <v>14.9</v>
      </c>
      <c r="S25" s="50">
        <v>14.9</v>
      </c>
      <c r="T25" s="50">
        <v>14.9</v>
      </c>
      <c r="U25" s="50">
        <v>14.9</v>
      </c>
      <c r="V25" s="50">
        <v>14.9</v>
      </c>
      <c r="W25" s="50">
        <v>14.9</v>
      </c>
      <c r="X25" s="50">
        <v>14.9</v>
      </c>
      <c r="Y25" s="50">
        <v>14.9</v>
      </c>
      <c r="Z25" s="50">
        <v>14.9</v>
      </c>
      <c r="AA25" s="50">
        <v>14.9</v>
      </c>
      <c r="AB25" s="49">
        <v>14.9</v>
      </c>
      <c r="AC25" s="49">
        <v>14.9</v>
      </c>
      <c r="AD25" s="49">
        <v>14.9</v>
      </c>
      <c r="AE25" s="49">
        <v>14.9</v>
      </c>
      <c r="AF25" s="49">
        <v>14.9</v>
      </c>
      <c r="AG25" s="60">
        <v>23.5</v>
      </c>
      <c r="AH25" s="55">
        <f t="shared" si="2"/>
        <v>14.9</v>
      </c>
      <c r="AI25" s="56">
        <f t="shared" si="3"/>
        <v>7.8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49"/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11</v>
      </c>
      <c r="X26" s="50">
        <v>11</v>
      </c>
      <c r="Y26" s="50">
        <v>11</v>
      </c>
      <c r="Z26" s="50">
        <v>11</v>
      </c>
      <c r="AA26" s="50">
        <v>10.5</v>
      </c>
      <c r="AB26" s="50">
        <v>10.5</v>
      </c>
      <c r="AC26" s="50">
        <v>10.5</v>
      </c>
      <c r="AD26" s="50">
        <v>10.5</v>
      </c>
      <c r="AE26" s="50">
        <v>10.5</v>
      </c>
      <c r="AF26" s="50">
        <v>10.5</v>
      </c>
      <c r="AG26" s="60">
        <v>22.2</v>
      </c>
      <c r="AH26" s="55">
        <f t="shared" si="2"/>
        <v>11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49"/>
      <c r="C27" s="49">
        <v>12.2</v>
      </c>
      <c r="D27" s="49">
        <v>12.2</v>
      </c>
      <c r="E27" s="49">
        <v>12.2</v>
      </c>
      <c r="F27" s="49">
        <v>12.2</v>
      </c>
      <c r="G27" s="49">
        <v>12.2</v>
      </c>
      <c r="H27" s="49">
        <v>12.2</v>
      </c>
      <c r="I27" s="49">
        <v>12.2</v>
      </c>
      <c r="J27" s="49">
        <v>12.2</v>
      </c>
      <c r="K27" s="49">
        <v>12.2</v>
      </c>
      <c r="L27" s="50">
        <v>12.2</v>
      </c>
      <c r="M27" s="50">
        <v>12.2</v>
      </c>
      <c r="N27" s="50">
        <v>12.2</v>
      </c>
      <c r="O27" s="50">
        <v>12</v>
      </c>
      <c r="P27" s="50">
        <v>12</v>
      </c>
      <c r="Q27" s="50">
        <v>0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12.2</v>
      </c>
      <c r="AC27" s="50">
        <v>12.2</v>
      </c>
      <c r="AD27" s="50">
        <v>12.2</v>
      </c>
      <c r="AE27" s="50">
        <v>12.2</v>
      </c>
      <c r="AF27" s="50">
        <v>12.2</v>
      </c>
      <c r="AG27" s="60">
        <v>22.1</v>
      </c>
      <c r="AH27" s="55">
        <f t="shared" si="2"/>
        <v>12.2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49"/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8</v>
      </c>
      <c r="R28" s="50">
        <v>8</v>
      </c>
      <c r="S28" s="50">
        <v>8</v>
      </c>
      <c r="T28" s="50">
        <v>8</v>
      </c>
      <c r="U28" s="50">
        <v>8</v>
      </c>
      <c r="V28" s="50">
        <v>8</v>
      </c>
      <c r="W28" s="50">
        <v>8</v>
      </c>
      <c r="X28" s="50">
        <v>8</v>
      </c>
      <c r="Y28" s="50">
        <v>8</v>
      </c>
      <c r="Z28" s="50">
        <v>8</v>
      </c>
      <c r="AA28" s="50">
        <v>0</v>
      </c>
      <c r="AB28" s="50">
        <v>8</v>
      </c>
      <c r="AC28" s="50">
        <v>8</v>
      </c>
      <c r="AD28" s="50">
        <v>8</v>
      </c>
      <c r="AE28" s="50">
        <v>8</v>
      </c>
      <c r="AF28" s="50">
        <v>8</v>
      </c>
      <c r="AG28" s="60">
        <v>22.1</v>
      </c>
      <c r="AH28" s="55">
        <f t="shared" si="2"/>
        <v>12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8" t="s">
        <v>37</v>
      </c>
      <c r="B29" s="62"/>
      <c r="C29" s="62">
        <v>12</v>
      </c>
      <c r="D29" s="62">
        <v>12</v>
      </c>
      <c r="E29" s="62">
        <v>12</v>
      </c>
      <c r="F29" s="62">
        <v>12</v>
      </c>
      <c r="G29" s="62">
        <v>12</v>
      </c>
      <c r="H29" s="62">
        <v>12</v>
      </c>
      <c r="I29" s="62">
        <v>12</v>
      </c>
      <c r="J29" s="62">
        <v>12</v>
      </c>
      <c r="K29" s="62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3">
        <v>22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64"/>
      <c r="AR29" s="65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66" t="s">
        <v>38</v>
      </c>
      <c r="B30" s="62"/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7">
        <v>22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66" t="s">
        <v>39</v>
      </c>
      <c r="B31" s="62"/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20</v>
      </c>
      <c r="AH31" s="55">
        <f t="shared" si="2"/>
        <v>0</v>
      </c>
      <c r="AI31" s="56">
        <f t="shared" si="3"/>
        <v>0</v>
      </c>
      <c r="AK31" s="57"/>
      <c r="AL31" s="30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40</v>
      </c>
      <c r="B32" s="62"/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15.33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8" t="s">
        <v>41</v>
      </c>
      <c r="B33" s="62"/>
      <c r="C33" s="62">
        <v>230</v>
      </c>
      <c r="D33" s="62">
        <v>230</v>
      </c>
      <c r="E33" s="62">
        <v>230</v>
      </c>
      <c r="F33" s="62">
        <v>230</v>
      </c>
      <c r="G33" s="62">
        <v>230</v>
      </c>
      <c r="H33" s="62">
        <v>230</v>
      </c>
      <c r="I33" s="62">
        <v>230</v>
      </c>
      <c r="J33" s="62">
        <v>230</v>
      </c>
      <c r="K33" s="62">
        <v>230</v>
      </c>
      <c r="L33" s="62">
        <v>230</v>
      </c>
      <c r="M33" s="62">
        <v>230</v>
      </c>
      <c r="N33" s="62">
        <v>230</v>
      </c>
      <c r="O33" s="62">
        <v>230</v>
      </c>
      <c r="P33" s="62">
        <v>230</v>
      </c>
      <c r="Q33" s="62">
        <v>230</v>
      </c>
      <c r="R33" s="62">
        <v>230</v>
      </c>
      <c r="S33" s="62">
        <v>230</v>
      </c>
      <c r="T33" s="62">
        <v>230</v>
      </c>
      <c r="U33" s="62">
        <v>230</v>
      </c>
      <c r="V33" s="62">
        <v>230</v>
      </c>
      <c r="W33" s="62">
        <v>230</v>
      </c>
      <c r="X33" s="62">
        <v>230</v>
      </c>
      <c r="Y33" s="62">
        <v>240</v>
      </c>
      <c r="Z33" s="62">
        <v>240</v>
      </c>
      <c r="AA33" s="62">
        <v>240</v>
      </c>
      <c r="AB33" s="62">
        <v>220</v>
      </c>
      <c r="AC33" s="62">
        <v>240</v>
      </c>
      <c r="AD33" s="62">
        <v>240</v>
      </c>
      <c r="AE33" s="62">
        <v>240</v>
      </c>
      <c r="AF33" s="62">
        <v>240</v>
      </c>
      <c r="AG33" s="67">
        <v>85</v>
      </c>
      <c r="AH33" s="55">
        <f t="shared" si="2"/>
        <v>240</v>
      </c>
      <c r="AI33" s="56">
        <f t="shared" si="3"/>
        <v>220</v>
      </c>
      <c r="AK33" s="57"/>
    </row>
    <row r="34" spans="1:41" ht="15.75" thickBot="1" x14ac:dyDescent="0.3">
      <c r="A34" s="69" t="s">
        <v>42</v>
      </c>
      <c r="B34" s="62"/>
      <c r="C34" s="62">
        <v>138.19999999999999</v>
      </c>
      <c r="D34" s="62">
        <v>165</v>
      </c>
      <c r="E34" s="62">
        <v>163</v>
      </c>
      <c r="F34" s="62">
        <v>162</v>
      </c>
      <c r="G34" s="62">
        <v>162</v>
      </c>
      <c r="H34" s="62">
        <v>161</v>
      </c>
      <c r="I34" s="62">
        <v>162</v>
      </c>
      <c r="J34" s="62">
        <v>150.30000000000001</v>
      </c>
      <c r="K34" s="62">
        <v>148.1</v>
      </c>
      <c r="L34" s="70"/>
      <c r="M34" s="70"/>
      <c r="N34" s="70"/>
      <c r="O34" s="70">
        <v>170</v>
      </c>
      <c r="P34" s="70">
        <v>166.8</v>
      </c>
      <c r="Q34" s="70">
        <f>95.8+74.8</f>
        <v>170.6</v>
      </c>
      <c r="R34" s="70">
        <v>162.80000000000001</v>
      </c>
      <c r="S34" s="70">
        <f>88.7+74.8</f>
        <v>163.5</v>
      </c>
      <c r="T34" s="70">
        <f>89.3+74.2</f>
        <v>163.5</v>
      </c>
      <c r="U34" s="70">
        <f>74.6+95.2</f>
        <v>169.8</v>
      </c>
      <c r="V34" s="70">
        <f>95.1+74.6</f>
        <v>169.7</v>
      </c>
      <c r="W34" s="70">
        <f>93.3+73.9</f>
        <v>167.2</v>
      </c>
      <c r="X34" s="70">
        <f>92.9+74</f>
        <v>166.9</v>
      </c>
      <c r="Y34" s="70">
        <v>167</v>
      </c>
      <c r="Z34" s="70">
        <f>93.4+74</f>
        <v>167.4</v>
      </c>
      <c r="AA34" s="70">
        <v>158</v>
      </c>
      <c r="AB34" s="70">
        <v>169</v>
      </c>
      <c r="AC34" s="70">
        <v>169</v>
      </c>
      <c r="AD34" s="70">
        <v>170</v>
      </c>
      <c r="AE34" s="70">
        <v>170</v>
      </c>
      <c r="AF34" s="70">
        <v>170</v>
      </c>
      <c r="AG34" s="67">
        <v>240</v>
      </c>
      <c r="AH34" s="55">
        <f t="shared" si="2"/>
        <v>170.6</v>
      </c>
      <c r="AI34" s="56">
        <f t="shared" si="3"/>
        <v>138.19999999999999</v>
      </c>
      <c r="AK34" s="57"/>
    </row>
    <row r="35" spans="1:41" ht="15.75" thickBot="1" x14ac:dyDescent="0.3">
      <c r="A35" s="71" t="s">
        <v>43</v>
      </c>
      <c r="B35" s="72">
        <f t="shared" ref="B35:AF35" si="4">SUM(B11:B33)</f>
        <v>0</v>
      </c>
      <c r="C35" s="72">
        <f t="shared" si="4"/>
        <v>691.3</v>
      </c>
      <c r="D35" s="72">
        <f t="shared" si="4"/>
        <v>635.59999999999991</v>
      </c>
      <c r="E35" s="72">
        <f t="shared" si="4"/>
        <v>651.6</v>
      </c>
      <c r="F35" s="72">
        <f t="shared" si="4"/>
        <v>665.6</v>
      </c>
      <c r="G35" s="72">
        <f t="shared" si="4"/>
        <v>685.6</v>
      </c>
      <c r="H35" s="72">
        <f t="shared" si="4"/>
        <v>660.6</v>
      </c>
      <c r="I35" s="72">
        <f t="shared" si="4"/>
        <v>711.6</v>
      </c>
      <c r="J35" s="72">
        <f t="shared" si="4"/>
        <v>743.90000000000009</v>
      </c>
      <c r="K35" s="72">
        <f t="shared" si="4"/>
        <v>728.90000000000009</v>
      </c>
      <c r="L35" s="72">
        <f t="shared" si="4"/>
        <v>788.6</v>
      </c>
      <c r="M35" s="72">
        <f t="shared" si="4"/>
        <v>797.2</v>
      </c>
      <c r="N35" s="72">
        <f t="shared" si="4"/>
        <v>807.2</v>
      </c>
      <c r="O35" s="72">
        <f t="shared" si="4"/>
        <v>759</v>
      </c>
      <c r="P35" s="72">
        <f t="shared" si="4"/>
        <v>811.1</v>
      </c>
      <c r="Q35" s="72">
        <f t="shared" si="4"/>
        <v>877.2</v>
      </c>
      <c r="R35" s="72">
        <f t="shared" si="4"/>
        <v>887.2</v>
      </c>
      <c r="S35" s="72">
        <f t="shared" si="4"/>
        <v>891.1</v>
      </c>
      <c r="T35" s="72">
        <f t="shared" si="4"/>
        <v>859.19999999999993</v>
      </c>
      <c r="U35" s="72">
        <f t="shared" si="4"/>
        <v>858.69999999999993</v>
      </c>
      <c r="V35" s="72">
        <f t="shared" si="4"/>
        <v>857.19999999999993</v>
      </c>
      <c r="W35" s="72">
        <f t="shared" si="4"/>
        <v>868.19999999999993</v>
      </c>
      <c r="X35" s="72">
        <f t="shared" si="4"/>
        <v>894.1</v>
      </c>
      <c r="Y35" s="72">
        <f t="shared" si="4"/>
        <v>905.9</v>
      </c>
      <c r="Z35" s="72">
        <f t="shared" si="4"/>
        <v>904.9</v>
      </c>
      <c r="AA35" s="72">
        <f t="shared" si="4"/>
        <v>867.49999999999989</v>
      </c>
      <c r="AB35" s="72">
        <f t="shared" si="4"/>
        <v>933.50000000000011</v>
      </c>
      <c r="AC35" s="72">
        <f t="shared" si="4"/>
        <v>927.50000000000011</v>
      </c>
      <c r="AD35" s="72">
        <f t="shared" si="4"/>
        <v>847.5</v>
      </c>
      <c r="AE35" s="72">
        <f t="shared" si="4"/>
        <v>797.5</v>
      </c>
      <c r="AF35" s="72">
        <f t="shared" si="4"/>
        <v>797.5</v>
      </c>
      <c r="AG35" s="67">
        <f>SUM(AG11:AG34)</f>
        <v>1416.83</v>
      </c>
      <c r="AH35" s="55">
        <f t="shared" si="2"/>
        <v>933.50000000000011</v>
      </c>
      <c r="AI35" s="56">
        <f t="shared" si="3"/>
        <v>0</v>
      </c>
      <c r="AK35" s="57"/>
    </row>
    <row r="36" spans="1:41" x14ac:dyDescent="0.25">
      <c r="A36" s="58" t="s">
        <v>44</v>
      </c>
      <c r="B36" s="62"/>
      <c r="C36" s="62">
        <v>119.1</v>
      </c>
      <c r="D36" s="62">
        <v>121.2</v>
      </c>
      <c r="E36" s="62">
        <v>121.3</v>
      </c>
      <c r="F36" s="62">
        <v>116.4</v>
      </c>
      <c r="G36" s="62">
        <v>110.3</v>
      </c>
      <c r="H36" s="62">
        <v>111.1</v>
      </c>
      <c r="I36" s="62">
        <v>115</v>
      </c>
      <c r="J36" s="62">
        <v>121.3</v>
      </c>
      <c r="K36" s="62">
        <v>121.3</v>
      </c>
      <c r="L36" s="50">
        <v>121.3</v>
      </c>
      <c r="M36" s="50">
        <v>121.5</v>
      </c>
      <c r="N36" s="50">
        <v>131.6</v>
      </c>
      <c r="O36" s="50">
        <v>0</v>
      </c>
      <c r="P36" s="50">
        <v>143.30000000000001</v>
      </c>
      <c r="Q36" s="50">
        <v>143</v>
      </c>
      <c r="R36" s="50">
        <v>143.19999999999999</v>
      </c>
      <c r="S36" s="50">
        <v>143.19999999999999</v>
      </c>
      <c r="T36" s="50">
        <v>143</v>
      </c>
      <c r="U36" s="50">
        <v>143</v>
      </c>
      <c r="V36" s="50">
        <v>143</v>
      </c>
      <c r="W36" s="50">
        <v>143.30000000000001</v>
      </c>
      <c r="X36" s="50">
        <v>143.6</v>
      </c>
      <c r="Y36" s="50">
        <v>143.4</v>
      </c>
      <c r="Z36" s="50">
        <v>143.1</v>
      </c>
      <c r="AA36" s="50">
        <v>0</v>
      </c>
      <c r="AB36" s="50">
        <v>144.69999999999999</v>
      </c>
      <c r="AC36" s="50">
        <v>144.1</v>
      </c>
      <c r="AD36" s="50">
        <v>144.1</v>
      </c>
      <c r="AE36" s="49">
        <v>144.1</v>
      </c>
      <c r="AF36" s="49">
        <v>143.9</v>
      </c>
      <c r="AG36" s="63">
        <v>144</v>
      </c>
      <c r="AH36" s="55">
        <f t="shared" si="2"/>
        <v>144.69999999999999</v>
      </c>
      <c r="AI36" s="56">
        <f t="shared" si="3"/>
        <v>0</v>
      </c>
      <c r="AK36" s="57"/>
    </row>
    <row r="37" spans="1:41" x14ac:dyDescent="0.25">
      <c r="A37" s="66" t="s">
        <v>45</v>
      </c>
      <c r="B37" s="62"/>
      <c r="C37" s="62">
        <v>59.7</v>
      </c>
      <c r="D37" s="62">
        <v>55.5</v>
      </c>
      <c r="E37" s="62">
        <v>61.7</v>
      </c>
      <c r="F37" s="62">
        <v>59.6</v>
      </c>
      <c r="G37" s="62">
        <v>53.8</v>
      </c>
      <c r="H37" s="62">
        <v>53.7</v>
      </c>
      <c r="I37" s="62">
        <v>54.4</v>
      </c>
      <c r="J37" s="62">
        <v>53.5</v>
      </c>
      <c r="K37" s="62">
        <v>53.5</v>
      </c>
      <c r="L37" s="52">
        <v>53.5</v>
      </c>
      <c r="M37" s="52">
        <v>53.3</v>
      </c>
      <c r="N37" s="52">
        <v>60.7</v>
      </c>
      <c r="O37" s="52">
        <v>70</v>
      </c>
      <c r="P37" s="52">
        <v>70</v>
      </c>
      <c r="Q37" s="52">
        <v>70</v>
      </c>
      <c r="R37" s="52">
        <v>69.8</v>
      </c>
      <c r="S37" s="52">
        <v>67.400000000000006</v>
      </c>
      <c r="T37" s="52">
        <v>67.599999999999994</v>
      </c>
      <c r="U37" s="52">
        <v>67.5</v>
      </c>
      <c r="V37" s="52">
        <v>67.400000000000006</v>
      </c>
      <c r="W37" s="52">
        <v>67</v>
      </c>
      <c r="X37" s="52">
        <v>69.900000000000006</v>
      </c>
      <c r="Y37" s="52">
        <v>69.900000000000006</v>
      </c>
      <c r="Z37" s="52">
        <v>70.099999999999994</v>
      </c>
      <c r="AA37" s="52">
        <v>71.2</v>
      </c>
      <c r="AB37" s="52">
        <v>70.900000000000006</v>
      </c>
      <c r="AC37" s="52">
        <v>71.5</v>
      </c>
      <c r="AD37" s="52">
        <v>71</v>
      </c>
      <c r="AE37" s="62">
        <v>70.8</v>
      </c>
      <c r="AF37" s="62">
        <v>71.2</v>
      </c>
      <c r="AG37" s="67">
        <v>70</v>
      </c>
      <c r="AH37" s="55">
        <f t="shared" si="2"/>
        <v>71.5</v>
      </c>
      <c r="AI37" s="56">
        <f t="shared" si="3"/>
        <v>53.3</v>
      </c>
      <c r="AK37" s="57"/>
    </row>
    <row r="38" spans="1:41" x14ac:dyDescent="0.25">
      <c r="A38" s="66" t="s">
        <v>46</v>
      </c>
      <c r="B38" s="62"/>
      <c r="C38" s="62">
        <v>66.2</v>
      </c>
      <c r="D38" s="62">
        <v>66</v>
      </c>
      <c r="E38" s="62">
        <v>63.9</v>
      </c>
      <c r="F38" s="62">
        <v>61</v>
      </c>
      <c r="G38" s="62">
        <v>51.6</v>
      </c>
      <c r="H38" s="62">
        <v>51.7</v>
      </c>
      <c r="I38" s="62">
        <v>51.8</v>
      </c>
      <c r="J38" s="62">
        <v>52</v>
      </c>
      <c r="K38" s="62">
        <v>52</v>
      </c>
      <c r="L38" s="52">
        <v>52</v>
      </c>
      <c r="M38" s="52">
        <v>62.3</v>
      </c>
      <c r="N38" s="52">
        <v>62.3</v>
      </c>
      <c r="O38" s="52">
        <v>67</v>
      </c>
      <c r="P38" s="52">
        <v>67.099999999999994</v>
      </c>
      <c r="Q38" s="52">
        <v>66.7</v>
      </c>
      <c r="R38" s="52">
        <v>66.400000000000006</v>
      </c>
      <c r="S38" s="52">
        <v>66.599999999999994</v>
      </c>
      <c r="T38" s="52">
        <v>66.7</v>
      </c>
      <c r="U38" s="52">
        <v>66.5</v>
      </c>
      <c r="V38" s="52">
        <v>66.5</v>
      </c>
      <c r="W38" s="52">
        <v>66.400000000000006</v>
      </c>
      <c r="X38" s="52">
        <v>66.900000000000006</v>
      </c>
      <c r="Y38" s="52">
        <v>66.7</v>
      </c>
      <c r="Z38" s="52">
        <v>67.400000000000006</v>
      </c>
      <c r="AA38" s="52">
        <v>68.099999999999994</v>
      </c>
      <c r="AB38" s="52">
        <v>67.900000000000006</v>
      </c>
      <c r="AC38" s="52">
        <v>67.599999999999994</v>
      </c>
      <c r="AD38" s="52">
        <v>66.8</v>
      </c>
      <c r="AE38" s="62">
        <v>66.900000000000006</v>
      </c>
      <c r="AF38" s="62">
        <v>66.900000000000006</v>
      </c>
      <c r="AG38" s="67">
        <v>69</v>
      </c>
      <c r="AH38" s="55">
        <f t="shared" si="2"/>
        <v>68.099999999999994</v>
      </c>
      <c r="AI38" s="56">
        <f t="shared" si="3"/>
        <v>51.6</v>
      </c>
      <c r="AK38" s="57"/>
    </row>
    <row r="39" spans="1:41" x14ac:dyDescent="0.25">
      <c r="A39" s="66" t="s">
        <v>47</v>
      </c>
      <c r="B39" s="62"/>
      <c r="C39" s="62">
        <v>40.299999999999997</v>
      </c>
      <c r="D39" s="62">
        <v>40.299999999999997</v>
      </c>
      <c r="E39" s="62">
        <v>40.299999999999997</v>
      </c>
      <c r="F39" s="62">
        <v>39.799999999999997</v>
      </c>
      <c r="G39" s="62">
        <v>39.799999999999997</v>
      </c>
      <c r="H39" s="62">
        <v>39.799999999999997</v>
      </c>
      <c r="I39" s="62">
        <v>39.799999999999997</v>
      </c>
      <c r="J39" s="62">
        <v>39.799999999999997</v>
      </c>
      <c r="K39" s="62">
        <v>39.799999999999997</v>
      </c>
      <c r="L39" s="52">
        <v>39.799999999999997</v>
      </c>
      <c r="M39" s="52">
        <v>41.3</v>
      </c>
      <c r="N39" s="52">
        <v>52.7</v>
      </c>
      <c r="O39" s="52">
        <v>52.7</v>
      </c>
      <c r="P39" s="52">
        <v>60.7</v>
      </c>
      <c r="Q39" s="52">
        <v>60.7</v>
      </c>
      <c r="R39" s="52">
        <v>60.7</v>
      </c>
      <c r="S39" s="52">
        <v>60.7</v>
      </c>
      <c r="T39" s="52">
        <v>60.7</v>
      </c>
      <c r="U39" s="52">
        <v>60.7</v>
      </c>
      <c r="V39" s="52">
        <v>60.7</v>
      </c>
      <c r="W39" s="52">
        <v>60.4</v>
      </c>
      <c r="X39" s="52">
        <v>60.4</v>
      </c>
      <c r="Y39" s="52">
        <v>60.7</v>
      </c>
      <c r="Z39" s="52">
        <v>60.7</v>
      </c>
      <c r="AA39" s="52">
        <v>60.9</v>
      </c>
      <c r="AB39" s="52">
        <v>60</v>
      </c>
      <c r="AC39" s="52">
        <v>60.9</v>
      </c>
      <c r="AD39" s="52">
        <v>60.9</v>
      </c>
      <c r="AE39" s="62">
        <v>60.7</v>
      </c>
      <c r="AF39" s="62">
        <v>60.7</v>
      </c>
      <c r="AG39" s="67">
        <v>60</v>
      </c>
      <c r="AH39" s="55">
        <f t="shared" si="2"/>
        <v>60.9</v>
      </c>
      <c r="AI39" s="56">
        <f t="shared" si="3"/>
        <v>39.799999999999997</v>
      </c>
      <c r="AK39" s="57"/>
    </row>
    <row r="40" spans="1:41" x14ac:dyDescent="0.25">
      <c r="A40" s="66" t="s">
        <v>48</v>
      </c>
      <c r="B40" s="62"/>
      <c r="C40" s="62">
        <v>30</v>
      </c>
      <c r="D40" s="62">
        <v>30</v>
      </c>
      <c r="E40" s="62">
        <v>30</v>
      </c>
      <c r="F40" s="62">
        <v>30</v>
      </c>
      <c r="G40" s="62">
        <v>30</v>
      </c>
      <c r="H40" s="62">
        <v>23.7</v>
      </c>
      <c r="I40" s="62">
        <v>23.7</v>
      </c>
      <c r="J40" s="62">
        <v>23.7</v>
      </c>
      <c r="K40" s="62">
        <v>23.7</v>
      </c>
      <c r="L40" s="50">
        <v>23.7</v>
      </c>
      <c r="M40" s="50">
        <v>29.4</v>
      </c>
      <c r="N40" s="50">
        <v>29.3</v>
      </c>
      <c r="O40" s="50">
        <v>0</v>
      </c>
      <c r="P40" s="50">
        <v>29</v>
      </c>
      <c r="Q40" s="50">
        <v>29.6</v>
      </c>
      <c r="R40" s="50">
        <v>29.6</v>
      </c>
      <c r="S40" s="50">
        <v>29.5</v>
      </c>
      <c r="T40" s="50">
        <v>29.5</v>
      </c>
      <c r="U40" s="50">
        <v>0</v>
      </c>
      <c r="V40" s="50">
        <v>30</v>
      </c>
      <c r="W40" s="50">
        <v>30</v>
      </c>
      <c r="X40" s="50">
        <v>30</v>
      </c>
      <c r="Y40" s="50">
        <v>29.6</v>
      </c>
      <c r="Z40" s="50">
        <v>29.6</v>
      </c>
      <c r="AA40" s="52">
        <v>29.7</v>
      </c>
      <c r="AB40" s="52">
        <v>29.7</v>
      </c>
      <c r="AC40" s="52">
        <v>29.8</v>
      </c>
      <c r="AD40" s="52">
        <v>29.8</v>
      </c>
      <c r="AE40" s="52">
        <v>29.8</v>
      </c>
      <c r="AF40" s="62">
        <v>29.8</v>
      </c>
      <c r="AG40" s="67">
        <v>30</v>
      </c>
      <c r="AH40" s="55">
        <f t="shared" si="2"/>
        <v>30</v>
      </c>
      <c r="AI40" s="56">
        <f t="shared" si="3"/>
        <v>0</v>
      </c>
      <c r="AK40" s="57"/>
    </row>
    <row r="41" spans="1:41" x14ac:dyDescent="0.25">
      <c r="A41" s="66" t="s">
        <v>49</v>
      </c>
      <c r="B41" s="62"/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67">
        <v>25</v>
      </c>
      <c r="AH41" s="55">
        <f t="shared" si="2"/>
        <v>0</v>
      </c>
      <c r="AI41" s="56">
        <f t="shared" si="3"/>
        <v>0</v>
      </c>
      <c r="AK41" s="57"/>
    </row>
    <row r="42" spans="1:41" x14ac:dyDescent="0.25">
      <c r="A42" s="66" t="s">
        <v>50</v>
      </c>
      <c r="B42" s="73"/>
      <c r="C42" s="73">
        <v>18</v>
      </c>
      <c r="D42" s="73">
        <v>18</v>
      </c>
      <c r="E42" s="73">
        <v>18</v>
      </c>
      <c r="F42" s="73">
        <v>18</v>
      </c>
      <c r="G42" s="73">
        <v>18</v>
      </c>
      <c r="H42" s="73">
        <v>18</v>
      </c>
      <c r="I42" s="73">
        <v>18</v>
      </c>
      <c r="J42" s="73">
        <v>18</v>
      </c>
      <c r="K42" s="73">
        <v>18</v>
      </c>
      <c r="L42" s="50">
        <v>18</v>
      </c>
      <c r="M42" s="50">
        <v>18</v>
      </c>
      <c r="N42" s="50">
        <v>18</v>
      </c>
      <c r="O42" s="50">
        <v>18</v>
      </c>
      <c r="P42" s="50">
        <v>18</v>
      </c>
      <c r="Q42" s="50">
        <v>18</v>
      </c>
      <c r="R42" s="50">
        <v>18</v>
      </c>
      <c r="S42" s="50">
        <v>18</v>
      </c>
      <c r="T42" s="50">
        <v>18</v>
      </c>
      <c r="U42" s="50">
        <v>18</v>
      </c>
      <c r="V42" s="50">
        <v>18</v>
      </c>
      <c r="W42" s="50">
        <v>18</v>
      </c>
      <c r="X42" s="50">
        <v>18</v>
      </c>
      <c r="Y42" s="50">
        <v>18</v>
      </c>
      <c r="Z42" s="50">
        <v>18</v>
      </c>
      <c r="AA42" s="50">
        <v>17</v>
      </c>
      <c r="AB42" s="50">
        <v>17</v>
      </c>
      <c r="AC42" s="50">
        <v>17</v>
      </c>
      <c r="AD42" s="50">
        <v>17</v>
      </c>
      <c r="AE42" s="50">
        <v>17</v>
      </c>
      <c r="AF42" s="50">
        <v>17</v>
      </c>
      <c r="AG42" s="67">
        <v>24</v>
      </c>
      <c r="AH42" s="55">
        <f t="shared" si="2"/>
        <v>18</v>
      </c>
      <c r="AI42" s="56">
        <f t="shared" si="3"/>
        <v>17</v>
      </c>
      <c r="AK42" s="57"/>
    </row>
    <row r="43" spans="1:41" x14ac:dyDescent="0.25">
      <c r="A43" s="66" t="s">
        <v>51</v>
      </c>
      <c r="B43" s="62"/>
      <c r="C43" s="62">
        <v>3.1</v>
      </c>
      <c r="D43" s="62">
        <v>3.1</v>
      </c>
      <c r="E43" s="62">
        <v>3.1</v>
      </c>
      <c r="F43" s="62">
        <v>3.1</v>
      </c>
      <c r="G43" s="62">
        <v>3.1</v>
      </c>
      <c r="H43" s="62">
        <v>3.1</v>
      </c>
      <c r="I43" s="62">
        <v>3.1</v>
      </c>
      <c r="J43" s="62">
        <v>3.1</v>
      </c>
      <c r="K43" s="62">
        <v>3.1</v>
      </c>
      <c r="L43" s="50">
        <v>3.1</v>
      </c>
      <c r="M43" s="50">
        <v>3.1</v>
      </c>
      <c r="N43" s="50">
        <v>3.1</v>
      </c>
      <c r="O43" s="50">
        <v>0</v>
      </c>
      <c r="P43" s="50">
        <v>0</v>
      </c>
      <c r="Q43" s="50">
        <v>0</v>
      </c>
      <c r="R43" s="50">
        <v>2.5</v>
      </c>
      <c r="S43" s="50">
        <v>2.5</v>
      </c>
      <c r="T43" s="50">
        <v>2.5</v>
      </c>
      <c r="U43" s="50">
        <v>2.5</v>
      </c>
      <c r="V43" s="50">
        <v>2.5</v>
      </c>
      <c r="W43" s="50">
        <v>2.5</v>
      </c>
      <c r="X43" s="50">
        <v>2.5</v>
      </c>
      <c r="Y43" s="50">
        <v>2.5</v>
      </c>
      <c r="Z43" s="50">
        <v>2.5</v>
      </c>
      <c r="AA43" s="50">
        <v>0</v>
      </c>
      <c r="AB43" s="50">
        <v>2.5</v>
      </c>
      <c r="AC43" s="50">
        <v>2.5</v>
      </c>
      <c r="AD43" s="50">
        <v>2.5</v>
      </c>
      <c r="AE43" s="50">
        <v>2.5</v>
      </c>
      <c r="AF43" s="50">
        <v>2.5</v>
      </c>
      <c r="AG43" s="67">
        <v>15</v>
      </c>
      <c r="AH43" s="55">
        <f t="shared" si="2"/>
        <v>3.1</v>
      </c>
      <c r="AI43" s="56">
        <f t="shared" si="3"/>
        <v>0</v>
      </c>
      <c r="AK43" s="57"/>
      <c r="AL43" s="74"/>
      <c r="AO43" s="74"/>
    </row>
    <row r="44" spans="1:41" s="74" customFormat="1" x14ac:dyDescent="0.25">
      <c r="A44" s="66" t="s">
        <v>52</v>
      </c>
      <c r="B44" s="62"/>
      <c r="C44" s="62">
        <v>13.5</v>
      </c>
      <c r="D44" s="62">
        <v>13.5</v>
      </c>
      <c r="E44" s="62">
        <v>13.5</v>
      </c>
      <c r="F44" s="62">
        <v>13.5</v>
      </c>
      <c r="G44" s="62">
        <v>13.5</v>
      </c>
      <c r="H44" s="62">
        <v>13.5</v>
      </c>
      <c r="I44" s="62">
        <v>13.5</v>
      </c>
      <c r="J44" s="62">
        <v>13.5</v>
      </c>
      <c r="K44" s="62">
        <v>13.5</v>
      </c>
      <c r="L44" s="50">
        <v>13.5</v>
      </c>
      <c r="M44" s="50">
        <v>13.5</v>
      </c>
      <c r="N44" s="50">
        <v>13.5</v>
      </c>
      <c r="O44" s="50">
        <v>13.5</v>
      </c>
      <c r="P44" s="50">
        <v>13.5</v>
      </c>
      <c r="Q44" s="50">
        <v>13.5</v>
      </c>
      <c r="R44" s="50">
        <v>13.5</v>
      </c>
      <c r="S44" s="50">
        <v>13.5</v>
      </c>
      <c r="T44" s="50">
        <v>13.5</v>
      </c>
      <c r="U44" s="50">
        <v>13.5</v>
      </c>
      <c r="V44" s="50">
        <v>13.5</v>
      </c>
      <c r="W44" s="50">
        <v>13.5</v>
      </c>
      <c r="X44" s="50">
        <v>13.5</v>
      </c>
      <c r="Y44" s="50">
        <v>13.5</v>
      </c>
      <c r="Z44" s="50">
        <v>13.5</v>
      </c>
      <c r="AA44" s="50">
        <v>13.5</v>
      </c>
      <c r="AB44" s="50">
        <v>13.5</v>
      </c>
      <c r="AC44" s="50">
        <v>13.5</v>
      </c>
      <c r="AD44" s="50">
        <v>13.5</v>
      </c>
      <c r="AE44" s="50">
        <v>13.5</v>
      </c>
      <c r="AF44" s="50">
        <v>13.5</v>
      </c>
      <c r="AG44" s="67">
        <v>14.1</v>
      </c>
      <c r="AH44" s="55">
        <f t="shared" si="2"/>
        <v>13.5</v>
      </c>
      <c r="AI44" s="56">
        <f t="shared" si="3"/>
        <v>13.5</v>
      </c>
      <c r="AJ44" s="1"/>
      <c r="AK44" s="57"/>
      <c r="AL44"/>
      <c r="AM44"/>
      <c r="AN44"/>
      <c r="AO44"/>
    </row>
    <row r="45" spans="1:41" x14ac:dyDescent="0.25">
      <c r="A45" s="75" t="s">
        <v>53</v>
      </c>
      <c r="B45" s="73"/>
      <c r="C45" s="73">
        <v>8</v>
      </c>
      <c r="D45" s="73">
        <v>8</v>
      </c>
      <c r="E45" s="73">
        <v>8</v>
      </c>
      <c r="F45" s="73">
        <v>8</v>
      </c>
      <c r="G45" s="73">
        <v>8</v>
      </c>
      <c r="H45" s="73">
        <v>8</v>
      </c>
      <c r="I45" s="73">
        <v>8</v>
      </c>
      <c r="J45" s="73">
        <v>14</v>
      </c>
      <c r="K45" s="73">
        <v>14</v>
      </c>
      <c r="L45" s="50">
        <v>14</v>
      </c>
      <c r="M45" s="50">
        <v>14</v>
      </c>
      <c r="N45" s="50">
        <v>14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14</v>
      </c>
      <c r="AC45" s="50">
        <v>14</v>
      </c>
      <c r="AD45" s="50">
        <v>14</v>
      </c>
      <c r="AE45" s="50">
        <v>14</v>
      </c>
      <c r="AF45" s="50">
        <v>14</v>
      </c>
      <c r="AG45" s="67">
        <v>14</v>
      </c>
      <c r="AH45" s="55">
        <f t="shared" si="2"/>
        <v>14</v>
      </c>
      <c r="AI45" s="56">
        <f t="shared" si="3"/>
        <v>0</v>
      </c>
      <c r="AK45" s="57"/>
    </row>
    <row r="46" spans="1:41" x14ac:dyDescent="0.25">
      <c r="A46" s="66" t="s">
        <v>54</v>
      </c>
      <c r="B46" s="62"/>
      <c r="C46" s="62">
        <v>9.1</v>
      </c>
      <c r="D46" s="62">
        <v>9.1</v>
      </c>
      <c r="E46" s="62">
        <v>9.1</v>
      </c>
      <c r="F46" s="62">
        <v>9.1</v>
      </c>
      <c r="G46" s="62">
        <v>9.1</v>
      </c>
      <c r="H46" s="62">
        <v>9.1</v>
      </c>
      <c r="I46" s="62">
        <v>9.1</v>
      </c>
      <c r="J46" s="62">
        <v>9.1</v>
      </c>
      <c r="K46" s="62">
        <v>9.1</v>
      </c>
      <c r="L46" s="62">
        <v>9.1</v>
      </c>
      <c r="M46" s="62">
        <v>9.1</v>
      </c>
      <c r="N46" s="62">
        <v>9.1</v>
      </c>
      <c r="O46" s="62">
        <v>9.1</v>
      </c>
      <c r="P46" s="62">
        <v>9.1</v>
      </c>
      <c r="Q46" s="62">
        <v>9.1</v>
      </c>
      <c r="R46" s="50">
        <v>9.1</v>
      </c>
      <c r="S46" s="50">
        <v>9.1</v>
      </c>
      <c r="T46" s="50">
        <v>9.1</v>
      </c>
      <c r="U46" s="50">
        <v>9.1</v>
      </c>
      <c r="V46" s="50">
        <v>9.1</v>
      </c>
      <c r="W46" s="50">
        <v>9.1</v>
      </c>
      <c r="X46" s="50">
        <v>9.1</v>
      </c>
      <c r="Y46" s="50">
        <v>9.1</v>
      </c>
      <c r="Z46" s="50">
        <v>9.1</v>
      </c>
      <c r="AA46" s="50">
        <v>9.1</v>
      </c>
      <c r="AB46" s="50">
        <v>9.4</v>
      </c>
      <c r="AC46" s="50">
        <v>9.4</v>
      </c>
      <c r="AD46" s="50">
        <v>9.4</v>
      </c>
      <c r="AE46" s="50">
        <v>9.4</v>
      </c>
      <c r="AF46" s="50">
        <v>9.4</v>
      </c>
      <c r="AG46" s="67">
        <v>10.050000000000001</v>
      </c>
      <c r="AH46" s="55">
        <f t="shared" si="2"/>
        <v>9.4</v>
      </c>
      <c r="AI46" s="56">
        <f t="shared" si="3"/>
        <v>9.1</v>
      </c>
      <c r="AK46" s="57"/>
    </row>
    <row r="47" spans="1:41" x14ac:dyDescent="0.25">
      <c r="A47" s="66" t="s">
        <v>55</v>
      </c>
      <c r="B47" s="62"/>
      <c r="C47" s="62">
        <v>6</v>
      </c>
      <c r="D47" s="62">
        <v>6</v>
      </c>
      <c r="E47" s="62">
        <v>3</v>
      </c>
      <c r="F47" s="62">
        <v>3</v>
      </c>
      <c r="G47" s="62">
        <v>3</v>
      </c>
      <c r="H47" s="62">
        <v>3</v>
      </c>
      <c r="I47" s="62">
        <v>3</v>
      </c>
      <c r="J47" s="62">
        <v>3</v>
      </c>
      <c r="K47" s="62">
        <v>3</v>
      </c>
      <c r="L47" s="50">
        <v>3</v>
      </c>
      <c r="M47" s="50">
        <v>3</v>
      </c>
      <c r="N47" s="50">
        <v>6</v>
      </c>
      <c r="O47" s="50">
        <v>6</v>
      </c>
      <c r="P47" s="50">
        <v>3</v>
      </c>
      <c r="Q47" s="50">
        <v>6</v>
      </c>
      <c r="R47" s="50">
        <v>6</v>
      </c>
      <c r="S47" s="50">
        <v>6</v>
      </c>
      <c r="T47" s="50">
        <v>6</v>
      </c>
      <c r="U47" s="50">
        <v>6</v>
      </c>
      <c r="V47" s="50">
        <v>6</v>
      </c>
      <c r="W47" s="50">
        <v>6</v>
      </c>
      <c r="X47" s="50">
        <v>6</v>
      </c>
      <c r="Y47" s="50">
        <v>6</v>
      </c>
      <c r="Z47" s="50">
        <v>6</v>
      </c>
      <c r="AA47" s="50">
        <v>6</v>
      </c>
      <c r="AB47" s="50">
        <v>6</v>
      </c>
      <c r="AC47" s="50">
        <v>6</v>
      </c>
      <c r="AD47" s="50">
        <v>6</v>
      </c>
      <c r="AE47" s="50">
        <v>6</v>
      </c>
      <c r="AF47" s="50">
        <v>6</v>
      </c>
      <c r="AG47" s="67">
        <v>6.2</v>
      </c>
      <c r="AH47" s="55">
        <f t="shared" si="2"/>
        <v>6</v>
      </c>
      <c r="AI47" s="56">
        <f t="shared" si="3"/>
        <v>3</v>
      </c>
      <c r="AK47" s="57"/>
    </row>
    <row r="48" spans="1:41" ht="15.75" thickBot="1" x14ac:dyDescent="0.3">
      <c r="A48" s="68" t="s">
        <v>56</v>
      </c>
      <c r="B48" s="76">
        <v>3.54</v>
      </c>
      <c r="C48" s="76">
        <v>3.54</v>
      </c>
      <c r="D48" s="76">
        <v>3.54</v>
      </c>
      <c r="E48" s="76">
        <v>3.54</v>
      </c>
      <c r="F48" s="76">
        <v>3.54</v>
      </c>
      <c r="G48" s="76">
        <v>3.54</v>
      </c>
      <c r="H48" s="76">
        <v>3.54</v>
      </c>
      <c r="I48" s="76">
        <v>3.54</v>
      </c>
      <c r="J48" s="76">
        <v>3.54</v>
      </c>
      <c r="K48" s="76">
        <v>3.54</v>
      </c>
      <c r="L48" s="76">
        <v>3.54</v>
      </c>
      <c r="M48" s="76">
        <v>3.54</v>
      </c>
      <c r="N48" s="76">
        <v>3.54</v>
      </c>
      <c r="O48" s="76">
        <v>3.54</v>
      </c>
      <c r="P48" s="76">
        <v>3.54</v>
      </c>
      <c r="Q48" s="76">
        <v>3.54</v>
      </c>
      <c r="R48" s="76">
        <v>3.54</v>
      </c>
      <c r="S48" s="76">
        <v>3.54</v>
      </c>
      <c r="T48" s="76">
        <f t="shared" ref="T48:AG48" si="5">T196</f>
        <v>3.54</v>
      </c>
      <c r="U48" s="76">
        <f t="shared" si="5"/>
        <v>3.54</v>
      </c>
      <c r="V48" s="76">
        <f t="shared" si="5"/>
        <v>3.54</v>
      </c>
      <c r="W48" s="76">
        <f t="shared" si="5"/>
        <v>3.54</v>
      </c>
      <c r="X48" s="76">
        <f t="shared" si="5"/>
        <v>3.54</v>
      </c>
      <c r="Y48" s="76">
        <v>3.5</v>
      </c>
      <c r="Z48" s="76">
        <f t="shared" si="5"/>
        <v>3.54</v>
      </c>
      <c r="AA48" s="76">
        <f t="shared" si="5"/>
        <v>3.54</v>
      </c>
      <c r="AB48" s="76">
        <f t="shared" si="5"/>
        <v>3.54</v>
      </c>
      <c r="AC48" s="76">
        <f t="shared" si="5"/>
        <v>3.54</v>
      </c>
      <c r="AD48" s="76">
        <f t="shared" si="5"/>
        <v>3.54</v>
      </c>
      <c r="AE48" s="76">
        <f t="shared" si="5"/>
        <v>3.54</v>
      </c>
      <c r="AF48" s="76">
        <f t="shared" si="5"/>
        <v>3.54</v>
      </c>
      <c r="AG48" s="76">
        <f t="shared" si="5"/>
        <v>8.56</v>
      </c>
      <c r="AH48" s="55">
        <f t="shared" si="2"/>
        <v>3.54</v>
      </c>
      <c r="AI48" s="56">
        <f t="shared" si="3"/>
        <v>3.5</v>
      </c>
      <c r="AK48" s="57"/>
    </row>
    <row r="49" spans="1:37" ht="15.75" thickBot="1" x14ac:dyDescent="0.3">
      <c r="A49" s="71" t="s">
        <v>57</v>
      </c>
      <c r="B49" s="72">
        <f t="shared" ref="B49:AF49" si="6">SUM(B36:B48)</f>
        <v>3.54</v>
      </c>
      <c r="C49" s="72">
        <f t="shared" si="6"/>
        <v>376.54000000000008</v>
      </c>
      <c r="D49" s="72">
        <f t="shared" si="6"/>
        <v>374.24000000000007</v>
      </c>
      <c r="E49" s="72">
        <f t="shared" si="6"/>
        <v>375.44000000000005</v>
      </c>
      <c r="F49" s="72">
        <f t="shared" si="6"/>
        <v>365.04000000000008</v>
      </c>
      <c r="G49" s="72">
        <f t="shared" si="6"/>
        <v>343.74000000000007</v>
      </c>
      <c r="H49" s="72">
        <f t="shared" si="6"/>
        <v>338.24000000000007</v>
      </c>
      <c r="I49" s="72">
        <f t="shared" si="6"/>
        <v>342.94000000000005</v>
      </c>
      <c r="J49" s="72">
        <f t="shared" si="6"/>
        <v>354.54000000000008</v>
      </c>
      <c r="K49" s="72">
        <f t="shared" si="6"/>
        <v>354.54000000000008</v>
      </c>
      <c r="L49" s="72">
        <f t="shared" si="6"/>
        <v>354.54000000000008</v>
      </c>
      <c r="M49" s="72">
        <f t="shared" si="6"/>
        <v>372.04000000000008</v>
      </c>
      <c r="N49" s="72">
        <f t="shared" si="6"/>
        <v>403.84000000000009</v>
      </c>
      <c r="O49" s="72">
        <f t="shared" si="6"/>
        <v>239.83999999999997</v>
      </c>
      <c r="P49" s="72">
        <f t="shared" si="6"/>
        <v>417.24</v>
      </c>
      <c r="Q49" s="72">
        <f t="shared" si="6"/>
        <v>420.14000000000004</v>
      </c>
      <c r="R49" s="72">
        <f t="shared" si="6"/>
        <v>422.34000000000003</v>
      </c>
      <c r="S49" s="72">
        <f t="shared" si="6"/>
        <v>420.04</v>
      </c>
      <c r="T49" s="72">
        <f t="shared" si="6"/>
        <v>420.14000000000004</v>
      </c>
      <c r="U49" s="72">
        <f t="shared" si="6"/>
        <v>390.34000000000003</v>
      </c>
      <c r="V49" s="72">
        <f t="shared" si="6"/>
        <v>420.24</v>
      </c>
      <c r="W49" s="72">
        <f t="shared" si="6"/>
        <v>419.74000000000007</v>
      </c>
      <c r="X49" s="72">
        <f t="shared" si="6"/>
        <v>423.44</v>
      </c>
      <c r="Y49" s="72">
        <f t="shared" si="6"/>
        <v>422.90000000000003</v>
      </c>
      <c r="Z49" s="72">
        <f t="shared" si="6"/>
        <v>423.54000000000008</v>
      </c>
      <c r="AA49" s="72">
        <f t="shared" si="6"/>
        <v>279.04000000000002</v>
      </c>
      <c r="AB49" s="72">
        <f t="shared" si="6"/>
        <v>439.14</v>
      </c>
      <c r="AC49" s="72">
        <f t="shared" si="6"/>
        <v>439.84</v>
      </c>
      <c r="AD49" s="72">
        <f t="shared" si="6"/>
        <v>438.53999999999996</v>
      </c>
      <c r="AE49" s="72">
        <f t="shared" si="6"/>
        <v>438.23999999999995</v>
      </c>
      <c r="AF49" s="72">
        <f t="shared" si="6"/>
        <v>438.44</v>
      </c>
      <c r="AG49" s="77">
        <f>SUM(AG36:AG48)</f>
        <v>489.91</v>
      </c>
      <c r="AH49" s="55">
        <f t="shared" si="2"/>
        <v>439.84</v>
      </c>
      <c r="AI49" s="56">
        <f t="shared" si="3"/>
        <v>3.54</v>
      </c>
      <c r="AK49" s="57"/>
    </row>
    <row r="50" spans="1:37" x14ac:dyDescent="0.25">
      <c r="A50" s="58" t="s">
        <v>58</v>
      </c>
      <c r="B50" s="62"/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174">
        <v>0</v>
      </c>
      <c r="M50" s="174">
        <v>0</v>
      </c>
      <c r="N50" s="174">
        <v>0</v>
      </c>
      <c r="O50" s="174">
        <v>0</v>
      </c>
      <c r="P50" s="50">
        <v>14.3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60</v>
      </c>
      <c r="Y50" s="50">
        <v>21.9</v>
      </c>
      <c r="Z50" s="50">
        <v>59.6</v>
      </c>
      <c r="AA50" s="50">
        <v>59.3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63">
        <v>60</v>
      </c>
      <c r="AH50" s="55">
        <f t="shared" si="2"/>
        <v>60</v>
      </c>
      <c r="AI50" s="56">
        <f t="shared" si="3"/>
        <v>0</v>
      </c>
      <c r="AK50" s="57"/>
    </row>
    <row r="51" spans="1:37" x14ac:dyDescent="0.25">
      <c r="A51" s="66" t="s">
        <v>59</v>
      </c>
      <c r="B51" s="62"/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2">
        <v>5.3</v>
      </c>
      <c r="Q51" s="52">
        <v>8.6999999999999993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31</v>
      </c>
      <c r="Y51" s="52">
        <v>11.1</v>
      </c>
      <c r="Z51" s="52">
        <v>15.5</v>
      </c>
      <c r="AA51" s="52">
        <v>27.9</v>
      </c>
      <c r="AB51" s="52">
        <v>8.1</v>
      </c>
      <c r="AC51" s="52">
        <v>0</v>
      </c>
      <c r="AD51" s="52">
        <v>0</v>
      </c>
      <c r="AE51" s="52">
        <v>0</v>
      </c>
      <c r="AF51" s="52">
        <v>0</v>
      </c>
      <c r="AG51" s="67">
        <v>32</v>
      </c>
      <c r="AH51" s="55">
        <f t="shared" si="2"/>
        <v>31</v>
      </c>
      <c r="AI51" s="56">
        <f t="shared" si="3"/>
        <v>0</v>
      </c>
      <c r="AK51" s="57"/>
    </row>
    <row r="52" spans="1:37" ht="15.75" thickBot="1" x14ac:dyDescent="0.3">
      <c r="A52" s="75" t="s">
        <v>60</v>
      </c>
      <c r="B52" s="73"/>
      <c r="C52" s="73">
        <v>0</v>
      </c>
      <c r="D52" s="73">
        <v>0</v>
      </c>
      <c r="E52" s="73">
        <v>0</v>
      </c>
      <c r="F52" s="73">
        <v>0</v>
      </c>
      <c r="G52" s="73">
        <v>0</v>
      </c>
      <c r="H52" s="73">
        <v>0</v>
      </c>
      <c r="I52" s="73">
        <v>0</v>
      </c>
      <c r="J52" s="73">
        <v>0</v>
      </c>
      <c r="K52" s="73">
        <v>0</v>
      </c>
      <c r="L52" s="175">
        <v>0</v>
      </c>
      <c r="M52" s="175">
        <v>0</v>
      </c>
      <c r="N52" s="175">
        <v>0</v>
      </c>
      <c r="O52" s="175">
        <v>0</v>
      </c>
      <c r="P52" s="78">
        <v>1.9</v>
      </c>
      <c r="Q52" s="78">
        <v>3.2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11.6</v>
      </c>
      <c r="Y52" s="78">
        <v>4.0999999999999996</v>
      </c>
      <c r="Z52" s="78">
        <v>5.6</v>
      </c>
      <c r="AA52" s="78">
        <v>10.199999999999999</v>
      </c>
      <c r="AB52" s="78">
        <v>0</v>
      </c>
      <c r="AC52" s="78">
        <v>0</v>
      </c>
      <c r="AD52" s="78">
        <v>0</v>
      </c>
      <c r="AE52" s="78">
        <v>0</v>
      </c>
      <c r="AF52" s="78">
        <v>0</v>
      </c>
      <c r="AG52" s="79">
        <v>14</v>
      </c>
      <c r="AH52" s="55">
        <f t="shared" si="2"/>
        <v>11.6</v>
      </c>
      <c r="AI52" s="56">
        <f t="shared" si="3"/>
        <v>0</v>
      </c>
      <c r="AK52" s="57"/>
    </row>
    <row r="53" spans="1:37" ht="15.75" thickBot="1" x14ac:dyDescent="0.3">
      <c r="A53" s="71" t="s">
        <v>61</v>
      </c>
      <c r="B53" s="72">
        <f>SUM(B50:B52)</f>
        <v>0</v>
      </c>
      <c r="C53" s="72">
        <f t="shared" ref="C53:AF53" si="7">SUM(C50:C52)</f>
        <v>0</v>
      </c>
      <c r="D53" s="72">
        <f t="shared" si="7"/>
        <v>0</v>
      </c>
      <c r="E53" s="72">
        <f t="shared" si="7"/>
        <v>0</v>
      </c>
      <c r="F53" s="72">
        <f t="shared" si="7"/>
        <v>0</v>
      </c>
      <c r="G53" s="72">
        <f t="shared" si="7"/>
        <v>0</v>
      </c>
      <c r="H53" s="72">
        <f t="shared" si="7"/>
        <v>0</v>
      </c>
      <c r="I53" s="72">
        <f t="shared" si="7"/>
        <v>0</v>
      </c>
      <c r="J53" s="72">
        <f t="shared" si="7"/>
        <v>0</v>
      </c>
      <c r="K53" s="72">
        <f t="shared" si="7"/>
        <v>0</v>
      </c>
      <c r="L53" s="72">
        <f t="shared" si="7"/>
        <v>0</v>
      </c>
      <c r="M53" s="72">
        <f t="shared" si="7"/>
        <v>0</v>
      </c>
      <c r="N53" s="72">
        <f t="shared" si="7"/>
        <v>0</v>
      </c>
      <c r="O53" s="72">
        <f t="shared" si="7"/>
        <v>0</v>
      </c>
      <c r="P53" s="72">
        <f t="shared" si="7"/>
        <v>21.5</v>
      </c>
      <c r="Q53" s="72">
        <f t="shared" si="7"/>
        <v>11.899999999999999</v>
      </c>
      <c r="R53" s="72">
        <f t="shared" si="7"/>
        <v>0</v>
      </c>
      <c r="S53" s="72">
        <f t="shared" si="7"/>
        <v>0</v>
      </c>
      <c r="T53" s="72">
        <f t="shared" si="7"/>
        <v>0</v>
      </c>
      <c r="U53" s="72">
        <f t="shared" si="7"/>
        <v>0</v>
      </c>
      <c r="V53" s="72">
        <f t="shared" si="7"/>
        <v>0</v>
      </c>
      <c r="W53" s="72">
        <f t="shared" si="7"/>
        <v>0</v>
      </c>
      <c r="X53" s="72">
        <f t="shared" si="7"/>
        <v>102.6</v>
      </c>
      <c r="Y53" s="72">
        <f t="shared" si="7"/>
        <v>37.1</v>
      </c>
      <c r="Z53" s="72">
        <f t="shared" si="7"/>
        <v>80.699999999999989</v>
      </c>
      <c r="AA53" s="72">
        <f t="shared" si="7"/>
        <v>97.399999999999991</v>
      </c>
      <c r="AB53" s="72">
        <f t="shared" si="7"/>
        <v>8.1</v>
      </c>
      <c r="AC53" s="72">
        <f t="shared" si="7"/>
        <v>0</v>
      </c>
      <c r="AD53" s="72">
        <f t="shared" si="7"/>
        <v>0</v>
      </c>
      <c r="AE53" s="72">
        <f t="shared" si="7"/>
        <v>0</v>
      </c>
      <c r="AF53" s="72">
        <f t="shared" si="7"/>
        <v>0</v>
      </c>
      <c r="AG53" s="77">
        <f>SUM(AG50:AG52)</f>
        <v>106</v>
      </c>
      <c r="AH53" s="55">
        <f t="shared" si="2"/>
        <v>102.6</v>
      </c>
      <c r="AI53" s="56">
        <f t="shared" si="3"/>
        <v>0</v>
      </c>
      <c r="AK53" s="57"/>
    </row>
    <row r="54" spans="1:37" x14ac:dyDescent="0.25">
      <c r="A54" s="58" t="s">
        <v>62</v>
      </c>
      <c r="B54" s="50"/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1.3</v>
      </c>
      <c r="Q54" s="50">
        <v>2.5</v>
      </c>
      <c r="R54" s="50">
        <v>3.4</v>
      </c>
      <c r="S54" s="50">
        <v>2.4</v>
      </c>
      <c r="T54" s="50">
        <v>0</v>
      </c>
      <c r="U54" s="50">
        <v>28.6</v>
      </c>
      <c r="V54" s="50">
        <v>-4.3</v>
      </c>
      <c r="W54" s="50">
        <v>-4.2</v>
      </c>
      <c r="X54" s="50">
        <v>-2.2999999999999998</v>
      </c>
      <c r="Y54" s="50">
        <v>40.9</v>
      </c>
      <c r="Z54" s="50">
        <v>26.8</v>
      </c>
      <c r="AA54" s="50">
        <v>69.7</v>
      </c>
      <c r="AB54" s="50">
        <v>34.200000000000003</v>
      </c>
      <c r="AC54" s="50">
        <v>28.9</v>
      </c>
      <c r="AD54" s="50">
        <v>0</v>
      </c>
      <c r="AE54" s="50">
        <v>0</v>
      </c>
      <c r="AF54" s="50">
        <v>0</v>
      </c>
      <c r="AG54" s="63"/>
      <c r="AH54" s="55">
        <f t="shared" si="2"/>
        <v>69.7</v>
      </c>
      <c r="AI54" s="56">
        <f t="shared" si="3"/>
        <v>-4.3</v>
      </c>
      <c r="AK54" s="57"/>
    </row>
    <row r="55" spans="1:37" x14ac:dyDescent="0.25">
      <c r="A55" s="66" t="s">
        <v>63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80">
        <v>0</v>
      </c>
      <c r="X55" s="80">
        <v>0</v>
      </c>
      <c r="Y55" s="80">
        <v>0</v>
      </c>
      <c r="Z55" s="80">
        <v>0</v>
      </c>
      <c r="AA55" s="50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67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64</v>
      </c>
      <c r="B56" s="52"/>
      <c r="C56" s="52">
        <v>-36.200000000000003</v>
      </c>
      <c r="D56" s="52">
        <v>0</v>
      </c>
      <c r="E56" s="52">
        <v>-35</v>
      </c>
      <c r="F56" s="52">
        <v>-50</v>
      </c>
      <c r="G56" s="50">
        <v>-30.2</v>
      </c>
      <c r="H56" s="50">
        <v>-34</v>
      </c>
      <c r="I56" s="50">
        <v>-45</v>
      </c>
      <c r="J56" s="50">
        <v>3.5</v>
      </c>
      <c r="K56" s="50">
        <v>-13.4</v>
      </c>
      <c r="L56" s="52">
        <v>-49.6</v>
      </c>
      <c r="M56" s="52">
        <v>-14.8</v>
      </c>
      <c r="N56" s="52">
        <v>-55.4</v>
      </c>
      <c r="O56" s="52">
        <v>-17.2</v>
      </c>
      <c r="P56" s="52">
        <v>-7.4</v>
      </c>
      <c r="Q56" s="52">
        <v>-40</v>
      </c>
      <c r="R56" s="52">
        <v>-33.200000000000003</v>
      </c>
      <c r="S56" s="52">
        <v>-58.7</v>
      </c>
      <c r="T56" s="52">
        <v>-32.6</v>
      </c>
      <c r="U56" s="52">
        <v>-62.5</v>
      </c>
      <c r="V56" s="52">
        <v>-44.1</v>
      </c>
      <c r="W56" s="81">
        <v>25.7</v>
      </c>
      <c r="X56" s="81">
        <v>32.6</v>
      </c>
      <c r="Y56" s="81">
        <v>51.5</v>
      </c>
      <c r="Z56" s="81">
        <v>0</v>
      </c>
      <c r="AA56" s="50">
        <v>0</v>
      </c>
      <c r="AB56" s="52">
        <v>-28</v>
      </c>
      <c r="AC56" s="52">
        <v>-25</v>
      </c>
      <c r="AD56" s="52">
        <v>-20</v>
      </c>
      <c r="AE56" s="52">
        <v>-20</v>
      </c>
      <c r="AF56" s="52">
        <v>-21</v>
      </c>
      <c r="AG56" s="82"/>
      <c r="AH56" s="55">
        <f t="shared" si="2"/>
        <v>51.5</v>
      </c>
      <c r="AI56" s="56">
        <f t="shared" si="3"/>
        <v>-62.5</v>
      </c>
      <c r="AK56" s="57"/>
    </row>
    <row r="57" spans="1:37" x14ac:dyDescent="0.25">
      <c r="A57" s="66" t="s">
        <v>65</v>
      </c>
      <c r="B57" s="59"/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59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81">
        <v>0</v>
      </c>
      <c r="AA57" s="50">
        <v>0</v>
      </c>
      <c r="AB57" s="52">
        <v>0</v>
      </c>
      <c r="AC57" s="52">
        <v>0</v>
      </c>
      <c r="AD57" s="52">
        <v>0</v>
      </c>
      <c r="AE57" s="59">
        <v>0</v>
      </c>
      <c r="AF57" s="59">
        <v>0</v>
      </c>
      <c r="AG57" s="82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6" t="s">
        <v>66</v>
      </c>
      <c r="B58" s="59"/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81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67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8</v>
      </c>
      <c r="S59" s="61">
        <v>8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81">
        <v>0</v>
      </c>
      <c r="AA59" s="50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82"/>
      <c r="AH59" s="55">
        <f t="shared" si="2"/>
        <v>8</v>
      </c>
      <c r="AI59" s="56">
        <f t="shared" si="3"/>
        <v>0</v>
      </c>
      <c r="AK59" s="57"/>
    </row>
    <row r="60" spans="1:37" x14ac:dyDescent="0.25">
      <c r="A60" s="66" t="s">
        <v>68</v>
      </c>
      <c r="B60" s="59"/>
      <c r="C60" s="59">
        <v>0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0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81">
        <v>0</v>
      </c>
      <c r="AA60" s="50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69</v>
      </c>
      <c r="B61" s="59"/>
      <c r="C61" s="59">
        <v>8</v>
      </c>
      <c r="D61" s="59">
        <v>8</v>
      </c>
      <c r="E61" s="59">
        <v>8</v>
      </c>
      <c r="F61" s="59">
        <v>8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0</v>
      </c>
      <c r="Q61" s="59">
        <v>0</v>
      </c>
      <c r="R61" s="59">
        <v>0</v>
      </c>
      <c r="S61" s="59">
        <v>0</v>
      </c>
      <c r="T61" s="59">
        <v>0</v>
      </c>
      <c r="U61" s="59">
        <v>0</v>
      </c>
      <c r="V61" s="59">
        <v>0</v>
      </c>
      <c r="W61" s="59">
        <v>0</v>
      </c>
      <c r="X61" s="59">
        <v>0</v>
      </c>
      <c r="Y61" s="59">
        <v>0</v>
      </c>
      <c r="Z61" s="81">
        <v>0</v>
      </c>
      <c r="AA61" s="50">
        <v>0</v>
      </c>
      <c r="AB61" s="59">
        <v>0</v>
      </c>
      <c r="AC61" s="59">
        <v>0</v>
      </c>
      <c r="AD61" s="59">
        <v>0</v>
      </c>
      <c r="AE61" s="59">
        <v>0</v>
      </c>
      <c r="AF61" s="59">
        <v>0</v>
      </c>
      <c r="AG61" s="82"/>
      <c r="AH61" s="55">
        <f t="shared" si="2"/>
        <v>8</v>
      </c>
      <c r="AI61" s="56">
        <f t="shared" si="3"/>
        <v>0</v>
      </c>
      <c r="AK61" s="57"/>
    </row>
    <row r="62" spans="1:37" x14ac:dyDescent="0.25">
      <c r="A62" s="66" t="s">
        <v>70</v>
      </c>
      <c r="B62" s="59"/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81">
        <v>0</v>
      </c>
      <c r="AA62" s="50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83" t="s">
        <v>71</v>
      </c>
      <c r="B63" s="59"/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2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Z63" s="81">
        <v>0</v>
      </c>
      <c r="AA63" s="50">
        <v>0</v>
      </c>
      <c r="AB63" s="84">
        <v>0</v>
      </c>
      <c r="AC63" s="84">
        <v>0</v>
      </c>
      <c r="AD63" s="84">
        <v>0</v>
      </c>
      <c r="AE63" s="84">
        <v>0</v>
      </c>
      <c r="AF63" s="84">
        <v>0</v>
      </c>
      <c r="AG63" s="85"/>
      <c r="AH63" s="55">
        <f t="shared" si="2"/>
        <v>0</v>
      </c>
      <c r="AI63" s="56">
        <f t="shared" si="3"/>
        <v>0</v>
      </c>
      <c r="AK63" s="57"/>
    </row>
    <row r="64" spans="1:37" ht="15.75" thickBot="1" x14ac:dyDescent="0.3">
      <c r="A64" s="83" t="s">
        <v>72</v>
      </c>
      <c r="B64" s="59"/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0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1">
        <v>0</v>
      </c>
      <c r="AA64" s="50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71" t="s">
        <v>73</v>
      </c>
      <c r="B65" s="72">
        <f>SUM(B54:B64)</f>
        <v>0</v>
      </c>
      <c r="C65" s="72">
        <f t="shared" ref="C65:AF65" si="8">SUM(C54:C64)</f>
        <v>-28.200000000000003</v>
      </c>
      <c r="D65" s="72">
        <f t="shared" si="8"/>
        <v>8</v>
      </c>
      <c r="E65" s="72">
        <f t="shared" si="8"/>
        <v>-27</v>
      </c>
      <c r="F65" s="72">
        <f t="shared" si="8"/>
        <v>-42</v>
      </c>
      <c r="G65" s="72">
        <f t="shared" si="8"/>
        <v>-30.2</v>
      </c>
      <c r="H65" s="72">
        <f t="shared" si="8"/>
        <v>-34</v>
      </c>
      <c r="I65" s="72">
        <f t="shared" si="8"/>
        <v>-45</v>
      </c>
      <c r="J65" s="72">
        <f t="shared" si="8"/>
        <v>3.5</v>
      </c>
      <c r="K65" s="72">
        <f t="shared" si="8"/>
        <v>-13.4</v>
      </c>
      <c r="L65" s="72">
        <f t="shared" si="8"/>
        <v>-49.6</v>
      </c>
      <c r="M65" s="72">
        <f t="shared" si="8"/>
        <v>-14.8</v>
      </c>
      <c r="N65" s="72">
        <f t="shared" si="8"/>
        <v>-55.4</v>
      </c>
      <c r="O65" s="72">
        <f t="shared" si="8"/>
        <v>-17.2</v>
      </c>
      <c r="P65" s="72">
        <f t="shared" si="8"/>
        <v>-6.1000000000000005</v>
      </c>
      <c r="Q65" s="72">
        <f t="shared" si="8"/>
        <v>-37.5</v>
      </c>
      <c r="R65" s="72">
        <f t="shared" si="8"/>
        <v>-21.800000000000004</v>
      </c>
      <c r="S65" s="72">
        <f t="shared" si="8"/>
        <v>-48.300000000000004</v>
      </c>
      <c r="T65" s="72">
        <f t="shared" si="8"/>
        <v>-32.6</v>
      </c>
      <c r="U65" s="72">
        <f t="shared" si="8"/>
        <v>-33.9</v>
      </c>
      <c r="V65" s="72">
        <f t="shared" si="8"/>
        <v>-48.4</v>
      </c>
      <c r="W65" s="72">
        <f t="shared" si="8"/>
        <v>21.5</v>
      </c>
      <c r="X65" s="72">
        <f t="shared" si="8"/>
        <v>30.3</v>
      </c>
      <c r="Y65" s="72">
        <f t="shared" si="8"/>
        <v>92.4</v>
      </c>
      <c r="Z65" s="72">
        <f t="shared" si="8"/>
        <v>26.8</v>
      </c>
      <c r="AA65" s="72">
        <f t="shared" si="8"/>
        <v>69.7</v>
      </c>
      <c r="AB65" s="72">
        <f t="shared" si="8"/>
        <v>6.2000000000000028</v>
      </c>
      <c r="AC65" s="72">
        <f t="shared" si="8"/>
        <v>3.8999999999999986</v>
      </c>
      <c r="AD65" s="72">
        <f t="shared" si="8"/>
        <v>-20</v>
      </c>
      <c r="AE65" s="72">
        <f t="shared" si="8"/>
        <v>-20</v>
      </c>
      <c r="AF65" s="72">
        <f t="shared" si="8"/>
        <v>-21</v>
      </c>
      <c r="AG65" s="77">
        <f>SUM(AG54:AG64)</f>
        <v>0</v>
      </c>
      <c r="AH65" s="55">
        <f t="shared" si="2"/>
        <v>92.4</v>
      </c>
      <c r="AI65" s="56">
        <f t="shared" si="3"/>
        <v>-55.4</v>
      </c>
      <c r="AK65" s="57"/>
    </row>
    <row r="66" spans="1:88" x14ac:dyDescent="0.25">
      <c r="A66" s="58" t="s">
        <v>74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Z66" s="84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>
        <v>39</v>
      </c>
      <c r="AH66" s="55">
        <f t="shared" si="2"/>
        <v>0</v>
      </c>
      <c r="AI66" s="56">
        <f t="shared" si="3"/>
        <v>0</v>
      </c>
      <c r="AK66" s="57"/>
    </row>
    <row r="67" spans="1:88" x14ac:dyDescent="0.25">
      <c r="A67" s="66" t="s">
        <v>75</v>
      </c>
      <c r="B67" s="61">
        <v>0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82">
        <v>14.4</v>
      </c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83" t="s">
        <v>76</v>
      </c>
      <c r="B68" s="59">
        <v>0</v>
      </c>
      <c r="C68" s="59">
        <v>0</v>
      </c>
      <c r="D68" s="59">
        <v>0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59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5">
        <v>2</v>
      </c>
      <c r="AH68" s="55">
        <f t="shared" si="2"/>
        <v>0</v>
      </c>
      <c r="AI68" s="56">
        <f t="shared" si="3"/>
        <v>0</v>
      </c>
    </row>
    <row r="69" spans="1:88" s="1" customFormat="1" ht="15.75" thickBot="1" x14ac:dyDescent="0.3">
      <c r="A69" s="71" t="s">
        <v>77</v>
      </c>
      <c r="B69" s="72">
        <f>SUM(B66:B68)</f>
        <v>0</v>
      </c>
      <c r="C69" s="72">
        <f t="shared" ref="C69:AF69" si="9">SUM(C66:C68)</f>
        <v>0</v>
      </c>
      <c r="D69" s="72">
        <f t="shared" si="9"/>
        <v>0</v>
      </c>
      <c r="E69" s="72">
        <f t="shared" si="9"/>
        <v>0</v>
      </c>
      <c r="F69" s="72">
        <f t="shared" si="9"/>
        <v>0</v>
      </c>
      <c r="G69" s="72">
        <f t="shared" si="9"/>
        <v>0</v>
      </c>
      <c r="H69" s="72">
        <f t="shared" si="9"/>
        <v>0</v>
      </c>
      <c r="I69" s="72">
        <f t="shared" si="9"/>
        <v>0</v>
      </c>
      <c r="J69" s="72">
        <f t="shared" si="9"/>
        <v>0</v>
      </c>
      <c r="K69" s="72">
        <f t="shared" si="9"/>
        <v>0</v>
      </c>
      <c r="L69" s="72">
        <f t="shared" si="9"/>
        <v>0</v>
      </c>
      <c r="M69" s="72">
        <f t="shared" si="9"/>
        <v>0</v>
      </c>
      <c r="N69" s="72">
        <f t="shared" si="9"/>
        <v>0</v>
      </c>
      <c r="O69" s="72">
        <f t="shared" si="9"/>
        <v>0</v>
      </c>
      <c r="P69" s="72">
        <f t="shared" si="9"/>
        <v>0</v>
      </c>
      <c r="Q69" s="72">
        <f t="shared" si="9"/>
        <v>0</v>
      </c>
      <c r="R69" s="72">
        <f t="shared" si="9"/>
        <v>0</v>
      </c>
      <c r="S69" s="72">
        <f t="shared" si="9"/>
        <v>0</v>
      </c>
      <c r="T69" s="72">
        <f t="shared" si="9"/>
        <v>0</v>
      </c>
      <c r="U69" s="72">
        <f t="shared" si="9"/>
        <v>0</v>
      </c>
      <c r="V69" s="72">
        <f t="shared" si="9"/>
        <v>0</v>
      </c>
      <c r="W69" s="72">
        <f t="shared" si="9"/>
        <v>0</v>
      </c>
      <c r="X69" s="72">
        <f t="shared" si="9"/>
        <v>0</v>
      </c>
      <c r="Y69" s="72">
        <f t="shared" si="9"/>
        <v>0</v>
      </c>
      <c r="Z69" s="72">
        <f t="shared" si="9"/>
        <v>0</v>
      </c>
      <c r="AA69" s="72">
        <f t="shared" si="9"/>
        <v>0</v>
      </c>
      <c r="AB69" s="72">
        <f t="shared" si="9"/>
        <v>0</v>
      </c>
      <c r="AC69" s="72">
        <f t="shared" si="9"/>
        <v>0</v>
      </c>
      <c r="AD69" s="72">
        <f t="shared" si="9"/>
        <v>0</v>
      </c>
      <c r="AE69" s="72">
        <f t="shared" si="9"/>
        <v>0</v>
      </c>
      <c r="AF69" s="72">
        <f t="shared" si="9"/>
        <v>0</v>
      </c>
      <c r="AG69" s="77">
        <f>SUM(AG66:AG68)</f>
        <v>55.4</v>
      </c>
      <c r="AH69" s="55">
        <f t="shared" si="2"/>
        <v>0</v>
      </c>
      <c r="AI69" s="56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71" t="s">
        <v>78</v>
      </c>
      <c r="B70" s="87">
        <f>B65+B53+B49+B35+B69</f>
        <v>3.54</v>
      </c>
      <c r="C70" s="87">
        <f t="shared" ref="C70:AG70" si="10">C65+C53+C49+C35+C69</f>
        <v>1039.6400000000001</v>
      </c>
      <c r="D70" s="87">
        <f t="shared" si="10"/>
        <v>1017.8399999999999</v>
      </c>
      <c r="E70" s="87">
        <f t="shared" si="10"/>
        <v>1000.0400000000001</v>
      </c>
      <c r="F70" s="87">
        <f t="shared" si="10"/>
        <v>988.6400000000001</v>
      </c>
      <c r="G70" s="87">
        <f t="shared" si="10"/>
        <v>999.1400000000001</v>
      </c>
      <c r="H70" s="87">
        <f t="shared" si="10"/>
        <v>964.84000000000015</v>
      </c>
      <c r="I70" s="87">
        <f t="shared" si="10"/>
        <v>1009.5400000000001</v>
      </c>
      <c r="J70" s="87">
        <f t="shared" si="10"/>
        <v>1101.94</v>
      </c>
      <c r="K70" s="87">
        <f t="shared" si="10"/>
        <v>1070.0400000000002</v>
      </c>
      <c r="L70" s="87">
        <f t="shared" si="10"/>
        <v>1093.54</v>
      </c>
      <c r="M70" s="87">
        <f t="shared" si="10"/>
        <v>1154.44</v>
      </c>
      <c r="N70" s="87">
        <f t="shared" si="10"/>
        <v>1155.6400000000001</v>
      </c>
      <c r="O70" s="87">
        <f t="shared" si="10"/>
        <v>981.64</v>
      </c>
      <c r="P70" s="87">
        <f t="shared" si="10"/>
        <v>1243.74</v>
      </c>
      <c r="Q70" s="87">
        <f t="shared" si="10"/>
        <v>1271.74</v>
      </c>
      <c r="R70" s="87">
        <f t="shared" si="10"/>
        <v>1287.74</v>
      </c>
      <c r="S70" s="87">
        <f t="shared" si="10"/>
        <v>1262.8400000000001</v>
      </c>
      <c r="T70" s="87">
        <f t="shared" si="10"/>
        <v>1246.74</v>
      </c>
      <c r="U70" s="87">
        <f t="shared" si="10"/>
        <v>1215.1399999999999</v>
      </c>
      <c r="V70" s="87">
        <f t="shared" si="10"/>
        <v>1229.04</v>
      </c>
      <c r="W70" s="87">
        <f t="shared" si="10"/>
        <v>1309.44</v>
      </c>
      <c r="X70" s="87">
        <f t="shared" si="10"/>
        <v>1450.44</v>
      </c>
      <c r="Y70" s="87">
        <f t="shared" si="10"/>
        <v>1458.3000000000002</v>
      </c>
      <c r="Z70" s="87">
        <f t="shared" si="10"/>
        <v>1435.94</v>
      </c>
      <c r="AA70" s="87">
        <f t="shared" si="10"/>
        <v>1313.6399999999999</v>
      </c>
      <c r="AB70" s="87">
        <f t="shared" si="10"/>
        <v>1386.94</v>
      </c>
      <c r="AC70" s="87">
        <f t="shared" si="10"/>
        <v>1371.24</v>
      </c>
      <c r="AD70" s="87">
        <f t="shared" si="10"/>
        <v>1266.04</v>
      </c>
      <c r="AE70" s="87">
        <f t="shared" si="10"/>
        <v>1215.74</v>
      </c>
      <c r="AF70" s="87">
        <f t="shared" si="10"/>
        <v>1214.94</v>
      </c>
      <c r="AG70" s="87">
        <f t="shared" si="10"/>
        <v>2068.14</v>
      </c>
      <c r="AH70" s="55">
        <f t="shared" si="2"/>
        <v>1458.3000000000002</v>
      </c>
      <c r="AI70" s="56">
        <f t="shared" si="3"/>
        <v>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8" t="s">
        <v>79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>
        <v>180</v>
      </c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>
        <v>100</v>
      </c>
      <c r="AB71" s="89"/>
      <c r="AC71" s="89"/>
      <c r="AD71" s="89"/>
      <c r="AE71" s="89"/>
      <c r="AF71" s="89"/>
      <c r="AG71" s="77"/>
      <c r="AH71" s="55">
        <f t="shared" si="2"/>
        <v>180</v>
      </c>
      <c r="AI71" s="56">
        <f t="shared" si="3"/>
        <v>100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1" t="s">
        <v>80</v>
      </c>
      <c r="B72" s="87">
        <f>B70+B71</f>
        <v>3.54</v>
      </c>
      <c r="C72" s="87">
        <f t="shared" ref="C72:AF72" si="11">C69+C65+C53+C49+C35+C71</f>
        <v>1039.6400000000001</v>
      </c>
      <c r="D72" s="87">
        <f t="shared" si="11"/>
        <v>1017.8399999999999</v>
      </c>
      <c r="E72" s="87">
        <f t="shared" si="11"/>
        <v>1000.0400000000001</v>
      </c>
      <c r="F72" s="87">
        <f t="shared" si="11"/>
        <v>988.6400000000001</v>
      </c>
      <c r="G72" s="87">
        <f t="shared" si="11"/>
        <v>999.1400000000001</v>
      </c>
      <c r="H72" s="87">
        <f t="shared" si="11"/>
        <v>964.84000000000015</v>
      </c>
      <c r="I72" s="87">
        <f t="shared" si="11"/>
        <v>1009.5400000000001</v>
      </c>
      <c r="J72" s="87">
        <f t="shared" si="11"/>
        <v>1101.94</v>
      </c>
      <c r="K72" s="87">
        <f t="shared" si="11"/>
        <v>1070.0400000000002</v>
      </c>
      <c r="L72" s="87">
        <f t="shared" si="11"/>
        <v>1093.54</v>
      </c>
      <c r="M72" s="87">
        <f t="shared" si="11"/>
        <v>1154.44</v>
      </c>
      <c r="N72" s="87">
        <f t="shared" si="11"/>
        <v>1155.6400000000001</v>
      </c>
      <c r="O72" s="87">
        <f t="shared" si="11"/>
        <v>1161.6399999999999</v>
      </c>
      <c r="P72" s="87">
        <f t="shared" si="11"/>
        <v>1243.74</v>
      </c>
      <c r="Q72" s="87">
        <f t="shared" si="11"/>
        <v>1271.74</v>
      </c>
      <c r="R72" s="87">
        <f t="shared" si="11"/>
        <v>1287.74</v>
      </c>
      <c r="S72" s="87">
        <f t="shared" si="11"/>
        <v>1262.8400000000001</v>
      </c>
      <c r="T72" s="87">
        <f t="shared" si="11"/>
        <v>1246.74</v>
      </c>
      <c r="U72" s="87">
        <f t="shared" si="11"/>
        <v>1215.1399999999999</v>
      </c>
      <c r="V72" s="87">
        <f t="shared" si="11"/>
        <v>1229.04</v>
      </c>
      <c r="W72" s="87">
        <f t="shared" si="11"/>
        <v>1309.44</v>
      </c>
      <c r="X72" s="87">
        <f t="shared" si="11"/>
        <v>1450.44</v>
      </c>
      <c r="Y72" s="87">
        <f t="shared" si="11"/>
        <v>1458.3000000000002</v>
      </c>
      <c r="Z72" s="87">
        <f t="shared" si="11"/>
        <v>1435.94</v>
      </c>
      <c r="AA72" s="87">
        <f t="shared" si="11"/>
        <v>1413.6399999999999</v>
      </c>
      <c r="AB72" s="87">
        <f t="shared" si="11"/>
        <v>1386.94</v>
      </c>
      <c r="AC72" s="87">
        <f t="shared" si="11"/>
        <v>1371.24</v>
      </c>
      <c r="AD72" s="87">
        <f t="shared" si="11"/>
        <v>1266.04</v>
      </c>
      <c r="AE72" s="87">
        <f t="shared" si="11"/>
        <v>1215.74</v>
      </c>
      <c r="AF72" s="87">
        <f t="shared" si="11"/>
        <v>1214.94</v>
      </c>
      <c r="AG72" s="77">
        <f>AG69+AG65+AG53+AG49+AG35+AG71</f>
        <v>2068.14</v>
      </c>
      <c r="AH72" s="55">
        <f t="shared" si="2"/>
        <v>1458.3000000000002</v>
      </c>
      <c r="AI72" s="56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8" t="s">
        <v>65</v>
      </c>
      <c r="B73" s="59">
        <f>IF(B57&lt;0,B57*-1,0)</f>
        <v>0</v>
      </c>
      <c r="C73" s="59">
        <f t="shared" ref="C73:AF73" si="12">IF(C57&lt;0,C57*-1,0)</f>
        <v>0</v>
      </c>
      <c r="D73" s="59">
        <f t="shared" si="12"/>
        <v>0</v>
      </c>
      <c r="E73" s="59">
        <f t="shared" si="12"/>
        <v>0</v>
      </c>
      <c r="F73" s="59">
        <f t="shared" si="12"/>
        <v>0</v>
      </c>
      <c r="G73" s="59">
        <f t="shared" si="12"/>
        <v>0</v>
      </c>
      <c r="H73" s="59">
        <f t="shared" si="12"/>
        <v>0</v>
      </c>
      <c r="I73" s="59">
        <f t="shared" si="12"/>
        <v>0</v>
      </c>
      <c r="J73" s="59">
        <f t="shared" si="12"/>
        <v>0</v>
      </c>
      <c r="K73" s="59">
        <f t="shared" si="12"/>
        <v>0</v>
      </c>
      <c r="L73" s="59">
        <f t="shared" si="12"/>
        <v>0</v>
      </c>
      <c r="M73" s="59">
        <f t="shared" si="12"/>
        <v>0</v>
      </c>
      <c r="N73" s="59">
        <f t="shared" si="12"/>
        <v>0</v>
      </c>
      <c r="O73" s="59">
        <f t="shared" si="12"/>
        <v>0</v>
      </c>
      <c r="P73" s="59">
        <f t="shared" si="12"/>
        <v>0</v>
      </c>
      <c r="Q73" s="59">
        <f t="shared" si="12"/>
        <v>0</v>
      </c>
      <c r="R73" s="59">
        <f t="shared" si="12"/>
        <v>0</v>
      </c>
      <c r="S73" s="59">
        <f t="shared" si="12"/>
        <v>0</v>
      </c>
      <c r="T73" s="59">
        <f t="shared" si="12"/>
        <v>0</v>
      </c>
      <c r="U73" s="59">
        <f t="shared" si="12"/>
        <v>0</v>
      </c>
      <c r="V73" s="59">
        <f t="shared" si="12"/>
        <v>0</v>
      </c>
      <c r="W73" s="59">
        <f t="shared" si="12"/>
        <v>0</v>
      </c>
      <c r="X73" s="59">
        <f t="shared" si="12"/>
        <v>0</v>
      </c>
      <c r="Y73" s="59">
        <f t="shared" si="12"/>
        <v>0</v>
      </c>
      <c r="Z73" s="59">
        <f t="shared" si="12"/>
        <v>0</v>
      </c>
      <c r="AA73" s="59">
        <f t="shared" si="12"/>
        <v>0</v>
      </c>
      <c r="AB73" s="59">
        <f t="shared" si="12"/>
        <v>0</v>
      </c>
      <c r="AC73" s="59">
        <f t="shared" si="12"/>
        <v>0</v>
      </c>
      <c r="AD73" s="59">
        <f t="shared" si="12"/>
        <v>0</v>
      </c>
      <c r="AE73" s="59">
        <f t="shared" si="12"/>
        <v>0</v>
      </c>
      <c r="AF73" s="59">
        <f t="shared" si="12"/>
        <v>0</v>
      </c>
      <c r="AG73" s="63"/>
      <c r="AH73" s="55">
        <f t="shared" si="2"/>
        <v>0</v>
      </c>
      <c r="AI73" s="56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66" t="s">
        <v>63</v>
      </c>
      <c r="B74" s="59">
        <f>IF(B55&lt;0,B55*-1,0)</f>
        <v>0</v>
      </c>
      <c r="C74" s="59">
        <f t="shared" ref="C74:AF74" si="13">IF(C55&lt;0,C55*-1,0)</f>
        <v>0</v>
      </c>
      <c r="D74" s="59">
        <f t="shared" si="13"/>
        <v>0</v>
      </c>
      <c r="E74" s="59">
        <f t="shared" si="13"/>
        <v>0</v>
      </c>
      <c r="F74" s="59">
        <f t="shared" si="13"/>
        <v>0</v>
      </c>
      <c r="G74" s="59">
        <f t="shared" si="13"/>
        <v>0</v>
      </c>
      <c r="H74" s="59">
        <f t="shared" si="13"/>
        <v>0</v>
      </c>
      <c r="I74" s="59">
        <f t="shared" si="13"/>
        <v>0</v>
      </c>
      <c r="J74" s="59">
        <f t="shared" si="13"/>
        <v>0</v>
      </c>
      <c r="K74" s="59">
        <f t="shared" si="13"/>
        <v>0</v>
      </c>
      <c r="L74" s="59">
        <f t="shared" si="13"/>
        <v>0</v>
      </c>
      <c r="M74" s="59">
        <f t="shared" si="13"/>
        <v>0</v>
      </c>
      <c r="N74" s="59">
        <f t="shared" si="13"/>
        <v>0</v>
      </c>
      <c r="O74" s="59">
        <f t="shared" si="13"/>
        <v>0</v>
      </c>
      <c r="P74" s="59">
        <f t="shared" si="13"/>
        <v>0</v>
      </c>
      <c r="Q74" s="59">
        <f t="shared" si="13"/>
        <v>0</v>
      </c>
      <c r="R74" s="59">
        <f t="shared" si="13"/>
        <v>0</v>
      </c>
      <c r="S74" s="59">
        <f t="shared" si="13"/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7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3" t="s">
        <v>81</v>
      </c>
      <c r="B75" s="59">
        <f>IF(B58&lt;0,B58*-1,0)</f>
        <v>0</v>
      </c>
      <c r="C75" s="59">
        <f t="shared" ref="C75:AF75" si="14">IF(C58&lt;0,C58*-1,0)</f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 t="shared" si="14"/>
        <v>0</v>
      </c>
      <c r="S75" s="59">
        <f t="shared" si="14"/>
        <v>0</v>
      </c>
      <c r="T75" s="59">
        <f t="shared" si="14"/>
        <v>0</v>
      </c>
      <c r="U75" s="59">
        <f t="shared" si="14"/>
        <v>0</v>
      </c>
      <c r="V75" s="59">
        <f t="shared" si="14"/>
        <v>0</v>
      </c>
      <c r="W75" s="59">
        <f t="shared" si="14"/>
        <v>0</v>
      </c>
      <c r="X75" s="59">
        <f t="shared" si="14"/>
        <v>0</v>
      </c>
      <c r="Y75" s="59">
        <f t="shared" si="14"/>
        <v>0</v>
      </c>
      <c r="Z75" s="59">
        <f t="shared" si="14"/>
        <v>0</v>
      </c>
      <c r="AA75" s="59">
        <f t="shared" si="14"/>
        <v>0</v>
      </c>
      <c r="AB75" s="59">
        <f t="shared" si="14"/>
        <v>0</v>
      </c>
      <c r="AC75" s="59">
        <f t="shared" si="14"/>
        <v>0</v>
      </c>
      <c r="AD75" s="59">
        <f t="shared" si="14"/>
        <v>0</v>
      </c>
      <c r="AE75" s="59">
        <f t="shared" si="14"/>
        <v>0</v>
      </c>
      <c r="AF75" s="59">
        <f t="shared" si="14"/>
        <v>0</v>
      </c>
      <c r="AG75" s="90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82</v>
      </c>
      <c r="B76" s="59">
        <f>IF(B56&lt;0,B56*-1,0)</f>
        <v>0</v>
      </c>
      <c r="C76" s="59">
        <f t="shared" ref="C76:AF76" si="15">IF(C56&lt;0,C56*-1,0)</f>
        <v>36.200000000000003</v>
      </c>
      <c r="D76" s="59">
        <f t="shared" si="15"/>
        <v>0</v>
      </c>
      <c r="E76" s="59">
        <f t="shared" si="15"/>
        <v>35</v>
      </c>
      <c r="F76" s="59">
        <f t="shared" si="15"/>
        <v>50</v>
      </c>
      <c r="G76" s="59">
        <f t="shared" si="15"/>
        <v>30.2</v>
      </c>
      <c r="H76" s="59">
        <f t="shared" si="15"/>
        <v>34</v>
      </c>
      <c r="I76" s="59">
        <f t="shared" si="15"/>
        <v>45</v>
      </c>
      <c r="J76" s="59">
        <f t="shared" si="15"/>
        <v>0</v>
      </c>
      <c r="K76" s="59">
        <f t="shared" si="15"/>
        <v>13.4</v>
      </c>
      <c r="L76" s="59">
        <f t="shared" si="15"/>
        <v>49.6</v>
      </c>
      <c r="M76" s="59">
        <f t="shared" si="15"/>
        <v>14.8</v>
      </c>
      <c r="N76" s="59">
        <f t="shared" si="15"/>
        <v>55.4</v>
      </c>
      <c r="O76" s="59">
        <f t="shared" si="15"/>
        <v>17.2</v>
      </c>
      <c r="P76" s="59">
        <f t="shared" si="15"/>
        <v>7.4</v>
      </c>
      <c r="Q76" s="59">
        <f t="shared" si="15"/>
        <v>40</v>
      </c>
      <c r="R76" s="59">
        <f t="shared" si="15"/>
        <v>33.200000000000003</v>
      </c>
      <c r="S76" s="59">
        <f t="shared" si="15"/>
        <v>58.7</v>
      </c>
      <c r="T76" s="59">
        <f t="shared" si="15"/>
        <v>32.6</v>
      </c>
      <c r="U76" s="59">
        <f t="shared" si="15"/>
        <v>62.5</v>
      </c>
      <c r="V76" s="59">
        <f t="shared" si="15"/>
        <v>44.1</v>
      </c>
      <c r="W76" s="59">
        <f t="shared" si="15"/>
        <v>0</v>
      </c>
      <c r="X76" s="59">
        <f t="shared" si="15"/>
        <v>0</v>
      </c>
      <c r="Y76" s="59">
        <f t="shared" si="15"/>
        <v>0</v>
      </c>
      <c r="Z76" s="59">
        <f t="shared" si="15"/>
        <v>0</v>
      </c>
      <c r="AA76" s="59">
        <f t="shared" si="15"/>
        <v>0</v>
      </c>
      <c r="AB76" s="59">
        <f t="shared" si="15"/>
        <v>28</v>
      </c>
      <c r="AC76" s="59">
        <f t="shared" si="15"/>
        <v>25</v>
      </c>
      <c r="AD76" s="59">
        <f t="shared" si="15"/>
        <v>20</v>
      </c>
      <c r="AE76" s="59">
        <f t="shared" si="15"/>
        <v>20</v>
      </c>
      <c r="AF76" s="59">
        <f t="shared" si="15"/>
        <v>21</v>
      </c>
      <c r="AG76" s="90"/>
      <c r="AH76" s="55">
        <f t="shared" ref="AH76:AH88" si="16">MAX(B76:AF76)</f>
        <v>62.5</v>
      </c>
      <c r="AI76" s="56">
        <f t="shared" ref="AI76:AI88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62</v>
      </c>
      <c r="B77" s="59">
        <f>IF(B54&lt;0,B54*-1,0)</f>
        <v>0</v>
      </c>
      <c r="C77" s="59">
        <f t="shared" ref="C77:AF77" si="18">IF(C54&lt;0,C54*-1,0)</f>
        <v>0</v>
      </c>
      <c r="D77" s="59">
        <f t="shared" si="18"/>
        <v>0</v>
      </c>
      <c r="E77" s="59">
        <f t="shared" si="18"/>
        <v>0</v>
      </c>
      <c r="F77" s="59">
        <f t="shared" si="18"/>
        <v>0</v>
      </c>
      <c r="G77" s="59">
        <f t="shared" si="18"/>
        <v>0</v>
      </c>
      <c r="H77" s="59">
        <f t="shared" si="18"/>
        <v>0</v>
      </c>
      <c r="I77" s="59">
        <f t="shared" si="18"/>
        <v>0</v>
      </c>
      <c r="J77" s="59">
        <f t="shared" si="18"/>
        <v>0</v>
      </c>
      <c r="K77" s="59">
        <f t="shared" si="18"/>
        <v>0</v>
      </c>
      <c r="L77" s="59">
        <f t="shared" si="18"/>
        <v>0</v>
      </c>
      <c r="M77" s="59">
        <f t="shared" si="18"/>
        <v>0</v>
      </c>
      <c r="N77" s="59">
        <f t="shared" si="18"/>
        <v>0</v>
      </c>
      <c r="O77" s="59">
        <f t="shared" si="18"/>
        <v>0</v>
      </c>
      <c r="P77" s="59">
        <f t="shared" si="18"/>
        <v>0</v>
      </c>
      <c r="Q77" s="59">
        <f t="shared" si="18"/>
        <v>0</v>
      </c>
      <c r="R77" s="59">
        <f t="shared" si="18"/>
        <v>0</v>
      </c>
      <c r="S77" s="59">
        <f t="shared" si="18"/>
        <v>0</v>
      </c>
      <c r="T77" s="59">
        <f t="shared" si="18"/>
        <v>0</v>
      </c>
      <c r="U77" s="59">
        <f t="shared" si="18"/>
        <v>0</v>
      </c>
      <c r="V77" s="59">
        <f t="shared" si="18"/>
        <v>4.3</v>
      </c>
      <c r="W77" s="59">
        <f t="shared" si="18"/>
        <v>4.2</v>
      </c>
      <c r="X77" s="59">
        <f t="shared" si="18"/>
        <v>2.2999999999999998</v>
      </c>
      <c r="Y77" s="59">
        <f t="shared" si="18"/>
        <v>0</v>
      </c>
      <c r="Z77" s="59">
        <f t="shared" si="18"/>
        <v>0</v>
      </c>
      <c r="AA77" s="59">
        <f t="shared" si="18"/>
        <v>0</v>
      </c>
      <c r="AB77" s="59">
        <f t="shared" si="18"/>
        <v>0</v>
      </c>
      <c r="AC77" s="59">
        <f t="shared" si="18"/>
        <v>0</v>
      </c>
      <c r="AD77" s="59">
        <f t="shared" si="18"/>
        <v>0</v>
      </c>
      <c r="AE77" s="59">
        <f t="shared" si="18"/>
        <v>0</v>
      </c>
      <c r="AF77" s="59">
        <f t="shared" si="18"/>
        <v>0</v>
      </c>
      <c r="AG77" s="90"/>
      <c r="AH77" s="55">
        <f t="shared" si="16"/>
        <v>4.3</v>
      </c>
      <c r="AI77" s="56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3" t="s">
        <v>83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50"/>
      <c r="S78" s="50"/>
      <c r="T78" s="50"/>
      <c r="U78" s="50"/>
      <c r="V78" s="50"/>
      <c r="W78" s="50"/>
      <c r="X78" s="50"/>
      <c r="Y78" s="50"/>
      <c r="Z78" s="50"/>
      <c r="AA78" s="84"/>
      <c r="AB78" s="84"/>
      <c r="AC78" s="84"/>
      <c r="AD78" s="84"/>
      <c r="AE78" s="84"/>
      <c r="AF78" s="84"/>
      <c r="AG78" s="85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91" t="s">
        <v>84</v>
      </c>
      <c r="B79" s="72">
        <f t="shared" ref="B79:AG79" si="19">SUM(B73:B78)</f>
        <v>0</v>
      </c>
      <c r="C79" s="72">
        <f t="shared" si="19"/>
        <v>36.200000000000003</v>
      </c>
      <c r="D79" s="72">
        <f t="shared" si="19"/>
        <v>0</v>
      </c>
      <c r="E79" s="72">
        <f t="shared" si="19"/>
        <v>35</v>
      </c>
      <c r="F79" s="72">
        <f t="shared" si="19"/>
        <v>50</v>
      </c>
      <c r="G79" s="72">
        <f t="shared" si="19"/>
        <v>30.2</v>
      </c>
      <c r="H79" s="72">
        <f t="shared" si="19"/>
        <v>34</v>
      </c>
      <c r="I79" s="72">
        <f t="shared" si="19"/>
        <v>45</v>
      </c>
      <c r="J79" s="72">
        <f t="shared" si="19"/>
        <v>0</v>
      </c>
      <c r="K79" s="72">
        <f t="shared" si="19"/>
        <v>13.4</v>
      </c>
      <c r="L79" s="72">
        <f t="shared" si="19"/>
        <v>49.6</v>
      </c>
      <c r="M79" s="72">
        <f t="shared" si="19"/>
        <v>14.8</v>
      </c>
      <c r="N79" s="72">
        <f t="shared" si="19"/>
        <v>55.4</v>
      </c>
      <c r="O79" s="72">
        <f t="shared" si="19"/>
        <v>17.2</v>
      </c>
      <c r="P79" s="72">
        <f t="shared" si="19"/>
        <v>7.4</v>
      </c>
      <c r="Q79" s="72">
        <f t="shared" si="19"/>
        <v>40</v>
      </c>
      <c r="R79" s="72">
        <f t="shared" si="19"/>
        <v>33.200000000000003</v>
      </c>
      <c r="S79" s="72">
        <f t="shared" si="19"/>
        <v>58.7</v>
      </c>
      <c r="T79" s="72">
        <f t="shared" si="19"/>
        <v>32.6</v>
      </c>
      <c r="U79" s="72">
        <f t="shared" si="19"/>
        <v>62.5</v>
      </c>
      <c r="V79" s="72">
        <f t="shared" si="19"/>
        <v>48.4</v>
      </c>
      <c r="W79" s="72">
        <f t="shared" si="19"/>
        <v>4.2</v>
      </c>
      <c r="X79" s="72">
        <f t="shared" si="19"/>
        <v>2.2999999999999998</v>
      </c>
      <c r="Y79" s="72">
        <f t="shared" si="19"/>
        <v>0</v>
      </c>
      <c r="Z79" s="72">
        <f t="shared" si="19"/>
        <v>0</v>
      </c>
      <c r="AA79" s="72">
        <f t="shared" si="19"/>
        <v>0</v>
      </c>
      <c r="AB79" s="72">
        <f t="shared" si="19"/>
        <v>28</v>
      </c>
      <c r="AC79" s="72">
        <f t="shared" si="19"/>
        <v>25</v>
      </c>
      <c r="AD79" s="72">
        <f t="shared" si="19"/>
        <v>20</v>
      </c>
      <c r="AE79" s="72">
        <f t="shared" si="19"/>
        <v>20</v>
      </c>
      <c r="AF79" s="72">
        <f t="shared" si="19"/>
        <v>21</v>
      </c>
      <c r="AG79" s="77">
        <f t="shared" si="19"/>
        <v>0</v>
      </c>
      <c r="AH79" s="55">
        <f t="shared" si="16"/>
        <v>62.5</v>
      </c>
      <c r="AI79" s="56">
        <f t="shared" si="17"/>
        <v>0</v>
      </c>
      <c r="AK79" s="57"/>
    </row>
    <row r="80" spans="1:88" s="1" customFormat="1" ht="15.75" thickBot="1" x14ac:dyDescent="0.3">
      <c r="A80" s="71" t="s">
        <v>85</v>
      </c>
      <c r="B80" s="72">
        <f t="shared" ref="B80:AG80" si="20">SUM(B67:B79)</f>
        <v>7.08</v>
      </c>
      <c r="C80" s="72">
        <f t="shared" si="20"/>
        <v>2151.6799999999998</v>
      </c>
      <c r="D80" s="72">
        <f t="shared" si="20"/>
        <v>2035.6799999999998</v>
      </c>
      <c r="E80" s="72">
        <f t="shared" si="20"/>
        <v>2070.08</v>
      </c>
      <c r="F80" s="72">
        <f t="shared" si="20"/>
        <v>2077.2800000000002</v>
      </c>
      <c r="G80" s="72">
        <f t="shared" si="20"/>
        <v>2058.6800000000003</v>
      </c>
      <c r="H80" s="72">
        <f t="shared" si="20"/>
        <v>1997.6800000000003</v>
      </c>
      <c r="I80" s="72">
        <f t="shared" si="20"/>
        <v>2109.08</v>
      </c>
      <c r="J80" s="72">
        <f t="shared" si="20"/>
        <v>2203.88</v>
      </c>
      <c r="K80" s="72">
        <f t="shared" si="20"/>
        <v>2166.8800000000006</v>
      </c>
      <c r="L80" s="72">
        <f t="shared" si="20"/>
        <v>2286.2799999999997</v>
      </c>
      <c r="M80" s="72">
        <f t="shared" si="20"/>
        <v>2338.4800000000005</v>
      </c>
      <c r="N80" s="72">
        <f t="shared" si="20"/>
        <v>2422.0800000000004</v>
      </c>
      <c r="O80" s="72">
        <f t="shared" si="20"/>
        <v>2357.6799999999994</v>
      </c>
      <c r="P80" s="72">
        <f t="shared" si="20"/>
        <v>2502.2800000000002</v>
      </c>
      <c r="Q80" s="72">
        <f t="shared" si="20"/>
        <v>2623.48</v>
      </c>
      <c r="R80" s="72">
        <f t="shared" si="20"/>
        <v>2641.8799999999997</v>
      </c>
      <c r="S80" s="72">
        <f t="shared" si="20"/>
        <v>2643.08</v>
      </c>
      <c r="T80" s="72">
        <f t="shared" si="20"/>
        <v>2558.6799999999998</v>
      </c>
      <c r="U80" s="72">
        <f t="shared" si="20"/>
        <v>2555.2799999999997</v>
      </c>
      <c r="V80" s="72">
        <f t="shared" si="20"/>
        <v>2554.88</v>
      </c>
      <c r="W80" s="72">
        <f t="shared" si="20"/>
        <v>2627.2799999999997</v>
      </c>
      <c r="X80" s="72">
        <f t="shared" si="20"/>
        <v>2905.4800000000005</v>
      </c>
      <c r="Y80" s="72">
        <f t="shared" si="20"/>
        <v>2916.6000000000004</v>
      </c>
      <c r="Z80" s="72">
        <f t="shared" si="20"/>
        <v>2871.88</v>
      </c>
      <c r="AA80" s="72">
        <f t="shared" si="20"/>
        <v>2827.2799999999997</v>
      </c>
      <c r="AB80" s="72">
        <f t="shared" si="20"/>
        <v>2829.88</v>
      </c>
      <c r="AC80" s="72">
        <f t="shared" si="20"/>
        <v>2792.48</v>
      </c>
      <c r="AD80" s="72">
        <f t="shared" si="20"/>
        <v>2572.08</v>
      </c>
      <c r="AE80" s="72">
        <f t="shared" si="20"/>
        <v>2471.48</v>
      </c>
      <c r="AF80" s="72">
        <f t="shared" si="20"/>
        <v>2471.88</v>
      </c>
      <c r="AG80" s="77">
        <f t="shared" si="20"/>
        <v>4208.08</v>
      </c>
      <c r="AH80" s="55">
        <f t="shared" si="16"/>
        <v>2916.6000000000004</v>
      </c>
      <c r="AI80" s="56">
        <f t="shared" si="17"/>
        <v>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2" t="s">
        <v>86</v>
      </c>
      <c r="B81" s="93"/>
      <c r="C81" s="93">
        <v>50.04</v>
      </c>
      <c r="D81" s="93">
        <v>49.93</v>
      </c>
      <c r="E81" s="93">
        <v>49.999000000000002</v>
      </c>
      <c r="F81" s="93">
        <v>50.048999999999999</v>
      </c>
      <c r="G81" s="93">
        <v>49.975000000000001</v>
      </c>
      <c r="H81" s="93">
        <v>50.015000000000001</v>
      </c>
      <c r="I81" s="93">
        <v>49.942999999999998</v>
      </c>
      <c r="J81" s="93">
        <v>49.957999999999998</v>
      </c>
      <c r="K81" s="93">
        <v>49.99</v>
      </c>
      <c r="L81" s="93">
        <v>50.061999999999998</v>
      </c>
      <c r="M81" s="93">
        <v>50.024000000000001</v>
      </c>
      <c r="N81" s="93">
        <v>49.890999999999998</v>
      </c>
      <c r="O81" s="93">
        <v>49.99</v>
      </c>
      <c r="P81" s="93">
        <v>50.045000000000002</v>
      </c>
      <c r="Q81" s="93">
        <v>49.997</v>
      </c>
      <c r="R81" s="93">
        <v>50.024000000000001</v>
      </c>
      <c r="S81" s="93">
        <v>50.045999999999999</v>
      </c>
      <c r="T81" s="93">
        <v>49.984000000000002</v>
      </c>
      <c r="U81" s="93">
        <v>49.994</v>
      </c>
      <c r="V81" s="93">
        <v>50.04</v>
      </c>
      <c r="W81" s="93">
        <v>50.146000000000001</v>
      </c>
      <c r="X81" s="93">
        <v>50.009</v>
      </c>
      <c r="Y81" s="93">
        <v>49.975999999999999</v>
      </c>
      <c r="Z81" s="93">
        <v>49.978999999999999</v>
      </c>
      <c r="AA81" s="93">
        <v>49.94</v>
      </c>
      <c r="AB81" s="93">
        <v>50.015999999999998</v>
      </c>
      <c r="AC81" s="93">
        <v>49.997999999999998</v>
      </c>
      <c r="AD81" s="93">
        <v>50.000999999999998</v>
      </c>
      <c r="AE81" s="93">
        <v>50.054000000000002</v>
      </c>
      <c r="AF81" s="94">
        <v>50.000999999999998</v>
      </c>
      <c r="AG81" s="95"/>
      <c r="AH81" s="55">
        <f t="shared" si="16"/>
        <v>50.146000000000001</v>
      </c>
      <c r="AI81" s="56">
        <f t="shared" si="17"/>
        <v>49.890999999999998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6" t="s">
        <v>87</v>
      </c>
      <c r="B82" s="52"/>
      <c r="C82" s="52">
        <v>126.9</v>
      </c>
      <c r="D82" s="52">
        <v>127.4</v>
      </c>
      <c r="E82" s="52">
        <v>126.5</v>
      </c>
      <c r="F82" s="52">
        <v>127.7</v>
      </c>
      <c r="G82" s="52">
        <v>126.7</v>
      </c>
      <c r="H82" s="52">
        <v>126.5</v>
      </c>
      <c r="I82" s="52">
        <v>125.4</v>
      </c>
      <c r="J82" s="52">
        <v>123.9</v>
      </c>
      <c r="K82" s="52">
        <v>123.1</v>
      </c>
      <c r="L82" s="52">
        <v>123.7</v>
      </c>
      <c r="M82" s="52">
        <v>122.9</v>
      </c>
      <c r="N82" s="52">
        <v>124.7</v>
      </c>
      <c r="O82" s="52">
        <v>124.7</v>
      </c>
      <c r="P82" s="52">
        <v>123.3</v>
      </c>
      <c r="Q82" s="52">
        <v>123.6</v>
      </c>
      <c r="R82" s="52">
        <v>121.9</v>
      </c>
      <c r="S82" s="52">
        <v>122.8</v>
      </c>
      <c r="T82" s="97">
        <v>123.2</v>
      </c>
      <c r="U82" s="97">
        <v>124.2</v>
      </c>
      <c r="V82" s="97">
        <v>123.4</v>
      </c>
      <c r="W82" s="97">
        <v>122.5</v>
      </c>
      <c r="X82" s="97">
        <v>123.7</v>
      </c>
      <c r="Y82" s="97">
        <v>123.8</v>
      </c>
      <c r="Z82" s="97">
        <v>125.5</v>
      </c>
      <c r="AA82" s="97">
        <v>126.5</v>
      </c>
      <c r="AB82" s="52">
        <v>123.7</v>
      </c>
      <c r="AC82" s="52">
        <v>123.9</v>
      </c>
      <c r="AD82" s="52">
        <v>125.8</v>
      </c>
      <c r="AE82" s="52">
        <v>125.9</v>
      </c>
      <c r="AF82" s="98">
        <v>125.4</v>
      </c>
      <c r="AG82" s="99"/>
      <c r="AH82" s="55">
        <f t="shared" si="16"/>
        <v>127.7</v>
      </c>
      <c r="AI82" s="56">
        <f t="shared" si="17"/>
        <v>121.9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88</v>
      </c>
      <c r="B83" s="52"/>
      <c r="C83" s="52">
        <v>130.9</v>
      </c>
      <c r="D83" s="52">
        <v>131.30000000000001</v>
      </c>
      <c r="E83" s="52">
        <v>130.5</v>
      </c>
      <c r="F83" s="52">
        <v>131.1</v>
      </c>
      <c r="G83" s="52">
        <v>130.4</v>
      </c>
      <c r="H83" s="52">
        <v>130.1</v>
      </c>
      <c r="I83" s="52">
        <v>128.69999999999999</v>
      </c>
      <c r="J83" s="52">
        <v>127.3</v>
      </c>
      <c r="K83" s="52">
        <v>126.6</v>
      </c>
      <c r="L83" s="52">
        <v>126.6</v>
      </c>
      <c r="M83" s="52">
        <v>125.9</v>
      </c>
      <c r="N83" s="52">
        <v>127.6</v>
      </c>
      <c r="O83" s="52">
        <v>127.5</v>
      </c>
      <c r="P83" s="52">
        <v>126.9</v>
      </c>
      <c r="Q83" s="52">
        <v>126.8</v>
      </c>
      <c r="R83" s="52">
        <v>125.7</v>
      </c>
      <c r="S83" s="52">
        <v>126.2</v>
      </c>
      <c r="T83" s="97">
        <v>126.5</v>
      </c>
      <c r="U83" s="97">
        <v>127.3</v>
      </c>
      <c r="V83" s="97">
        <v>126.9</v>
      </c>
      <c r="W83" s="97">
        <v>126</v>
      </c>
      <c r="X83" s="97">
        <v>126.6</v>
      </c>
      <c r="Y83" s="97">
        <v>126.8</v>
      </c>
      <c r="Z83" s="97">
        <v>128.69999999999999</v>
      </c>
      <c r="AA83" s="97">
        <v>129.5</v>
      </c>
      <c r="AB83" s="52">
        <v>127.6</v>
      </c>
      <c r="AC83" s="52">
        <v>127.9</v>
      </c>
      <c r="AD83" s="52">
        <v>129.9</v>
      </c>
      <c r="AE83" s="52">
        <v>129.80000000000001</v>
      </c>
      <c r="AF83" s="98">
        <v>129.4</v>
      </c>
      <c r="AG83" s="99"/>
      <c r="AH83" s="55">
        <f t="shared" si="16"/>
        <v>131.30000000000001</v>
      </c>
      <c r="AI83" s="56">
        <f t="shared" si="17"/>
        <v>125.7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89</v>
      </c>
      <c r="B84" s="52"/>
      <c r="C84" s="52">
        <v>129.4</v>
      </c>
      <c r="D84" s="52">
        <v>130.69999999999999</v>
      </c>
      <c r="E84" s="52">
        <v>129.19999999999999</v>
      </c>
      <c r="F84" s="52">
        <v>128.6</v>
      </c>
      <c r="G84" s="52">
        <v>128.4</v>
      </c>
      <c r="H84" s="52">
        <v>127.6</v>
      </c>
      <c r="I84" s="52">
        <v>128.19999999999999</v>
      </c>
      <c r="J84" s="52">
        <v>129.19999999999999</v>
      </c>
      <c r="K84" s="52">
        <v>126.8</v>
      </c>
      <c r="L84" s="52"/>
      <c r="M84" s="52"/>
      <c r="N84" s="52"/>
      <c r="O84" s="52">
        <v>128.69999999999999</v>
      </c>
      <c r="P84" s="52">
        <v>125.8</v>
      </c>
      <c r="Q84" s="52">
        <v>125.3</v>
      </c>
      <c r="R84" s="52">
        <v>126.6</v>
      </c>
      <c r="S84" s="52">
        <v>126.8</v>
      </c>
      <c r="T84" s="52">
        <v>127.3</v>
      </c>
      <c r="U84" s="52">
        <v>128</v>
      </c>
      <c r="V84" s="52">
        <v>129</v>
      </c>
      <c r="W84" s="97">
        <v>127.5</v>
      </c>
      <c r="X84" s="97">
        <v>124.2</v>
      </c>
      <c r="Y84" s="97">
        <v>126.4</v>
      </c>
      <c r="Z84" s="97">
        <v>126.7</v>
      </c>
      <c r="AA84" s="97">
        <v>127.6</v>
      </c>
      <c r="AB84" s="52">
        <v>128.5</v>
      </c>
      <c r="AC84" s="52">
        <v>127.7</v>
      </c>
      <c r="AD84" s="52">
        <v>127.9</v>
      </c>
      <c r="AE84" s="52">
        <v>126.3</v>
      </c>
      <c r="AF84" s="98">
        <v>126.8</v>
      </c>
      <c r="AG84" s="99"/>
      <c r="AH84" s="55">
        <f t="shared" si="16"/>
        <v>130.69999999999999</v>
      </c>
      <c r="AI84" s="56">
        <f t="shared" si="17"/>
        <v>124.2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100" t="s">
        <v>90</v>
      </c>
      <c r="B85" s="52"/>
      <c r="C85" s="52">
        <v>134.1</v>
      </c>
      <c r="D85" s="52">
        <v>134.69999999999999</v>
      </c>
      <c r="E85" s="52">
        <v>133.6</v>
      </c>
      <c r="F85" s="52">
        <v>133.30000000000001</v>
      </c>
      <c r="G85" s="52">
        <v>133.1</v>
      </c>
      <c r="H85" s="52">
        <v>132.6</v>
      </c>
      <c r="I85" s="52">
        <v>132.4</v>
      </c>
      <c r="J85" s="52">
        <v>133.1</v>
      </c>
      <c r="K85" s="52">
        <v>130.69999999999999</v>
      </c>
      <c r="L85" s="52"/>
      <c r="M85" s="52"/>
      <c r="N85" s="52"/>
      <c r="O85" s="52">
        <v>132.19999999999999</v>
      </c>
      <c r="P85" s="52">
        <v>130.1</v>
      </c>
      <c r="Q85" s="52">
        <v>129.9</v>
      </c>
      <c r="R85" s="52">
        <v>130.6</v>
      </c>
      <c r="S85" s="52">
        <v>130.4</v>
      </c>
      <c r="T85" s="52">
        <v>130.69999999999999</v>
      </c>
      <c r="U85" s="52">
        <v>132.4</v>
      </c>
      <c r="V85" s="52">
        <v>133.5</v>
      </c>
      <c r="W85" s="97">
        <v>132.30000000000001</v>
      </c>
      <c r="X85" s="97">
        <v>128.5</v>
      </c>
      <c r="Y85" s="97">
        <v>130</v>
      </c>
      <c r="Z85" s="97">
        <v>131.1</v>
      </c>
      <c r="AA85" s="97">
        <v>132.30000000000001</v>
      </c>
      <c r="AB85" s="52">
        <v>132.6</v>
      </c>
      <c r="AC85" s="52">
        <v>132.30000000000001</v>
      </c>
      <c r="AD85" s="52">
        <v>133</v>
      </c>
      <c r="AE85" s="52">
        <v>131.9</v>
      </c>
      <c r="AF85" s="98">
        <v>132</v>
      </c>
      <c r="AG85" s="99"/>
      <c r="AH85" s="55">
        <f t="shared" si="16"/>
        <v>134.69999999999999</v>
      </c>
      <c r="AI85" s="56">
        <f t="shared" si="17"/>
        <v>128.5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91</v>
      </c>
      <c r="B86" s="101"/>
      <c r="C86" s="101">
        <v>134.69999999999999</v>
      </c>
      <c r="D86" s="101">
        <v>135.30000000000001</v>
      </c>
      <c r="E86" s="101">
        <v>136.19999999999999</v>
      </c>
      <c r="F86" s="101">
        <v>135</v>
      </c>
      <c r="G86" s="101">
        <v>133.4</v>
      </c>
      <c r="H86" s="101">
        <v>134.30000000000001</v>
      </c>
      <c r="I86" s="101">
        <v>132.6</v>
      </c>
      <c r="J86" s="101">
        <v>132.6</v>
      </c>
      <c r="K86" s="101">
        <v>131.19999999999999</v>
      </c>
      <c r="L86" s="101">
        <v>132.19999999999999</v>
      </c>
      <c r="M86" s="101">
        <v>130</v>
      </c>
      <c r="N86" s="101">
        <v>131.1</v>
      </c>
      <c r="O86" s="101">
        <v>133.5</v>
      </c>
      <c r="P86" s="101">
        <v>134.69999999999999</v>
      </c>
      <c r="Q86" s="101">
        <v>133.6</v>
      </c>
      <c r="R86" s="101">
        <v>130.5</v>
      </c>
      <c r="S86" s="101">
        <v>132.9</v>
      </c>
      <c r="T86" s="101">
        <v>132.69999999999999</v>
      </c>
      <c r="U86" s="101">
        <v>132.19999999999999</v>
      </c>
      <c r="V86" s="101">
        <v>132.80000000000001</v>
      </c>
      <c r="W86" s="97">
        <v>130</v>
      </c>
      <c r="X86" s="97">
        <v>126.6</v>
      </c>
      <c r="Y86" s="97">
        <v>135.5</v>
      </c>
      <c r="Z86" s="97">
        <v>132.6</v>
      </c>
      <c r="AA86" s="97">
        <v>132.69999999999999</v>
      </c>
      <c r="AB86" s="101">
        <v>131</v>
      </c>
      <c r="AC86" s="101">
        <v>134.5</v>
      </c>
      <c r="AD86" s="101">
        <v>132.9</v>
      </c>
      <c r="AE86" s="101">
        <v>133.6</v>
      </c>
      <c r="AF86" s="102">
        <v>131.4</v>
      </c>
      <c r="AG86" s="103"/>
      <c r="AH86" s="55">
        <f t="shared" si="16"/>
        <v>136.19999999999999</v>
      </c>
      <c r="AI86" s="56">
        <f t="shared" si="17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6" t="s">
        <v>92</v>
      </c>
      <c r="B87" s="52"/>
      <c r="C87" s="52">
        <v>133.9</v>
      </c>
      <c r="D87" s="52">
        <v>134.80000000000001</v>
      </c>
      <c r="E87" s="52">
        <v>136.19999999999999</v>
      </c>
      <c r="F87" s="52">
        <v>135.69999999999999</v>
      </c>
      <c r="G87" s="52">
        <v>134.4</v>
      </c>
      <c r="H87" s="52">
        <v>135.80000000000001</v>
      </c>
      <c r="I87" s="52">
        <v>134</v>
      </c>
      <c r="J87" s="52">
        <v>132.9</v>
      </c>
      <c r="K87" s="52">
        <v>131</v>
      </c>
      <c r="L87" s="52">
        <v>130.69999999999999</v>
      </c>
      <c r="M87" s="52">
        <v>125.9</v>
      </c>
      <c r="N87" s="52">
        <v>121.3</v>
      </c>
      <c r="O87" s="52">
        <v>132.19999999999999</v>
      </c>
      <c r="P87" s="52">
        <v>127.5</v>
      </c>
      <c r="Q87" s="52">
        <v>128.5</v>
      </c>
      <c r="R87" s="52">
        <v>122.4</v>
      </c>
      <c r="S87" s="52">
        <v>127.4</v>
      </c>
      <c r="T87" s="52">
        <v>126.4</v>
      </c>
      <c r="U87" s="52">
        <v>128.19999999999999</v>
      </c>
      <c r="V87" s="52">
        <v>129</v>
      </c>
      <c r="W87" s="97">
        <v>129</v>
      </c>
      <c r="X87" s="97">
        <v>132.69999999999999</v>
      </c>
      <c r="Y87" s="97">
        <v>132.1</v>
      </c>
      <c r="Z87" s="97">
        <v>123.1</v>
      </c>
      <c r="AA87" s="97">
        <v>131.6</v>
      </c>
      <c r="AB87" s="52">
        <v>120.5</v>
      </c>
      <c r="AC87" s="52">
        <v>128.4</v>
      </c>
      <c r="AD87" s="52">
        <v>128.80000000000001</v>
      </c>
      <c r="AE87" s="52">
        <v>129</v>
      </c>
      <c r="AF87" s="98">
        <v>126.6</v>
      </c>
      <c r="AG87" s="99"/>
      <c r="AH87" s="55">
        <f t="shared" si="16"/>
        <v>136.19999999999999</v>
      </c>
      <c r="AI87" s="56">
        <f t="shared" si="17"/>
        <v>120.5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6" t="s">
        <v>93</v>
      </c>
      <c r="B88" s="104"/>
      <c r="C88" s="104">
        <v>66.900000000000006</v>
      </c>
      <c r="D88" s="104">
        <v>67</v>
      </c>
      <c r="E88" s="104">
        <v>66.599999999999994</v>
      </c>
      <c r="F88" s="104">
        <v>66.900000000000006</v>
      </c>
      <c r="G88" s="104">
        <v>66.400000000000006</v>
      </c>
      <c r="H88" s="104">
        <v>66.3</v>
      </c>
      <c r="I88" s="104">
        <v>65.3</v>
      </c>
      <c r="J88" s="104">
        <v>64.3</v>
      </c>
      <c r="K88" s="104">
        <v>63.9</v>
      </c>
      <c r="L88" s="104">
        <v>64</v>
      </c>
      <c r="M88" s="104">
        <v>63.9</v>
      </c>
      <c r="N88" s="104">
        <v>64.400000000000006</v>
      </c>
      <c r="O88" s="104">
        <v>64.7</v>
      </c>
      <c r="P88" s="104">
        <v>64.3</v>
      </c>
      <c r="Q88" s="104">
        <v>64.3</v>
      </c>
      <c r="R88" s="104">
        <v>63.7</v>
      </c>
      <c r="S88" s="104">
        <v>63.9</v>
      </c>
      <c r="T88" s="104">
        <v>64.099999999999994</v>
      </c>
      <c r="U88" s="104">
        <v>64.5</v>
      </c>
      <c r="V88" s="104">
        <v>64.099999999999994</v>
      </c>
      <c r="W88" s="104">
        <v>64.099999999999994</v>
      </c>
      <c r="X88" s="104">
        <v>64.099999999999994</v>
      </c>
      <c r="Y88" s="104">
        <v>64.5</v>
      </c>
      <c r="Z88" s="104">
        <v>65.400000000000006</v>
      </c>
      <c r="AA88" s="104">
        <v>66</v>
      </c>
      <c r="AB88" s="104">
        <v>64.8</v>
      </c>
      <c r="AC88" s="104">
        <v>65</v>
      </c>
      <c r="AD88" s="104">
        <v>66</v>
      </c>
      <c r="AE88" s="104">
        <v>65.8</v>
      </c>
      <c r="AF88" s="105">
        <v>65.599999999999994</v>
      </c>
      <c r="AG88" s="106"/>
      <c r="AH88" s="55">
        <f t="shared" si="16"/>
        <v>67</v>
      </c>
      <c r="AI88" s="56">
        <f t="shared" si="17"/>
        <v>63.7</v>
      </c>
    </row>
    <row r="89" spans="1:88" ht="15.75" thickBot="1" x14ac:dyDescent="0.3">
      <c r="A89" s="107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9"/>
      <c r="AH89" s="55"/>
      <c r="AI89" s="56"/>
    </row>
    <row r="90" spans="1:88" ht="15.75" thickBot="1" x14ac:dyDescent="0.3">
      <c r="A90" s="110" t="s">
        <v>94</v>
      </c>
      <c r="B90" s="178">
        <f>SUM(B14,B17,B20:B21,B39,B41:B42,B44,B46,B91:B94,B99,B105,B111,B120,B122,B134,B141,B144:B145,B152,B154,B156,B160:B162,B164:B166,B171,B177:B178,B180:B182,B190,B195)</f>
        <v>34.840000000000003</v>
      </c>
      <c r="C90" s="178">
        <f t="shared" ref="C90:AF90" si="21">SUM(C14,C17,C20:C21,C39,C41:C42,C44,C46,C91:C94,C99,C105,C111,C120,C122,C134,C141,C144:C145,C152,C154,C156,C160:C162,C164:C166,C171,C177:C178,C180:C182,C190,C195)</f>
        <v>128.83999999999995</v>
      </c>
      <c r="D90" s="178">
        <f t="shared" si="21"/>
        <v>127.93999999999996</v>
      </c>
      <c r="E90" s="178">
        <f t="shared" si="21"/>
        <v>130.63999999999993</v>
      </c>
      <c r="F90" s="111">
        <f t="shared" si="21"/>
        <v>144.23999999999992</v>
      </c>
      <c r="G90" s="111">
        <f t="shared" si="21"/>
        <v>157.23999999999995</v>
      </c>
      <c r="H90" s="111">
        <f t="shared" si="21"/>
        <v>187.03999999999996</v>
      </c>
      <c r="I90" s="111">
        <f t="shared" si="21"/>
        <v>215.43999999999994</v>
      </c>
      <c r="J90" s="111">
        <f t="shared" si="21"/>
        <v>280.14</v>
      </c>
      <c r="K90" s="111">
        <f t="shared" si="21"/>
        <v>254.13999999999993</v>
      </c>
      <c r="L90" s="111">
        <f t="shared" si="21"/>
        <v>265.44</v>
      </c>
      <c r="M90" s="111">
        <f t="shared" si="21"/>
        <v>267.04000000000002</v>
      </c>
      <c r="N90" s="111">
        <f t="shared" si="21"/>
        <v>270.44</v>
      </c>
      <c r="O90" s="111">
        <f t="shared" si="21"/>
        <v>269.14</v>
      </c>
      <c r="P90" s="111">
        <f t="shared" si="21"/>
        <v>260.6400000000001</v>
      </c>
      <c r="Q90" s="111">
        <f t="shared" si="21"/>
        <v>264.84000000000003</v>
      </c>
      <c r="R90" s="111">
        <f t="shared" si="21"/>
        <v>278.14000000000004</v>
      </c>
      <c r="S90" s="111">
        <f t="shared" si="21"/>
        <v>256.23999999999995</v>
      </c>
      <c r="T90" s="111">
        <f t="shared" si="21"/>
        <v>257.03999999999996</v>
      </c>
      <c r="U90" s="111">
        <f t="shared" si="21"/>
        <v>278.14</v>
      </c>
      <c r="V90" s="111">
        <f t="shared" si="21"/>
        <v>279.53999999999996</v>
      </c>
      <c r="W90" s="111">
        <f t="shared" si="21"/>
        <v>318.04000000000002</v>
      </c>
      <c r="X90" s="111">
        <f t="shared" si="21"/>
        <v>341.74</v>
      </c>
      <c r="Y90" s="111">
        <f t="shared" si="21"/>
        <v>342.14000000000004</v>
      </c>
      <c r="Z90" s="111">
        <f t="shared" si="21"/>
        <v>317.64000000000004</v>
      </c>
      <c r="AA90" s="111">
        <f t="shared" si="21"/>
        <v>280.84000000000003</v>
      </c>
      <c r="AB90" s="111">
        <f t="shared" si="21"/>
        <v>274.74</v>
      </c>
      <c r="AC90" s="111">
        <f t="shared" si="21"/>
        <v>251.53999999999996</v>
      </c>
      <c r="AD90" s="111">
        <f t="shared" si="21"/>
        <v>207.64</v>
      </c>
      <c r="AE90" s="111">
        <f t="shared" si="21"/>
        <v>170.83999999999997</v>
      </c>
      <c r="AF90" s="111">
        <f t="shared" si="21"/>
        <v>163.13999999999999</v>
      </c>
      <c r="AG90" s="112"/>
      <c r="AH90" s="55">
        <f>MAX(B90:AF90)</f>
        <v>342.14000000000004</v>
      </c>
      <c r="AI90" s="56">
        <f>MIN(B90:AF90)</f>
        <v>34.840000000000003</v>
      </c>
    </row>
    <row r="91" spans="1:88" x14ac:dyDescent="0.25">
      <c r="A91" s="113" t="s">
        <v>95</v>
      </c>
      <c r="B91" s="59"/>
      <c r="C91" s="59">
        <v>34.5</v>
      </c>
      <c r="D91" s="59">
        <v>31.1</v>
      </c>
      <c r="E91" s="59">
        <v>38.799999999999997</v>
      </c>
      <c r="F91" s="114">
        <v>37.799999999999997</v>
      </c>
      <c r="G91" s="114">
        <v>30.9</v>
      </c>
      <c r="H91" s="114">
        <v>41.2</v>
      </c>
      <c r="I91" s="114">
        <v>25.7</v>
      </c>
      <c r="J91" s="114">
        <v>27.4</v>
      </c>
      <c r="K91" s="114">
        <v>28.2</v>
      </c>
      <c r="L91" s="115">
        <v>27.2</v>
      </c>
      <c r="M91" s="114">
        <v>18.899999999999999</v>
      </c>
      <c r="N91" s="114">
        <v>27.1</v>
      </c>
      <c r="O91" s="114">
        <v>0.7</v>
      </c>
      <c r="P91" s="114">
        <v>11</v>
      </c>
      <c r="Q91" s="114">
        <v>14.3</v>
      </c>
      <c r="R91" s="114">
        <v>25.6</v>
      </c>
      <c r="S91" s="114">
        <v>21.5</v>
      </c>
      <c r="T91" s="115">
        <v>20.7</v>
      </c>
      <c r="U91" s="115">
        <v>31.7</v>
      </c>
      <c r="V91" s="115">
        <v>27.1</v>
      </c>
      <c r="W91" s="114">
        <v>18.7</v>
      </c>
      <c r="X91" s="114">
        <v>5.3</v>
      </c>
      <c r="Y91" s="114">
        <v>14.2</v>
      </c>
      <c r="Z91" s="114">
        <v>11.2</v>
      </c>
      <c r="AA91" s="114">
        <v>1.8</v>
      </c>
      <c r="AB91" s="115">
        <v>9.5</v>
      </c>
      <c r="AC91" s="115">
        <v>19.2</v>
      </c>
      <c r="AD91" s="115">
        <v>24</v>
      </c>
      <c r="AE91" s="115">
        <v>24.6</v>
      </c>
      <c r="AF91" s="116">
        <v>15.2</v>
      </c>
      <c r="AG91" s="117">
        <v>75</v>
      </c>
      <c r="AH91" s="55">
        <f t="shared" ref="AH91:AH96" si="22">IF(ABS(MAX(B91:AF91))&gt;ABS(MIN(B91:AF91)),MAX(B91:AF91),MIN(B91:AF91))</f>
        <v>41.2</v>
      </c>
      <c r="AI91" s="118">
        <f t="shared" ref="AI91:AI96" si="23">INDEX($B$9:$AF$9,1,MATCH(AH91,B91:AF91,0))</f>
        <v>0.25</v>
      </c>
    </row>
    <row r="92" spans="1:88" x14ac:dyDescent="0.25">
      <c r="A92" s="119" t="s">
        <v>96</v>
      </c>
      <c r="B92" s="61"/>
      <c r="C92" s="61">
        <v>-97.5</v>
      </c>
      <c r="D92" s="61">
        <v>-98</v>
      </c>
      <c r="E92" s="61">
        <v>-101</v>
      </c>
      <c r="F92" s="61">
        <v>-91</v>
      </c>
      <c r="G92" s="61">
        <v>-72</v>
      </c>
      <c r="H92" s="61">
        <v>-60</v>
      </c>
      <c r="I92" s="61">
        <v>-50</v>
      </c>
      <c r="J92" s="61">
        <v>-49.8</v>
      </c>
      <c r="K92" s="61">
        <v>-35.200000000000003</v>
      </c>
      <c r="L92" s="61">
        <v>-32</v>
      </c>
      <c r="M92" s="61">
        <v>-35.5</v>
      </c>
      <c r="N92" s="61">
        <v>-43</v>
      </c>
      <c r="O92" s="61">
        <v>-42.5</v>
      </c>
      <c r="P92" s="61">
        <v>-50.6</v>
      </c>
      <c r="Q92" s="61">
        <v>-49</v>
      </c>
      <c r="R92" s="61">
        <v>-50.1</v>
      </c>
      <c r="S92" s="61">
        <v>-56</v>
      </c>
      <c r="T92" s="61">
        <v>-56</v>
      </c>
      <c r="U92" s="61">
        <v>-47</v>
      </c>
      <c r="V92" s="61">
        <v>-46</v>
      </c>
      <c r="W92" s="61">
        <v>-31</v>
      </c>
      <c r="X92" s="61">
        <v>-21</v>
      </c>
      <c r="Y92" s="61">
        <v>-18.600000000000001</v>
      </c>
      <c r="Z92" s="61">
        <v>-30</v>
      </c>
      <c r="AA92" s="61">
        <f>-14.5-26.4</f>
        <v>-40.9</v>
      </c>
      <c r="AB92" s="52">
        <v>-50</v>
      </c>
      <c r="AC92" s="52">
        <v>-60</v>
      </c>
      <c r="AD92" s="52">
        <v>-80</v>
      </c>
      <c r="AE92" s="52">
        <v>-90</v>
      </c>
      <c r="AF92" s="120">
        <v>-101</v>
      </c>
      <c r="AG92" s="117">
        <v>240</v>
      </c>
      <c r="AH92" s="55">
        <f t="shared" si="22"/>
        <v>-101</v>
      </c>
      <c r="AI92" s="118">
        <f t="shared" si="23"/>
        <v>0.16666666666666699</v>
      </c>
    </row>
    <row r="93" spans="1:88" x14ac:dyDescent="0.25">
      <c r="A93" s="119" t="s">
        <v>97</v>
      </c>
      <c r="B93" s="61"/>
      <c r="C93" s="61">
        <v>-16</v>
      </c>
      <c r="D93" s="61">
        <v>-13</v>
      </c>
      <c r="E93" s="61">
        <v>-15</v>
      </c>
      <c r="F93" s="61">
        <v>-9.9</v>
      </c>
      <c r="G93" s="61">
        <v>-9</v>
      </c>
      <c r="H93" s="61">
        <v>-8.4</v>
      </c>
      <c r="I93" s="61">
        <v>0</v>
      </c>
      <c r="J93" s="61">
        <v>47.6</v>
      </c>
      <c r="K93" s="61">
        <v>0</v>
      </c>
      <c r="L93" s="61">
        <v>1.6</v>
      </c>
      <c r="M93" s="61">
        <v>6.4</v>
      </c>
      <c r="N93" s="61">
        <v>19.399999999999999</v>
      </c>
      <c r="O93" s="61">
        <v>27.6</v>
      </c>
      <c r="P93" s="61">
        <v>11.5</v>
      </c>
      <c r="Q93" s="61">
        <v>5</v>
      </c>
      <c r="R93" s="61">
        <v>2.2999999999999998</v>
      </c>
      <c r="S93" s="61">
        <v>-4.3</v>
      </c>
      <c r="T93" s="61">
        <v>2.1</v>
      </c>
      <c r="U93" s="61">
        <v>-0.6</v>
      </c>
      <c r="V93" s="61">
        <v>-0.5</v>
      </c>
      <c r="W93" s="61">
        <v>8.3000000000000007</v>
      </c>
      <c r="X93" s="61">
        <v>36.200000000000003</v>
      </c>
      <c r="Y93" s="61">
        <v>18.899999999999999</v>
      </c>
      <c r="Z93" s="61">
        <v>35.799999999999997</v>
      </c>
      <c r="AA93" s="61">
        <v>32.6</v>
      </c>
      <c r="AB93" s="52">
        <v>0.3</v>
      </c>
      <c r="AC93" s="52">
        <v>-5.4</v>
      </c>
      <c r="AD93" s="52">
        <v>-6.9</v>
      </c>
      <c r="AE93" s="52">
        <v>-12.2</v>
      </c>
      <c r="AF93" s="120">
        <v>-15.6</v>
      </c>
      <c r="AG93" s="117">
        <v>60</v>
      </c>
      <c r="AH93" s="55">
        <f t="shared" si="22"/>
        <v>47.6</v>
      </c>
      <c r="AI93" s="118">
        <f t="shared" si="23"/>
        <v>0.29166666666666669</v>
      </c>
    </row>
    <row r="94" spans="1:88" x14ac:dyDescent="0.25">
      <c r="A94" s="121" t="s">
        <v>98</v>
      </c>
      <c r="B94" s="84"/>
      <c r="C94" s="84">
        <v>0</v>
      </c>
      <c r="D94" s="84">
        <v>0</v>
      </c>
      <c r="E94" s="84">
        <v>0</v>
      </c>
      <c r="F94" s="84">
        <v>0</v>
      </c>
      <c r="G94" s="84">
        <v>0</v>
      </c>
      <c r="H94" s="84">
        <v>6.9</v>
      </c>
      <c r="I94" s="84">
        <v>32.4</v>
      </c>
      <c r="J94" s="84">
        <v>47.6</v>
      </c>
      <c r="K94" s="84">
        <v>53.8</v>
      </c>
      <c r="L94" s="84">
        <v>61.3</v>
      </c>
      <c r="M94" s="84">
        <v>67.8</v>
      </c>
      <c r="N94" s="84">
        <v>46.1</v>
      </c>
      <c r="O94" s="84">
        <v>62.5</v>
      </c>
      <c r="P94" s="84">
        <v>59.9</v>
      </c>
      <c r="Q94" s="84">
        <v>65.7</v>
      </c>
      <c r="R94" s="84">
        <v>71.5</v>
      </c>
      <c r="S94" s="84">
        <v>66.2</v>
      </c>
      <c r="T94" s="84">
        <v>61.3</v>
      </c>
      <c r="U94" s="84">
        <v>65.099999999999994</v>
      </c>
      <c r="V94" s="84">
        <v>70</v>
      </c>
      <c r="W94" s="84">
        <v>93.4</v>
      </c>
      <c r="X94" s="84">
        <v>92.7</v>
      </c>
      <c r="Y94" s="84">
        <v>98.8</v>
      </c>
      <c r="Z94" s="84">
        <v>71.8</v>
      </c>
      <c r="AA94" s="84">
        <v>59.2</v>
      </c>
      <c r="AB94" s="122">
        <v>87.5</v>
      </c>
      <c r="AC94" s="122">
        <v>69.400000000000006</v>
      </c>
      <c r="AD94" s="122">
        <v>42.2</v>
      </c>
      <c r="AE94" s="122">
        <v>20.3</v>
      </c>
      <c r="AF94" s="123">
        <v>36.4</v>
      </c>
      <c r="AG94" s="124">
        <v>120</v>
      </c>
      <c r="AH94" s="55">
        <f t="shared" si="22"/>
        <v>98.8</v>
      </c>
      <c r="AI94" s="118">
        <f t="shared" si="23"/>
        <v>0.79166666666666663</v>
      </c>
    </row>
    <row r="95" spans="1:88" x14ac:dyDescent="0.25">
      <c r="A95" s="121" t="s">
        <v>99</v>
      </c>
      <c r="B95" s="84"/>
      <c r="C95" s="84">
        <v>8.9</v>
      </c>
      <c r="D95" s="84">
        <v>5.0999999999999996</v>
      </c>
      <c r="E95" s="84">
        <v>-1</v>
      </c>
      <c r="F95" s="84">
        <v>-4.0999999999999996</v>
      </c>
      <c r="G95" s="84">
        <v>20.2</v>
      </c>
      <c r="H95" s="84">
        <v>14.3</v>
      </c>
      <c r="I95" s="84">
        <v>34.5</v>
      </c>
      <c r="J95" s="84">
        <v>45.3</v>
      </c>
      <c r="K95" s="84">
        <v>49.5</v>
      </c>
      <c r="L95" s="84">
        <v>57.2</v>
      </c>
      <c r="M95" s="84">
        <v>64.3</v>
      </c>
      <c r="N95" s="84">
        <v>41.3</v>
      </c>
      <c r="O95" s="84">
        <v>58.9</v>
      </c>
      <c r="P95" s="84">
        <v>56.5</v>
      </c>
      <c r="Q95" s="84">
        <v>62</v>
      </c>
      <c r="R95" s="84">
        <v>62</v>
      </c>
      <c r="S95" s="84">
        <v>62.4</v>
      </c>
      <c r="T95" s="84">
        <v>60.5</v>
      </c>
      <c r="U95" s="84">
        <v>61.8</v>
      </c>
      <c r="V95" s="84">
        <v>66.900000000000006</v>
      </c>
      <c r="W95" s="84">
        <v>83.6</v>
      </c>
      <c r="X95" s="84">
        <v>81.400000000000006</v>
      </c>
      <c r="Y95" s="84">
        <v>84.5</v>
      </c>
      <c r="Z95" s="84">
        <v>63.1</v>
      </c>
      <c r="AA95" s="84">
        <v>51</v>
      </c>
      <c r="AB95" s="122">
        <v>74.2</v>
      </c>
      <c r="AC95" s="122">
        <v>65.3</v>
      </c>
      <c r="AD95" s="122">
        <v>49.3</v>
      </c>
      <c r="AE95" s="122">
        <v>31.3</v>
      </c>
      <c r="AF95" s="123">
        <v>83.8</v>
      </c>
      <c r="AG95" s="124"/>
      <c r="AH95" s="55">
        <f t="shared" si="22"/>
        <v>84.5</v>
      </c>
      <c r="AI95" s="118">
        <f t="shared" si="23"/>
        <v>0.79166666666666663</v>
      </c>
    </row>
    <row r="96" spans="1:88" ht="15.75" thickBot="1" x14ac:dyDescent="0.3">
      <c r="A96" s="121" t="s">
        <v>100</v>
      </c>
      <c r="B96" s="84"/>
      <c r="C96" s="84">
        <v>61.8</v>
      </c>
      <c r="D96" s="84">
        <v>61</v>
      </c>
      <c r="E96" s="84">
        <v>52</v>
      </c>
      <c r="F96" s="84">
        <v>48.9</v>
      </c>
      <c r="G96" s="84">
        <v>55.3</v>
      </c>
      <c r="H96" s="84">
        <v>40</v>
      </c>
      <c r="I96" s="84">
        <v>58.7</v>
      </c>
      <c r="J96" s="84">
        <v>54.8</v>
      </c>
      <c r="K96" s="84">
        <v>53.1</v>
      </c>
      <c r="L96" s="84">
        <v>46</v>
      </c>
      <c r="M96" s="84">
        <v>67</v>
      </c>
      <c r="N96" s="84">
        <v>65.7</v>
      </c>
      <c r="O96" s="84">
        <v>61.4</v>
      </c>
      <c r="P96" s="84">
        <v>74.599999999999994</v>
      </c>
      <c r="Q96" s="84">
        <v>71.599999999999994</v>
      </c>
      <c r="R96" s="84">
        <v>67.7</v>
      </c>
      <c r="S96" s="84">
        <v>67</v>
      </c>
      <c r="T96" s="84">
        <v>65.599999999999994</v>
      </c>
      <c r="U96" s="84">
        <v>59</v>
      </c>
      <c r="V96" s="84">
        <v>59.2</v>
      </c>
      <c r="W96" s="84">
        <v>70</v>
      </c>
      <c r="X96" s="84">
        <v>84.4</v>
      </c>
      <c r="Y96" s="84">
        <v>65</v>
      </c>
      <c r="Z96" s="84">
        <v>67.7</v>
      </c>
      <c r="AA96" s="84">
        <v>49.6</v>
      </c>
      <c r="AB96" s="122">
        <v>72.3</v>
      </c>
      <c r="AC96" s="122">
        <v>70.8</v>
      </c>
      <c r="AD96" s="122">
        <v>76.099999999999994</v>
      </c>
      <c r="AE96" s="122">
        <v>75.900000000000006</v>
      </c>
      <c r="AF96" s="123"/>
      <c r="AG96" s="125"/>
      <c r="AH96" s="55">
        <f t="shared" si="22"/>
        <v>84.4</v>
      </c>
      <c r="AI96" s="118">
        <f t="shared" si="23"/>
        <v>0.77083333333333337</v>
      </c>
    </row>
    <row r="97" spans="1:37" ht="15.75" thickBot="1" x14ac:dyDescent="0.3">
      <c r="A97" s="126" t="s">
        <v>101</v>
      </c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8"/>
      <c r="AH97" s="129"/>
      <c r="AI97" s="56"/>
      <c r="AK97" s="57"/>
    </row>
    <row r="98" spans="1:37" x14ac:dyDescent="0.25">
      <c r="A98" s="130" t="s">
        <v>102</v>
      </c>
      <c r="B98" s="54">
        <v>9.9</v>
      </c>
      <c r="C98" s="131">
        <f t="shared" ref="C98:R103" si="24">B98</f>
        <v>9.9</v>
      </c>
      <c r="D98" s="131">
        <f t="shared" si="24"/>
        <v>9.9</v>
      </c>
      <c r="E98" s="131">
        <f t="shared" si="24"/>
        <v>9.9</v>
      </c>
      <c r="F98" s="131">
        <f t="shared" si="24"/>
        <v>9.9</v>
      </c>
      <c r="G98" s="131">
        <f t="shared" si="24"/>
        <v>9.9</v>
      </c>
      <c r="H98" s="131">
        <f t="shared" si="24"/>
        <v>9.9</v>
      </c>
      <c r="I98" s="131">
        <f t="shared" si="24"/>
        <v>9.9</v>
      </c>
      <c r="J98" s="131">
        <f t="shared" si="24"/>
        <v>9.9</v>
      </c>
      <c r="K98" s="131">
        <f t="shared" si="24"/>
        <v>9.9</v>
      </c>
      <c r="L98" s="131">
        <f t="shared" si="24"/>
        <v>9.9</v>
      </c>
      <c r="M98" s="131">
        <f t="shared" si="24"/>
        <v>9.9</v>
      </c>
      <c r="N98" s="131">
        <f t="shared" si="24"/>
        <v>9.9</v>
      </c>
      <c r="O98" s="131">
        <f t="shared" si="24"/>
        <v>9.9</v>
      </c>
      <c r="P98" s="131">
        <f t="shared" si="24"/>
        <v>9.9</v>
      </c>
      <c r="Q98" s="131">
        <f t="shared" si="24"/>
        <v>9.9</v>
      </c>
      <c r="R98" s="131">
        <f t="shared" si="24"/>
        <v>9.9</v>
      </c>
      <c r="S98" s="131">
        <f t="shared" ref="S98:AF103" si="25">R98</f>
        <v>9.9</v>
      </c>
      <c r="T98" s="131">
        <f t="shared" si="25"/>
        <v>9.9</v>
      </c>
      <c r="U98" s="131">
        <f t="shared" si="25"/>
        <v>9.9</v>
      </c>
      <c r="V98" s="131">
        <f t="shared" si="25"/>
        <v>9.9</v>
      </c>
      <c r="W98" s="131">
        <f t="shared" si="25"/>
        <v>9.9</v>
      </c>
      <c r="X98" s="131">
        <f t="shared" si="25"/>
        <v>9.9</v>
      </c>
      <c r="Y98" s="131">
        <f t="shared" si="25"/>
        <v>9.9</v>
      </c>
      <c r="Z98" s="131">
        <f t="shared" si="25"/>
        <v>9.9</v>
      </c>
      <c r="AA98" s="131">
        <f t="shared" si="25"/>
        <v>9.9</v>
      </c>
      <c r="AB98" s="131">
        <f t="shared" si="25"/>
        <v>9.9</v>
      </c>
      <c r="AC98" s="131">
        <f t="shared" si="25"/>
        <v>9.9</v>
      </c>
      <c r="AD98" s="131">
        <f t="shared" si="25"/>
        <v>9.9</v>
      </c>
      <c r="AE98" s="131">
        <f t="shared" si="25"/>
        <v>9.9</v>
      </c>
      <c r="AF98" s="131">
        <f t="shared" si="25"/>
        <v>9.9</v>
      </c>
      <c r="AG98" s="132">
        <v>9.94</v>
      </c>
      <c r="AH98" s="55"/>
      <c r="AI98" s="56"/>
      <c r="AK98" s="57"/>
    </row>
    <row r="99" spans="1:37" x14ac:dyDescent="0.25">
      <c r="A99" s="119" t="s">
        <v>103</v>
      </c>
      <c r="B99" s="133">
        <v>9.6</v>
      </c>
      <c r="C99" s="134">
        <f t="shared" si="24"/>
        <v>9.6</v>
      </c>
      <c r="D99" s="134">
        <f t="shared" si="24"/>
        <v>9.6</v>
      </c>
      <c r="E99" s="134">
        <f t="shared" si="24"/>
        <v>9.6</v>
      </c>
      <c r="F99" s="134">
        <f t="shared" si="24"/>
        <v>9.6</v>
      </c>
      <c r="G99" s="134">
        <f t="shared" si="24"/>
        <v>9.6</v>
      </c>
      <c r="H99" s="134">
        <f t="shared" si="24"/>
        <v>9.6</v>
      </c>
      <c r="I99" s="134">
        <f t="shared" si="24"/>
        <v>9.6</v>
      </c>
      <c r="J99" s="134">
        <f t="shared" si="24"/>
        <v>9.6</v>
      </c>
      <c r="K99" s="134">
        <f t="shared" si="24"/>
        <v>9.6</v>
      </c>
      <c r="L99" s="134">
        <f t="shared" si="24"/>
        <v>9.6</v>
      </c>
      <c r="M99" s="134">
        <f t="shared" si="24"/>
        <v>9.6</v>
      </c>
      <c r="N99" s="134">
        <f t="shared" si="24"/>
        <v>9.6</v>
      </c>
      <c r="O99" s="134">
        <f t="shared" si="24"/>
        <v>9.6</v>
      </c>
      <c r="P99" s="134">
        <f t="shared" si="24"/>
        <v>9.6</v>
      </c>
      <c r="Q99" s="134">
        <f t="shared" si="24"/>
        <v>9.6</v>
      </c>
      <c r="R99" s="134">
        <f t="shared" si="24"/>
        <v>9.6</v>
      </c>
      <c r="S99" s="134">
        <f t="shared" si="25"/>
        <v>9.6</v>
      </c>
      <c r="T99" s="134">
        <f t="shared" si="25"/>
        <v>9.6</v>
      </c>
      <c r="U99" s="134">
        <f t="shared" si="25"/>
        <v>9.6</v>
      </c>
      <c r="V99" s="134">
        <f t="shared" si="25"/>
        <v>9.6</v>
      </c>
      <c r="W99" s="134">
        <f t="shared" si="25"/>
        <v>9.6</v>
      </c>
      <c r="X99" s="134">
        <f t="shared" si="25"/>
        <v>9.6</v>
      </c>
      <c r="Y99" s="134">
        <f t="shared" si="25"/>
        <v>9.6</v>
      </c>
      <c r="Z99" s="134">
        <f t="shared" si="25"/>
        <v>9.6</v>
      </c>
      <c r="AA99" s="134">
        <f t="shared" si="25"/>
        <v>9.6</v>
      </c>
      <c r="AB99" s="134">
        <f t="shared" si="25"/>
        <v>9.6</v>
      </c>
      <c r="AC99" s="134">
        <f t="shared" si="25"/>
        <v>9.6</v>
      </c>
      <c r="AD99" s="134">
        <f t="shared" si="25"/>
        <v>9.6</v>
      </c>
      <c r="AE99" s="134">
        <f t="shared" si="25"/>
        <v>9.6</v>
      </c>
      <c r="AF99" s="134">
        <f t="shared" si="25"/>
        <v>9.6</v>
      </c>
      <c r="AG99" s="135">
        <v>9.9</v>
      </c>
      <c r="AH99" s="55"/>
      <c r="AI99" s="56"/>
      <c r="AK99" s="57"/>
    </row>
    <row r="100" spans="1:37" x14ac:dyDescent="0.25">
      <c r="A100" s="121" t="s">
        <v>104</v>
      </c>
      <c r="B100" s="133">
        <v>9.98</v>
      </c>
      <c r="C100" s="134">
        <f t="shared" si="24"/>
        <v>9.98</v>
      </c>
      <c r="D100" s="134">
        <f t="shared" si="24"/>
        <v>9.98</v>
      </c>
      <c r="E100" s="134">
        <f t="shared" si="24"/>
        <v>9.98</v>
      </c>
      <c r="F100" s="134">
        <f t="shared" si="24"/>
        <v>9.98</v>
      </c>
      <c r="G100" s="134">
        <f t="shared" si="24"/>
        <v>9.98</v>
      </c>
      <c r="H100" s="134">
        <f t="shared" si="24"/>
        <v>9.98</v>
      </c>
      <c r="I100" s="134">
        <f t="shared" si="24"/>
        <v>9.98</v>
      </c>
      <c r="J100" s="134">
        <f t="shared" si="24"/>
        <v>9.98</v>
      </c>
      <c r="K100" s="134">
        <f t="shared" si="24"/>
        <v>9.98</v>
      </c>
      <c r="L100" s="134">
        <f t="shared" si="24"/>
        <v>9.98</v>
      </c>
      <c r="M100" s="134">
        <f t="shared" si="24"/>
        <v>9.98</v>
      </c>
      <c r="N100" s="134">
        <f t="shared" si="24"/>
        <v>9.98</v>
      </c>
      <c r="O100" s="134">
        <f t="shared" si="24"/>
        <v>9.98</v>
      </c>
      <c r="P100" s="134">
        <f t="shared" si="24"/>
        <v>9.98</v>
      </c>
      <c r="Q100" s="134">
        <f t="shared" si="24"/>
        <v>9.98</v>
      </c>
      <c r="R100" s="134">
        <f t="shared" si="24"/>
        <v>9.98</v>
      </c>
      <c r="S100" s="134">
        <f t="shared" si="25"/>
        <v>9.98</v>
      </c>
      <c r="T100" s="134">
        <f t="shared" si="25"/>
        <v>9.98</v>
      </c>
      <c r="U100" s="134">
        <f t="shared" si="25"/>
        <v>9.98</v>
      </c>
      <c r="V100" s="134">
        <f t="shared" si="25"/>
        <v>9.98</v>
      </c>
      <c r="W100" s="134">
        <f t="shared" si="25"/>
        <v>9.98</v>
      </c>
      <c r="X100" s="134">
        <f t="shared" si="25"/>
        <v>9.98</v>
      </c>
      <c r="Y100" s="134">
        <f t="shared" si="25"/>
        <v>9.98</v>
      </c>
      <c r="Z100" s="134">
        <f t="shared" si="25"/>
        <v>9.98</v>
      </c>
      <c r="AA100" s="134">
        <f t="shared" si="25"/>
        <v>9.98</v>
      </c>
      <c r="AB100" s="134">
        <f t="shared" si="25"/>
        <v>9.98</v>
      </c>
      <c r="AC100" s="134">
        <f t="shared" si="25"/>
        <v>9.98</v>
      </c>
      <c r="AD100" s="134">
        <f t="shared" si="25"/>
        <v>9.98</v>
      </c>
      <c r="AE100" s="134">
        <f t="shared" si="25"/>
        <v>9.98</v>
      </c>
      <c r="AF100" s="134">
        <f t="shared" si="25"/>
        <v>9.98</v>
      </c>
      <c r="AG100" s="136">
        <v>9.6579999999999995</v>
      </c>
      <c r="AH100" s="55"/>
      <c r="AI100" s="56"/>
      <c r="AK100" s="57"/>
    </row>
    <row r="101" spans="1:37" x14ac:dyDescent="0.25">
      <c r="A101" s="121" t="s">
        <v>105</v>
      </c>
      <c r="B101" s="133">
        <v>9.1</v>
      </c>
      <c r="C101" s="134">
        <f t="shared" si="24"/>
        <v>9.1</v>
      </c>
      <c r="D101" s="134">
        <f t="shared" si="24"/>
        <v>9.1</v>
      </c>
      <c r="E101" s="134">
        <f t="shared" si="24"/>
        <v>9.1</v>
      </c>
      <c r="F101" s="134">
        <f t="shared" si="24"/>
        <v>9.1</v>
      </c>
      <c r="G101" s="134">
        <f t="shared" si="24"/>
        <v>9.1</v>
      </c>
      <c r="H101" s="134">
        <f t="shared" si="24"/>
        <v>9.1</v>
      </c>
      <c r="I101" s="134">
        <f t="shared" si="24"/>
        <v>9.1</v>
      </c>
      <c r="J101" s="134">
        <f t="shared" si="24"/>
        <v>9.1</v>
      </c>
      <c r="K101" s="134">
        <f t="shared" si="24"/>
        <v>9.1</v>
      </c>
      <c r="L101" s="134">
        <f t="shared" si="24"/>
        <v>9.1</v>
      </c>
      <c r="M101" s="134">
        <f t="shared" si="24"/>
        <v>9.1</v>
      </c>
      <c r="N101" s="134">
        <f t="shared" si="24"/>
        <v>9.1</v>
      </c>
      <c r="O101" s="134">
        <f t="shared" si="24"/>
        <v>9.1</v>
      </c>
      <c r="P101" s="134">
        <f t="shared" si="24"/>
        <v>9.1</v>
      </c>
      <c r="Q101" s="134">
        <f t="shared" si="24"/>
        <v>9.1</v>
      </c>
      <c r="R101" s="134">
        <f t="shared" si="24"/>
        <v>9.1</v>
      </c>
      <c r="S101" s="134">
        <f t="shared" si="25"/>
        <v>9.1</v>
      </c>
      <c r="T101" s="134">
        <f t="shared" si="25"/>
        <v>9.1</v>
      </c>
      <c r="U101" s="134">
        <f t="shared" si="25"/>
        <v>9.1</v>
      </c>
      <c r="V101" s="134">
        <f t="shared" si="25"/>
        <v>9.1</v>
      </c>
      <c r="W101" s="134">
        <f t="shared" si="25"/>
        <v>9.1</v>
      </c>
      <c r="X101" s="134">
        <f t="shared" si="25"/>
        <v>9.1</v>
      </c>
      <c r="Y101" s="134">
        <f t="shared" si="25"/>
        <v>9.1</v>
      </c>
      <c r="Z101" s="134">
        <f t="shared" si="25"/>
        <v>9.1</v>
      </c>
      <c r="AA101" s="134">
        <f t="shared" si="25"/>
        <v>9.1</v>
      </c>
      <c r="AB101" s="134">
        <f t="shared" si="25"/>
        <v>9.1</v>
      </c>
      <c r="AC101" s="134">
        <f t="shared" si="25"/>
        <v>9.1</v>
      </c>
      <c r="AD101" s="134">
        <f t="shared" si="25"/>
        <v>9.1</v>
      </c>
      <c r="AE101" s="134">
        <f t="shared" si="25"/>
        <v>9.1</v>
      </c>
      <c r="AF101" s="134">
        <f t="shared" si="25"/>
        <v>9.1</v>
      </c>
      <c r="AG101" s="136">
        <v>9.6</v>
      </c>
      <c r="AH101" s="55"/>
      <c r="AI101" s="56"/>
      <c r="AK101" s="57"/>
    </row>
    <row r="102" spans="1:37" x14ac:dyDescent="0.25">
      <c r="A102" s="121" t="s">
        <v>106</v>
      </c>
      <c r="B102" s="133">
        <v>9.18</v>
      </c>
      <c r="C102" s="134">
        <f t="shared" si="24"/>
        <v>9.18</v>
      </c>
      <c r="D102" s="134">
        <f t="shared" si="24"/>
        <v>9.18</v>
      </c>
      <c r="E102" s="134">
        <f t="shared" si="24"/>
        <v>9.18</v>
      </c>
      <c r="F102" s="134">
        <f t="shared" si="24"/>
        <v>9.18</v>
      </c>
      <c r="G102" s="134">
        <f t="shared" si="24"/>
        <v>9.18</v>
      </c>
      <c r="H102" s="134">
        <f t="shared" si="24"/>
        <v>9.18</v>
      </c>
      <c r="I102" s="134">
        <f t="shared" si="24"/>
        <v>9.18</v>
      </c>
      <c r="J102" s="134">
        <f t="shared" si="24"/>
        <v>9.18</v>
      </c>
      <c r="K102" s="134">
        <f t="shared" si="24"/>
        <v>9.18</v>
      </c>
      <c r="L102" s="134">
        <f t="shared" si="24"/>
        <v>9.18</v>
      </c>
      <c r="M102" s="134">
        <f t="shared" si="24"/>
        <v>9.18</v>
      </c>
      <c r="N102" s="134">
        <f t="shared" si="24"/>
        <v>9.18</v>
      </c>
      <c r="O102" s="134">
        <f t="shared" si="24"/>
        <v>9.18</v>
      </c>
      <c r="P102" s="134">
        <f t="shared" si="24"/>
        <v>9.18</v>
      </c>
      <c r="Q102" s="134">
        <f t="shared" si="24"/>
        <v>9.18</v>
      </c>
      <c r="R102" s="134">
        <f t="shared" si="24"/>
        <v>9.18</v>
      </c>
      <c r="S102" s="134">
        <f t="shared" si="25"/>
        <v>9.18</v>
      </c>
      <c r="T102" s="134">
        <f t="shared" si="25"/>
        <v>9.18</v>
      </c>
      <c r="U102" s="134">
        <f t="shared" si="25"/>
        <v>9.18</v>
      </c>
      <c r="V102" s="134">
        <f t="shared" si="25"/>
        <v>9.18</v>
      </c>
      <c r="W102" s="134">
        <f t="shared" si="25"/>
        <v>9.18</v>
      </c>
      <c r="X102" s="134">
        <f t="shared" si="25"/>
        <v>9.18</v>
      </c>
      <c r="Y102" s="134">
        <f t="shared" si="25"/>
        <v>9.18</v>
      </c>
      <c r="Z102" s="134">
        <f t="shared" si="25"/>
        <v>9.18</v>
      </c>
      <c r="AA102" s="134">
        <f t="shared" si="25"/>
        <v>9.18</v>
      </c>
      <c r="AB102" s="134">
        <f t="shared" si="25"/>
        <v>9.18</v>
      </c>
      <c r="AC102" s="134">
        <f t="shared" si="25"/>
        <v>9.18</v>
      </c>
      <c r="AD102" s="134">
        <f t="shared" si="25"/>
        <v>9.18</v>
      </c>
      <c r="AE102" s="134">
        <f t="shared" si="25"/>
        <v>9.18</v>
      </c>
      <c r="AF102" s="134">
        <f t="shared" si="25"/>
        <v>9.18</v>
      </c>
      <c r="AG102" s="136">
        <v>9.51</v>
      </c>
      <c r="AH102" s="55"/>
      <c r="AI102" s="56"/>
      <c r="AK102" s="57"/>
    </row>
    <row r="103" spans="1:37" x14ac:dyDescent="0.25">
      <c r="A103" s="121" t="s">
        <v>107</v>
      </c>
      <c r="B103" s="133">
        <v>7</v>
      </c>
      <c r="C103" s="134">
        <f t="shared" si="24"/>
        <v>7</v>
      </c>
      <c r="D103" s="134">
        <f t="shared" si="24"/>
        <v>7</v>
      </c>
      <c r="E103" s="134">
        <f t="shared" si="24"/>
        <v>7</v>
      </c>
      <c r="F103" s="134">
        <f t="shared" si="24"/>
        <v>7</v>
      </c>
      <c r="G103" s="134">
        <f t="shared" si="24"/>
        <v>7</v>
      </c>
      <c r="H103" s="134">
        <f t="shared" si="24"/>
        <v>7</v>
      </c>
      <c r="I103" s="134">
        <f t="shared" si="24"/>
        <v>7</v>
      </c>
      <c r="J103" s="134">
        <f t="shared" si="24"/>
        <v>7</v>
      </c>
      <c r="K103" s="134">
        <f t="shared" si="24"/>
        <v>7</v>
      </c>
      <c r="L103" s="134">
        <f t="shared" si="24"/>
        <v>7</v>
      </c>
      <c r="M103" s="134">
        <f t="shared" si="24"/>
        <v>7</v>
      </c>
      <c r="N103" s="134">
        <f t="shared" si="24"/>
        <v>7</v>
      </c>
      <c r="O103" s="134">
        <f t="shared" si="24"/>
        <v>7</v>
      </c>
      <c r="P103" s="134">
        <f t="shared" si="24"/>
        <v>7</v>
      </c>
      <c r="Q103" s="134">
        <f t="shared" si="24"/>
        <v>7</v>
      </c>
      <c r="R103" s="134">
        <f t="shared" si="24"/>
        <v>7</v>
      </c>
      <c r="S103" s="134">
        <f t="shared" si="25"/>
        <v>7</v>
      </c>
      <c r="T103" s="134">
        <f t="shared" si="25"/>
        <v>7</v>
      </c>
      <c r="U103" s="134">
        <f t="shared" si="25"/>
        <v>7</v>
      </c>
      <c r="V103" s="134">
        <f t="shared" si="25"/>
        <v>7</v>
      </c>
      <c r="W103" s="134">
        <f t="shared" si="25"/>
        <v>7</v>
      </c>
      <c r="X103" s="134">
        <f t="shared" si="25"/>
        <v>7</v>
      </c>
      <c r="Y103" s="134">
        <f t="shared" si="25"/>
        <v>7</v>
      </c>
      <c r="Z103" s="134">
        <f t="shared" si="25"/>
        <v>7</v>
      </c>
      <c r="AA103" s="134">
        <f t="shared" si="25"/>
        <v>7</v>
      </c>
      <c r="AB103" s="134">
        <f t="shared" si="25"/>
        <v>7</v>
      </c>
      <c r="AC103" s="134">
        <f t="shared" si="25"/>
        <v>7</v>
      </c>
      <c r="AD103" s="134">
        <f t="shared" si="25"/>
        <v>7</v>
      </c>
      <c r="AE103" s="134">
        <f t="shared" si="25"/>
        <v>7</v>
      </c>
      <c r="AF103" s="134">
        <f t="shared" si="25"/>
        <v>7</v>
      </c>
      <c r="AG103" s="136">
        <v>9.4</v>
      </c>
      <c r="AH103" s="55"/>
      <c r="AI103" s="56"/>
      <c r="AK103" s="57"/>
    </row>
    <row r="104" spans="1:37" x14ac:dyDescent="0.25">
      <c r="A104" s="121" t="s">
        <v>108</v>
      </c>
      <c r="B104" s="133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6">
        <v>8.8000000000000007</v>
      </c>
      <c r="AH104" s="55"/>
      <c r="AI104" s="56"/>
      <c r="AK104" s="57"/>
    </row>
    <row r="105" spans="1:37" x14ac:dyDescent="0.25">
      <c r="A105" s="121" t="s">
        <v>109</v>
      </c>
      <c r="B105" s="133">
        <v>2.25</v>
      </c>
      <c r="C105" s="134">
        <f t="shared" ref="C105:R106" si="26">B105</f>
        <v>2.25</v>
      </c>
      <c r="D105" s="134">
        <f t="shared" si="26"/>
        <v>2.25</v>
      </c>
      <c r="E105" s="134">
        <f t="shared" si="26"/>
        <v>2.25</v>
      </c>
      <c r="F105" s="134">
        <f t="shared" si="26"/>
        <v>2.25</v>
      </c>
      <c r="G105" s="134">
        <f t="shared" si="26"/>
        <v>2.25</v>
      </c>
      <c r="H105" s="134">
        <f t="shared" si="26"/>
        <v>2.25</v>
      </c>
      <c r="I105" s="134">
        <f t="shared" si="26"/>
        <v>2.25</v>
      </c>
      <c r="J105" s="134">
        <f t="shared" si="26"/>
        <v>2.25</v>
      </c>
      <c r="K105" s="134">
        <f t="shared" si="26"/>
        <v>2.25</v>
      </c>
      <c r="L105" s="134">
        <f t="shared" si="26"/>
        <v>2.25</v>
      </c>
      <c r="M105" s="134">
        <f t="shared" si="26"/>
        <v>2.25</v>
      </c>
      <c r="N105" s="134">
        <f t="shared" si="26"/>
        <v>2.25</v>
      </c>
      <c r="O105" s="134">
        <f t="shared" si="26"/>
        <v>2.25</v>
      </c>
      <c r="P105" s="134">
        <f t="shared" si="26"/>
        <v>2.25</v>
      </c>
      <c r="Q105" s="134">
        <f t="shared" si="26"/>
        <v>2.25</v>
      </c>
      <c r="R105" s="134">
        <f t="shared" si="26"/>
        <v>2.25</v>
      </c>
      <c r="S105" s="134">
        <f t="shared" ref="S105:AF106" si="27">R105</f>
        <v>2.25</v>
      </c>
      <c r="T105" s="134">
        <f t="shared" si="27"/>
        <v>2.25</v>
      </c>
      <c r="U105" s="134">
        <f t="shared" si="27"/>
        <v>2.25</v>
      </c>
      <c r="V105" s="134">
        <f t="shared" si="27"/>
        <v>2.25</v>
      </c>
      <c r="W105" s="134">
        <f t="shared" si="27"/>
        <v>2.25</v>
      </c>
      <c r="X105" s="134">
        <f t="shared" si="27"/>
        <v>2.25</v>
      </c>
      <c r="Y105" s="134">
        <f t="shared" si="27"/>
        <v>2.25</v>
      </c>
      <c r="Z105" s="134">
        <f t="shared" si="27"/>
        <v>2.25</v>
      </c>
      <c r="AA105" s="134">
        <f t="shared" si="27"/>
        <v>2.25</v>
      </c>
      <c r="AB105" s="134">
        <f t="shared" si="27"/>
        <v>2.25</v>
      </c>
      <c r="AC105" s="134">
        <f t="shared" si="27"/>
        <v>2.25</v>
      </c>
      <c r="AD105" s="134">
        <f t="shared" si="27"/>
        <v>2.25</v>
      </c>
      <c r="AE105" s="134">
        <f t="shared" si="27"/>
        <v>2.25</v>
      </c>
      <c r="AF105" s="134">
        <f t="shared" si="27"/>
        <v>2.25</v>
      </c>
      <c r="AG105" s="136">
        <v>8.5</v>
      </c>
      <c r="AH105" s="55"/>
      <c r="AI105" s="56"/>
      <c r="AK105" s="57"/>
    </row>
    <row r="106" spans="1:37" x14ac:dyDescent="0.25">
      <c r="A106" s="121" t="s">
        <v>110</v>
      </c>
      <c r="B106" s="133">
        <v>1.64</v>
      </c>
      <c r="C106" s="134">
        <f t="shared" si="26"/>
        <v>1.64</v>
      </c>
      <c r="D106" s="134">
        <f t="shared" si="26"/>
        <v>1.64</v>
      </c>
      <c r="E106" s="134">
        <f t="shared" si="26"/>
        <v>1.64</v>
      </c>
      <c r="F106" s="134">
        <f t="shared" si="26"/>
        <v>1.64</v>
      </c>
      <c r="G106" s="134">
        <f t="shared" si="26"/>
        <v>1.64</v>
      </c>
      <c r="H106" s="134">
        <f t="shared" si="26"/>
        <v>1.64</v>
      </c>
      <c r="I106" s="134">
        <f t="shared" si="26"/>
        <v>1.64</v>
      </c>
      <c r="J106" s="134">
        <f t="shared" si="26"/>
        <v>1.64</v>
      </c>
      <c r="K106" s="134">
        <f t="shared" si="26"/>
        <v>1.64</v>
      </c>
      <c r="L106" s="134">
        <f t="shared" si="26"/>
        <v>1.64</v>
      </c>
      <c r="M106" s="134">
        <f t="shared" si="26"/>
        <v>1.64</v>
      </c>
      <c r="N106" s="134">
        <f t="shared" si="26"/>
        <v>1.64</v>
      </c>
      <c r="O106" s="134">
        <f t="shared" si="26"/>
        <v>1.64</v>
      </c>
      <c r="P106" s="134">
        <f t="shared" si="26"/>
        <v>1.64</v>
      </c>
      <c r="Q106" s="134">
        <f t="shared" si="26"/>
        <v>1.64</v>
      </c>
      <c r="R106" s="134">
        <f t="shared" si="26"/>
        <v>1.64</v>
      </c>
      <c r="S106" s="134">
        <f t="shared" si="27"/>
        <v>1.64</v>
      </c>
      <c r="T106" s="134">
        <f t="shared" si="27"/>
        <v>1.64</v>
      </c>
      <c r="U106" s="134">
        <f t="shared" si="27"/>
        <v>1.64</v>
      </c>
      <c r="V106" s="134">
        <f t="shared" si="27"/>
        <v>1.64</v>
      </c>
      <c r="W106" s="134">
        <f t="shared" si="27"/>
        <v>1.64</v>
      </c>
      <c r="X106" s="134">
        <f t="shared" si="27"/>
        <v>1.64</v>
      </c>
      <c r="Y106" s="134">
        <f t="shared" si="27"/>
        <v>1.64</v>
      </c>
      <c r="Z106" s="134">
        <f t="shared" si="27"/>
        <v>1.64</v>
      </c>
      <c r="AA106" s="134">
        <f t="shared" si="27"/>
        <v>1.64</v>
      </c>
      <c r="AB106" s="134">
        <f t="shared" si="27"/>
        <v>1.64</v>
      </c>
      <c r="AC106" s="134">
        <f t="shared" si="27"/>
        <v>1.64</v>
      </c>
      <c r="AD106" s="134">
        <f t="shared" si="27"/>
        <v>1.64</v>
      </c>
      <c r="AE106" s="134">
        <f t="shared" si="27"/>
        <v>1.64</v>
      </c>
      <c r="AF106" s="134">
        <f t="shared" si="27"/>
        <v>1.64</v>
      </c>
      <c r="AG106" s="136">
        <v>8.5</v>
      </c>
      <c r="AH106" s="55"/>
      <c r="AI106" s="56"/>
      <c r="AK106" s="57"/>
    </row>
    <row r="107" spans="1:37" x14ac:dyDescent="0.25">
      <c r="A107" s="121" t="s">
        <v>111</v>
      </c>
      <c r="B107" s="133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6">
        <v>8.4</v>
      </c>
      <c r="AH107" s="55"/>
      <c r="AI107" s="56"/>
      <c r="AK107" s="57"/>
    </row>
    <row r="108" spans="1:37" x14ac:dyDescent="0.25">
      <c r="A108" s="121" t="s">
        <v>112</v>
      </c>
      <c r="B108" s="133">
        <v>1.62</v>
      </c>
      <c r="C108" s="134">
        <f t="shared" ref="C108:R115" si="28">B108</f>
        <v>1.62</v>
      </c>
      <c r="D108" s="134">
        <f t="shared" si="28"/>
        <v>1.62</v>
      </c>
      <c r="E108" s="134">
        <f t="shared" si="28"/>
        <v>1.62</v>
      </c>
      <c r="F108" s="134">
        <f t="shared" si="28"/>
        <v>1.62</v>
      </c>
      <c r="G108" s="134">
        <f t="shared" si="28"/>
        <v>1.62</v>
      </c>
      <c r="H108" s="134">
        <f t="shared" si="28"/>
        <v>1.62</v>
      </c>
      <c r="I108" s="134">
        <f t="shared" si="28"/>
        <v>1.62</v>
      </c>
      <c r="J108" s="134">
        <f t="shared" si="28"/>
        <v>1.62</v>
      </c>
      <c r="K108" s="134">
        <f t="shared" si="28"/>
        <v>1.62</v>
      </c>
      <c r="L108" s="134">
        <f t="shared" si="28"/>
        <v>1.62</v>
      </c>
      <c r="M108" s="134">
        <f t="shared" si="28"/>
        <v>1.62</v>
      </c>
      <c r="N108" s="134">
        <f t="shared" si="28"/>
        <v>1.62</v>
      </c>
      <c r="O108" s="134">
        <f t="shared" si="28"/>
        <v>1.62</v>
      </c>
      <c r="P108" s="134">
        <f t="shared" si="28"/>
        <v>1.62</v>
      </c>
      <c r="Q108" s="134">
        <f t="shared" si="28"/>
        <v>1.62</v>
      </c>
      <c r="R108" s="134">
        <f t="shared" si="28"/>
        <v>1.62</v>
      </c>
      <c r="S108" s="134">
        <f t="shared" ref="S108:AF123" si="29">R108</f>
        <v>1.62</v>
      </c>
      <c r="T108" s="134">
        <f t="shared" si="29"/>
        <v>1.62</v>
      </c>
      <c r="U108" s="134">
        <f t="shared" si="29"/>
        <v>1.62</v>
      </c>
      <c r="V108" s="134">
        <f t="shared" si="29"/>
        <v>1.62</v>
      </c>
      <c r="W108" s="134">
        <f t="shared" si="29"/>
        <v>1.62</v>
      </c>
      <c r="X108" s="134">
        <f t="shared" si="29"/>
        <v>1.62</v>
      </c>
      <c r="Y108" s="134">
        <f t="shared" si="29"/>
        <v>1.62</v>
      </c>
      <c r="Z108" s="134">
        <f t="shared" si="29"/>
        <v>1.62</v>
      </c>
      <c r="AA108" s="134">
        <f t="shared" si="29"/>
        <v>1.62</v>
      </c>
      <c r="AB108" s="134">
        <f t="shared" si="29"/>
        <v>1.62</v>
      </c>
      <c r="AC108" s="134">
        <f t="shared" si="29"/>
        <v>1.62</v>
      </c>
      <c r="AD108" s="134">
        <f t="shared" si="29"/>
        <v>1.62</v>
      </c>
      <c r="AE108" s="134">
        <f t="shared" si="29"/>
        <v>1.62</v>
      </c>
      <c r="AF108" s="134">
        <f t="shared" si="29"/>
        <v>1.62</v>
      </c>
      <c r="AG108" s="136">
        <v>8</v>
      </c>
      <c r="AH108" s="55"/>
      <c r="AI108" s="56"/>
      <c r="AK108" s="57"/>
    </row>
    <row r="109" spans="1:37" x14ac:dyDescent="0.25">
      <c r="A109" s="121" t="s">
        <v>113</v>
      </c>
      <c r="B109" s="133">
        <v>8.36</v>
      </c>
      <c r="C109" s="134">
        <f t="shared" si="28"/>
        <v>8.36</v>
      </c>
      <c r="D109" s="134">
        <f t="shared" si="28"/>
        <v>8.36</v>
      </c>
      <c r="E109" s="134">
        <f t="shared" si="28"/>
        <v>8.36</v>
      </c>
      <c r="F109" s="134">
        <f t="shared" si="28"/>
        <v>8.36</v>
      </c>
      <c r="G109" s="134">
        <f t="shared" si="28"/>
        <v>8.36</v>
      </c>
      <c r="H109" s="134">
        <f t="shared" si="28"/>
        <v>8.36</v>
      </c>
      <c r="I109" s="134">
        <f t="shared" si="28"/>
        <v>8.36</v>
      </c>
      <c r="J109" s="134">
        <f t="shared" si="28"/>
        <v>8.36</v>
      </c>
      <c r="K109" s="134">
        <f t="shared" si="28"/>
        <v>8.36</v>
      </c>
      <c r="L109" s="134">
        <f t="shared" si="28"/>
        <v>8.36</v>
      </c>
      <c r="M109" s="134">
        <f t="shared" si="28"/>
        <v>8.36</v>
      </c>
      <c r="N109" s="134">
        <f t="shared" si="28"/>
        <v>8.36</v>
      </c>
      <c r="O109" s="134">
        <f t="shared" si="28"/>
        <v>8.36</v>
      </c>
      <c r="P109" s="134">
        <f t="shared" si="28"/>
        <v>8.36</v>
      </c>
      <c r="Q109" s="134">
        <f t="shared" si="28"/>
        <v>8.36</v>
      </c>
      <c r="R109" s="134">
        <f t="shared" si="28"/>
        <v>8.36</v>
      </c>
      <c r="S109" s="134">
        <f t="shared" si="29"/>
        <v>8.36</v>
      </c>
      <c r="T109" s="134">
        <f t="shared" si="29"/>
        <v>8.36</v>
      </c>
      <c r="U109" s="134">
        <f t="shared" si="29"/>
        <v>8.36</v>
      </c>
      <c r="V109" s="134">
        <f t="shared" si="29"/>
        <v>8.36</v>
      </c>
      <c r="W109" s="134">
        <f t="shared" si="29"/>
        <v>8.36</v>
      </c>
      <c r="X109" s="134">
        <f t="shared" si="29"/>
        <v>8.36</v>
      </c>
      <c r="Y109" s="134">
        <f t="shared" si="29"/>
        <v>8.36</v>
      </c>
      <c r="Z109" s="134">
        <f t="shared" si="29"/>
        <v>8.36</v>
      </c>
      <c r="AA109" s="134">
        <f t="shared" si="29"/>
        <v>8.36</v>
      </c>
      <c r="AB109" s="134">
        <f t="shared" si="29"/>
        <v>8.36</v>
      </c>
      <c r="AC109" s="134">
        <f t="shared" si="29"/>
        <v>8.36</v>
      </c>
      <c r="AD109" s="134">
        <f t="shared" si="29"/>
        <v>8.36</v>
      </c>
      <c r="AE109" s="134">
        <f t="shared" si="29"/>
        <v>8.36</v>
      </c>
      <c r="AF109" s="134">
        <f t="shared" si="29"/>
        <v>8.36</v>
      </c>
      <c r="AG109" s="136">
        <v>8</v>
      </c>
      <c r="AH109" s="55"/>
      <c r="AI109" s="56"/>
      <c r="AK109" s="57"/>
    </row>
    <row r="110" spans="1:37" x14ac:dyDescent="0.25">
      <c r="A110" s="121" t="s">
        <v>114</v>
      </c>
      <c r="B110" s="133">
        <v>8</v>
      </c>
      <c r="C110" s="134">
        <f t="shared" si="28"/>
        <v>8</v>
      </c>
      <c r="D110" s="134">
        <f t="shared" si="28"/>
        <v>8</v>
      </c>
      <c r="E110" s="134">
        <f t="shared" si="28"/>
        <v>8</v>
      </c>
      <c r="F110" s="134">
        <f t="shared" si="28"/>
        <v>8</v>
      </c>
      <c r="G110" s="134">
        <f t="shared" si="28"/>
        <v>8</v>
      </c>
      <c r="H110" s="134">
        <f t="shared" si="28"/>
        <v>8</v>
      </c>
      <c r="I110" s="134">
        <v>5.4</v>
      </c>
      <c r="J110" s="134">
        <f t="shared" si="28"/>
        <v>5.4</v>
      </c>
      <c r="K110" s="134">
        <f t="shared" si="28"/>
        <v>5.4</v>
      </c>
      <c r="L110" s="134">
        <f t="shared" si="28"/>
        <v>5.4</v>
      </c>
      <c r="M110" s="134">
        <f t="shared" si="28"/>
        <v>5.4</v>
      </c>
      <c r="N110" s="134">
        <f t="shared" si="28"/>
        <v>5.4</v>
      </c>
      <c r="O110" s="134">
        <f t="shared" si="28"/>
        <v>5.4</v>
      </c>
      <c r="P110" s="134">
        <f t="shared" si="28"/>
        <v>5.4</v>
      </c>
      <c r="Q110" s="134">
        <f t="shared" si="28"/>
        <v>5.4</v>
      </c>
      <c r="R110" s="134">
        <f t="shared" si="28"/>
        <v>5.4</v>
      </c>
      <c r="S110" s="134">
        <f t="shared" si="29"/>
        <v>5.4</v>
      </c>
      <c r="T110" s="134">
        <f t="shared" si="29"/>
        <v>5.4</v>
      </c>
      <c r="U110" s="134">
        <f t="shared" si="29"/>
        <v>5.4</v>
      </c>
      <c r="V110" s="134">
        <f t="shared" si="29"/>
        <v>5.4</v>
      </c>
      <c r="W110" s="134">
        <f t="shared" si="29"/>
        <v>5.4</v>
      </c>
      <c r="X110" s="134">
        <f t="shared" si="29"/>
        <v>5.4</v>
      </c>
      <c r="Y110" s="134">
        <f t="shared" si="29"/>
        <v>5.4</v>
      </c>
      <c r="Z110" s="134">
        <f t="shared" si="29"/>
        <v>5.4</v>
      </c>
      <c r="AA110" s="134">
        <f t="shared" si="29"/>
        <v>5.4</v>
      </c>
      <c r="AB110" s="134">
        <f t="shared" si="29"/>
        <v>5.4</v>
      </c>
      <c r="AC110" s="134">
        <f t="shared" si="29"/>
        <v>5.4</v>
      </c>
      <c r="AD110" s="134">
        <f t="shared" si="29"/>
        <v>5.4</v>
      </c>
      <c r="AE110" s="134">
        <f t="shared" si="29"/>
        <v>5.4</v>
      </c>
      <c r="AF110" s="134">
        <f t="shared" si="29"/>
        <v>5.4</v>
      </c>
      <c r="AG110" s="136">
        <v>8</v>
      </c>
      <c r="AH110" s="55"/>
      <c r="AI110" s="56"/>
      <c r="AK110" s="57"/>
    </row>
    <row r="111" spans="1:37" x14ac:dyDescent="0.25">
      <c r="A111" s="121" t="s">
        <v>115</v>
      </c>
      <c r="B111" s="133">
        <v>6.57</v>
      </c>
      <c r="C111" s="134">
        <f t="shared" si="28"/>
        <v>6.57</v>
      </c>
      <c r="D111" s="134">
        <f t="shared" si="28"/>
        <v>6.57</v>
      </c>
      <c r="E111" s="134">
        <f t="shared" si="28"/>
        <v>6.57</v>
      </c>
      <c r="F111" s="134">
        <f t="shared" si="28"/>
        <v>6.57</v>
      </c>
      <c r="G111" s="134">
        <f t="shared" si="28"/>
        <v>6.57</v>
      </c>
      <c r="H111" s="134">
        <f t="shared" si="28"/>
        <v>6.57</v>
      </c>
      <c r="I111" s="134">
        <f t="shared" si="28"/>
        <v>6.57</v>
      </c>
      <c r="J111" s="134">
        <f t="shared" si="28"/>
        <v>6.57</v>
      </c>
      <c r="K111" s="134">
        <f t="shared" si="28"/>
        <v>6.57</v>
      </c>
      <c r="L111" s="134">
        <f t="shared" si="28"/>
        <v>6.57</v>
      </c>
      <c r="M111" s="134">
        <f t="shared" si="28"/>
        <v>6.57</v>
      </c>
      <c r="N111" s="134">
        <f t="shared" si="28"/>
        <v>6.57</v>
      </c>
      <c r="O111" s="134">
        <f t="shared" si="28"/>
        <v>6.57</v>
      </c>
      <c r="P111" s="134">
        <f t="shared" si="28"/>
        <v>6.57</v>
      </c>
      <c r="Q111" s="134">
        <f t="shared" si="28"/>
        <v>6.57</v>
      </c>
      <c r="R111" s="134">
        <f t="shared" si="28"/>
        <v>6.57</v>
      </c>
      <c r="S111" s="134">
        <f t="shared" si="29"/>
        <v>6.57</v>
      </c>
      <c r="T111" s="134">
        <f t="shared" si="29"/>
        <v>6.57</v>
      </c>
      <c r="U111" s="134">
        <f t="shared" si="29"/>
        <v>6.57</v>
      </c>
      <c r="V111" s="134">
        <f t="shared" si="29"/>
        <v>6.57</v>
      </c>
      <c r="W111" s="134">
        <f t="shared" si="29"/>
        <v>6.57</v>
      </c>
      <c r="X111" s="134">
        <f t="shared" si="29"/>
        <v>6.57</v>
      </c>
      <c r="Y111" s="134">
        <f t="shared" si="29"/>
        <v>6.57</v>
      </c>
      <c r="Z111" s="134">
        <f t="shared" si="29"/>
        <v>6.57</v>
      </c>
      <c r="AA111" s="134">
        <f t="shared" si="29"/>
        <v>6.57</v>
      </c>
      <c r="AB111" s="134">
        <f t="shared" si="29"/>
        <v>6.57</v>
      </c>
      <c r="AC111" s="134">
        <f t="shared" si="29"/>
        <v>6.57</v>
      </c>
      <c r="AD111" s="134">
        <f t="shared" si="29"/>
        <v>6.57</v>
      </c>
      <c r="AE111" s="134">
        <f t="shared" si="29"/>
        <v>6.57</v>
      </c>
      <c r="AF111" s="134">
        <f t="shared" si="29"/>
        <v>6.57</v>
      </c>
      <c r="AG111" s="136">
        <v>7.8</v>
      </c>
      <c r="AH111" s="55"/>
      <c r="AI111" s="56"/>
      <c r="AK111" s="57"/>
    </row>
    <row r="112" spans="1:37" x14ac:dyDescent="0.25">
      <c r="A112" s="121" t="s">
        <v>116</v>
      </c>
      <c r="B112" s="133">
        <v>3.43</v>
      </c>
      <c r="C112" s="134">
        <f t="shared" si="28"/>
        <v>3.43</v>
      </c>
      <c r="D112" s="134">
        <f t="shared" si="28"/>
        <v>3.43</v>
      </c>
      <c r="E112" s="134">
        <f t="shared" si="28"/>
        <v>3.43</v>
      </c>
      <c r="F112" s="134">
        <f t="shared" si="28"/>
        <v>3.43</v>
      </c>
      <c r="G112" s="134">
        <f t="shared" si="28"/>
        <v>3.43</v>
      </c>
      <c r="H112" s="134">
        <f t="shared" si="28"/>
        <v>3.43</v>
      </c>
      <c r="I112" s="134">
        <f t="shared" si="28"/>
        <v>3.43</v>
      </c>
      <c r="J112" s="134">
        <f t="shared" si="28"/>
        <v>3.43</v>
      </c>
      <c r="K112" s="134">
        <f t="shared" si="28"/>
        <v>3.43</v>
      </c>
      <c r="L112" s="134">
        <f t="shared" si="28"/>
        <v>3.43</v>
      </c>
      <c r="M112" s="134">
        <f t="shared" si="28"/>
        <v>3.43</v>
      </c>
      <c r="N112" s="134">
        <f t="shared" si="28"/>
        <v>3.43</v>
      </c>
      <c r="O112" s="134">
        <f t="shared" si="28"/>
        <v>3.43</v>
      </c>
      <c r="P112" s="134">
        <f t="shared" si="28"/>
        <v>3.43</v>
      </c>
      <c r="Q112" s="134">
        <f t="shared" si="28"/>
        <v>3.43</v>
      </c>
      <c r="R112" s="134">
        <f t="shared" si="28"/>
        <v>3.43</v>
      </c>
      <c r="S112" s="134">
        <f t="shared" si="29"/>
        <v>3.43</v>
      </c>
      <c r="T112" s="134">
        <f t="shared" si="29"/>
        <v>3.43</v>
      </c>
      <c r="U112" s="134">
        <f t="shared" si="29"/>
        <v>3.43</v>
      </c>
      <c r="V112" s="134">
        <f t="shared" si="29"/>
        <v>3.43</v>
      </c>
      <c r="W112" s="134">
        <f t="shared" si="29"/>
        <v>3.43</v>
      </c>
      <c r="X112" s="134">
        <f t="shared" si="29"/>
        <v>3.43</v>
      </c>
      <c r="Y112" s="134">
        <f t="shared" si="29"/>
        <v>3.43</v>
      </c>
      <c r="Z112" s="134">
        <f t="shared" si="29"/>
        <v>3.43</v>
      </c>
      <c r="AA112" s="134">
        <f t="shared" si="29"/>
        <v>3.43</v>
      </c>
      <c r="AB112" s="134">
        <f t="shared" si="29"/>
        <v>3.43</v>
      </c>
      <c r="AC112" s="134">
        <f t="shared" si="29"/>
        <v>3.43</v>
      </c>
      <c r="AD112" s="134">
        <f t="shared" si="29"/>
        <v>3.43</v>
      </c>
      <c r="AE112" s="134">
        <f t="shared" si="29"/>
        <v>3.43</v>
      </c>
      <c r="AF112" s="134">
        <f t="shared" si="29"/>
        <v>3.43</v>
      </c>
      <c r="AG112" s="136">
        <v>7.6</v>
      </c>
      <c r="AH112" s="55"/>
      <c r="AI112" s="56"/>
      <c r="AK112" s="57"/>
    </row>
    <row r="113" spans="1:37" x14ac:dyDescent="0.25">
      <c r="A113" s="121" t="s">
        <v>117</v>
      </c>
      <c r="B113" s="133">
        <v>2.96</v>
      </c>
      <c r="C113" s="134">
        <f t="shared" si="28"/>
        <v>2.96</v>
      </c>
      <c r="D113" s="134">
        <f t="shared" si="28"/>
        <v>2.96</v>
      </c>
      <c r="E113" s="134">
        <f t="shared" si="28"/>
        <v>2.96</v>
      </c>
      <c r="F113" s="134">
        <f t="shared" si="28"/>
        <v>2.96</v>
      </c>
      <c r="G113" s="134">
        <f t="shared" si="28"/>
        <v>2.96</v>
      </c>
      <c r="H113" s="134">
        <f t="shared" si="28"/>
        <v>2.96</v>
      </c>
      <c r="I113" s="134">
        <f t="shared" si="28"/>
        <v>2.96</v>
      </c>
      <c r="J113" s="134">
        <f t="shared" si="28"/>
        <v>2.96</v>
      </c>
      <c r="K113" s="134">
        <f t="shared" si="28"/>
        <v>2.96</v>
      </c>
      <c r="L113" s="134">
        <f t="shared" si="28"/>
        <v>2.96</v>
      </c>
      <c r="M113" s="134">
        <f t="shared" si="28"/>
        <v>2.96</v>
      </c>
      <c r="N113" s="134">
        <f t="shared" si="28"/>
        <v>2.96</v>
      </c>
      <c r="O113" s="134">
        <f t="shared" si="28"/>
        <v>2.96</v>
      </c>
      <c r="P113" s="134">
        <f t="shared" si="28"/>
        <v>2.96</v>
      </c>
      <c r="Q113" s="134">
        <f t="shared" si="28"/>
        <v>2.96</v>
      </c>
      <c r="R113" s="134">
        <f t="shared" si="28"/>
        <v>2.96</v>
      </c>
      <c r="S113" s="134">
        <f t="shared" si="29"/>
        <v>2.96</v>
      </c>
      <c r="T113" s="134">
        <f t="shared" si="29"/>
        <v>2.96</v>
      </c>
      <c r="U113" s="134">
        <f t="shared" si="29"/>
        <v>2.96</v>
      </c>
      <c r="V113" s="134">
        <f t="shared" si="29"/>
        <v>2.96</v>
      </c>
      <c r="W113" s="134">
        <f t="shared" si="29"/>
        <v>2.96</v>
      </c>
      <c r="X113" s="134">
        <f t="shared" si="29"/>
        <v>2.96</v>
      </c>
      <c r="Y113" s="134">
        <f t="shared" si="29"/>
        <v>2.96</v>
      </c>
      <c r="Z113" s="134">
        <f t="shared" si="29"/>
        <v>2.96</v>
      </c>
      <c r="AA113" s="134">
        <f t="shared" si="29"/>
        <v>2.96</v>
      </c>
      <c r="AB113" s="134">
        <f t="shared" si="29"/>
        <v>2.96</v>
      </c>
      <c r="AC113" s="134">
        <f t="shared" si="29"/>
        <v>2.96</v>
      </c>
      <c r="AD113" s="134">
        <f t="shared" si="29"/>
        <v>2.96</v>
      </c>
      <c r="AE113" s="134">
        <f t="shared" si="29"/>
        <v>2.96</v>
      </c>
      <c r="AF113" s="134">
        <f t="shared" si="29"/>
        <v>2.96</v>
      </c>
      <c r="AG113" s="136">
        <v>7.5</v>
      </c>
      <c r="AH113" s="55"/>
      <c r="AI113" s="56"/>
      <c r="AK113" s="57"/>
    </row>
    <row r="114" spans="1:37" x14ac:dyDescent="0.25">
      <c r="A114" s="121" t="s">
        <v>118</v>
      </c>
      <c r="B114" s="133">
        <v>8</v>
      </c>
      <c r="C114" s="134">
        <f t="shared" si="28"/>
        <v>8</v>
      </c>
      <c r="D114" s="134">
        <f t="shared" si="28"/>
        <v>8</v>
      </c>
      <c r="E114" s="134">
        <f t="shared" si="28"/>
        <v>8</v>
      </c>
      <c r="F114" s="134">
        <f t="shared" si="28"/>
        <v>8</v>
      </c>
      <c r="G114" s="134">
        <f t="shared" si="28"/>
        <v>8</v>
      </c>
      <c r="H114" s="134">
        <f t="shared" si="28"/>
        <v>8</v>
      </c>
      <c r="I114" s="134">
        <f t="shared" si="28"/>
        <v>8</v>
      </c>
      <c r="J114" s="134">
        <f t="shared" si="28"/>
        <v>8</v>
      </c>
      <c r="K114" s="134">
        <f t="shared" si="28"/>
        <v>8</v>
      </c>
      <c r="L114" s="134">
        <f t="shared" si="28"/>
        <v>8</v>
      </c>
      <c r="M114" s="134">
        <f t="shared" si="28"/>
        <v>8</v>
      </c>
      <c r="N114" s="134">
        <f t="shared" si="28"/>
        <v>8</v>
      </c>
      <c r="O114" s="134">
        <f t="shared" si="28"/>
        <v>8</v>
      </c>
      <c r="P114" s="134">
        <f t="shared" si="28"/>
        <v>8</v>
      </c>
      <c r="Q114" s="134">
        <f t="shared" si="28"/>
        <v>8</v>
      </c>
      <c r="R114" s="134">
        <f t="shared" si="28"/>
        <v>8</v>
      </c>
      <c r="S114" s="134">
        <f t="shared" si="29"/>
        <v>8</v>
      </c>
      <c r="T114" s="134">
        <f t="shared" si="29"/>
        <v>8</v>
      </c>
      <c r="U114" s="134">
        <f t="shared" si="29"/>
        <v>8</v>
      </c>
      <c r="V114" s="134">
        <f t="shared" si="29"/>
        <v>8</v>
      </c>
      <c r="W114" s="134">
        <f t="shared" si="29"/>
        <v>8</v>
      </c>
      <c r="X114" s="134">
        <f t="shared" si="29"/>
        <v>8</v>
      </c>
      <c r="Y114" s="134">
        <f t="shared" si="29"/>
        <v>8</v>
      </c>
      <c r="Z114" s="134">
        <f t="shared" si="29"/>
        <v>8</v>
      </c>
      <c r="AA114" s="134">
        <f t="shared" si="29"/>
        <v>8</v>
      </c>
      <c r="AB114" s="134">
        <f t="shared" si="29"/>
        <v>8</v>
      </c>
      <c r="AC114" s="134">
        <f t="shared" si="29"/>
        <v>8</v>
      </c>
      <c r="AD114" s="134">
        <f t="shared" si="29"/>
        <v>8</v>
      </c>
      <c r="AE114" s="134">
        <f t="shared" si="29"/>
        <v>8</v>
      </c>
      <c r="AF114" s="134">
        <f t="shared" si="29"/>
        <v>8</v>
      </c>
      <c r="AG114" s="136">
        <v>7.5</v>
      </c>
      <c r="AH114" s="55"/>
      <c r="AI114" s="56"/>
      <c r="AK114" s="57"/>
    </row>
    <row r="115" spans="1:37" x14ac:dyDescent="0.25">
      <c r="A115" s="121" t="s">
        <v>119</v>
      </c>
      <c r="B115" s="133">
        <v>7</v>
      </c>
      <c r="C115" s="134">
        <f>B115</f>
        <v>7</v>
      </c>
      <c r="D115" s="134">
        <f t="shared" si="28"/>
        <v>7</v>
      </c>
      <c r="E115" s="134">
        <f t="shared" si="28"/>
        <v>7</v>
      </c>
      <c r="F115" s="134">
        <f t="shared" si="28"/>
        <v>7</v>
      </c>
      <c r="G115" s="134">
        <f t="shared" si="28"/>
        <v>7</v>
      </c>
      <c r="H115" s="134">
        <f t="shared" si="28"/>
        <v>7</v>
      </c>
      <c r="I115" s="134">
        <f t="shared" si="28"/>
        <v>7</v>
      </c>
      <c r="J115" s="134">
        <f t="shared" si="28"/>
        <v>7</v>
      </c>
      <c r="K115" s="134">
        <f t="shared" si="28"/>
        <v>7</v>
      </c>
      <c r="L115" s="134">
        <f t="shared" si="28"/>
        <v>7</v>
      </c>
      <c r="M115" s="134">
        <f t="shared" si="28"/>
        <v>7</v>
      </c>
      <c r="N115" s="134">
        <f t="shared" si="28"/>
        <v>7</v>
      </c>
      <c r="O115" s="134">
        <f t="shared" si="28"/>
        <v>7</v>
      </c>
      <c r="P115" s="134">
        <f t="shared" si="28"/>
        <v>7</v>
      </c>
      <c r="Q115" s="134">
        <f t="shared" si="28"/>
        <v>7</v>
      </c>
      <c r="R115" s="134">
        <f t="shared" si="28"/>
        <v>7</v>
      </c>
      <c r="S115" s="134">
        <f t="shared" si="29"/>
        <v>7</v>
      </c>
      <c r="T115" s="134">
        <f t="shared" si="29"/>
        <v>7</v>
      </c>
      <c r="U115" s="134">
        <f t="shared" si="29"/>
        <v>7</v>
      </c>
      <c r="V115" s="134">
        <f t="shared" si="29"/>
        <v>7</v>
      </c>
      <c r="W115" s="134">
        <f t="shared" si="29"/>
        <v>7</v>
      </c>
      <c r="X115" s="134">
        <f t="shared" si="29"/>
        <v>7</v>
      </c>
      <c r="Y115" s="134">
        <f t="shared" si="29"/>
        <v>7</v>
      </c>
      <c r="Z115" s="134">
        <f t="shared" si="29"/>
        <v>7</v>
      </c>
      <c r="AA115" s="134">
        <f t="shared" si="29"/>
        <v>7</v>
      </c>
      <c r="AB115" s="134">
        <f t="shared" si="29"/>
        <v>7</v>
      </c>
      <c r="AC115" s="134">
        <f t="shared" si="29"/>
        <v>7</v>
      </c>
      <c r="AD115" s="134">
        <f t="shared" si="29"/>
        <v>7</v>
      </c>
      <c r="AE115" s="134">
        <f t="shared" si="29"/>
        <v>7</v>
      </c>
      <c r="AF115" s="134">
        <f t="shared" si="29"/>
        <v>7</v>
      </c>
      <c r="AG115" s="136">
        <v>7</v>
      </c>
      <c r="AH115" s="55"/>
      <c r="AI115" s="56"/>
      <c r="AK115" s="57"/>
    </row>
    <row r="116" spans="1:37" x14ac:dyDescent="0.25">
      <c r="A116" s="121" t="s">
        <v>120</v>
      </c>
      <c r="B116" s="133">
        <v>3.47</v>
      </c>
      <c r="C116" s="134">
        <f t="shared" ref="C116:R125" si="30">B116</f>
        <v>3.47</v>
      </c>
      <c r="D116" s="134">
        <f t="shared" si="30"/>
        <v>3.47</v>
      </c>
      <c r="E116" s="134">
        <f t="shared" si="30"/>
        <v>3.47</v>
      </c>
      <c r="F116" s="134">
        <f t="shared" si="30"/>
        <v>3.47</v>
      </c>
      <c r="G116" s="134">
        <f t="shared" si="30"/>
        <v>3.47</v>
      </c>
      <c r="H116" s="134">
        <f t="shared" si="30"/>
        <v>3.47</v>
      </c>
      <c r="I116" s="134">
        <f t="shared" si="30"/>
        <v>3.47</v>
      </c>
      <c r="J116" s="134">
        <f t="shared" si="30"/>
        <v>3.47</v>
      </c>
      <c r="K116" s="134">
        <f t="shared" si="30"/>
        <v>3.47</v>
      </c>
      <c r="L116" s="134">
        <f t="shared" si="30"/>
        <v>3.47</v>
      </c>
      <c r="M116" s="134">
        <f t="shared" si="30"/>
        <v>3.47</v>
      </c>
      <c r="N116" s="134">
        <f t="shared" si="30"/>
        <v>3.47</v>
      </c>
      <c r="O116" s="134">
        <f t="shared" si="30"/>
        <v>3.47</v>
      </c>
      <c r="P116" s="134">
        <f t="shared" si="30"/>
        <v>3.47</v>
      </c>
      <c r="Q116" s="134">
        <f t="shared" si="30"/>
        <v>3.47</v>
      </c>
      <c r="R116" s="134">
        <f t="shared" si="30"/>
        <v>3.47</v>
      </c>
      <c r="S116" s="134">
        <f t="shared" si="29"/>
        <v>3.47</v>
      </c>
      <c r="T116" s="134">
        <f t="shared" si="29"/>
        <v>3.47</v>
      </c>
      <c r="U116" s="134">
        <f t="shared" si="29"/>
        <v>3.47</v>
      </c>
      <c r="V116" s="134">
        <f t="shared" si="29"/>
        <v>3.47</v>
      </c>
      <c r="W116" s="134">
        <f t="shared" si="29"/>
        <v>3.47</v>
      </c>
      <c r="X116" s="134">
        <f t="shared" si="29"/>
        <v>3.47</v>
      </c>
      <c r="Y116" s="134">
        <f t="shared" si="29"/>
        <v>3.47</v>
      </c>
      <c r="Z116" s="134">
        <f t="shared" si="29"/>
        <v>3.47</v>
      </c>
      <c r="AA116" s="134">
        <f t="shared" si="29"/>
        <v>3.47</v>
      </c>
      <c r="AB116" s="134">
        <f t="shared" si="29"/>
        <v>3.47</v>
      </c>
      <c r="AC116" s="134">
        <f t="shared" si="29"/>
        <v>3.47</v>
      </c>
      <c r="AD116" s="134">
        <f t="shared" si="29"/>
        <v>3.47</v>
      </c>
      <c r="AE116" s="134">
        <f t="shared" si="29"/>
        <v>3.47</v>
      </c>
      <c r="AF116" s="134">
        <f t="shared" si="29"/>
        <v>3.47</v>
      </c>
      <c r="AG116" s="136">
        <v>7</v>
      </c>
      <c r="AH116" s="55"/>
      <c r="AI116" s="56"/>
      <c r="AK116" s="57"/>
    </row>
    <row r="117" spans="1:37" x14ac:dyDescent="0.25">
      <c r="A117" s="121" t="s">
        <v>121</v>
      </c>
      <c r="B117" s="133">
        <v>2.1</v>
      </c>
      <c r="C117" s="134">
        <f t="shared" si="30"/>
        <v>2.1</v>
      </c>
      <c r="D117" s="134">
        <f t="shared" si="30"/>
        <v>2.1</v>
      </c>
      <c r="E117" s="134">
        <f t="shared" si="30"/>
        <v>2.1</v>
      </c>
      <c r="F117" s="134">
        <f t="shared" si="30"/>
        <v>2.1</v>
      </c>
      <c r="G117" s="134">
        <f t="shared" si="30"/>
        <v>2.1</v>
      </c>
      <c r="H117" s="134">
        <f t="shared" si="30"/>
        <v>2.1</v>
      </c>
      <c r="I117" s="134">
        <f t="shared" si="30"/>
        <v>2.1</v>
      </c>
      <c r="J117" s="134">
        <f t="shared" si="30"/>
        <v>2.1</v>
      </c>
      <c r="K117" s="134">
        <f t="shared" si="30"/>
        <v>2.1</v>
      </c>
      <c r="L117" s="134">
        <f t="shared" si="30"/>
        <v>2.1</v>
      </c>
      <c r="M117" s="134">
        <f t="shared" si="30"/>
        <v>2.1</v>
      </c>
      <c r="N117" s="134">
        <f t="shared" si="30"/>
        <v>2.1</v>
      </c>
      <c r="O117" s="134">
        <f t="shared" si="30"/>
        <v>2.1</v>
      </c>
      <c r="P117" s="134">
        <f t="shared" si="30"/>
        <v>2.1</v>
      </c>
      <c r="Q117" s="134">
        <f t="shared" si="30"/>
        <v>2.1</v>
      </c>
      <c r="R117" s="134">
        <f t="shared" si="30"/>
        <v>2.1</v>
      </c>
      <c r="S117" s="134">
        <f t="shared" si="29"/>
        <v>2.1</v>
      </c>
      <c r="T117" s="134">
        <f t="shared" si="29"/>
        <v>2.1</v>
      </c>
      <c r="U117" s="134">
        <f t="shared" si="29"/>
        <v>2.1</v>
      </c>
      <c r="V117" s="134">
        <f t="shared" si="29"/>
        <v>2.1</v>
      </c>
      <c r="W117" s="134">
        <f t="shared" si="29"/>
        <v>2.1</v>
      </c>
      <c r="X117" s="134">
        <f t="shared" si="29"/>
        <v>2.1</v>
      </c>
      <c r="Y117" s="134">
        <f t="shared" si="29"/>
        <v>2.1</v>
      </c>
      <c r="Z117" s="134">
        <f t="shared" si="29"/>
        <v>2.1</v>
      </c>
      <c r="AA117" s="134">
        <f t="shared" si="29"/>
        <v>2.1</v>
      </c>
      <c r="AB117" s="134">
        <f t="shared" si="29"/>
        <v>2.1</v>
      </c>
      <c r="AC117" s="134">
        <f t="shared" si="29"/>
        <v>2.1</v>
      </c>
      <c r="AD117" s="134">
        <f t="shared" si="29"/>
        <v>2.1</v>
      </c>
      <c r="AE117" s="134">
        <f t="shared" si="29"/>
        <v>2.1</v>
      </c>
      <c r="AF117" s="134">
        <f t="shared" si="29"/>
        <v>2.1</v>
      </c>
      <c r="AG117" s="136">
        <v>7</v>
      </c>
      <c r="AH117" s="55"/>
      <c r="AI117" s="56"/>
      <c r="AK117" s="57"/>
    </row>
    <row r="118" spans="1:37" x14ac:dyDescent="0.25">
      <c r="A118" s="121" t="s">
        <v>122</v>
      </c>
      <c r="B118" s="133">
        <v>9.3000000000000007</v>
      </c>
      <c r="C118" s="134">
        <f t="shared" si="30"/>
        <v>9.3000000000000007</v>
      </c>
      <c r="D118" s="134">
        <f t="shared" si="30"/>
        <v>9.3000000000000007</v>
      </c>
      <c r="E118" s="134">
        <f t="shared" si="30"/>
        <v>9.3000000000000007</v>
      </c>
      <c r="F118" s="134">
        <f t="shared" si="30"/>
        <v>9.3000000000000007</v>
      </c>
      <c r="G118" s="134">
        <f t="shared" si="30"/>
        <v>9.3000000000000007</v>
      </c>
      <c r="H118" s="134">
        <f t="shared" si="30"/>
        <v>9.3000000000000007</v>
      </c>
      <c r="I118" s="134">
        <f t="shared" si="30"/>
        <v>9.3000000000000007</v>
      </c>
      <c r="J118" s="134">
        <f t="shared" si="30"/>
        <v>9.3000000000000007</v>
      </c>
      <c r="K118" s="134">
        <f t="shared" si="30"/>
        <v>9.3000000000000007</v>
      </c>
      <c r="L118" s="134">
        <f t="shared" si="30"/>
        <v>9.3000000000000007</v>
      </c>
      <c r="M118" s="134">
        <f t="shared" si="30"/>
        <v>9.3000000000000007</v>
      </c>
      <c r="N118" s="134">
        <f t="shared" si="30"/>
        <v>9.3000000000000007</v>
      </c>
      <c r="O118" s="134">
        <f t="shared" si="30"/>
        <v>9.3000000000000007</v>
      </c>
      <c r="P118" s="134">
        <f t="shared" si="30"/>
        <v>9.3000000000000007</v>
      </c>
      <c r="Q118" s="134">
        <f t="shared" si="30"/>
        <v>9.3000000000000007</v>
      </c>
      <c r="R118" s="134">
        <f t="shared" si="30"/>
        <v>9.3000000000000007</v>
      </c>
      <c r="S118" s="134">
        <f t="shared" si="29"/>
        <v>9.3000000000000007</v>
      </c>
      <c r="T118" s="134">
        <f t="shared" si="29"/>
        <v>9.3000000000000007</v>
      </c>
      <c r="U118" s="134">
        <f t="shared" si="29"/>
        <v>9.3000000000000007</v>
      </c>
      <c r="V118" s="134">
        <f t="shared" si="29"/>
        <v>9.3000000000000007</v>
      </c>
      <c r="W118" s="134">
        <f t="shared" si="29"/>
        <v>9.3000000000000007</v>
      </c>
      <c r="X118" s="134">
        <f t="shared" si="29"/>
        <v>9.3000000000000007</v>
      </c>
      <c r="Y118" s="134">
        <f t="shared" si="29"/>
        <v>9.3000000000000007</v>
      </c>
      <c r="Z118" s="134">
        <f t="shared" si="29"/>
        <v>9.3000000000000007</v>
      </c>
      <c r="AA118" s="134">
        <f t="shared" si="29"/>
        <v>9.3000000000000007</v>
      </c>
      <c r="AB118" s="134">
        <f t="shared" si="29"/>
        <v>9.3000000000000007</v>
      </c>
      <c r="AC118" s="134">
        <f t="shared" si="29"/>
        <v>9.3000000000000007</v>
      </c>
      <c r="AD118" s="134">
        <f t="shared" si="29"/>
        <v>9.3000000000000007</v>
      </c>
      <c r="AE118" s="134">
        <f t="shared" si="29"/>
        <v>9.3000000000000007</v>
      </c>
      <c r="AF118" s="134">
        <f t="shared" si="29"/>
        <v>9.3000000000000007</v>
      </c>
      <c r="AG118" s="136">
        <v>7</v>
      </c>
      <c r="AH118" s="55"/>
      <c r="AI118" s="56"/>
      <c r="AK118" s="57"/>
    </row>
    <row r="119" spans="1:37" x14ac:dyDescent="0.25">
      <c r="A119" s="121" t="s">
        <v>123</v>
      </c>
      <c r="B119" s="133">
        <v>0</v>
      </c>
      <c r="C119" s="134">
        <f t="shared" si="30"/>
        <v>0</v>
      </c>
      <c r="D119" s="134">
        <f t="shared" si="30"/>
        <v>0</v>
      </c>
      <c r="E119" s="134">
        <f t="shared" si="30"/>
        <v>0</v>
      </c>
      <c r="F119" s="134">
        <f t="shared" si="30"/>
        <v>0</v>
      </c>
      <c r="G119" s="134">
        <f t="shared" si="30"/>
        <v>0</v>
      </c>
      <c r="H119" s="134">
        <f t="shared" si="30"/>
        <v>0</v>
      </c>
      <c r="I119" s="134">
        <f t="shared" si="30"/>
        <v>0</v>
      </c>
      <c r="J119" s="134">
        <f t="shared" si="30"/>
        <v>0</v>
      </c>
      <c r="K119" s="134">
        <f t="shared" si="30"/>
        <v>0</v>
      </c>
      <c r="L119" s="134">
        <f t="shared" si="30"/>
        <v>0</v>
      </c>
      <c r="M119" s="134">
        <f t="shared" si="30"/>
        <v>0</v>
      </c>
      <c r="N119" s="134">
        <f t="shared" si="30"/>
        <v>0</v>
      </c>
      <c r="O119" s="134">
        <f t="shared" si="30"/>
        <v>0</v>
      </c>
      <c r="P119" s="134">
        <f t="shared" si="30"/>
        <v>0</v>
      </c>
      <c r="Q119" s="134">
        <f t="shared" si="30"/>
        <v>0</v>
      </c>
      <c r="R119" s="134">
        <f t="shared" si="30"/>
        <v>0</v>
      </c>
      <c r="S119" s="134">
        <f t="shared" si="29"/>
        <v>0</v>
      </c>
      <c r="T119" s="134">
        <f t="shared" si="29"/>
        <v>0</v>
      </c>
      <c r="U119" s="134">
        <f t="shared" si="29"/>
        <v>0</v>
      </c>
      <c r="V119" s="134">
        <f t="shared" si="29"/>
        <v>0</v>
      </c>
      <c r="W119" s="134">
        <f t="shared" si="29"/>
        <v>0</v>
      </c>
      <c r="X119" s="134">
        <f t="shared" si="29"/>
        <v>0</v>
      </c>
      <c r="Y119" s="134">
        <f t="shared" si="29"/>
        <v>0</v>
      </c>
      <c r="Z119" s="134">
        <f t="shared" si="29"/>
        <v>0</v>
      </c>
      <c r="AA119" s="134">
        <f t="shared" si="29"/>
        <v>0</v>
      </c>
      <c r="AB119" s="134">
        <f t="shared" si="29"/>
        <v>0</v>
      </c>
      <c r="AC119" s="134">
        <f t="shared" si="29"/>
        <v>0</v>
      </c>
      <c r="AD119" s="134">
        <f t="shared" si="29"/>
        <v>0</v>
      </c>
      <c r="AE119" s="134">
        <f t="shared" si="29"/>
        <v>0</v>
      </c>
      <c r="AF119" s="134">
        <f t="shared" si="29"/>
        <v>0</v>
      </c>
      <c r="AG119" s="136">
        <v>6.6</v>
      </c>
      <c r="AH119" s="55"/>
      <c r="AI119" s="56"/>
      <c r="AK119" s="57"/>
    </row>
    <row r="120" spans="1:37" x14ac:dyDescent="0.25">
      <c r="A120" s="121" t="s">
        <v>124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125</v>
      </c>
      <c r="B121" s="133">
        <v>5</v>
      </c>
      <c r="C121" s="134">
        <f t="shared" si="30"/>
        <v>5</v>
      </c>
      <c r="D121" s="134">
        <f t="shared" si="30"/>
        <v>5</v>
      </c>
      <c r="E121" s="134">
        <f t="shared" si="30"/>
        <v>5</v>
      </c>
      <c r="F121" s="134">
        <f t="shared" si="30"/>
        <v>5</v>
      </c>
      <c r="G121" s="134">
        <f t="shared" si="30"/>
        <v>5</v>
      </c>
      <c r="H121" s="134">
        <f t="shared" si="30"/>
        <v>5</v>
      </c>
      <c r="I121" s="134">
        <f t="shared" si="30"/>
        <v>5</v>
      </c>
      <c r="J121" s="134">
        <f t="shared" si="30"/>
        <v>5</v>
      </c>
      <c r="K121" s="134">
        <f t="shared" si="30"/>
        <v>5</v>
      </c>
      <c r="L121" s="134">
        <f t="shared" si="30"/>
        <v>5</v>
      </c>
      <c r="M121" s="134">
        <f t="shared" si="30"/>
        <v>5</v>
      </c>
      <c r="N121" s="134">
        <f t="shared" si="30"/>
        <v>5</v>
      </c>
      <c r="O121" s="134">
        <f t="shared" si="30"/>
        <v>5</v>
      </c>
      <c r="P121" s="134">
        <f t="shared" si="30"/>
        <v>5</v>
      </c>
      <c r="Q121" s="134">
        <f t="shared" si="30"/>
        <v>5</v>
      </c>
      <c r="R121" s="134">
        <f t="shared" si="30"/>
        <v>5</v>
      </c>
      <c r="S121" s="134">
        <f t="shared" si="29"/>
        <v>5</v>
      </c>
      <c r="T121" s="134">
        <f t="shared" si="29"/>
        <v>5</v>
      </c>
      <c r="U121" s="134">
        <f t="shared" si="29"/>
        <v>5</v>
      </c>
      <c r="V121" s="134">
        <f t="shared" si="29"/>
        <v>5</v>
      </c>
      <c r="W121" s="134">
        <f t="shared" si="29"/>
        <v>5</v>
      </c>
      <c r="X121" s="134">
        <f t="shared" si="29"/>
        <v>5</v>
      </c>
      <c r="Y121" s="134">
        <f t="shared" si="29"/>
        <v>5</v>
      </c>
      <c r="Z121" s="134">
        <f t="shared" si="29"/>
        <v>5</v>
      </c>
      <c r="AA121" s="134">
        <f t="shared" si="29"/>
        <v>5</v>
      </c>
      <c r="AB121" s="134">
        <f t="shared" si="29"/>
        <v>5</v>
      </c>
      <c r="AC121" s="134">
        <f t="shared" si="29"/>
        <v>5</v>
      </c>
      <c r="AD121" s="134">
        <f t="shared" si="29"/>
        <v>5</v>
      </c>
      <c r="AE121" s="134">
        <f t="shared" si="29"/>
        <v>5</v>
      </c>
      <c r="AF121" s="134">
        <f t="shared" si="29"/>
        <v>5</v>
      </c>
      <c r="AG121" s="136">
        <v>6.4</v>
      </c>
      <c r="AH121" s="55"/>
      <c r="AI121" s="56"/>
      <c r="AK121" s="57"/>
    </row>
    <row r="122" spans="1:37" x14ac:dyDescent="0.25">
      <c r="A122" s="121" t="s">
        <v>126</v>
      </c>
      <c r="B122" s="133">
        <v>1</v>
      </c>
      <c r="C122" s="134">
        <f t="shared" si="30"/>
        <v>1</v>
      </c>
      <c r="D122" s="134">
        <f t="shared" si="30"/>
        <v>1</v>
      </c>
      <c r="E122" s="134">
        <f t="shared" si="30"/>
        <v>1</v>
      </c>
      <c r="F122" s="134">
        <f t="shared" si="30"/>
        <v>1</v>
      </c>
      <c r="G122" s="134">
        <f t="shared" si="30"/>
        <v>1</v>
      </c>
      <c r="H122" s="134">
        <f t="shared" si="30"/>
        <v>1</v>
      </c>
      <c r="I122" s="134">
        <f t="shared" si="30"/>
        <v>1</v>
      </c>
      <c r="J122" s="134">
        <f t="shared" si="30"/>
        <v>1</v>
      </c>
      <c r="K122" s="134">
        <f t="shared" si="30"/>
        <v>1</v>
      </c>
      <c r="L122" s="134">
        <f t="shared" si="30"/>
        <v>1</v>
      </c>
      <c r="M122" s="134">
        <f t="shared" si="30"/>
        <v>1</v>
      </c>
      <c r="N122" s="134">
        <f t="shared" si="30"/>
        <v>1</v>
      </c>
      <c r="O122" s="134">
        <f t="shared" si="30"/>
        <v>1</v>
      </c>
      <c r="P122" s="134">
        <f t="shared" si="30"/>
        <v>1</v>
      </c>
      <c r="Q122" s="134">
        <f t="shared" si="30"/>
        <v>1</v>
      </c>
      <c r="R122" s="134">
        <f t="shared" si="30"/>
        <v>1</v>
      </c>
      <c r="S122" s="134">
        <f t="shared" si="29"/>
        <v>1</v>
      </c>
      <c r="T122" s="134">
        <f t="shared" si="29"/>
        <v>1</v>
      </c>
      <c r="U122" s="134">
        <f t="shared" si="29"/>
        <v>1</v>
      </c>
      <c r="V122" s="134">
        <f t="shared" si="29"/>
        <v>1</v>
      </c>
      <c r="W122" s="134">
        <f t="shared" si="29"/>
        <v>1</v>
      </c>
      <c r="X122" s="134">
        <f t="shared" si="29"/>
        <v>1</v>
      </c>
      <c r="Y122" s="134">
        <f t="shared" si="29"/>
        <v>1</v>
      </c>
      <c r="Z122" s="134">
        <f t="shared" si="29"/>
        <v>1</v>
      </c>
      <c r="AA122" s="134">
        <f t="shared" si="29"/>
        <v>1</v>
      </c>
      <c r="AB122" s="134">
        <f t="shared" si="29"/>
        <v>1</v>
      </c>
      <c r="AC122" s="134">
        <f t="shared" si="29"/>
        <v>1</v>
      </c>
      <c r="AD122" s="134">
        <f t="shared" si="29"/>
        <v>1</v>
      </c>
      <c r="AE122" s="134">
        <f t="shared" si="29"/>
        <v>1</v>
      </c>
      <c r="AF122" s="134">
        <f t="shared" si="29"/>
        <v>1</v>
      </c>
      <c r="AG122" s="136">
        <v>6</v>
      </c>
      <c r="AH122" s="55"/>
      <c r="AI122" s="56"/>
      <c r="AK122" s="57"/>
    </row>
    <row r="123" spans="1:37" x14ac:dyDescent="0.25">
      <c r="A123" s="121" t="s">
        <v>127</v>
      </c>
      <c r="B123" s="133">
        <v>1.58</v>
      </c>
      <c r="C123" s="134">
        <f t="shared" si="30"/>
        <v>1.58</v>
      </c>
      <c r="D123" s="134">
        <f t="shared" si="30"/>
        <v>1.58</v>
      </c>
      <c r="E123" s="134">
        <f t="shared" si="30"/>
        <v>1.58</v>
      </c>
      <c r="F123" s="134">
        <f t="shared" si="30"/>
        <v>1.58</v>
      </c>
      <c r="G123" s="134">
        <f t="shared" si="30"/>
        <v>1.58</v>
      </c>
      <c r="H123" s="134">
        <f t="shared" si="30"/>
        <v>1.58</v>
      </c>
      <c r="I123" s="134">
        <f t="shared" si="30"/>
        <v>1.58</v>
      </c>
      <c r="J123" s="134">
        <f t="shared" si="30"/>
        <v>1.58</v>
      </c>
      <c r="K123" s="134">
        <f t="shared" si="30"/>
        <v>1.58</v>
      </c>
      <c r="L123" s="134">
        <f t="shared" si="30"/>
        <v>1.58</v>
      </c>
      <c r="M123" s="134">
        <f t="shared" si="30"/>
        <v>1.58</v>
      </c>
      <c r="N123" s="134">
        <f t="shared" si="30"/>
        <v>1.58</v>
      </c>
      <c r="O123" s="134">
        <f t="shared" si="30"/>
        <v>1.58</v>
      </c>
      <c r="P123" s="134">
        <f t="shared" si="30"/>
        <v>1.58</v>
      </c>
      <c r="Q123" s="134">
        <f t="shared" si="30"/>
        <v>1.58</v>
      </c>
      <c r="R123" s="134">
        <f t="shared" si="30"/>
        <v>1.58</v>
      </c>
      <c r="S123" s="134">
        <f t="shared" si="29"/>
        <v>1.58</v>
      </c>
      <c r="T123" s="134">
        <f t="shared" si="29"/>
        <v>1.58</v>
      </c>
      <c r="U123" s="134">
        <f t="shared" si="29"/>
        <v>1.58</v>
      </c>
      <c r="V123" s="134">
        <f t="shared" si="29"/>
        <v>1.58</v>
      </c>
      <c r="W123" s="134">
        <f t="shared" si="29"/>
        <v>1.58</v>
      </c>
      <c r="X123" s="134">
        <f t="shared" si="29"/>
        <v>1.58</v>
      </c>
      <c r="Y123" s="134">
        <f t="shared" si="29"/>
        <v>1.58</v>
      </c>
      <c r="Z123" s="134">
        <f t="shared" si="29"/>
        <v>1.58</v>
      </c>
      <c r="AA123" s="134">
        <f t="shared" si="29"/>
        <v>1.58</v>
      </c>
      <c r="AB123" s="134">
        <f t="shared" si="29"/>
        <v>1.58</v>
      </c>
      <c r="AC123" s="134">
        <f t="shared" si="29"/>
        <v>1.58</v>
      </c>
      <c r="AD123" s="134">
        <f t="shared" si="29"/>
        <v>1.58</v>
      </c>
      <c r="AE123" s="134">
        <f t="shared" si="29"/>
        <v>1.58</v>
      </c>
      <c r="AF123" s="134">
        <f t="shared" si="29"/>
        <v>1.58</v>
      </c>
      <c r="AG123" s="136">
        <v>5.0999999999999996</v>
      </c>
      <c r="AH123" s="55"/>
      <c r="AI123" s="56"/>
      <c r="AK123" s="57"/>
    </row>
    <row r="124" spans="1:37" x14ac:dyDescent="0.25">
      <c r="A124" s="121" t="s">
        <v>128</v>
      </c>
      <c r="B124" s="133">
        <v>1.46</v>
      </c>
      <c r="C124" s="134">
        <f t="shared" si="30"/>
        <v>1.46</v>
      </c>
      <c r="D124" s="134">
        <f t="shared" si="30"/>
        <v>1.46</v>
      </c>
      <c r="E124" s="134">
        <f t="shared" si="30"/>
        <v>1.46</v>
      </c>
      <c r="F124" s="134">
        <f t="shared" si="30"/>
        <v>1.46</v>
      </c>
      <c r="G124" s="134">
        <f t="shared" si="30"/>
        <v>1.46</v>
      </c>
      <c r="H124" s="134">
        <f t="shared" si="30"/>
        <v>1.46</v>
      </c>
      <c r="I124" s="134">
        <f t="shared" si="30"/>
        <v>1.46</v>
      </c>
      <c r="J124" s="134">
        <f t="shared" si="30"/>
        <v>1.46</v>
      </c>
      <c r="K124" s="134">
        <f t="shared" si="30"/>
        <v>1.46</v>
      </c>
      <c r="L124" s="134">
        <f t="shared" si="30"/>
        <v>1.46</v>
      </c>
      <c r="M124" s="134">
        <f t="shared" si="30"/>
        <v>1.46</v>
      </c>
      <c r="N124" s="134">
        <f t="shared" si="30"/>
        <v>1.46</v>
      </c>
      <c r="O124" s="134">
        <f t="shared" si="30"/>
        <v>1.46</v>
      </c>
      <c r="P124" s="134">
        <f t="shared" si="30"/>
        <v>1.46</v>
      </c>
      <c r="Q124" s="134">
        <f t="shared" si="30"/>
        <v>1.46</v>
      </c>
      <c r="R124" s="134">
        <f t="shared" si="30"/>
        <v>1.46</v>
      </c>
      <c r="S124" s="134">
        <f t="shared" ref="S124:AF125" si="31">R124</f>
        <v>1.46</v>
      </c>
      <c r="T124" s="134">
        <f t="shared" si="31"/>
        <v>1.46</v>
      </c>
      <c r="U124" s="134">
        <f t="shared" si="31"/>
        <v>1.46</v>
      </c>
      <c r="V124" s="134">
        <f t="shared" si="31"/>
        <v>1.46</v>
      </c>
      <c r="W124" s="134">
        <f t="shared" si="31"/>
        <v>1.46</v>
      </c>
      <c r="X124" s="134">
        <f t="shared" si="31"/>
        <v>1.46</v>
      </c>
      <c r="Y124" s="134">
        <f t="shared" si="31"/>
        <v>1.46</v>
      </c>
      <c r="Z124" s="134">
        <f t="shared" si="31"/>
        <v>1.46</v>
      </c>
      <c r="AA124" s="134">
        <f t="shared" si="31"/>
        <v>1.46</v>
      </c>
      <c r="AB124" s="134">
        <f t="shared" si="31"/>
        <v>1.46</v>
      </c>
      <c r="AC124" s="134">
        <f t="shared" si="31"/>
        <v>1.46</v>
      </c>
      <c r="AD124" s="134">
        <f t="shared" si="31"/>
        <v>1.46</v>
      </c>
      <c r="AE124" s="134">
        <f t="shared" si="31"/>
        <v>1.46</v>
      </c>
      <c r="AF124" s="134">
        <f t="shared" si="31"/>
        <v>1.46</v>
      </c>
      <c r="AG124" s="136">
        <v>5</v>
      </c>
      <c r="AH124" s="55"/>
      <c r="AI124" s="56"/>
      <c r="AK124" s="57"/>
    </row>
    <row r="125" spans="1:37" x14ac:dyDescent="0.25">
      <c r="A125" s="119" t="s">
        <v>129</v>
      </c>
      <c r="B125" s="133">
        <v>1.48</v>
      </c>
      <c r="C125" s="134">
        <f t="shared" si="30"/>
        <v>1.48</v>
      </c>
      <c r="D125" s="134">
        <f t="shared" si="30"/>
        <v>1.48</v>
      </c>
      <c r="E125" s="134">
        <f t="shared" si="30"/>
        <v>1.48</v>
      </c>
      <c r="F125" s="134">
        <f t="shared" si="30"/>
        <v>1.48</v>
      </c>
      <c r="G125" s="134">
        <f t="shared" si="30"/>
        <v>1.48</v>
      </c>
      <c r="H125" s="134">
        <f t="shared" si="30"/>
        <v>1.48</v>
      </c>
      <c r="I125" s="134">
        <f t="shared" si="30"/>
        <v>1.48</v>
      </c>
      <c r="J125" s="134">
        <f t="shared" si="30"/>
        <v>1.48</v>
      </c>
      <c r="K125" s="134">
        <f t="shared" si="30"/>
        <v>1.48</v>
      </c>
      <c r="L125" s="134">
        <f t="shared" si="30"/>
        <v>1.48</v>
      </c>
      <c r="M125" s="134">
        <f t="shared" si="30"/>
        <v>1.48</v>
      </c>
      <c r="N125" s="134">
        <f t="shared" si="30"/>
        <v>1.48</v>
      </c>
      <c r="O125" s="134">
        <f t="shared" si="30"/>
        <v>1.48</v>
      </c>
      <c r="P125" s="134">
        <f t="shared" si="30"/>
        <v>1.48</v>
      </c>
      <c r="Q125" s="134">
        <f t="shared" si="30"/>
        <v>1.48</v>
      </c>
      <c r="R125" s="134">
        <f t="shared" si="30"/>
        <v>1.48</v>
      </c>
      <c r="S125" s="134">
        <f t="shared" si="31"/>
        <v>1.48</v>
      </c>
      <c r="T125" s="134">
        <f t="shared" si="31"/>
        <v>1.48</v>
      </c>
      <c r="U125" s="134">
        <f t="shared" si="31"/>
        <v>1.48</v>
      </c>
      <c r="V125" s="134">
        <f t="shared" si="31"/>
        <v>1.48</v>
      </c>
      <c r="W125" s="134">
        <f t="shared" si="31"/>
        <v>1.48</v>
      </c>
      <c r="X125" s="134">
        <f t="shared" si="31"/>
        <v>1.48</v>
      </c>
      <c r="Y125" s="134">
        <f t="shared" si="31"/>
        <v>1.48</v>
      </c>
      <c r="Z125" s="134">
        <f t="shared" si="31"/>
        <v>1.48</v>
      </c>
      <c r="AA125" s="134">
        <f t="shared" si="31"/>
        <v>1.48</v>
      </c>
      <c r="AB125" s="134">
        <f t="shared" si="31"/>
        <v>1.48</v>
      </c>
      <c r="AC125" s="134">
        <f t="shared" si="31"/>
        <v>1.48</v>
      </c>
      <c r="AD125" s="134">
        <f t="shared" si="31"/>
        <v>1.48</v>
      </c>
      <c r="AE125" s="134">
        <f t="shared" si="31"/>
        <v>1.48</v>
      </c>
      <c r="AF125" s="134">
        <f t="shared" si="31"/>
        <v>1.48</v>
      </c>
      <c r="AG125" s="135">
        <v>5</v>
      </c>
      <c r="AH125" s="55"/>
      <c r="AI125" s="56"/>
      <c r="AK125" s="57"/>
    </row>
    <row r="126" spans="1:37" x14ac:dyDescent="0.25">
      <c r="A126" s="121" t="s">
        <v>130</v>
      </c>
      <c r="B126" s="133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6">
        <v>5</v>
      </c>
      <c r="AH126" s="55"/>
      <c r="AI126" s="56"/>
      <c r="AK126" s="57"/>
    </row>
    <row r="127" spans="1:37" x14ac:dyDescent="0.25">
      <c r="A127" s="121" t="s">
        <v>131</v>
      </c>
      <c r="B127" s="133">
        <v>2.2000000000000002</v>
      </c>
      <c r="C127" s="134">
        <f t="shared" ref="C127:R134" si="32">B127</f>
        <v>2.2000000000000002</v>
      </c>
      <c r="D127" s="134">
        <f t="shared" si="32"/>
        <v>2.2000000000000002</v>
      </c>
      <c r="E127" s="134">
        <f t="shared" si="32"/>
        <v>2.2000000000000002</v>
      </c>
      <c r="F127" s="134">
        <f t="shared" si="32"/>
        <v>2.2000000000000002</v>
      </c>
      <c r="G127" s="134">
        <f t="shared" si="32"/>
        <v>2.2000000000000002</v>
      </c>
      <c r="H127" s="134">
        <f t="shared" si="32"/>
        <v>2.2000000000000002</v>
      </c>
      <c r="I127" s="134">
        <f t="shared" si="32"/>
        <v>2.2000000000000002</v>
      </c>
      <c r="J127" s="134">
        <f t="shared" si="32"/>
        <v>2.2000000000000002</v>
      </c>
      <c r="K127" s="134">
        <f t="shared" si="32"/>
        <v>2.2000000000000002</v>
      </c>
      <c r="L127" s="134">
        <f t="shared" si="32"/>
        <v>2.2000000000000002</v>
      </c>
      <c r="M127" s="134">
        <f t="shared" si="32"/>
        <v>2.2000000000000002</v>
      </c>
      <c r="N127" s="134">
        <f t="shared" si="32"/>
        <v>2.2000000000000002</v>
      </c>
      <c r="O127" s="134">
        <f t="shared" si="32"/>
        <v>2.2000000000000002</v>
      </c>
      <c r="P127" s="134">
        <f t="shared" si="32"/>
        <v>2.2000000000000002</v>
      </c>
      <c r="Q127" s="134">
        <f t="shared" si="32"/>
        <v>2.2000000000000002</v>
      </c>
      <c r="R127" s="134">
        <f t="shared" si="32"/>
        <v>2.2000000000000002</v>
      </c>
      <c r="S127" s="134">
        <f t="shared" ref="S127:AF134" si="33">R127</f>
        <v>2.2000000000000002</v>
      </c>
      <c r="T127" s="134">
        <f t="shared" si="33"/>
        <v>2.2000000000000002</v>
      </c>
      <c r="U127" s="134">
        <f t="shared" si="33"/>
        <v>2.2000000000000002</v>
      </c>
      <c r="V127" s="134">
        <f t="shared" si="33"/>
        <v>2.2000000000000002</v>
      </c>
      <c r="W127" s="134">
        <f t="shared" si="33"/>
        <v>2.2000000000000002</v>
      </c>
      <c r="X127" s="134">
        <f t="shared" si="33"/>
        <v>2.2000000000000002</v>
      </c>
      <c r="Y127" s="134">
        <f t="shared" si="33"/>
        <v>2.2000000000000002</v>
      </c>
      <c r="Z127" s="134">
        <f t="shared" si="33"/>
        <v>2.2000000000000002</v>
      </c>
      <c r="AA127" s="134">
        <f t="shared" si="33"/>
        <v>2.2000000000000002</v>
      </c>
      <c r="AB127" s="134">
        <f t="shared" si="33"/>
        <v>2.2000000000000002</v>
      </c>
      <c r="AC127" s="134">
        <f t="shared" si="33"/>
        <v>2.2000000000000002</v>
      </c>
      <c r="AD127" s="134">
        <f t="shared" si="33"/>
        <v>2.2000000000000002</v>
      </c>
      <c r="AE127" s="134">
        <f t="shared" si="33"/>
        <v>2.2000000000000002</v>
      </c>
      <c r="AF127" s="134">
        <f t="shared" si="33"/>
        <v>2.2000000000000002</v>
      </c>
      <c r="AG127" s="136">
        <v>5</v>
      </c>
      <c r="AH127" s="55"/>
      <c r="AI127" s="56"/>
      <c r="AK127" s="57"/>
    </row>
    <row r="128" spans="1:37" x14ac:dyDescent="0.25">
      <c r="A128" s="121" t="s">
        <v>132</v>
      </c>
      <c r="B128" s="133">
        <v>2</v>
      </c>
      <c r="C128" s="134">
        <f t="shared" si="32"/>
        <v>2</v>
      </c>
      <c r="D128" s="134">
        <f t="shared" si="32"/>
        <v>2</v>
      </c>
      <c r="E128" s="134">
        <f t="shared" si="32"/>
        <v>2</v>
      </c>
      <c r="F128" s="134">
        <f t="shared" si="32"/>
        <v>2</v>
      </c>
      <c r="G128" s="134">
        <f t="shared" si="32"/>
        <v>2</v>
      </c>
      <c r="H128" s="134">
        <f t="shared" si="32"/>
        <v>2</v>
      </c>
      <c r="I128" s="134">
        <f t="shared" si="32"/>
        <v>2</v>
      </c>
      <c r="J128" s="134">
        <f t="shared" si="32"/>
        <v>2</v>
      </c>
      <c r="K128" s="134">
        <f t="shared" si="32"/>
        <v>2</v>
      </c>
      <c r="L128" s="134">
        <f t="shared" si="32"/>
        <v>2</v>
      </c>
      <c r="M128" s="134">
        <f t="shared" si="32"/>
        <v>2</v>
      </c>
      <c r="N128" s="134">
        <f t="shared" si="32"/>
        <v>2</v>
      </c>
      <c r="O128" s="134">
        <f t="shared" si="32"/>
        <v>2</v>
      </c>
      <c r="P128" s="134">
        <f t="shared" si="32"/>
        <v>2</v>
      </c>
      <c r="Q128" s="134">
        <f t="shared" si="32"/>
        <v>2</v>
      </c>
      <c r="R128" s="134">
        <f t="shared" si="32"/>
        <v>2</v>
      </c>
      <c r="S128" s="134">
        <f t="shared" si="33"/>
        <v>2</v>
      </c>
      <c r="T128" s="134">
        <f t="shared" si="33"/>
        <v>2</v>
      </c>
      <c r="U128" s="134">
        <f t="shared" si="33"/>
        <v>2</v>
      </c>
      <c r="V128" s="134">
        <f t="shared" si="33"/>
        <v>2</v>
      </c>
      <c r="W128" s="134">
        <f t="shared" si="33"/>
        <v>2</v>
      </c>
      <c r="X128" s="134">
        <f t="shared" si="33"/>
        <v>2</v>
      </c>
      <c r="Y128" s="134">
        <f t="shared" si="33"/>
        <v>2</v>
      </c>
      <c r="Z128" s="134">
        <f t="shared" si="33"/>
        <v>2</v>
      </c>
      <c r="AA128" s="134">
        <f t="shared" si="33"/>
        <v>2</v>
      </c>
      <c r="AB128" s="134">
        <f t="shared" si="33"/>
        <v>2</v>
      </c>
      <c r="AC128" s="134">
        <f t="shared" si="33"/>
        <v>2</v>
      </c>
      <c r="AD128" s="134">
        <f t="shared" si="33"/>
        <v>2</v>
      </c>
      <c r="AE128" s="134">
        <f t="shared" si="33"/>
        <v>2</v>
      </c>
      <c r="AF128" s="134">
        <f t="shared" si="33"/>
        <v>2</v>
      </c>
      <c r="AG128" s="136">
        <v>5</v>
      </c>
      <c r="AH128" s="55"/>
      <c r="AI128" s="56"/>
      <c r="AK128" s="57"/>
    </row>
    <row r="129" spans="1:37" x14ac:dyDescent="0.25">
      <c r="A129" s="121" t="s">
        <v>133</v>
      </c>
      <c r="B129" s="133">
        <v>1.25</v>
      </c>
      <c r="C129" s="134">
        <f t="shared" si="32"/>
        <v>1.25</v>
      </c>
      <c r="D129" s="134">
        <f t="shared" si="32"/>
        <v>1.25</v>
      </c>
      <c r="E129" s="134">
        <f t="shared" si="32"/>
        <v>1.25</v>
      </c>
      <c r="F129" s="134">
        <f t="shared" si="32"/>
        <v>1.25</v>
      </c>
      <c r="G129" s="134">
        <f t="shared" si="32"/>
        <v>1.25</v>
      </c>
      <c r="H129" s="134">
        <f t="shared" si="32"/>
        <v>1.25</v>
      </c>
      <c r="I129" s="134">
        <f t="shared" si="32"/>
        <v>1.25</v>
      </c>
      <c r="J129" s="134">
        <f t="shared" si="32"/>
        <v>1.25</v>
      </c>
      <c r="K129" s="134">
        <f t="shared" si="32"/>
        <v>1.25</v>
      </c>
      <c r="L129" s="134">
        <f t="shared" si="32"/>
        <v>1.25</v>
      </c>
      <c r="M129" s="134">
        <f t="shared" si="32"/>
        <v>1.25</v>
      </c>
      <c r="N129" s="134">
        <f t="shared" si="32"/>
        <v>1.25</v>
      </c>
      <c r="O129" s="134">
        <f t="shared" si="32"/>
        <v>1.25</v>
      </c>
      <c r="P129" s="134">
        <f t="shared" si="32"/>
        <v>1.25</v>
      </c>
      <c r="Q129" s="134">
        <f t="shared" si="32"/>
        <v>1.25</v>
      </c>
      <c r="R129" s="134">
        <f t="shared" si="32"/>
        <v>1.25</v>
      </c>
      <c r="S129" s="134">
        <f t="shared" si="33"/>
        <v>1.25</v>
      </c>
      <c r="T129" s="134">
        <f t="shared" si="33"/>
        <v>1.25</v>
      </c>
      <c r="U129" s="134">
        <f t="shared" si="33"/>
        <v>1.25</v>
      </c>
      <c r="V129" s="134">
        <f t="shared" si="33"/>
        <v>1.25</v>
      </c>
      <c r="W129" s="134">
        <f t="shared" si="33"/>
        <v>1.25</v>
      </c>
      <c r="X129" s="134">
        <f t="shared" si="33"/>
        <v>1.25</v>
      </c>
      <c r="Y129" s="134">
        <f t="shared" si="33"/>
        <v>1.25</v>
      </c>
      <c r="Z129" s="134">
        <f t="shared" si="33"/>
        <v>1.25</v>
      </c>
      <c r="AA129" s="134">
        <f t="shared" si="33"/>
        <v>1.25</v>
      </c>
      <c r="AB129" s="134">
        <f t="shared" si="33"/>
        <v>1.25</v>
      </c>
      <c r="AC129" s="134">
        <f t="shared" si="33"/>
        <v>1.25</v>
      </c>
      <c r="AD129" s="134">
        <f t="shared" si="33"/>
        <v>1.25</v>
      </c>
      <c r="AE129" s="134">
        <f t="shared" si="33"/>
        <v>1.25</v>
      </c>
      <c r="AF129" s="134">
        <f t="shared" si="33"/>
        <v>1.25</v>
      </c>
      <c r="AG129" s="136">
        <v>5</v>
      </c>
      <c r="AH129" s="55"/>
      <c r="AI129" s="56"/>
      <c r="AK129" s="57"/>
    </row>
    <row r="130" spans="1:37" x14ac:dyDescent="0.25">
      <c r="A130" s="121" t="s">
        <v>134</v>
      </c>
      <c r="B130" s="133">
        <v>1.1499999999999999</v>
      </c>
      <c r="C130" s="134">
        <f t="shared" si="32"/>
        <v>1.1499999999999999</v>
      </c>
      <c r="D130" s="134">
        <f t="shared" si="32"/>
        <v>1.1499999999999999</v>
      </c>
      <c r="E130" s="134">
        <f t="shared" si="32"/>
        <v>1.1499999999999999</v>
      </c>
      <c r="F130" s="134">
        <f t="shared" si="32"/>
        <v>1.1499999999999999</v>
      </c>
      <c r="G130" s="134">
        <f t="shared" si="32"/>
        <v>1.1499999999999999</v>
      </c>
      <c r="H130" s="134">
        <f t="shared" si="32"/>
        <v>1.1499999999999999</v>
      </c>
      <c r="I130" s="134">
        <f t="shared" si="32"/>
        <v>1.1499999999999999</v>
      </c>
      <c r="J130" s="134">
        <f t="shared" si="32"/>
        <v>1.1499999999999999</v>
      </c>
      <c r="K130" s="134">
        <f t="shared" si="32"/>
        <v>1.1499999999999999</v>
      </c>
      <c r="L130" s="134">
        <f t="shared" si="32"/>
        <v>1.1499999999999999</v>
      </c>
      <c r="M130" s="134">
        <f t="shared" si="32"/>
        <v>1.1499999999999999</v>
      </c>
      <c r="N130" s="134">
        <f t="shared" si="32"/>
        <v>1.1499999999999999</v>
      </c>
      <c r="O130" s="134">
        <f t="shared" si="32"/>
        <v>1.1499999999999999</v>
      </c>
      <c r="P130" s="134">
        <f t="shared" si="32"/>
        <v>1.1499999999999999</v>
      </c>
      <c r="Q130" s="134">
        <f t="shared" si="32"/>
        <v>1.1499999999999999</v>
      </c>
      <c r="R130" s="134">
        <f t="shared" si="32"/>
        <v>1.1499999999999999</v>
      </c>
      <c r="S130" s="134">
        <f t="shared" si="33"/>
        <v>1.1499999999999999</v>
      </c>
      <c r="T130" s="134">
        <f t="shared" si="33"/>
        <v>1.1499999999999999</v>
      </c>
      <c r="U130" s="134">
        <f t="shared" si="33"/>
        <v>1.1499999999999999</v>
      </c>
      <c r="V130" s="134">
        <f t="shared" si="33"/>
        <v>1.1499999999999999</v>
      </c>
      <c r="W130" s="134">
        <f t="shared" si="33"/>
        <v>1.1499999999999999</v>
      </c>
      <c r="X130" s="134">
        <f t="shared" si="33"/>
        <v>1.1499999999999999</v>
      </c>
      <c r="Y130" s="134">
        <f t="shared" si="33"/>
        <v>1.1499999999999999</v>
      </c>
      <c r="Z130" s="134">
        <f t="shared" si="33"/>
        <v>1.1499999999999999</v>
      </c>
      <c r="AA130" s="134">
        <f t="shared" si="33"/>
        <v>1.1499999999999999</v>
      </c>
      <c r="AB130" s="134">
        <f t="shared" si="33"/>
        <v>1.1499999999999999</v>
      </c>
      <c r="AC130" s="134">
        <f t="shared" si="33"/>
        <v>1.1499999999999999</v>
      </c>
      <c r="AD130" s="134">
        <f t="shared" si="33"/>
        <v>1.1499999999999999</v>
      </c>
      <c r="AE130" s="134">
        <f t="shared" si="33"/>
        <v>1.1499999999999999</v>
      </c>
      <c r="AF130" s="134">
        <f t="shared" si="33"/>
        <v>1.1499999999999999</v>
      </c>
      <c r="AG130" s="136">
        <v>5</v>
      </c>
      <c r="AH130" s="55"/>
      <c r="AI130" s="56"/>
      <c r="AK130" s="57"/>
    </row>
    <row r="131" spans="1:37" x14ac:dyDescent="0.25">
      <c r="A131" s="121" t="s">
        <v>135</v>
      </c>
      <c r="B131" s="133">
        <v>2.133</v>
      </c>
      <c r="C131" s="134">
        <f t="shared" si="32"/>
        <v>2.133</v>
      </c>
      <c r="D131" s="134">
        <f t="shared" si="32"/>
        <v>2.133</v>
      </c>
      <c r="E131" s="134">
        <f t="shared" si="32"/>
        <v>2.133</v>
      </c>
      <c r="F131" s="134">
        <f t="shared" si="32"/>
        <v>2.133</v>
      </c>
      <c r="G131" s="134">
        <f t="shared" si="32"/>
        <v>2.133</v>
      </c>
      <c r="H131" s="134">
        <f t="shared" si="32"/>
        <v>2.133</v>
      </c>
      <c r="I131" s="134">
        <f t="shared" si="32"/>
        <v>2.133</v>
      </c>
      <c r="J131" s="134">
        <f t="shared" si="32"/>
        <v>2.133</v>
      </c>
      <c r="K131" s="134">
        <f t="shared" si="32"/>
        <v>2.133</v>
      </c>
      <c r="L131" s="134">
        <f t="shared" si="32"/>
        <v>2.133</v>
      </c>
      <c r="M131" s="134">
        <f t="shared" si="32"/>
        <v>2.133</v>
      </c>
      <c r="N131" s="134">
        <f t="shared" si="32"/>
        <v>2.133</v>
      </c>
      <c r="O131" s="134">
        <f t="shared" si="32"/>
        <v>2.133</v>
      </c>
      <c r="P131" s="134">
        <f t="shared" si="32"/>
        <v>2.133</v>
      </c>
      <c r="Q131" s="134">
        <f t="shared" si="32"/>
        <v>2.133</v>
      </c>
      <c r="R131" s="134">
        <f t="shared" si="32"/>
        <v>2.133</v>
      </c>
      <c r="S131" s="134">
        <f t="shared" si="33"/>
        <v>2.133</v>
      </c>
      <c r="T131" s="134">
        <f t="shared" si="33"/>
        <v>2.133</v>
      </c>
      <c r="U131" s="134">
        <f t="shared" si="33"/>
        <v>2.133</v>
      </c>
      <c r="V131" s="134">
        <f t="shared" si="33"/>
        <v>2.133</v>
      </c>
      <c r="W131" s="134">
        <f t="shared" si="33"/>
        <v>2.133</v>
      </c>
      <c r="X131" s="134">
        <f t="shared" si="33"/>
        <v>2.133</v>
      </c>
      <c r="Y131" s="134">
        <f t="shared" si="33"/>
        <v>2.133</v>
      </c>
      <c r="Z131" s="134">
        <f t="shared" si="33"/>
        <v>2.133</v>
      </c>
      <c r="AA131" s="134">
        <f t="shared" si="33"/>
        <v>2.133</v>
      </c>
      <c r="AB131" s="134">
        <f t="shared" si="33"/>
        <v>2.133</v>
      </c>
      <c r="AC131" s="134">
        <f t="shared" si="33"/>
        <v>2.133</v>
      </c>
      <c r="AD131" s="134">
        <f t="shared" si="33"/>
        <v>2.133</v>
      </c>
      <c r="AE131" s="134">
        <f t="shared" si="33"/>
        <v>2.133</v>
      </c>
      <c r="AF131" s="134">
        <f t="shared" si="33"/>
        <v>2.133</v>
      </c>
      <c r="AG131" s="136">
        <v>4.9930000000000003</v>
      </c>
      <c r="AH131" s="55"/>
      <c r="AI131" s="56"/>
      <c r="AK131" s="57"/>
    </row>
    <row r="132" spans="1:37" x14ac:dyDescent="0.25">
      <c r="A132" s="121" t="s">
        <v>136</v>
      </c>
      <c r="B132" s="133">
        <v>2.09</v>
      </c>
      <c r="C132" s="134">
        <f t="shared" si="32"/>
        <v>2.09</v>
      </c>
      <c r="D132" s="134">
        <f t="shared" si="32"/>
        <v>2.09</v>
      </c>
      <c r="E132" s="134">
        <f t="shared" si="32"/>
        <v>2.09</v>
      </c>
      <c r="F132" s="134">
        <f t="shared" si="32"/>
        <v>2.09</v>
      </c>
      <c r="G132" s="134">
        <f t="shared" si="32"/>
        <v>2.09</v>
      </c>
      <c r="H132" s="134">
        <f t="shared" si="32"/>
        <v>2.09</v>
      </c>
      <c r="I132" s="134">
        <f t="shared" si="32"/>
        <v>2.09</v>
      </c>
      <c r="J132" s="134">
        <f t="shared" si="32"/>
        <v>2.09</v>
      </c>
      <c r="K132" s="134">
        <f t="shared" si="32"/>
        <v>2.09</v>
      </c>
      <c r="L132" s="134">
        <f t="shared" si="32"/>
        <v>2.09</v>
      </c>
      <c r="M132" s="134">
        <f t="shared" si="32"/>
        <v>2.09</v>
      </c>
      <c r="N132" s="134">
        <f t="shared" si="32"/>
        <v>2.09</v>
      </c>
      <c r="O132" s="134">
        <f t="shared" si="32"/>
        <v>2.09</v>
      </c>
      <c r="P132" s="134">
        <f t="shared" si="32"/>
        <v>2.09</v>
      </c>
      <c r="Q132" s="134">
        <f t="shared" si="32"/>
        <v>2.09</v>
      </c>
      <c r="R132" s="134">
        <f t="shared" si="32"/>
        <v>2.09</v>
      </c>
      <c r="S132" s="134">
        <f t="shared" si="33"/>
        <v>2.09</v>
      </c>
      <c r="T132" s="134">
        <f t="shared" si="33"/>
        <v>2.09</v>
      </c>
      <c r="U132" s="134">
        <f t="shared" si="33"/>
        <v>2.09</v>
      </c>
      <c r="V132" s="134">
        <f t="shared" si="33"/>
        <v>2.09</v>
      </c>
      <c r="W132" s="134">
        <f t="shared" si="33"/>
        <v>2.09</v>
      </c>
      <c r="X132" s="134">
        <f t="shared" si="33"/>
        <v>2.09</v>
      </c>
      <c r="Y132" s="134">
        <f t="shared" si="33"/>
        <v>2.09</v>
      </c>
      <c r="Z132" s="134">
        <f t="shared" si="33"/>
        <v>2.09</v>
      </c>
      <c r="AA132" s="134">
        <f t="shared" si="33"/>
        <v>2.09</v>
      </c>
      <c r="AB132" s="134">
        <f t="shared" si="33"/>
        <v>2.09</v>
      </c>
      <c r="AC132" s="134">
        <f t="shared" si="33"/>
        <v>2.09</v>
      </c>
      <c r="AD132" s="134">
        <f t="shared" si="33"/>
        <v>2.09</v>
      </c>
      <c r="AE132" s="134">
        <f t="shared" si="33"/>
        <v>2.09</v>
      </c>
      <c r="AF132" s="134">
        <f t="shared" si="33"/>
        <v>2.09</v>
      </c>
      <c r="AG132" s="136">
        <v>4.9800000000000004</v>
      </c>
      <c r="AH132" s="55"/>
      <c r="AI132" s="56"/>
      <c r="AK132" s="57"/>
    </row>
    <row r="133" spans="1:37" x14ac:dyDescent="0.25">
      <c r="A133" s="121" t="s">
        <v>137</v>
      </c>
      <c r="B133" s="133">
        <v>1.1399999999999999</v>
      </c>
      <c r="C133" s="134">
        <f t="shared" si="32"/>
        <v>1.1399999999999999</v>
      </c>
      <c r="D133" s="134">
        <f t="shared" si="32"/>
        <v>1.1399999999999999</v>
      </c>
      <c r="E133" s="134">
        <f t="shared" si="32"/>
        <v>1.1399999999999999</v>
      </c>
      <c r="F133" s="134">
        <f t="shared" si="32"/>
        <v>1.1399999999999999</v>
      </c>
      <c r="G133" s="134">
        <f t="shared" si="32"/>
        <v>1.1399999999999999</v>
      </c>
      <c r="H133" s="134">
        <f t="shared" si="32"/>
        <v>1.1399999999999999</v>
      </c>
      <c r="I133" s="134">
        <f t="shared" si="32"/>
        <v>1.1399999999999999</v>
      </c>
      <c r="J133" s="134">
        <f t="shared" si="32"/>
        <v>1.1399999999999999</v>
      </c>
      <c r="K133" s="134">
        <f t="shared" si="32"/>
        <v>1.1399999999999999</v>
      </c>
      <c r="L133" s="134">
        <f t="shared" si="32"/>
        <v>1.1399999999999999</v>
      </c>
      <c r="M133" s="134">
        <f t="shared" si="32"/>
        <v>1.1399999999999999</v>
      </c>
      <c r="N133" s="134">
        <f t="shared" si="32"/>
        <v>1.1399999999999999</v>
      </c>
      <c r="O133" s="134">
        <f t="shared" si="32"/>
        <v>1.1399999999999999</v>
      </c>
      <c r="P133" s="134">
        <f t="shared" si="32"/>
        <v>1.1399999999999999</v>
      </c>
      <c r="Q133" s="134">
        <f t="shared" si="32"/>
        <v>1.1399999999999999</v>
      </c>
      <c r="R133" s="134">
        <f t="shared" si="32"/>
        <v>1.1399999999999999</v>
      </c>
      <c r="S133" s="134">
        <f t="shared" si="33"/>
        <v>1.1399999999999999</v>
      </c>
      <c r="T133" s="134">
        <f t="shared" si="33"/>
        <v>1.1399999999999999</v>
      </c>
      <c r="U133" s="134">
        <f t="shared" si="33"/>
        <v>1.1399999999999999</v>
      </c>
      <c r="V133" s="134">
        <f t="shared" si="33"/>
        <v>1.1399999999999999</v>
      </c>
      <c r="W133" s="134">
        <f t="shared" si="33"/>
        <v>1.1399999999999999</v>
      </c>
      <c r="X133" s="134">
        <f t="shared" si="33"/>
        <v>1.1399999999999999</v>
      </c>
      <c r="Y133" s="134">
        <f t="shared" si="33"/>
        <v>1.1399999999999999</v>
      </c>
      <c r="Z133" s="134">
        <f t="shared" si="33"/>
        <v>1.1399999999999999</v>
      </c>
      <c r="AA133" s="134">
        <f t="shared" si="33"/>
        <v>1.1399999999999999</v>
      </c>
      <c r="AB133" s="134">
        <f t="shared" si="33"/>
        <v>1.1399999999999999</v>
      </c>
      <c r="AC133" s="134">
        <f t="shared" si="33"/>
        <v>1.1399999999999999</v>
      </c>
      <c r="AD133" s="134">
        <f t="shared" si="33"/>
        <v>1.1399999999999999</v>
      </c>
      <c r="AE133" s="134">
        <f t="shared" si="33"/>
        <v>1.1399999999999999</v>
      </c>
      <c r="AF133" s="134">
        <f t="shared" si="33"/>
        <v>1.1399999999999999</v>
      </c>
      <c r="AG133" s="136">
        <v>4.95</v>
      </c>
      <c r="AH133" s="55"/>
      <c r="AI133" s="56"/>
      <c r="AK133" s="57"/>
    </row>
    <row r="134" spans="1:37" x14ac:dyDescent="0.25">
      <c r="A134" s="121" t="s">
        <v>138</v>
      </c>
      <c r="B134" s="133">
        <v>0.82</v>
      </c>
      <c r="C134" s="134">
        <f t="shared" si="32"/>
        <v>0.82</v>
      </c>
      <c r="D134" s="134">
        <f t="shared" si="32"/>
        <v>0.82</v>
      </c>
      <c r="E134" s="134">
        <f t="shared" si="32"/>
        <v>0.82</v>
      </c>
      <c r="F134" s="134">
        <f t="shared" si="32"/>
        <v>0.82</v>
      </c>
      <c r="G134" s="134">
        <f t="shared" si="32"/>
        <v>0.82</v>
      </c>
      <c r="H134" s="134">
        <f t="shared" si="32"/>
        <v>0.82</v>
      </c>
      <c r="I134" s="134">
        <f t="shared" si="32"/>
        <v>0.82</v>
      </c>
      <c r="J134" s="134">
        <f t="shared" si="32"/>
        <v>0.82</v>
      </c>
      <c r="K134" s="134">
        <f t="shared" si="32"/>
        <v>0.82</v>
      </c>
      <c r="L134" s="134">
        <f t="shared" si="32"/>
        <v>0.82</v>
      </c>
      <c r="M134" s="134">
        <f t="shared" si="32"/>
        <v>0.82</v>
      </c>
      <c r="N134" s="134">
        <f t="shared" si="32"/>
        <v>0.82</v>
      </c>
      <c r="O134" s="134">
        <f t="shared" si="32"/>
        <v>0.82</v>
      </c>
      <c r="P134" s="134">
        <f t="shared" si="32"/>
        <v>0.82</v>
      </c>
      <c r="Q134" s="134">
        <f t="shared" si="32"/>
        <v>0.82</v>
      </c>
      <c r="R134" s="134">
        <f t="shared" si="32"/>
        <v>0.82</v>
      </c>
      <c r="S134" s="134">
        <f t="shared" si="33"/>
        <v>0.82</v>
      </c>
      <c r="T134" s="134">
        <f t="shared" si="33"/>
        <v>0.82</v>
      </c>
      <c r="U134" s="134">
        <f t="shared" si="33"/>
        <v>0.82</v>
      </c>
      <c r="V134" s="134">
        <f t="shared" si="33"/>
        <v>0.82</v>
      </c>
      <c r="W134" s="134">
        <f t="shared" si="33"/>
        <v>0.82</v>
      </c>
      <c r="X134" s="134">
        <f t="shared" si="33"/>
        <v>0.82</v>
      </c>
      <c r="Y134" s="134">
        <f t="shared" si="33"/>
        <v>0.82</v>
      </c>
      <c r="Z134" s="134">
        <f t="shared" si="33"/>
        <v>0.82</v>
      </c>
      <c r="AA134" s="134">
        <f t="shared" si="33"/>
        <v>0.82</v>
      </c>
      <c r="AB134" s="134">
        <f t="shared" si="33"/>
        <v>0.82</v>
      </c>
      <c r="AC134" s="134">
        <f t="shared" si="33"/>
        <v>0.82</v>
      </c>
      <c r="AD134" s="134">
        <f t="shared" si="33"/>
        <v>0.82</v>
      </c>
      <c r="AE134" s="134">
        <f t="shared" si="33"/>
        <v>0.82</v>
      </c>
      <c r="AF134" s="134">
        <f t="shared" si="33"/>
        <v>0.82</v>
      </c>
      <c r="AG134" s="136">
        <v>4.95</v>
      </c>
      <c r="AH134" s="55"/>
      <c r="AI134" s="56"/>
      <c r="AK134" s="57"/>
    </row>
    <row r="135" spans="1:37" x14ac:dyDescent="0.25">
      <c r="A135" s="121" t="s">
        <v>139</v>
      </c>
      <c r="B135" s="133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6">
        <v>4.8</v>
      </c>
      <c r="AH135" s="55"/>
      <c r="AI135" s="56"/>
      <c r="AK135" s="57"/>
    </row>
    <row r="136" spans="1:37" x14ac:dyDescent="0.25">
      <c r="A136" s="121" t="s">
        <v>140</v>
      </c>
      <c r="B136" s="133">
        <v>2</v>
      </c>
      <c r="C136" s="134">
        <f t="shared" ref="C136:R142" si="34">B136</f>
        <v>2</v>
      </c>
      <c r="D136" s="134">
        <f t="shared" si="34"/>
        <v>2</v>
      </c>
      <c r="E136" s="134">
        <f t="shared" si="34"/>
        <v>2</v>
      </c>
      <c r="F136" s="134">
        <f t="shared" si="34"/>
        <v>2</v>
      </c>
      <c r="G136" s="134">
        <f t="shared" si="34"/>
        <v>2</v>
      </c>
      <c r="H136" s="134">
        <f t="shared" si="34"/>
        <v>2</v>
      </c>
      <c r="I136" s="134">
        <f t="shared" si="34"/>
        <v>2</v>
      </c>
      <c r="J136" s="134">
        <f t="shared" si="34"/>
        <v>2</v>
      </c>
      <c r="K136" s="134">
        <f t="shared" si="34"/>
        <v>2</v>
      </c>
      <c r="L136" s="134">
        <f t="shared" si="34"/>
        <v>2</v>
      </c>
      <c r="M136" s="134">
        <f t="shared" si="34"/>
        <v>2</v>
      </c>
      <c r="N136" s="134">
        <f t="shared" si="34"/>
        <v>2</v>
      </c>
      <c r="O136" s="134">
        <f t="shared" si="34"/>
        <v>2</v>
      </c>
      <c r="P136" s="134">
        <f t="shared" si="34"/>
        <v>2</v>
      </c>
      <c r="Q136" s="134">
        <f t="shared" si="34"/>
        <v>2</v>
      </c>
      <c r="R136" s="134">
        <f t="shared" si="34"/>
        <v>2</v>
      </c>
      <c r="S136" s="134">
        <f t="shared" ref="S136:AF142" si="35">R136</f>
        <v>2</v>
      </c>
      <c r="T136" s="134">
        <f t="shared" si="35"/>
        <v>2</v>
      </c>
      <c r="U136" s="134">
        <f t="shared" si="35"/>
        <v>2</v>
      </c>
      <c r="V136" s="134">
        <f t="shared" si="35"/>
        <v>2</v>
      </c>
      <c r="W136" s="134">
        <f t="shared" si="35"/>
        <v>2</v>
      </c>
      <c r="X136" s="134">
        <f t="shared" si="35"/>
        <v>2</v>
      </c>
      <c r="Y136" s="134">
        <f t="shared" si="35"/>
        <v>2</v>
      </c>
      <c r="Z136" s="134">
        <f t="shared" si="35"/>
        <v>2</v>
      </c>
      <c r="AA136" s="134">
        <f t="shared" si="35"/>
        <v>2</v>
      </c>
      <c r="AB136" s="134">
        <f t="shared" si="35"/>
        <v>2</v>
      </c>
      <c r="AC136" s="134">
        <f t="shared" si="35"/>
        <v>2</v>
      </c>
      <c r="AD136" s="134">
        <f t="shared" si="35"/>
        <v>2</v>
      </c>
      <c r="AE136" s="134">
        <f t="shared" si="35"/>
        <v>2</v>
      </c>
      <c r="AF136" s="134">
        <f t="shared" si="35"/>
        <v>2</v>
      </c>
      <c r="AG136" s="136">
        <v>4.8</v>
      </c>
      <c r="AH136" s="55"/>
      <c r="AI136" s="56"/>
      <c r="AK136" s="57"/>
    </row>
    <row r="137" spans="1:37" x14ac:dyDescent="0.25">
      <c r="A137" s="121" t="s">
        <v>141</v>
      </c>
      <c r="B137" s="133">
        <v>5.61</v>
      </c>
      <c r="C137" s="134">
        <f t="shared" si="34"/>
        <v>5.61</v>
      </c>
      <c r="D137" s="134">
        <f t="shared" si="34"/>
        <v>5.61</v>
      </c>
      <c r="E137" s="134">
        <f t="shared" si="34"/>
        <v>5.61</v>
      </c>
      <c r="F137" s="134">
        <f t="shared" si="34"/>
        <v>5.61</v>
      </c>
      <c r="G137" s="134">
        <f t="shared" si="34"/>
        <v>5.61</v>
      </c>
      <c r="H137" s="134">
        <f t="shared" si="34"/>
        <v>5.61</v>
      </c>
      <c r="I137" s="134">
        <f t="shared" si="34"/>
        <v>5.61</v>
      </c>
      <c r="J137" s="134">
        <f t="shared" si="34"/>
        <v>5.61</v>
      </c>
      <c r="K137" s="134">
        <f t="shared" si="34"/>
        <v>5.61</v>
      </c>
      <c r="L137" s="134">
        <f t="shared" si="34"/>
        <v>5.61</v>
      </c>
      <c r="M137" s="134">
        <f t="shared" si="34"/>
        <v>5.61</v>
      </c>
      <c r="N137" s="134">
        <f t="shared" si="34"/>
        <v>5.61</v>
      </c>
      <c r="O137" s="134">
        <f t="shared" si="34"/>
        <v>5.61</v>
      </c>
      <c r="P137" s="134">
        <f t="shared" si="34"/>
        <v>5.61</v>
      </c>
      <c r="Q137" s="134">
        <f t="shared" si="34"/>
        <v>5.61</v>
      </c>
      <c r="R137" s="134">
        <f t="shared" si="34"/>
        <v>5.61</v>
      </c>
      <c r="S137" s="134">
        <f t="shared" si="35"/>
        <v>5.61</v>
      </c>
      <c r="T137" s="134">
        <f t="shared" si="35"/>
        <v>5.61</v>
      </c>
      <c r="U137" s="134">
        <f t="shared" si="35"/>
        <v>5.61</v>
      </c>
      <c r="V137" s="134">
        <f t="shared" si="35"/>
        <v>5.61</v>
      </c>
      <c r="W137" s="134">
        <f t="shared" si="35"/>
        <v>5.61</v>
      </c>
      <c r="X137" s="134">
        <f t="shared" si="35"/>
        <v>5.61</v>
      </c>
      <c r="Y137" s="134">
        <f t="shared" si="35"/>
        <v>5.61</v>
      </c>
      <c r="Z137" s="134">
        <f t="shared" si="35"/>
        <v>5.61</v>
      </c>
      <c r="AA137" s="134">
        <f t="shared" si="35"/>
        <v>5.61</v>
      </c>
      <c r="AB137" s="134">
        <f t="shared" si="35"/>
        <v>5.61</v>
      </c>
      <c r="AC137" s="134">
        <f t="shared" si="35"/>
        <v>5.61</v>
      </c>
      <c r="AD137" s="134">
        <f t="shared" si="35"/>
        <v>5.61</v>
      </c>
      <c r="AE137" s="134">
        <f t="shared" si="35"/>
        <v>5.61</v>
      </c>
      <c r="AF137" s="134">
        <f t="shared" si="35"/>
        <v>5.61</v>
      </c>
      <c r="AG137" s="136">
        <v>4.8</v>
      </c>
      <c r="AH137" s="55"/>
      <c r="AI137" s="56"/>
      <c r="AK137" s="57"/>
    </row>
    <row r="138" spans="1:37" x14ac:dyDescent="0.25">
      <c r="A138" s="121" t="s">
        <v>142</v>
      </c>
      <c r="B138" s="133">
        <v>1.25</v>
      </c>
      <c r="C138" s="134">
        <f t="shared" si="34"/>
        <v>1.25</v>
      </c>
      <c r="D138" s="134">
        <f t="shared" si="34"/>
        <v>1.25</v>
      </c>
      <c r="E138" s="134">
        <f t="shared" si="34"/>
        <v>1.25</v>
      </c>
      <c r="F138" s="134">
        <f t="shared" si="34"/>
        <v>1.25</v>
      </c>
      <c r="G138" s="134">
        <f t="shared" si="34"/>
        <v>1.25</v>
      </c>
      <c r="H138" s="134">
        <f t="shared" si="34"/>
        <v>1.25</v>
      </c>
      <c r="I138" s="134">
        <f t="shared" si="34"/>
        <v>1.25</v>
      </c>
      <c r="J138" s="134">
        <f t="shared" si="34"/>
        <v>1.25</v>
      </c>
      <c r="K138" s="134">
        <f t="shared" si="34"/>
        <v>1.25</v>
      </c>
      <c r="L138" s="134">
        <f t="shared" si="34"/>
        <v>1.25</v>
      </c>
      <c r="M138" s="134">
        <f t="shared" si="34"/>
        <v>1.25</v>
      </c>
      <c r="N138" s="134">
        <f t="shared" si="34"/>
        <v>1.25</v>
      </c>
      <c r="O138" s="134">
        <f t="shared" si="34"/>
        <v>1.25</v>
      </c>
      <c r="P138" s="134">
        <f t="shared" si="34"/>
        <v>1.25</v>
      </c>
      <c r="Q138" s="134">
        <f t="shared" si="34"/>
        <v>1.25</v>
      </c>
      <c r="R138" s="134">
        <f t="shared" si="34"/>
        <v>1.25</v>
      </c>
      <c r="S138" s="134">
        <f t="shared" si="35"/>
        <v>1.25</v>
      </c>
      <c r="T138" s="134">
        <f t="shared" si="35"/>
        <v>1.25</v>
      </c>
      <c r="U138" s="134">
        <f t="shared" si="35"/>
        <v>1.25</v>
      </c>
      <c r="V138" s="134">
        <f t="shared" si="35"/>
        <v>1.25</v>
      </c>
      <c r="W138" s="134">
        <f t="shared" si="35"/>
        <v>1.25</v>
      </c>
      <c r="X138" s="134">
        <f t="shared" si="35"/>
        <v>1.25</v>
      </c>
      <c r="Y138" s="134">
        <f t="shared" si="35"/>
        <v>1.25</v>
      </c>
      <c r="Z138" s="134">
        <f t="shared" si="35"/>
        <v>1.25</v>
      </c>
      <c r="AA138" s="134">
        <f t="shared" si="35"/>
        <v>1.25</v>
      </c>
      <c r="AB138" s="134">
        <f t="shared" si="35"/>
        <v>1.25</v>
      </c>
      <c r="AC138" s="134">
        <f t="shared" si="35"/>
        <v>1.25</v>
      </c>
      <c r="AD138" s="134">
        <f t="shared" si="35"/>
        <v>1.25</v>
      </c>
      <c r="AE138" s="134">
        <f t="shared" si="35"/>
        <v>1.25</v>
      </c>
      <c r="AF138" s="134">
        <f t="shared" si="35"/>
        <v>1.25</v>
      </c>
      <c r="AG138" s="136">
        <v>4.5</v>
      </c>
      <c r="AH138" s="55"/>
      <c r="AI138" s="56"/>
      <c r="AK138" s="57"/>
    </row>
    <row r="139" spans="1:37" x14ac:dyDescent="0.25">
      <c r="A139" s="121" t="s">
        <v>143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144</v>
      </c>
      <c r="B140" s="133">
        <v>1.46</v>
      </c>
      <c r="C140" s="134">
        <f t="shared" si="34"/>
        <v>1.46</v>
      </c>
      <c r="D140" s="134">
        <f t="shared" si="34"/>
        <v>1.46</v>
      </c>
      <c r="E140" s="134">
        <f t="shared" si="34"/>
        <v>1.46</v>
      </c>
      <c r="F140" s="134">
        <f t="shared" si="34"/>
        <v>1.46</v>
      </c>
      <c r="G140" s="134">
        <f t="shared" si="34"/>
        <v>1.46</v>
      </c>
      <c r="H140" s="134">
        <f t="shared" si="34"/>
        <v>1.46</v>
      </c>
      <c r="I140" s="134">
        <f t="shared" si="34"/>
        <v>1.46</v>
      </c>
      <c r="J140" s="134">
        <f t="shared" si="34"/>
        <v>1.46</v>
      </c>
      <c r="K140" s="134">
        <f t="shared" si="34"/>
        <v>1.46</v>
      </c>
      <c r="L140" s="134">
        <f t="shared" si="34"/>
        <v>1.46</v>
      </c>
      <c r="M140" s="134">
        <f t="shared" si="34"/>
        <v>1.46</v>
      </c>
      <c r="N140" s="134">
        <f t="shared" si="34"/>
        <v>1.46</v>
      </c>
      <c r="O140" s="134">
        <f t="shared" si="34"/>
        <v>1.46</v>
      </c>
      <c r="P140" s="134">
        <f t="shared" si="34"/>
        <v>1.46</v>
      </c>
      <c r="Q140" s="134">
        <f t="shared" si="34"/>
        <v>1.46</v>
      </c>
      <c r="R140" s="134">
        <f t="shared" si="34"/>
        <v>1.46</v>
      </c>
      <c r="S140" s="134">
        <f t="shared" si="35"/>
        <v>1.46</v>
      </c>
      <c r="T140" s="134">
        <f t="shared" si="35"/>
        <v>1.46</v>
      </c>
      <c r="U140" s="134">
        <f t="shared" si="35"/>
        <v>1.46</v>
      </c>
      <c r="V140" s="134">
        <f t="shared" si="35"/>
        <v>1.46</v>
      </c>
      <c r="W140" s="134">
        <f t="shared" si="35"/>
        <v>1.46</v>
      </c>
      <c r="X140" s="134">
        <f t="shared" si="35"/>
        <v>1.46</v>
      </c>
      <c r="Y140" s="134">
        <f t="shared" si="35"/>
        <v>1.46</v>
      </c>
      <c r="Z140" s="134">
        <f t="shared" si="35"/>
        <v>1.46</v>
      </c>
      <c r="AA140" s="134">
        <f t="shared" si="35"/>
        <v>1.46</v>
      </c>
      <c r="AB140" s="134">
        <f t="shared" si="35"/>
        <v>1.46</v>
      </c>
      <c r="AC140" s="134">
        <f t="shared" si="35"/>
        <v>1.46</v>
      </c>
      <c r="AD140" s="134">
        <f t="shared" si="35"/>
        <v>1.46</v>
      </c>
      <c r="AE140" s="134">
        <f t="shared" si="35"/>
        <v>1.46</v>
      </c>
      <c r="AF140" s="134">
        <f t="shared" si="35"/>
        <v>1.46</v>
      </c>
      <c r="AG140" s="136">
        <v>4.4550000000000001</v>
      </c>
      <c r="AH140" s="55"/>
      <c r="AI140" s="56"/>
      <c r="AK140" s="57"/>
    </row>
    <row r="141" spans="1:37" x14ac:dyDescent="0.25">
      <c r="A141" s="121" t="s">
        <v>145</v>
      </c>
      <c r="B141" s="133">
        <v>3</v>
      </c>
      <c r="C141" s="134">
        <f t="shared" si="34"/>
        <v>3</v>
      </c>
      <c r="D141" s="134">
        <f t="shared" si="34"/>
        <v>3</v>
      </c>
      <c r="E141" s="134">
        <f t="shared" si="34"/>
        <v>3</v>
      </c>
      <c r="F141" s="134">
        <f t="shared" si="34"/>
        <v>3</v>
      </c>
      <c r="G141" s="134">
        <f t="shared" si="34"/>
        <v>3</v>
      </c>
      <c r="H141" s="134">
        <f t="shared" si="34"/>
        <v>3</v>
      </c>
      <c r="I141" s="134">
        <f t="shared" si="34"/>
        <v>3</v>
      </c>
      <c r="J141" s="134">
        <f t="shared" si="34"/>
        <v>3</v>
      </c>
      <c r="K141" s="134">
        <f t="shared" si="34"/>
        <v>3</v>
      </c>
      <c r="L141" s="134">
        <f t="shared" si="34"/>
        <v>3</v>
      </c>
      <c r="M141" s="134">
        <f t="shared" si="34"/>
        <v>3</v>
      </c>
      <c r="N141" s="134">
        <f t="shared" si="34"/>
        <v>3</v>
      </c>
      <c r="O141" s="134">
        <f t="shared" si="34"/>
        <v>3</v>
      </c>
      <c r="P141" s="134">
        <f t="shared" si="34"/>
        <v>3</v>
      </c>
      <c r="Q141" s="134">
        <f t="shared" si="34"/>
        <v>3</v>
      </c>
      <c r="R141" s="134">
        <f t="shared" si="34"/>
        <v>3</v>
      </c>
      <c r="S141" s="134">
        <f t="shared" si="35"/>
        <v>3</v>
      </c>
      <c r="T141" s="134">
        <f t="shared" si="35"/>
        <v>3</v>
      </c>
      <c r="U141" s="134">
        <f t="shared" si="35"/>
        <v>3</v>
      </c>
      <c r="V141" s="134">
        <f t="shared" si="35"/>
        <v>3</v>
      </c>
      <c r="W141" s="134">
        <f t="shared" si="35"/>
        <v>3</v>
      </c>
      <c r="X141" s="134">
        <f t="shared" si="35"/>
        <v>3</v>
      </c>
      <c r="Y141" s="134">
        <f t="shared" si="35"/>
        <v>3</v>
      </c>
      <c r="Z141" s="134">
        <f t="shared" si="35"/>
        <v>3</v>
      </c>
      <c r="AA141" s="134">
        <f t="shared" si="35"/>
        <v>3</v>
      </c>
      <c r="AB141" s="134">
        <f t="shared" si="35"/>
        <v>3</v>
      </c>
      <c r="AC141" s="134">
        <f t="shared" si="35"/>
        <v>3</v>
      </c>
      <c r="AD141" s="134">
        <f t="shared" si="35"/>
        <v>3</v>
      </c>
      <c r="AE141" s="134">
        <f t="shared" si="35"/>
        <v>3</v>
      </c>
      <c r="AF141" s="134">
        <f t="shared" si="35"/>
        <v>3</v>
      </c>
      <c r="AG141" s="136">
        <v>4.41</v>
      </c>
      <c r="AH141" s="55"/>
      <c r="AI141" s="56"/>
      <c r="AK141" s="57"/>
    </row>
    <row r="142" spans="1:37" x14ac:dyDescent="0.25">
      <c r="A142" s="121" t="s">
        <v>146</v>
      </c>
      <c r="B142" s="133">
        <v>3.3</v>
      </c>
      <c r="C142" s="134">
        <f t="shared" si="34"/>
        <v>3.3</v>
      </c>
      <c r="D142" s="134">
        <f t="shared" si="34"/>
        <v>3.3</v>
      </c>
      <c r="E142" s="134">
        <f t="shared" si="34"/>
        <v>3.3</v>
      </c>
      <c r="F142" s="134">
        <f t="shared" si="34"/>
        <v>3.3</v>
      </c>
      <c r="G142" s="134">
        <f t="shared" si="34"/>
        <v>3.3</v>
      </c>
      <c r="H142" s="134">
        <f t="shared" si="34"/>
        <v>3.3</v>
      </c>
      <c r="I142" s="134">
        <f t="shared" si="34"/>
        <v>3.3</v>
      </c>
      <c r="J142" s="134">
        <f t="shared" si="34"/>
        <v>3.3</v>
      </c>
      <c r="K142" s="134">
        <f t="shared" si="34"/>
        <v>3.3</v>
      </c>
      <c r="L142" s="134">
        <f t="shared" si="34"/>
        <v>3.3</v>
      </c>
      <c r="M142" s="134">
        <f t="shared" si="34"/>
        <v>3.3</v>
      </c>
      <c r="N142" s="134">
        <f t="shared" si="34"/>
        <v>3.3</v>
      </c>
      <c r="O142" s="134">
        <f t="shared" si="34"/>
        <v>3.3</v>
      </c>
      <c r="P142" s="134">
        <f t="shared" si="34"/>
        <v>3.3</v>
      </c>
      <c r="Q142" s="134">
        <f t="shared" si="34"/>
        <v>3.3</v>
      </c>
      <c r="R142" s="134">
        <f t="shared" si="34"/>
        <v>3.3</v>
      </c>
      <c r="S142" s="134">
        <f t="shared" si="35"/>
        <v>3.3</v>
      </c>
      <c r="T142" s="134">
        <f t="shared" si="35"/>
        <v>3.3</v>
      </c>
      <c r="U142" s="134">
        <f t="shared" si="35"/>
        <v>3.3</v>
      </c>
      <c r="V142" s="134">
        <f t="shared" si="35"/>
        <v>3.3</v>
      </c>
      <c r="W142" s="134">
        <f t="shared" si="35"/>
        <v>3.3</v>
      </c>
      <c r="X142" s="134">
        <f t="shared" si="35"/>
        <v>3.3</v>
      </c>
      <c r="Y142" s="134">
        <f t="shared" si="35"/>
        <v>3.3</v>
      </c>
      <c r="Z142" s="134">
        <f t="shared" si="35"/>
        <v>3.3</v>
      </c>
      <c r="AA142" s="134">
        <f t="shared" si="35"/>
        <v>3.3</v>
      </c>
      <c r="AB142" s="134">
        <f t="shared" si="35"/>
        <v>3.3</v>
      </c>
      <c r="AC142" s="134">
        <f t="shared" si="35"/>
        <v>3.3</v>
      </c>
      <c r="AD142" s="134">
        <f t="shared" si="35"/>
        <v>3.3</v>
      </c>
      <c r="AE142" s="134">
        <f t="shared" si="35"/>
        <v>3.3</v>
      </c>
      <c r="AF142" s="134">
        <f t="shared" si="35"/>
        <v>3.3</v>
      </c>
      <c r="AG142" s="136">
        <v>4.4000000000000004</v>
      </c>
      <c r="AH142" s="55"/>
      <c r="AI142" s="56"/>
      <c r="AK142" s="57"/>
    </row>
    <row r="143" spans="1:37" x14ac:dyDescent="0.25">
      <c r="A143" s="121" t="s">
        <v>147</v>
      </c>
      <c r="B143" s="133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6">
        <v>4.3600000000000003</v>
      </c>
      <c r="AH143" s="55"/>
      <c r="AI143" s="56"/>
      <c r="AK143" s="57"/>
    </row>
    <row r="144" spans="1:37" x14ac:dyDescent="0.25">
      <c r="A144" s="121" t="s">
        <v>148</v>
      </c>
      <c r="B144" s="133">
        <v>1.76</v>
      </c>
      <c r="C144" s="134">
        <f t="shared" ref="C144:R145" si="36">B144</f>
        <v>1.76</v>
      </c>
      <c r="D144" s="134">
        <f t="shared" si="36"/>
        <v>1.76</v>
      </c>
      <c r="E144" s="134">
        <f t="shared" si="36"/>
        <v>1.76</v>
      </c>
      <c r="F144" s="134">
        <f t="shared" si="36"/>
        <v>1.76</v>
      </c>
      <c r="G144" s="134">
        <f t="shared" si="36"/>
        <v>1.76</v>
      </c>
      <c r="H144" s="134">
        <f t="shared" si="36"/>
        <v>1.76</v>
      </c>
      <c r="I144" s="134">
        <f t="shared" si="36"/>
        <v>1.76</v>
      </c>
      <c r="J144" s="134">
        <f t="shared" si="36"/>
        <v>1.76</v>
      </c>
      <c r="K144" s="134">
        <f t="shared" si="36"/>
        <v>1.76</v>
      </c>
      <c r="L144" s="134">
        <f t="shared" si="36"/>
        <v>1.76</v>
      </c>
      <c r="M144" s="134">
        <f t="shared" si="36"/>
        <v>1.76</v>
      </c>
      <c r="N144" s="134">
        <f t="shared" si="36"/>
        <v>1.76</v>
      </c>
      <c r="O144" s="134">
        <f t="shared" si="36"/>
        <v>1.76</v>
      </c>
      <c r="P144" s="134">
        <f t="shared" si="36"/>
        <v>1.76</v>
      </c>
      <c r="Q144" s="134">
        <f t="shared" si="36"/>
        <v>1.76</v>
      </c>
      <c r="R144" s="134">
        <f t="shared" si="36"/>
        <v>1.76</v>
      </c>
      <c r="S144" s="134">
        <f t="shared" ref="S144:AF145" si="37">R144</f>
        <v>1.76</v>
      </c>
      <c r="T144" s="134">
        <f t="shared" si="37"/>
        <v>1.76</v>
      </c>
      <c r="U144" s="134">
        <f t="shared" si="37"/>
        <v>1.76</v>
      </c>
      <c r="V144" s="134">
        <f t="shared" si="37"/>
        <v>1.76</v>
      </c>
      <c r="W144" s="134">
        <f t="shared" si="37"/>
        <v>1.76</v>
      </c>
      <c r="X144" s="134">
        <f t="shared" si="37"/>
        <v>1.76</v>
      </c>
      <c r="Y144" s="134">
        <f t="shared" si="37"/>
        <v>1.76</v>
      </c>
      <c r="Z144" s="134">
        <f t="shared" si="37"/>
        <v>1.76</v>
      </c>
      <c r="AA144" s="134">
        <f t="shared" si="37"/>
        <v>1.76</v>
      </c>
      <c r="AB144" s="134">
        <f t="shared" si="37"/>
        <v>1.76</v>
      </c>
      <c r="AC144" s="134">
        <f t="shared" si="37"/>
        <v>1.76</v>
      </c>
      <c r="AD144" s="134">
        <f t="shared" si="37"/>
        <v>1.76</v>
      </c>
      <c r="AE144" s="134">
        <f t="shared" si="37"/>
        <v>1.76</v>
      </c>
      <c r="AF144" s="134">
        <f t="shared" si="37"/>
        <v>1.76</v>
      </c>
      <c r="AG144" s="136">
        <v>4.2</v>
      </c>
      <c r="AH144" s="55"/>
      <c r="AI144" s="56"/>
      <c r="AK144" s="57"/>
    </row>
    <row r="145" spans="1:37" x14ac:dyDescent="0.25">
      <c r="A145" s="121" t="s">
        <v>149</v>
      </c>
      <c r="B145" s="133">
        <v>0</v>
      </c>
      <c r="C145" s="134">
        <f t="shared" si="36"/>
        <v>0</v>
      </c>
      <c r="D145" s="134">
        <f t="shared" si="36"/>
        <v>0</v>
      </c>
      <c r="E145" s="134">
        <f t="shared" si="36"/>
        <v>0</v>
      </c>
      <c r="F145" s="134">
        <f t="shared" si="36"/>
        <v>0</v>
      </c>
      <c r="G145" s="134">
        <f t="shared" si="36"/>
        <v>0</v>
      </c>
      <c r="H145" s="134">
        <f t="shared" si="36"/>
        <v>0</v>
      </c>
      <c r="I145" s="134">
        <f t="shared" si="36"/>
        <v>0</v>
      </c>
      <c r="J145" s="134">
        <f t="shared" si="36"/>
        <v>0</v>
      </c>
      <c r="K145" s="134">
        <f t="shared" si="36"/>
        <v>0</v>
      </c>
      <c r="L145" s="134">
        <f t="shared" si="36"/>
        <v>0</v>
      </c>
      <c r="M145" s="134">
        <f t="shared" si="36"/>
        <v>0</v>
      </c>
      <c r="N145" s="134">
        <f t="shared" si="36"/>
        <v>0</v>
      </c>
      <c r="O145" s="134">
        <f t="shared" si="36"/>
        <v>0</v>
      </c>
      <c r="P145" s="134">
        <f t="shared" si="36"/>
        <v>0</v>
      </c>
      <c r="Q145" s="134">
        <f t="shared" si="36"/>
        <v>0</v>
      </c>
      <c r="R145" s="134">
        <f t="shared" si="36"/>
        <v>0</v>
      </c>
      <c r="S145" s="134">
        <f t="shared" si="37"/>
        <v>0</v>
      </c>
      <c r="T145" s="134">
        <f t="shared" si="37"/>
        <v>0</v>
      </c>
      <c r="U145" s="134">
        <f t="shared" si="37"/>
        <v>0</v>
      </c>
      <c r="V145" s="134">
        <f t="shared" si="37"/>
        <v>0</v>
      </c>
      <c r="W145" s="134">
        <f t="shared" si="37"/>
        <v>0</v>
      </c>
      <c r="X145" s="134">
        <f t="shared" si="37"/>
        <v>0</v>
      </c>
      <c r="Y145" s="134">
        <f t="shared" si="37"/>
        <v>0</v>
      </c>
      <c r="Z145" s="134">
        <f t="shared" si="37"/>
        <v>0</v>
      </c>
      <c r="AA145" s="134">
        <f t="shared" si="37"/>
        <v>0</v>
      </c>
      <c r="AB145" s="134">
        <f t="shared" si="37"/>
        <v>0</v>
      </c>
      <c r="AC145" s="134">
        <f t="shared" si="37"/>
        <v>0</v>
      </c>
      <c r="AD145" s="134">
        <f t="shared" si="37"/>
        <v>0</v>
      </c>
      <c r="AE145" s="134">
        <f t="shared" si="37"/>
        <v>0</v>
      </c>
      <c r="AF145" s="134">
        <f t="shared" si="37"/>
        <v>0</v>
      </c>
      <c r="AG145" s="136">
        <v>4</v>
      </c>
      <c r="AH145" s="55"/>
      <c r="AI145" s="56"/>
      <c r="AK145" s="57"/>
    </row>
    <row r="146" spans="1:37" x14ac:dyDescent="0.25">
      <c r="A146" s="121" t="s">
        <v>150</v>
      </c>
      <c r="B146" s="133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6">
        <v>4</v>
      </c>
      <c r="AH146" s="55"/>
      <c r="AI146" s="56"/>
      <c r="AK146" s="57"/>
    </row>
    <row r="147" spans="1:37" x14ac:dyDescent="0.25">
      <c r="A147" s="121" t="s">
        <v>151</v>
      </c>
      <c r="B147" s="133">
        <v>0.1</v>
      </c>
      <c r="C147" s="134">
        <f t="shared" ref="C147:R150" si="38">B147</f>
        <v>0.1</v>
      </c>
      <c r="D147" s="134">
        <f t="shared" si="38"/>
        <v>0.1</v>
      </c>
      <c r="E147" s="134">
        <f t="shared" si="38"/>
        <v>0.1</v>
      </c>
      <c r="F147" s="134">
        <f t="shared" si="38"/>
        <v>0.1</v>
      </c>
      <c r="G147" s="134">
        <f t="shared" si="38"/>
        <v>0.1</v>
      </c>
      <c r="H147" s="134">
        <f t="shared" si="38"/>
        <v>0.1</v>
      </c>
      <c r="I147" s="134">
        <f t="shared" si="38"/>
        <v>0.1</v>
      </c>
      <c r="J147" s="134">
        <f t="shared" si="38"/>
        <v>0.1</v>
      </c>
      <c r="K147" s="134">
        <f t="shared" si="38"/>
        <v>0.1</v>
      </c>
      <c r="L147" s="134">
        <f t="shared" si="38"/>
        <v>0.1</v>
      </c>
      <c r="M147" s="134">
        <f t="shared" si="38"/>
        <v>0.1</v>
      </c>
      <c r="N147" s="134">
        <f t="shared" si="38"/>
        <v>0.1</v>
      </c>
      <c r="O147" s="134">
        <f t="shared" si="38"/>
        <v>0.1</v>
      </c>
      <c r="P147" s="134">
        <f t="shared" si="38"/>
        <v>0.1</v>
      </c>
      <c r="Q147" s="134">
        <f t="shared" si="38"/>
        <v>0.1</v>
      </c>
      <c r="R147" s="134">
        <f t="shared" si="38"/>
        <v>0.1</v>
      </c>
      <c r="S147" s="134">
        <f t="shared" ref="S147:AF150" si="39">R147</f>
        <v>0.1</v>
      </c>
      <c r="T147" s="134">
        <f t="shared" si="39"/>
        <v>0.1</v>
      </c>
      <c r="U147" s="134">
        <f t="shared" si="39"/>
        <v>0.1</v>
      </c>
      <c r="V147" s="134">
        <f t="shared" si="39"/>
        <v>0.1</v>
      </c>
      <c r="W147" s="134">
        <f t="shared" si="39"/>
        <v>0.1</v>
      </c>
      <c r="X147" s="134">
        <f t="shared" si="39"/>
        <v>0.1</v>
      </c>
      <c r="Y147" s="134">
        <f t="shared" si="39"/>
        <v>0.1</v>
      </c>
      <c r="Z147" s="134">
        <f t="shared" si="39"/>
        <v>0.1</v>
      </c>
      <c r="AA147" s="134">
        <f t="shared" si="39"/>
        <v>0.1</v>
      </c>
      <c r="AB147" s="134">
        <f t="shared" si="39"/>
        <v>0.1</v>
      </c>
      <c r="AC147" s="134">
        <f t="shared" si="39"/>
        <v>0.1</v>
      </c>
      <c r="AD147" s="134">
        <f t="shared" si="39"/>
        <v>0.1</v>
      </c>
      <c r="AE147" s="134">
        <f t="shared" si="39"/>
        <v>0.1</v>
      </c>
      <c r="AF147" s="134">
        <f t="shared" si="39"/>
        <v>0.1</v>
      </c>
      <c r="AG147" s="136">
        <v>4</v>
      </c>
      <c r="AH147" s="55"/>
      <c r="AI147" s="56"/>
      <c r="AK147" s="57"/>
    </row>
    <row r="148" spans="1:37" x14ac:dyDescent="0.25">
      <c r="A148" s="121" t="s">
        <v>152</v>
      </c>
      <c r="B148" s="133">
        <v>2.0499999999999998</v>
      </c>
      <c r="C148" s="134">
        <f t="shared" si="38"/>
        <v>2.0499999999999998</v>
      </c>
      <c r="D148" s="134">
        <f t="shared" si="38"/>
        <v>2.0499999999999998</v>
      </c>
      <c r="E148" s="134">
        <f t="shared" si="38"/>
        <v>2.0499999999999998</v>
      </c>
      <c r="F148" s="134">
        <f t="shared" si="38"/>
        <v>2.0499999999999998</v>
      </c>
      <c r="G148" s="134">
        <f t="shared" si="38"/>
        <v>2.0499999999999998</v>
      </c>
      <c r="H148" s="134">
        <f t="shared" si="38"/>
        <v>2.0499999999999998</v>
      </c>
      <c r="I148" s="134">
        <f t="shared" si="38"/>
        <v>2.0499999999999998</v>
      </c>
      <c r="J148" s="134">
        <f t="shared" si="38"/>
        <v>2.0499999999999998</v>
      </c>
      <c r="K148" s="134">
        <f t="shared" si="38"/>
        <v>2.0499999999999998</v>
      </c>
      <c r="L148" s="134">
        <f t="shared" si="38"/>
        <v>2.0499999999999998</v>
      </c>
      <c r="M148" s="134">
        <f t="shared" si="38"/>
        <v>2.0499999999999998</v>
      </c>
      <c r="N148" s="134">
        <f t="shared" si="38"/>
        <v>2.0499999999999998</v>
      </c>
      <c r="O148" s="134">
        <f t="shared" si="38"/>
        <v>2.0499999999999998</v>
      </c>
      <c r="P148" s="134">
        <f t="shared" si="38"/>
        <v>2.0499999999999998</v>
      </c>
      <c r="Q148" s="134">
        <f t="shared" si="38"/>
        <v>2.0499999999999998</v>
      </c>
      <c r="R148" s="134">
        <f t="shared" si="38"/>
        <v>2.0499999999999998</v>
      </c>
      <c r="S148" s="134">
        <f t="shared" si="39"/>
        <v>2.0499999999999998</v>
      </c>
      <c r="T148" s="134">
        <f t="shared" si="39"/>
        <v>2.0499999999999998</v>
      </c>
      <c r="U148" s="134">
        <f t="shared" si="39"/>
        <v>2.0499999999999998</v>
      </c>
      <c r="V148" s="134">
        <f t="shared" si="39"/>
        <v>2.0499999999999998</v>
      </c>
      <c r="W148" s="134">
        <f t="shared" si="39"/>
        <v>2.0499999999999998</v>
      </c>
      <c r="X148" s="134">
        <f t="shared" si="39"/>
        <v>2.0499999999999998</v>
      </c>
      <c r="Y148" s="134">
        <f t="shared" si="39"/>
        <v>2.0499999999999998</v>
      </c>
      <c r="Z148" s="134">
        <f t="shared" si="39"/>
        <v>2.0499999999999998</v>
      </c>
      <c r="AA148" s="134">
        <f t="shared" si="39"/>
        <v>2.0499999999999998</v>
      </c>
      <c r="AB148" s="134">
        <f t="shared" si="39"/>
        <v>2.0499999999999998</v>
      </c>
      <c r="AC148" s="134">
        <f t="shared" si="39"/>
        <v>2.0499999999999998</v>
      </c>
      <c r="AD148" s="134">
        <f t="shared" si="39"/>
        <v>2.0499999999999998</v>
      </c>
      <c r="AE148" s="134">
        <f t="shared" si="39"/>
        <v>2.0499999999999998</v>
      </c>
      <c r="AF148" s="134">
        <f t="shared" si="39"/>
        <v>2.0499999999999998</v>
      </c>
      <c r="AG148" s="136">
        <v>4</v>
      </c>
      <c r="AH148" s="55"/>
      <c r="AI148" s="56"/>
      <c r="AK148" s="57"/>
    </row>
    <row r="149" spans="1:37" x14ac:dyDescent="0.25">
      <c r="A149" s="121" t="s">
        <v>153</v>
      </c>
      <c r="B149" s="133">
        <v>2.7</v>
      </c>
      <c r="C149" s="134">
        <f t="shared" si="38"/>
        <v>2.7</v>
      </c>
      <c r="D149" s="134">
        <f t="shared" si="38"/>
        <v>2.7</v>
      </c>
      <c r="E149" s="134">
        <f t="shared" si="38"/>
        <v>2.7</v>
      </c>
      <c r="F149" s="134">
        <f t="shared" si="38"/>
        <v>2.7</v>
      </c>
      <c r="G149" s="134">
        <f t="shared" si="38"/>
        <v>2.7</v>
      </c>
      <c r="H149" s="134">
        <f t="shared" si="38"/>
        <v>2.7</v>
      </c>
      <c r="I149" s="134">
        <f t="shared" si="38"/>
        <v>2.7</v>
      </c>
      <c r="J149" s="134">
        <f t="shared" si="38"/>
        <v>2.7</v>
      </c>
      <c r="K149" s="134">
        <f t="shared" si="38"/>
        <v>2.7</v>
      </c>
      <c r="L149" s="134">
        <f t="shared" si="38"/>
        <v>2.7</v>
      </c>
      <c r="M149" s="134">
        <f t="shared" si="38"/>
        <v>2.7</v>
      </c>
      <c r="N149" s="134">
        <f t="shared" si="38"/>
        <v>2.7</v>
      </c>
      <c r="O149" s="134">
        <f t="shared" si="38"/>
        <v>2.7</v>
      </c>
      <c r="P149" s="134">
        <f t="shared" si="38"/>
        <v>2.7</v>
      </c>
      <c r="Q149" s="134">
        <f t="shared" si="38"/>
        <v>2.7</v>
      </c>
      <c r="R149" s="134">
        <f t="shared" si="38"/>
        <v>2.7</v>
      </c>
      <c r="S149" s="134">
        <f t="shared" si="39"/>
        <v>2.7</v>
      </c>
      <c r="T149" s="134">
        <f t="shared" si="39"/>
        <v>2.7</v>
      </c>
      <c r="U149" s="134">
        <f t="shared" si="39"/>
        <v>2.7</v>
      </c>
      <c r="V149" s="134">
        <f t="shared" si="39"/>
        <v>2.7</v>
      </c>
      <c r="W149" s="134">
        <f t="shared" si="39"/>
        <v>2.7</v>
      </c>
      <c r="X149" s="134">
        <f t="shared" si="39"/>
        <v>2.7</v>
      </c>
      <c r="Y149" s="134">
        <f t="shared" si="39"/>
        <v>2.7</v>
      </c>
      <c r="Z149" s="134">
        <f t="shared" si="39"/>
        <v>2.7</v>
      </c>
      <c r="AA149" s="134">
        <f t="shared" si="39"/>
        <v>2.7</v>
      </c>
      <c r="AB149" s="134">
        <f t="shared" si="39"/>
        <v>2.7</v>
      </c>
      <c r="AC149" s="134">
        <f t="shared" si="39"/>
        <v>2.7</v>
      </c>
      <c r="AD149" s="134">
        <f t="shared" si="39"/>
        <v>2.7</v>
      </c>
      <c r="AE149" s="134">
        <f t="shared" si="39"/>
        <v>2.7</v>
      </c>
      <c r="AF149" s="134">
        <f t="shared" si="39"/>
        <v>2.7</v>
      </c>
      <c r="AG149" s="136">
        <v>4</v>
      </c>
      <c r="AH149" s="55"/>
      <c r="AI149" s="56"/>
      <c r="AK149" s="57"/>
    </row>
    <row r="150" spans="1:37" x14ac:dyDescent="0.25">
      <c r="A150" s="121" t="s">
        <v>154</v>
      </c>
      <c r="B150" s="133">
        <v>2.15</v>
      </c>
      <c r="C150" s="134">
        <f t="shared" si="38"/>
        <v>2.15</v>
      </c>
      <c r="D150" s="134">
        <f t="shared" si="38"/>
        <v>2.15</v>
      </c>
      <c r="E150" s="134">
        <f t="shared" si="38"/>
        <v>2.15</v>
      </c>
      <c r="F150" s="134">
        <f t="shared" si="38"/>
        <v>2.15</v>
      </c>
      <c r="G150" s="134">
        <f t="shared" si="38"/>
        <v>2.15</v>
      </c>
      <c r="H150" s="134">
        <f t="shared" si="38"/>
        <v>2.15</v>
      </c>
      <c r="I150" s="134">
        <f t="shared" si="38"/>
        <v>2.15</v>
      </c>
      <c r="J150" s="134">
        <f t="shared" si="38"/>
        <v>2.15</v>
      </c>
      <c r="K150" s="134">
        <f t="shared" si="38"/>
        <v>2.15</v>
      </c>
      <c r="L150" s="134">
        <f t="shared" si="38"/>
        <v>2.15</v>
      </c>
      <c r="M150" s="134">
        <f t="shared" si="38"/>
        <v>2.15</v>
      </c>
      <c r="N150" s="134">
        <f t="shared" si="38"/>
        <v>2.15</v>
      </c>
      <c r="O150" s="134">
        <f t="shared" si="38"/>
        <v>2.15</v>
      </c>
      <c r="P150" s="134">
        <f t="shared" si="38"/>
        <v>2.15</v>
      </c>
      <c r="Q150" s="134">
        <f t="shared" si="38"/>
        <v>2.15</v>
      </c>
      <c r="R150" s="134">
        <f t="shared" si="38"/>
        <v>2.15</v>
      </c>
      <c r="S150" s="134">
        <f t="shared" si="39"/>
        <v>2.15</v>
      </c>
      <c r="T150" s="134">
        <f t="shared" si="39"/>
        <v>2.15</v>
      </c>
      <c r="U150" s="134">
        <f t="shared" si="39"/>
        <v>2.15</v>
      </c>
      <c r="V150" s="134">
        <f t="shared" si="39"/>
        <v>2.15</v>
      </c>
      <c r="W150" s="134">
        <f t="shared" si="39"/>
        <v>2.15</v>
      </c>
      <c r="X150" s="134">
        <f t="shared" si="39"/>
        <v>2.15</v>
      </c>
      <c r="Y150" s="134">
        <f t="shared" si="39"/>
        <v>2.15</v>
      </c>
      <c r="Z150" s="134">
        <f t="shared" si="39"/>
        <v>2.15</v>
      </c>
      <c r="AA150" s="134">
        <f t="shared" si="39"/>
        <v>2.15</v>
      </c>
      <c r="AB150" s="134">
        <f t="shared" si="39"/>
        <v>2.15</v>
      </c>
      <c r="AC150" s="134">
        <f t="shared" si="39"/>
        <v>2.15</v>
      </c>
      <c r="AD150" s="134">
        <f t="shared" si="39"/>
        <v>2.15</v>
      </c>
      <c r="AE150" s="134">
        <f t="shared" si="39"/>
        <v>2.15</v>
      </c>
      <c r="AF150" s="134">
        <f t="shared" si="39"/>
        <v>2.15</v>
      </c>
      <c r="AG150" s="136">
        <v>4</v>
      </c>
      <c r="AH150" s="55"/>
      <c r="AI150" s="56"/>
      <c r="AK150" s="57"/>
    </row>
    <row r="151" spans="1:37" x14ac:dyDescent="0.25">
      <c r="A151" s="121" t="s">
        <v>155</v>
      </c>
      <c r="B151" s="133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6">
        <v>4</v>
      </c>
      <c r="AH151" s="55"/>
      <c r="AI151" s="56"/>
      <c r="AK151" s="57"/>
    </row>
    <row r="152" spans="1:37" x14ac:dyDescent="0.25">
      <c r="A152" s="121" t="s">
        <v>156</v>
      </c>
      <c r="B152" s="133">
        <v>0.9</v>
      </c>
      <c r="C152" s="134">
        <f t="shared" ref="C152:R164" si="40">B152</f>
        <v>0.9</v>
      </c>
      <c r="D152" s="134">
        <f t="shared" si="40"/>
        <v>0.9</v>
      </c>
      <c r="E152" s="134">
        <f t="shared" si="40"/>
        <v>0.9</v>
      </c>
      <c r="F152" s="134">
        <f t="shared" si="40"/>
        <v>0.9</v>
      </c>
      <c r="G152" s="134">
        <f t="shared" si="40"/>
        <v>0.9</v>
      </c>
      <c r="H152" s="134">
        <f t="shared" si="40"/>
        <v>0.9</v>
      </c>
      <c r="I152" s="134">
        <f t="shared" si="40"/>
        <v>0.9</v>
      </c>
      <c r="J152" s="134">
        <f t="shared" si="40"/>
        <v>0.9</v>
      </c>
      <c r="K152" s="134">
        <f t="shared" si="40"/>
        <v>0.9</v>
      </c>
      <c r="L152" s="134">
        <f t="shared" si="40"/>
        <v>0.9</v>
      </c>
      <c r="M152" s="134">
        <f t="shared" si="40"/>
        <v>0.9</v>
      </c>
      <c r="N152" s="134">
        <f t="shared" si="40"/>
        <v>0.9</v>
      </c>
      <c r="O152" s="134">
        <f t="shared" si="40"/>
        <v>0.9</v>
      </c>
      <c r="P152" s="134">
        <f t="shared" si="40"/>
        <v>0.9</v>
      </c>
      <c r="Q152" s="134">
        <f t="shared" si="40"/>
        <v>0.9</v>
      </c>
      <c r="R152" s="134">
        <f t="shared" si="40"/>
        <v>0.9</v>
      </c>
      <c r="S152" s="134">
        <f t="shared" ref="R152:AF164" si="41">R152</f>
        <v>0.9</v>
      </c>
      <c r="T152" s="134">
        <f t="shared" si="41"/>
        <v>0.9</v>
      </c>
      <c r="U152" s="134">
        <f t="shared" si="41"/>
        <v>0.9</v>
      </c>
      <c r="V152" s="134">
        <f t="shared" si="41"/>
        <v>0.9</v>
      </c>
      <c r="W152" s="134">
        <f t="shared" si="41"/>
        <v>0.9</v>
      </c>
      <c r="X152" s="134">
        <f t="shared" si="41"/>
        <v>0.9</v>
      </c>
      <c r="Y152" s="134">
        <f t="shared" si="41"/>
        <v>0.9</v>
      </c>
      <c r="Z152" s="134">
        <f t="shared" si="41"/>
        <v>0.9</v>
      </c>
      <c r="AA152" s="134">
        <f t="shared" si="41"/>
        <v>0.9</v>
      </c>
      <c r="AB152" s="134">
        <f t="shared" si="41"/>
        <v>0.9</v>
      </c>
      <c r="AC152" s="134">
        <f t="shared" si="41"/>
        <v>0.9</v>
      </c>
      <c r="AD152" s="134">
        <f t="shared" si="41"/>
        <v>0.9</v>
      </c>
      <c r="AE152" s="134">
        <f t="shared" si="41"/>
        <v>0.9</v>
      </c>
      <c r="AF152" s="134">
        <f t="shared" si="41"/>
        <v>0.9</v>
      </c>
      <c r="AG152" s="136">
        <v>4</v>
      </c>
      <c r="AH152" s="55"/>
      <c r="AI152" s="56"/>
      <c r="AK152" s="57"/>
    </row>
    <row r="153" spans="1:37" x14ac:dyDescent="0.25">
      <c r="A153" s="121" t="s">
        <v>157</v>
      </c>
      <c r="B153" s="133">
        <v>1.08</v>
      </c>
      <c r="C153" s="134">
        <f t="shared" si="40"/>
        <v>1.08</v>
      </c>
      <c r="D153" s="134">
        <f t="shared" si="40"/>
        <v>1.08</v>
      </c>
      <c r="E153" s="134">
        <f t="shared" si="40"/>
        <v>1.08</v>
      </c>
      <c r="F153" s="134">
        <f t="shared" si="40"/>
        <v>1.08</v>
      </c>
      <c r="G153" s="134">
        <f t="shared" si="40"/>
        <v>1.08</v>
      </c>
      <c r="H153" s="134">
        <f t="shared" si="40"/>
        <v>1.08</v>
      </c>
      <c r="I153" s="134">
        <f t="shared" si="40"/>
        <v>1.08</v>
      </c>
      <c r="J153" s="134">
        <f t="shared" si="40"/>
        <v>1.08</v>
      </c>
      <c r="K153" s="134">
        <f t="shared" si="40"/>
        <v>1.08</v>
      </c>
      <c r="L153" s="134">
        <f t="shared" si="40"/>
        <v>1.08</v>
      </c>
      <c r="M153" s="134">
        <f t="shared" si="40"/>
        <v>1.08</v>
      </c>
      <c r="N153" s="134">
        <f t="shared" si="40"/>
        <v>1.08</v>
      </c>
      <c r="O153" s="134">
        <f t="shared" si="40"/>
        <v>1.08</v>
      </c>
      <c r="P153" s="134">
        <f t="shared" si="40"/>
        <v>1.08</v>
      </c>
      <c r="Q153" s="134">
        <f t="shared" si="40"/>
        <v>1.08</v>
      </c>
      <c r="R153" s="134">
        <f t="shared" si="40"/>
        <v>1.08</v>
      </c>
      <c r="S153" s="134">
        <f t="shared" si="41"/>
        <v>1.08</v>
      </c>
      <c r="T153" s="134">
        <f t="shared" si="41"/>
        <v>1.08</v>
      </c>
      <c r="U153" s="134">
        <f t="shared" si="41"/>
        <v>1.08</v>
      </c>
      <c r="V153" s="134">
        <f t="shared" si="41"/>
        <v>1.08</v>
      </c>
      <c r="W153" s="134">
        <f t="shared" si="41"/>
        <v>1.08</v>
      </c>
      <c r="X153" s="134">
        <f t="shared" si="41"/>
        <v>1.08</v>
      </c>
      <c r="Y153" s="134">
        <f t="shared" si="41"/>
        <v>1.08</v>
      </c>
      <c r="Z153" s="134">
        <f t="shared" si="41"/>
        <v>1.08</v>
      </c>
      <c r="AA153" s="134">
        <f t="shared" si="41"/>
        <v>1.08</v>
      </c>
      <c r="AB153" s="134">
        <f t="shared" si="41"/>
        <v>1.08</v>
      </c>
      <c r="AC153" s="134">
        <f t="shared" si="41"/>
        <v>1.08</v>
      </c>
      <c r="AD153" s="134">
        <f t="shared" si="41"/>
        <v>1.08</v>
      </c>
      <c r="AE153" s="134">
        <f t="shared" si="41"/>
        <v>1.08</v>
      </c>
      <c r="AF153" s="134">
        <f t="shared" si="41"/>
        <v>1.08</v>
      </c>
      <c r="AG153" s="136">
        <v>3.75</v>
      </c>
      <c r="AH153" s="55"/>
      <c r="AI153" s="56"/>
      <c r="AK153" s="57"/>
    </row>
    <row r="154" spans="1:37" x14ac:dyDescent="0.25">
      <c r="A154" s="121" t="s">
        <v>158</v>
      </c>
      <c r="B154" s="133">
        <v>2.37</v>
      </c>
      <c r="C154" s="134">
        <f t="shared" si="40"/>
        <v>2.37</v>
      </c>
      <c r="D154" s="134">
        <f t="shared" si="40"/>
        <v>2.37</v>
      </c>
      <c r="E154" s="134">
        <f t="shared" si="40"/>
        <v>2.37</v>
      </c>
      <c r="F154" s="134">
        <f t="shared" si="40"/>
        <v>2.37</v>
      </c>
      <c r="G154" s="134">
        <f t="shared" si="40"/>
        <v>2.37</v>
      </c>
      <c r="H154" s="134">
        <f t="shared" si="40"/>
        <v>2.37</v>
      </c>
      <c r="I154" s="134">
        <f t="shared" si="40"/>
        <v>2.37</v>
      </c>
      <c r="J154" s="134">
        <f t="shared" si="40"/>
        <v>2.37</v>
      </c>
      <c r="K154" s="134">
        <f t="shared" si="40"/>
        <v>2.37</v>
      </c>
      <c r="L154" s="134">
        <f t="shared" si="40"/>
        <v>2.37</v>
      </c>
      <c r="M154" s="134">
        <f t="shared" si="40"/>
        <v>2.37</v>
      </c>
      <c r="N154" s="134">
        <f t="shared" si="40"/>
        <v>2.37</v>
      </c>
      <c r="O154" s="134">
        <f t="shared" si="40"/>
        <v>2.37</v>
      </c>
      <c r="P154" s="134">
        <f t="shared" si="40"/>
        <v>2.37</v>
      </c>
      <c r="Q154" s="134">
        <f t="shared" si="40"/>
        <v>2.37</v>
      </c>
      <c r="R154" s="134">
        <f t="shared" si="40"/>
        <v>2.37</v>
      </c>
      <c r="S154" s="134">
        <f t="shared" si="41"/>
        <v>2.37</v>
      </c>
      <c r="T154" s="134">
        <f t="shared" si="41"/>
        <v>2.37</v>
      </c>
      <c r="U154" s="134">
        <f t="shared" si="41"/>
        <v>2.37</v>
      </c>
      <c r="V154" s="134">
        <f t="shared" si="41"/>
        <v>2.37</v>
      </c>
      <c r="W154" s="134">
        <f t="shared" si="41"/>
        <v>2.37</v>
      </c>
      <c r="X154" s="134">
        <f t="shared" si="41"/>
        <v>2.37</v>
      </c>
      <c r="Y154" s="134">
        <f t="shared" si="41"/>
        <v>2.37</v>
      </c>
      <c r="Z154" s="134">
        <f t="shared" si="41"/>
        <v>2.37</v>
      </c>
      <c r="AA154" s="134">
        <f t="shared" si="41"/>
        <v>2.37</v>
      </c>
      <c r="AB154" s="134">
        <f t="shared" si="41"/>
        <v>2.37</v>
      </c>
      <c r="AC154" s="134">
        <f t="shared" si="41"/>
        <v>2.37</v>
      </c>
      <c r="AD154" s="134">
        <f t="shared" si="41"/>
        <v>2.37</v>
      </c>
      <c r="AE154" s="134">
        <f t="shared" si="41"/>
        <v>2.37</v>
      </c>
      <c r="AF154" s="134">
        <f t="shared" si="41"/>
        <v>2.37</v>
      </c>
      <c r="AG154" s="136">
        <v>3.52</v>
      </c>
      <c r="AH154" s="55"/>
      <c r="AI154" s="56"/>
      <c r="AK154" s="57"/>
    </row>
    <row r="155" spans="1:37" x14ac:dyDescent="0.25">
      <c r="A155" s="121" t="s">
        <v>159</v>
      </c>
      <c r="B155" s="133">
        <v>1.81</v>
      </c>
      <c r="C155" s="134">
        <f t="shared" si="40"/>
        <v>1.81</v>
      </c>
      <c r="D155" s="134">
        <f t="shared" si="40"/>
        <v>1.81</v>
      </c>
      <c r="E155" s="134">
        <f t="shared" si="40"/>
        <v>1.81</v>
      </c>
      <c r="F155" s="134">
        <f t="shared" si="40"/>
        <v>1.81</v>
      </c>
      <c r="G155" s="134">
        <f t="shared" si="40"/>
        <v>1.81</v>
      </c>
      <c r="H155" s="134">
        <f t="shared" si="40"/>
        <v>1.81</v>
      </c>
      <c r="I155" s="134">
        <f t="shared" si="40"/>
        <v>1.81</v>
      </c>
      <c r="J155" s="134">
        <f t="shared" si="40"/>
        <v>1.81</v>
      </c>
      <c r="K155" s="134">
        <f t="shared" si="40"/>
        <v>1.81</v>
      </c>
      <c r="L155" s="134">
        <f t="shared" si="40"/>
        <v>1.81</v>
      </c>
      <c r="M155" s="134">
        <f t="shared" si="40"/>
        <v>1.81</v>
      </c>
      <c r="N155" s="134">
        <f t="shared" si="40"/>
        <v>1.81</v>
      </c>
      <c r="O155" s="134">
        <f t="shared" si="40"/>
        <v>1.81</v>
      </c>
      <c r="P155" s="134">
        <f t="shared" si="40"/>
        <v>1.81</v>
      </c>
      <c r="Q155" s="134">
        <f t="shared" si="40"/>
        <v>1.81</v>
      </c>
      <c r="R155" s="134">
        <f t="shared" si="40"/>
        <v>1.81</v>
      </c>
      <c r="S155" s="134">
        <f t="shared" si="41"/>
        <v>1.81</v>
      </c>
      <c r="T155" s="134">
        <f t="shared" si="41"/>
        <v>1.81</v>
      </c>
      <c r="U155" s="134">
        <f t="shared" si="41"/>
        <v>1.81</v>
      </c>
      <c r="V155" s="134">
        <f t="shared" si="41"/>
        <v>1.81</v>
      </c>
      <c r="W155" s="134">
        <f t="shared" si="41"/>
        <v>1.81</v>
      </c>
      <c r="X155" s="134">
        <f t="shared" si="41"/>
        <v>1.81</v>
      </c>
      <c r="Y155" s="134">
        <f t="shared" si="41"/>
        <v>1.81</v>
      </c>
      <c r="Z155" s="134">
        <f t="shared" si="41"/>
        <v>1.81</v>
      </c>
      <c r="AA155" s="134">
        <f t="shared" si="41"/>
        <v>1.81</v>
      </c>
      <c r="AB155" s="134">
        <f t="shared" si="41"/>
        <v>1.81</v>
      </c>
      <c r="AC155" s="134">
        <f t="shared" si="41"/>
        <v>1.81</v>
      </c>
      <c r="AD155" s="134">
        <f t="shared" si="41"/>
        <v>1.81</v>
      </c>
      <c r="AE155" s="134">
        <f t="shared" si="41"/>
        <v>1.81</v>
      </c>
      <c r="AF155" s="134">
        <f t="shared" si="41"/>
        <v>1.81</v>
      </c>
      <c r="AG155" s="136">
        <v>3.33</v>
      </c>
      <c r="AH155" s="55"/>
      <c r="AI155" s="56"/>
      <c r="AK155" s="57"/>
    </row>
    <row r="156" spans="1:37" x14ac:dyDescent="0.25">
      <c r="A156" s="121" t="s">
        <v>160</v>
      </c>
      <c r="B156" s="133">
        <v>1.0900000000000001</v>
      </c>
      <c r="C156" s="134">
        <f t="shared" si="40"/>
        <v>1.0900000000000001</v>
      </c>
      <c r="D156" s="134">
        <f t="shared" si="40"/>
        <v>1.0900000000000001</v>
      </c>
      <c r="E156" s="134">
        <f t="shared" si="40"/>
        <v>1.0900000000000001</v>
      </c>
      <c r="F156" s="134">
        <f t="shared" si="40"/>
        <v>1.0900000000000001</v>
      </c>
      <c r="G156" s="134">
        <f t="shared" si="40"/>
        <v>1.0900000000000001</v>
      </c>
      <c r="H156" s="134">
        <f t="shared" si="40"/>
        <v>1.0900000000000001</v>
      </c>
      <c r="I156" s="134">
        <f t="shared" si="40"/>
        <v>1.0900000000000001</v>
      </c>
      <c r="J156" s="134">
        <f t="shared" si="40"/>
        <v>1.0900000000000001</v>
      </c>
      <c r="K156" s="134">
        <f t="shared" si="40"/>
        <v>1.0900000000000001</v>
      </c>
      <c r="L156" s="134">
        <f t="shared" si="40"/>
        <v>1.0900000000000001</v>
      </c>
      <c r="M156" s="134">
        <f t="shared" si="40"/>
        <v>1.0900000000000001</v>
      </c>
      <c r="N156" s="134">
        <f t="shared" si="40"/>
        <v>1.0900000000000001</v>
      </c>
      <c r="O156" s="134">
        <f t="shared" si="40"/>
        <v>1.0900000000000001</v>
      </c>
      <c r="P156" s="134">
        <f t="shared" si="40"/>
        <v>1.0900000000000001</v>
      </c>
      <c r="Q156" s="134">
        <f t="shared" si="40"/>
        <v>1.0900000000000001</v>
      </c>
      <c r="R156" s="134">
        <f t="shared" si="40"/>
        <v>1.0900000000000001</v>
      </c>
      <c r="S156" s="134">
        <f t="shared" si="41"/>
        <v>1.0900000000000001</v>
      </c>
      <c r="T156" s="134">
        <f t="shared" si="41"/>
        <v>1.0900000000000001</v>
      </c>
      <c r="U156" s="134">
        <f t="shared" si="41"/>
        <v>1.0900000000000001</v>
      </c>
      <c r="V156" s="134">
        <f t="shared" si="41"/>
        <v>1.0900000000000001</v>
      </c>
      <c r="W156" s="134">
        <f t="shared" si="41"/>
        <v>1.0900000000000001</v>
      </c>
      <c r="X156" s="134">
        <f t="shared" si="41"/>
        <v>1.0900000000000001</v>
      </c>
      <c r="Y156" s="134">
        <f t="shared" si="41"/>
        <v>1.0900000000000001</v>
      </c>
      <c r="Z156" s="134">
        <f t="shared" si="41"/>
        <v>1.0900000000000001</v>
      </c>
      <c r="AA156" s="134">
        <f t="shared" si="41"/>
        <v>1.0900000000000001</v>
      </c>
      <c r="AB156" s="134">
        <f t="shared" si="41"/>
        <v>1.0900000000000001</v>
      </c>
      <c r="AC156" s="134">
        <f t="shared" si="41"/>
        <v>1.0900000000000001</v>
      </c>
      <c r="AD156" s="134">
        <f t="shared" si="41"/>
        <v>1.0900000000000001</v>
      </c>
      <c r="AE156" s="134">
        <f t="shared" si="41"/>
        <v>1.0900000000000001</v>
      </c>
      <c r="AF156" s="134">
        <f t="shared" si="41"/>
        <v>1.0900000000000001</v>
      </c>
      <c r="AG156" s="136">
        <v>3.2</v>
      </c>
      <c r="AH156" s="55"/>
      <c r="AI156" s="56"/>
      <c r="AK156" s="57"/>
    </row>
    <row r="157" spans="1:37" x14ac:dyDescent="0.25">
      <c r="A157" s="121" t="s">
        <v>161</v>
      </c>
      <c r="B157" s="133">
        <v>1.58</v>
      </c>
      <c r="C157" s="134">
        <f t="shared" si="40"/>
        <v>1.58</v>
      </c>
      <c r="D157" s="134">
        <f t="shared" si="40"/>
        <v>1.58</v>
      </c>
      <c r="E157" s="134">
        <f t="shared" si="40"/>
        <v>1.58</v>
      </c>
      <c r="F157" s="134">
        <f t="shared" si="40"/>
        <v>1.58</v>
      </c>
      <c r="G157" s="134">
        <f t="shared" si="40"/>
        <v>1.58</v>
      </c>
      <c r="H157" s="134">
        <f t="shared" si="40"/>
        <v>1.58</v>
      </c>
      <c r="I157" s="134">
        <f t="shared" si="40"/>
        <v>1.58</v>
      </c>
      <c r="J157" s="134">
        <f t="shared" si="40"/>
        <v>1.58</v>
      </c>
      <c r="K157" s="134">
        <f t="shared" si="40"/>
        <v>1.58</v>
      </c>
      <c r="L157" s="134">
        <f t="shared" si="40"/>
        <v>1.58</v>
      </c>
      <c r="M157" s="134">
        <f t="shared" si="40"/>
        <v>1.58</v>
      </c>
      <c r="N157" s="134">
        <f t="shared" si="40"/>
        <v>1.58</v>
      </c>
      <c r="O157" s="134">
        <f t="shared" si="40"/>
        <v>1.58</v>
      </c>
      <c r="P157" s="134">
        <f t="shared" si="40"/>
        <v>1.58</v>
      </c>
      <c r="Q157" s="134">
        <f t="shared" si="40"/>
        <v>1.58</v>
      </c>
      <c r="R157" s="134">
        <f t="shared" si="40"/>
        <v>1.58</v>
      </c>
      <c r="S157" s="134">
        <f t="shared" si="41"/>
        <v>1.58</v>
      </c>
      <c r="T157" s="134">
        <f t="shared" si="41"/>
        <v>1.58</v>
      </c>
      <c r="U157" s="134">
        <f t="shared" si="41"/>
        <v>1.58</v>
      </c>
      <c r="V157" s="134">
        <f t="shared" si="41"/>
        <v>1.58</v>
      </c>
      <c r="W157" s="134">
        <f t="shared" si="41"/>
        <v>1.58</v>
      </c>
      <c r="X157" s="134">
        <f t="shared" si="41"/>
        <v>1.58</v>
      </c>
      <c r="Y157" s="134">
        <f t="shared" si="41"/>
        <v>1.58</v>
      </c>
      <c r="Z157" s="134">
        <f t="shared" si="41"/>
        <v>1.58</v>
      </c>
      <c r="AA157" s="134">
        <f t="shared" si="41"/>
        <v>1.58</v>
      </c>
      <c r="AB157" s="134">
        <f t="shared" si="41"/>
        <v>1.58</v>
      </c>
      <c r="AC157" s="134">
        <f t="shared" si="41"/>
        <v>1.58</v>
      </c>
      <c r="AD157" s="134">
        <f t="shared" si="41"/>
        <v>1.58</v>
      </c>
      <c r="AE157" s="134">
        <f t="shared" si="41"/>
        <v>1.58</v>
      </c>
      <c r="AF157" s="134">
        <f t="shared" si="41"/>
        <v>1.58</v>
      </c>
      <c r="AG157" s="136">
        <v>3</v>
      </c>
      <c r="AH157" s="55"/>
      <c r="AI157" s="56"/>
      <c r="AK157" s="57"/>
    </row>
    <row r="158" spans="1:37" x14ac:dyDescent="0.25">
      <c r="A158" s="121" t="s">
        <v>162</v>
      </c>
      <c r="B158" s="133">
        <v>2</v>
      </c>
      <c r="C158" s="134">
        <f t="shared" si="40"/>
        <v>2</v>
      </c>
      <c r="D158" s="134">
        <f t="shared" si="40"/>
        <v>2</v>
      </c>
      <c r="E158" s="134">
        <f t="shared" si="40"/>
        <v>2</v>
      </c>
      <c r="F158" s="134">
        <f t="shared" si="40"/>
        <v>2</v>
      </c>
      <c r="G158" s="134">
        <f t="shared" si="40"/>
        <v>2</v>
      </c>
      <c r="H158" s="134">
        <f t="shared" si="40"/>
        <v>2</v>
      </c>
      <c r="I158" s="134">
        <f t="shared" si="40"/>
        <v>2</v>
      </c>
      <c r="J158" s="134">
        <f t="shared" si="40"/>
        <v>2</v>
      </c>
      <c r="K158" s="134">
        <f t="shared" si="40"/>
        <v>2</v>
      </c>
      <c r="L158" s="134">
        <f t="shared" si="40"/>
        <v>2</v>
      </c>
      <c r="M158" s="134">
        <f t="shared" si="40"/>
        <v>2</v>
      </c>
      <c r="N158" s="134">
        <f t="shared" si="40"/>
        <v>2</v>
      </c>
      <c r="O158" s="134">
        <f t="shared" si="40"/>
        <v>2</v>
      </c>
      <c r="P158" s="134">
        <f t="shared" si="40"/>
        <v>2</v>
      </c>
      <c r="Q158" s="134">
        <f t="shared" si="40"/>
        <v>2</v>
      </c>
      <c r="R158" s="134">
        <f t="shared" si="40"/>
        <v>2</v>
      </c>
      <c r="S158" s="134">
        <f t="shared" si="41"/>
        <v>2</v>
      </c>
      <c r="T158" s="134">
        <f t="shared" si="41"/>
        <v>2</v>
      </c>
      <c r="U158" s="134">
        <f t="shared" si="41"/>
        <v>2</v>
      </c>
      <c r="V158" s="134">
        <f t="shared" si="41"/>
        <v>2</v>
      </c>
      <c r="W158" s="134">
        <f t="shared" si="41"/>
        <v>2</v>
      </c>
      <c r="X158" s="134">
        <f t="shared" si="41"/>
        <v>2</v>
      </c>
      <c r="Y158" s="134">
        <f t="shared" si="41"/>
        <v>2</v>
      </c>
      <c r="Z158" s="134">
        <f t="shared" si="41"/>
        <v>2</v>
      </c>
      <c r="AA158" s="134">
        <f t="shared" si="41"/>
        <v>2</v>
      </c>
      <c r="AB158" s="134">
        <f t="shared" si="41"/>
        <v>2</v>
      </c>
      <c r="AC158" s="134">
        <f t="shared" si="41"/>
        <v>2</v>
      </c>
      <c r="AD158" s="134">
        <f t="shared" si="41"/>
        <v>2</v>
      </c>
      <c r="AE158" s="134">
        <f t="shared" si="41"/>
        <v>2</v>
      </c>
      <c r="AF158" s="134">
        <f t="shared" si="41"/>
        <v>2</v>
      </c>
      <c r="AG158" s="136">
        <v>3</v>
      </c>
      <c r="AH158" s="55"/>
      <c r="AI158" s="56"/>
      <c r="AK158" s="57"/>
    </row>
    <row r="159" spans="1:37" x14ac:dyDescent="0.25">
      <c r="A159" s="121" t="s">
        <v>163</v>
      </c>
      <c r="B159" s="133">
        <v>0.47</v>
      </c>
      <c r="C159" s="134">
        <f t="shared" si="40"/>
        <v>0.47</v>
      </c>
      <c r="D159" s="134">
        <f t="shared" si="40"/>
        <v>0.47</v>
      </c>
      <c r="E159" s="134">
        <f t="shared" si="40"/>
        <v>0.47</v>
      </c>
      <c r="F159" s="134">
        <f t="shared" si="40"/>
        <v>0.47</v>
      </c>
      <c r="G159" s="134">
        <f t="shared" si="40"/>
        <v>0.47</v>
      </c>
      <c r="H159" s="134">
        <f t="shared" si="40"/>
        <v>0.47</v>
      </c>
      <c r="I159" s="134">
        <f t="shared" si="40"/>
        <v>0.47</v>
      </c>
      <c r="J159" s="134">
        <f t="shared" si="40"/>
        <v>0.47</v>
      </c>
      <c r="K159" s="134">
        <f t="shared" si="40"/>
        <v>0.47</v>
      </c>
      <c r="L159" s="134">
        <f t="shared" si="40"/>
        <v>0.47</v>
      </c>
      <c r="M159" s="134">
        <f t="shared" si="40"/>
        <v>0.47</v>
      </c>
      <c r="N159" s="134">
        <f t="shared" si="40"/>
        <v>0.47</v>
      </c>
      <c r="O159" s="134">
        <f t="shared" si="40"/>
        <v>0.47</v>
      </c>
      <c r="P159" s="134">
        <f t="shared" si="40"/>
        <v>0.47</v>
      </c>
      <c r="Q159" s="134">
        <f t="shared" si="40"/>
        <v>0.47</v>
      </c>
      <c r="R159" s="134">
        <f t="shared" si="40"/>
        <v>0.47</v>
      </c>
      <c r="S159" s="134">
        <f t="shared" si="41"/>
        <v>0.47</v>
      </c>
      <c r="T159" s="134">
        <f t="shared" si="41"/>
        <v>0.47</v>
      </c>
      <c r="U159" s="134">
        <f t="shared" si="41"/>
        <v>0.47</v>
      </c>
      <c r="V159" s="134">
        <f t="shared" si="41"/>
        <v>0.47</v>
      </c>
      <c r="W159" s="134">
        <f t="shared" si="41"/>
        <v>0.47</v>
      </c>
      <c r="X159" s="134">
        <f t="shared" si="41"/>
        <v>0.47</v>
      </c>
      <c r="Y159" s="134">
        <f t="shared" si="41"/>
        <v>0.47</v>
      </c>
      <c r="Z159" s="134">
        <f t="shared" si="41"/>
        <v>0.47</v>
      </c>
      <c r="AA159" s="134">
        <f t="shared" si="41"/>
        <v>0.47</v>
      </c>
      <c r="AB159" s="134">
        <f t="shared" si="41"/>
        <v>0.47</v>
      </c>
      <c r="AC159" s="134">
        <f t="shared" si="41"/>
        <v>0.47</v>
      </c>
      <c r="AD159" s="134">
        <f t="shared" si="41"/>
        <v>0.47</v>
      </c>
      <c r="AE159" s="134">
        <f t="shared" si="41"/>
        <v>0.47</v>
      </c>
      <c r="AF159" s="134">
        <f t="shared" si="41"/>
        <v>0.47</v>
      </c>
      <c r="AG159" s="136">
        <v>3</v>
      </c>
      <c r="AH159" s="55"/>
      <c r="AI159" s="56"/>
      <c r="AK159" s="57"/>
    </row>
    <row r="160" spans="1:37" x14ac:dyDescent="0.25">
      <c r="A160" s="121" t="s">
        <v>164</v>
      </c>
      <c r="B160" s="133">
        <v>0</v>
      </c>
      <c r="C160" s="134">
        <f t="shared" si="40"/>
        <v>0</v>
      </c>
      <c r="D160" s="134">
        <f t="shared" si="40"/>
        <v>0</v>
      </c>
      <c r="E160" s="134">
        <f t="shared" si="40"/>
        <v>0</v>
      </c>
      <c r="F160" s="134">
        <f t="shared" si="40"/>
        <v>0</v>
      </c>
      <c r="G160" s="134">
        <f t="shared" si="40"/>
        <v>0</v>
      </c>
      <c r="H160" s="134">
        <f t="shared" si="40"/>
        <v>0</v>
      </c>
      <c r="I160" s="134">
        <f t="shared" si="40"/>
        <v>0</v>
      </c>
      <c r="J160" s="134">
        <f t="shared" si="40"/>
        <v>0</v>
      </c>
      <c r="K160" s="134">
        <f t="shared" si="40"/>
        <v>0</v>
      </c>
      <c r="L160" s="134">
        <f t="shared" si="40"/>
        <v>0</v>
      </c>
      <c r="M160" s="134">
        <f t="shared" si="40"/>
        <v>0</v>
      </c>
      <c r="N160" s="134">
        <f t="shared" si="40"/>
        <v>0</v>
      </c>
      <c r="O160" s="134">
        <f t="shared" si="40"/>
        <v>0</v>
      </c>
      <c r="P160" s="134">
        <f t="shared" si="40"/>
        <v>0</v>
      </c>
      <c r="Q160" s="134">
        <f t="shared" si="40"/>
        <v>0</v>
      </c>
      <c r="R160" s="134">
        <f t="shared" si="40"/>
        <v>0</v>
      </c>
      <c r="S160" s="134">
        <f t="shared" si="41"/>
        <v>0</v>
      </c>
      <c r="T160" s="134">
        <f t="shared" si="41"/>
        <v>0</v>
      </c>
      <c r="U160" s="134">
        <f t="shared" si="41"/>
        <v>0</v>
      </c>
      <c r="V160" s="134">
        <f t="shared" si="41"/>
        <v>0</v>
      </c>
      <c r="W160" s="134">
        <f t="shared" si="41"/>
        <v>0</v>
      </c>
      <c r="X160" s="134">
        <f t="shared" si="41"/>
        <v>0</v>
      </c>
      <c r="Y160" s="134">
        <f t="shared" si="41"/>
        <v>0</v>
      </c>
      <c r="Z160" s="134">
        <f t="shared" si="41"/>
        <v>0</v>
      </c>
      <c r="AA160" s="134">
        <f t="shared" si="41"/>
        <v>0</v>
      </c>
      <c r="AB160" s="134">
        <f t="shared" si="41"/>
        <v>0</v>
      </c>
      <c r="AC160" s="134">
        <f t="shared" si="41"/>
        <v>0</v>
      </c>
      <c r="AD160" s="134">
        <f t="shared" si="41"/>
        <v>0</v>
      </c>
      <c r="AE160" s="134">
        <f t="shared" si="41"/>
        <v>0</v>
      </c>
      <c r="AF160" s="134">
        <f t="shared" si="41"/>
        <v>0</v>
      </c>
      <c r="AG160" s="136">
        <v>3</v>
      </c>
      <c r="AH160" s="55"/>
      <c r="AI160" s="56"/>
      <c r="AK160" s="57"/>
    </row>
    <row r="161" spans="1:37" x14ac:dyDescent="0.25">
      <c r="A161" s="121" t="s">
        <v>165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1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166</v>
      </c>
      <c r="B162" s="133">
        <v>0.8</v>
      </c>
      <c r="C162" s="134">
        <f t="shared" si="40"/>
        <v>0.8</v>
      </c>
      <c r="D162" s="134">
        <f t="shared" si="40"/>
        <v>0.8</v>
      </c>
      <c r="E162" s="134">
        <f t="shared" si="40"/>
        <v>0.8</v>
      </c>
      <c r="F162" s="134">
        <f t="shared" si="40"/>
        <v>0.8</v>
      </c>
      <c r="G162" s="134">
        <f t="shared" si="40"/>
        <v>0.8</v>
      </c>
      <c r="H162" s="134">
        <f t="shared" si="40"/>
        <v>0.8</v>
      </c>
      <c r="I162" s="134">
        <f t="shared" si="40"/>
        <v>0.8</v>
      </c>
      <c r="J162" s="134">
        <f t="shared" si="40"/>
        <v>0.8</v>
      </c>
      <c r="K162" s="134">
        <f t="shared" si="40"/>
        <v>0.8</v>
      </c>
      <c r="L162" s="134">
        <f t="shared" si="40"/>
        <v>0.8</v>
      </c>
      <c r="M162" s="134">
        <f t="shared" si="40"/>
        <v>0.8</v>
      </c>
      <c r="N162" s="134">
        <f t="shared" si="40"/>
        <v>0.8</v>
      </c>
      <c r="O162" s="134">
        <f t="shared" si="40"/>
        <v>0.8</v>
      </c>
      <c r="P162" s="134">
        <f t="shared" si="40"/>
        <v>0.8</v>
      </c>
      <c r="Q162" s="134">
        <f t="shared" si="40"/>
        <v>0.8</v>
      </c>
      <c r="R162" s="134">
        <f t="shared" si="41"/>
        <v>0.8</v>
      </c>
      <c r="S162" s="134">
        <f t="shared" si="41"/>
        <v>0.8</v>
      </c>
      <c r="T162" s="134">
        <f t="shared" si="41"/>
        <v>0.8</v>
      </c>
      <c r="U162" s="134">
        <f t="shared" si="41"/>
        <v>0.8</v>
      </c>
      <c r="V162" s="134">
        <f t="shared" si="41"/>
        <v>0.8</v>
      </c>
      <c r="W162" s="134">
        <f t="shared" si="41"/>
        <v>0.8</v>
      </c>
      <c r="X162" s="134">
        <f t="shared" si="41"/>
        <v>0.8</v>
      </c>
      <c r="Y162" s="134">
        <f t="shared" si="41"/>
        <v>0.8</v>
      </c>
      <c r="Z162" s="134">
        <f t="shared" si="41"/>
        <v>0.8</v>
      </c>
      <c r="AA162" s="134">
        <f t="shared" si="41"/>
        <v>0.8</v>
      </c>
      <c r="AB162" s="134">
        <f t="shared" si="41"/>
        <v>0.8</v>
      </c>
      <c r="AC162" s="134">
        <f t="shared" si="41"/>
        <v>0.8</v>
      </c>
      <c r="AD162" s="134">
        <f t="shared" si="41"/>
        <v>0.8</v>
      </c>
      <c r="AE162" s="134">
        <f t="shared" si="41"/>
        <v>0.8</v>
      </c>
      <c r="AF162" s="134">
        <f t="shared" si="41"/>
        <v>0.8</v>
      </c>
      <c r="AG162" s="136">
        <v>3</v>
      </c>
      <c r="AH162" s="55"/>
      <c r="AI162" s="56"/>
      <c r="AK162" s="57"/>
    </row>
    <row r="163" spans="1:37" x14ac:dyDescent="0.25">
      <c r="A163" s="121" t="s">
        <v>167</v>
      </c>
      <c r="B163" s="133">
        <v>1.5</v>
      </c>
      <c r="C163" s="134">
        <f t="shared" si="40"/>
        <v>1.5</v>
      </c>
      <c r="D163" s="134">
        <f t="shared" si="40"/>
        <v>1.5</v>
      </c>
      <c r="E163" s="134">
        <f t="shared" si="40"/>
        <v>1.5</v>
      </c>
      <c r="F163" s="134">
        <f t="shared" si="40"/>
        <v>1.5</v>
      </c>
      <c r="G163" s="134">
        <f t="shared" si="40"/>
        <v>1.5</v>
      </c>
      <c r="H163" s="134">
        <f t="shared" si="40"/>
        <v>1.5</v>
      </c>
      <c r="I163" s="134">
        <f t="shared" si="40"/>
        <v>1.5</v>
      </c>
      <c r="J163" s="134">
        <f t="shared" si="40"/>
        <v>1.5</v>
      </c>
      <c r="K163" s="134">
        <f t="shared" si="40"/>
        <v>1.5</v>
      </c>
      <c r="L163" s="134">
        <f t="shared" si="40"/>
        <v>1.5</v>
      </c>
      <c r="M163" s="134">
        <f t="shared" si="40"/>
        <v>1.5</v>
      </c>
      <c r="N163" s="134">
        <f t="shared" si="40"/>
        <v>1.5</v>
      </c>
      <c r="O163" s="134">
        <f t="shared" si="40"/>
        <v>1.5</v>
      </c>
      <c r="P163" s="134">
        <f t="shared" si="40"/>
        <v>1.5</v>
      </c>
      <c r="Q163" s="134">
        <f t="shared" si="40"/>
        <v>1.5</v>
      </c>
      <c r="R163" s="134">
        <f t="shared" si="41"/>
        <v>1.5</v>
      </c>
      <c r="S163" s="134">
        <f t="shared" si="41"/>
        <v>1.5</v>
      </c>
      <c r="T163" s="134">
        <f t="shared" si="41"/>
        <v>1.5</v>
      </c>
      <c r="U163" s="134">
        <f t="shared" si="41"/>
        <v>1.5</v>
      </c>
      <c r="V163" s="134">
        <f t="shared" si="41"/>
        <v>1.5</v>
      </c>
      <c r="W163" s="134">
        <f t="shared" si="41"/>
        <v>1.5</v>
      </c>
      <c r="X163" s="134">
        <f t="shared" si="41"/>
        <v>1.5</v>
      </c>
      <c r="Y163" s="134">
        <f t="shared" si="41"/>
        <v>1.5</v>
      </c>
      <c r="Z163" s="134">
        <f t="shared" si="41"/>
        <v>1.5</v>
      </c>
      <c r="AA163" s="134">
        <f t="shared" si="41"/>
        <v>1.5</v>
      </c>
      <c r="AB163" s="134">
        <f t="shared" si="41"/>
        <v>1.5</v>
      </c>
      <c r="AC163" s="134">
        <f t="shared" si="41"/>
        <v>1.5</v>
      </c>
      <c r="AD163" s="134">
        <f t="shared" si="41"/>
        <v>1.5</v>
      </c>
      <c r="AE163" s="134">
        <f t="shared" si="41"/>
        <v>1.5</v>
      </c>
      <c r="AF163" s="134">
        <f t="shared" si="41"/>
        <v>1.5</v>
      </c>
      <c r="AG163" s="136">
        <v>3</v>
      </c>
      <c r="AH163" s="55"/>
      <c r="AI163" s="56"/>
      <c r="AK163" s="57"/>
    </row>
    <row r="164" spans="1:37" x14ac:dyDescent="0.25">
      <c r="A164" s="121" t="s">
        <v>168</v>
      </c>
      <c r="B164" s="133">
        <v>1</v>
      </c>
      <c r="C164" s="134">
        <f t="shared" si="40"/>
        <v>1</v>
      </c>
      <c r="D164" s="134">
        <f t="shared" si="40"/>
        <v>1</v>
      </c>
      <c r="E164" s="134">
        <f t="shared" si="40"/>
        <v>1</v>
      </c>
      <c r="F164" s="134">
        <f t="shared" si="40"/>
        <v>1</v>
      </c>
      <c r="G164" s="134">
        <f t="shared" si="40"/>
        <v>1</v>
      </c>
      <c r="H164" s="134">
        <f t="shared" si="40"/>
        <v>1</v>
      </c>
      <c r="I164" s="134">
        <f t="shared" si="40"/>
        <v>1</v>
      </c>
      <c r="J164" s="134">
        <f t="shared" si="40"/>
        <v>1</v>
      </c>
      <c r="K164" s="134">
        <f t="shared" si="40"/>
        <v>1</v>
      </c>
      <c r="L164" s="134">
        <f t="shared" si="40"/>
        <v>1</v>
      </c>
      <c r="M164" s="134">
        <f t="shared" si="40"/>
        <v>1</v>
      </c>
      <c r="N164" s="134">
        <f t="shared" si="40"/>
        <v>1</v>
      </c>
      <c r="O164" s="134">
        <f t="shared" si="40"/>
        <v>1</v>
      </c>
      <c r="P164" s="134">
        <f t="shared" si="40"/>
        <v>1</v>
      </c>
      <c r="Q164" s="134">
        <f t="shared" si="40"/>
        <v>1</v>
      </c>
      <c r="R164" s="134">
        <f t="shared" si="41"/>
        <v>1</v>
      </c>
      <c r="S164" s="134">
        <f t="shared" si="41"/>
        <v>1</v>
      </c>
      <c r="T164" s="134">
        <f t="shared" si="41"/>
        <v>1</v>
      </c>
      <c r="U164" s="134">
        <f t="shared" si="41"/>
        <v>1</v>
      </c>
      <c r="V164" s="134">
        <f t="shared" si="41"/>
        <v>1</v>
      </c>
      <c r="W164" s="134">
        <f t="shared" si="41"/>
        <v>1</v>
      </c>
      <c r="X164" s="134">
        <f t="shared" si="41"/>
        <v>1</v>
      </c>
      <c r="Y164" s="134">
        <f t="shared" si="41"/>
        <v>1</v>
      </c>
      <c r="Z164" s="134">
        <f t="shared" si="41"/>
        <v>1</v>
      </c>
      <c r="AA164" s="134">
        <f t="shared" si="41"/>
        <v>1</v>
      </c>
      <c r="AB164" s="134">
        <f t="shared" si="41"/>
        <v>1</v>
      </c>
      <c r="AC164" s="134">
        <f t="shared" si="41"/>
        <v>1</v>
      </c>
      <c r="AD164" s="134">
        <f t="shared" si="41"/>
        <v>1</v>
      </c>
      <c r="AE164" s="134">
        <f t="shared" si="41"/>
        <v>1</v>
      </c>
      <c r="AF164" s="134">
        <f t="shared" si="41"/>
        <v>1</v>
      </c>
      <c r="AG164" s="136">
        <v>3</v>
      </c>
      <c r="AH164" s="55"/>
      <c r="AI164" s="56"/>
      <c r="AK164" s="57"/>
    </row>
    <row r="165" spans="1:37" x14ac:dyDescent="0.25">
      <c r="A165" s="121" t="s">
        <v>169</v>
      </c>
      <c r="B165" s="133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6">
        <v>2.83</v>
      </c>
      <c r="AH165" s="55"/>
      <c r="AI165" s="56"/>
      <c r="AK165" s="57"/>
    </row>
    <row r="166" spans="1:37" x14ac:dyDescent="0.25">
      <c r="A166" s="121" t="s">
        <v>170</v>
      </c>
      <c r="B166" s="133">
        <v>1</v>
      </c>
      <c r="C166" s="134">
        <f t="shared" ref="C166:R173" si="42">B166</f>
        <v>1</v>
      </c>
      <c r="D166" s="134">
        <f t="shared" si="42"/>
        <v>1</v>
      </c>
      <c r="E166" s="134">
        <f t="shared" si="42"/>
        <v>1</v>
      </c>
      <c r="F166" s="134">
        <f t="shared" si="42"/>
        <v>1</v>
      </c>
      <c r="G166" s="134">
        <f t="shared" si="42"/>
        <v>1</v>
      </c>
      <c r="H166" s="134">
        <f t="shared" si="42"/>
        <v>1</v>
      </c>
      <c r="I166" s="134">
        <f t="shared" si="42"/>
        <v>1</v>
      </c>
      <c r="J166" s="134">
        <f t="shared" si="42"/>
        <v>1</v>
      </c>
      <c r="K166" s="134">
        <f t="shared" si="42"/>
        <v>1</v>
      </c>
      <c r="L166" s="134">
        <f t="shared" si="42"/>
        <v>1</v>
      </c>
      <c r="M166" s="134">
        <f t="shared" si="42"/>
        <v>1</v>
      </c>
      <c r="N166" s="134">
        <f t="shared" si="42"/>
        <v>1</v>
      </c>
      <c r="O166" s="134">
        <f t="shared" si="42"/>
        <v>1</v>
      </c>
      <c r="P166" s="134">
        <f t="shared" si="42"/>
        <v>1</v>
      </c>
      <c r="Q166" s="134">
        <f t="shared" si="42"/>
        <v>1</v>
      </c>
      <c r="R166" s="134">
        <f t="shared" si="42"/>
        <v>1</v>
      </c>
      <c r="S166" s="134">
        <f t="shared" ref="R166:AF173" si="43">R166</f>
        <v>1</v>
      </c>
      <c r="T166" s="134">
        <f t="shared" si="43"/>
        <v>1</v>
      </c>
      <c r="U166" s="134">
        <f t="shared" si="43"/>
        <v>1</v>
      </c>
      <c r="V166" s="134">
        <f t="shared" si="43"/>
        <v>1</v>
      </c>
      <c r="W166" s="134">
        <f t="shared" si="43"/>
        <v>1</v>
      </c>
      <c r="X166" s="134">
        <f t="shared" si="43"/>
        <v>1</v>
      </c>
      <c r="Y166" s="134">
        <f t="shared" si="43"/>
        <v>1</v>
      </c>
      <c r="Z166" s="134">
        <f t="shared" si="43"/>
        <v>1</v>
      </c>
      <c r="AA166" s="134">
        <f t="shared" si="43"/>
        <v>1</v>
      </c>
      <c r="AB166" s="134">
        <f t="shared" si="43"/>
        <v>1</v>
      </c>
      <c r="AC166" s="134">
        <f t="shared" si="43"/>
        <v>1</v>
      </c>
      <c r="AD166" s="134">
        <f t="shared" si="43"/>
        <v>1</v>
      </c>
      <c r="AE166" s="134">
        <f t="shared" si="43"/>
        <v>1</v>
      </c>
      <c r="AF166" s="134">
        <f t="shared" si="43"/>
        <v>1</v>
      </c>
      <c r="AG166" s="136">
        <v>2.5</v>
      </c>
      <c r="AH166" s="55"/>
      <c r="AI166" s="56"/>
      <c r="AK166" s="57"/>
    </row>
    <row r="167" spans="1:37" x14ac:dyDescent="0.25">
      <c r="A167" s="121" t="s">
        <v>171</v>
      </c>
      <c r="B167" s="133">
        <v>0.42</v>
      </c>
      <c r="C167" s="134">
        <f t="shared" si="42"/>
        <v>0.42</v>
      </c>
      <c r="D167" s="134">
        <f t="shared" si="42"/>
        <v>0.42</v>
      </c>
      <c r="E167" s="134">
        <f t="shared" si="42"/>
        <v>0.42</v>
      </c>
      <c r="F167" s="134">
        <f t="shared" si="42"/>
        <v>0.42</v>
      </c>
      <c r="G167" s="134">
        <f t="shared" si="42"/>
        <v>0.42</v>
      </c>
      <c r="H167" s="134">
        <f t="shared" si="42"/>
        <v>0.42</v>
      </c>
      <c r="I167" s="134">
        <f t="shared" si="42"/>
        <v>0.42</v>
      </c>
      <c r="J167" s="134">
        <f t="shared" si="42"/>
        <v>0.42</v>
      </c>
      <c r="K167" s="134">
        <f t="shared" si="42"/>
        <v>0.42</v>
      </c>
      <c r="L167" s="134">
        <f t="shared" si="42"/>
        <v>0.42</v>
      </c>
      <c r="M167" s="134">
        <f t="shared" si="42"/>
        <v>0.42</v>
      </c>
      <c r="N167" s="134">
        <f t="shared" si="42"/>
        <v>0.42</v>
      </c>
      <c r="O167" s="134">
        <f t="shared" si="42"/>
        <v>0.42</v>
      </c>
      <c r="P167" s="134">
        <f t="shared" si="42"/>
        <v>0.42</v>
      </c>
      <c r="Q167" s="134">
        <f t="shared" si="42"/>
        <v>0.42</v>
      </c>
      <c r="R167" s="134">
        <f t="shared" si="43"/>
        <v>0.42</v>
      </c>
      <c r="S167" s="134">
        <f t="shared" si="43"/>
        <v>0.42</v>
      </c>
      <c r="T167" s="134">
        <f t="shared" si="43"/>
        <v>0.42</v>
      </c>
      <c r="U167" s="134">
        <f t="shared" si="43"/>
        <v>0.42</v>
      </c>
      <c r="V167" s="134">
        <f t="shared" si="43"/>
        <v>0.42</v>
      </c>
      <c r="W167" s="134">
        <f t="shared" si="43"/>
        <v>0.42</v>
      </c>
      <c r="X167" s="134">
        <f t="shared" si="43"/>
        <v>0.42</v>
      </c>
      <c r="Y167" s="134">
        <f t="shared" si="43"/>
        <v>0.42</v>
      </c>
      <c r="Z167" s="134">
        <f t="shared" si="43"/>
        <v>0.42</v>
      </c>
      <c r="AA167" s="134">
        <f t="shared" si="43"/>
        <v>0.42</v>
      </c>
      <c r="AB167" s="134">
        <f t="shared" si="43"/>
        <v>0.42</v>
      </c>
      <c r="AC167" s="134">
        <f t="shared" si="43"/>
        <v>0.42</v>
      </c>
      <c r="AD167" s="134">
        <f t="shared" si="43"/>
        <v>0.42</v>
      </c>
      <c r="AE167" s="134">
        <f t="shared" si="43"/>
        <v>0.42</v>
      </c>
      <c r="AF167" s="134">
        <f t="shared" si="43"/>
        <v>0.42</v>
      </c>
      <c r="AG167" s="136">
        <v>2.5</v>
      </c>
      <c r="AH167" s="55"/>
      <c r="AI167" s="56"/>
      <c r="AK167" s="57"/>
    </row>
    <row r="168" spans="1:37" x14ac:dyDescent="0.25">
      <c r="A168" s="121" t="s">
        <v>172</v>
      </c>
      <c r="B168" s="133">
        <v>0.46</v>
      </c>
      <c r="C168" s="134">
        <f t="shared" si="42"/>
        <v>0.46</v>
      </c>
      <c r="D168" s="134">
        <f t="shared" si="42"/>
        <v>0.46</v>
      </c>
      <c r="E168" s="134">
        <f t="shared" si="42"/>
        <v>0.46</v>
      </c>
      <c r="F168" s="134">
        <f t="shared" si="42"/>
        <v>0.46</v>
      </c>
      <c r="G168" s="134">
        <f t="shared" si="42"/>
        <v>0.46</v>
      </c>
      <c r="H168" s="134">
        <f t="shared" si="42"/>
        <v>0.46</v>
      </c>
      <c r="I168" s="134">
        <f t="shared" si="42"/>
        <v>0.46</v>
      </c>
      <c r="J168" s="134">
        <f t="shared" si="42"/>
        <v>0.46</v>
      </c>
      <c r="K168" s="134">
        <f t="shared" si="42"/>
        <v>0.46</v>
      </c>
      <c r="L168" s="134">
        <f t="shared" si="42"/>
        <v>0.46</v>
      </c>
      <c r="M168" s="134">
        <f t="shared" si="42"/>
        <v>0.46</v>
      </c>
      <c r="N168" s="134">
        <f t="shared" si="42"/>
        <v>0.46</v>
      </c>
      <c r="O168" s="134">
        <f t="shared" si="42"/>
        <v>0.46</v>
      </c>
      <c r="P168" s="134">
        <f t="shared" si="42"/>
        <v>0.46</v>
      </c>
      <c r="Q168" s="134">
        <f t="shared" si="42"/>
        <v>0.46</v>
      </c>
      <c r="R168" s="134">
        <f t="shared" si="43"/>
        <v>0.46</v>
      </c>
      <c r="S168" s="134">
        <f t="shared" si="43"/>
        <v>0.46</v>
      </c>
      <c r="T168" s="134">
        <f t="shared" si="43"/>
        <v>0.46</v>
      </c>
      <c r="U168" s="134">
        <f t="shared" si="43"/>
        <v>0.46</v>
      </c>
      <c r="V168" s="134">
        <f t="shared" si="43"/>
        <v>0.46</v>
      </c>
      <c r="W168" s="134">
        <f t="shared" si="43"/>
        <v>0.46</v>
      </c>
      <c r="X168" s="134">
        <f t="shared" si="43"/>
        <v>0.46</v>
      </c>
      <c r="Y168" s="134">
        <f t="shared" si="43"/>
        <v>0.46</v>
      </c>
      <c r="Z168" s="134">
        <f t="shared" si="43"/>
        <v>0.46</v>
      </c>
      <c r="AA168" s="134">
        <f t="shared" si="43"/>
        <v>0.46</v>
      </c>
      <c r="AB168" s="134">
        <f t="shared" si="43"/>
        <v>0.46</v>
      </c>
      <c r="AC168" s="134">
        <f t="shared" si="43"/>
        <v>0.46</v>
      </c>
      <c r="AD168" s="134">
        <f t="shared" si="43"/>
        <v>0.46</v>
      </c>
      <c r="AE168" s="134">
        <f t="shared" si="43"/>
        <v>0.46</v>
      </c>
      <c r="AF168" s="134">
        <f t="shared" si="43"/>
        <v>0.46</v>
      </c>
      <c r="AG168" s="136">
        <v>2.4</v>
      </c>
      <c r="AH168" s="55"/>
      <c r="AI168" s="56"/>
      <c r="AK168" s="57"/>
    </row>
    <row r="169" spans="1:37" x14ac:dyDescent="0.25">
      <c r="A169" s="121" t="s">
        <v>173</v>
      </c>
      <c r="B169" s="133">
        <v>0.85</v>
      </c>
      <c r="C169" s="134">
        <f t="shared" si="42"/>
        <v>0.85</v>
      </c>
      <c r="D169" s="134">
        <f t="shared" si="42"/>
        <v>0.85</v>
      </c>
      <c r="E169" s="134">
        <f t="shared" si="42"/>
        <v>0.85</v>
      </c>
      <c r="F169" s="134">
        <f t="shared" si="42"/>
        <v>0.85</v>
      </c>
      <c r="G169" s="134">
        <f t="shared" si="42"/>
        <v>0.85</v>
      </c>
      <c r="H169" s="134">
        <f t="shared" si="42"/>
        <v>0.85</v>
      </c>
      <c r="I169" s="134">
        <f t="shared" si="42"/>
        <v>0.85</v>
      </c>
      <c r="J169" s="134">
        <f t="shared" si="42"/>
        <v>0.85</v>
      </c>
      <c r="K169" s="134">
        <f t="shared" si="42"/>
        <v>0.85</v>
      </c>
      <c r="L169" s="134">
        <f t="shared" si="42"/>
        <v>0.85</v>
      </c>
      <c r="M169" s="134">
        <f t="shared" si="42"/>
        <v>0.85</v>
      </c>
      <c r="N169" s="134">
        <f t="shared" si="42"/>
        <v>0.85</v>
      </c>
      <c r="O169" s="134">
        <f t="shared" si="42"/>
        <v>0.85</v>
      </c>
      <c r="P169" s="134">
        <f t="shared" si="42"/>
        <v>0.85</v>
      </c>
      <c r="Q169" s="134">
        <f t="shared" si="42"/>
        <v>0.85</v>
      </c>
      <c r="R169" s="134">
        <f t="shared" si="43"/>
        <v>0.85</v>
      </c>
      <c r="S169" s="134">
        <f t="shared" si="43"/>
        <v>0.85</v>
      </c>
      <c r="T169" s="134">
        <f t="shared" si="43"/>
        <v>0.85</v>
      </c>
      <c r="U169" s="134">
        <f t="shared" si="43"/>
        <v>0.85</v>
      </c>
      <c r="V169" s="134">
        <f t="shared" si="43"/>
        <v>0.85</v>
      </c>
      <c r="W169" s="134">
        <f t="shared" si="43"/>
        <v>0.85</v>
      </c>
      <c r="X169" s="134">
        <f t="shared" si="43"/>
        <v>0.85</v>
      </c>
      <c r="Y169" s="134">
        <f t="shared" si="43"/>
        <v>0.85</v>
      </c>
      <c r="Z169" s="134">
        <f t="shared" si="43"/>
        <v>0.85</v>
      </c>
      <c r="AA169" s="134">
        <f t="shared" si="43"/>
        <v>0.85</v>
      </c>
      <c r="AB169" s="134">
        <f t="shared" si="43"/>
        <v>0.85</v>
      </c>
      <c r="AC169" s="134">
        <f t="shared" si="43"/>
        <v>0.85</v>
      </c>
      <c r="AD169" s="134">
        <f t="shared" si="43"/>
        <v>0.85</v>
      </c>
      <c r="AE169" s="134">
        <f t="shared" si="43"/>
        <v>0.85</v>
      </c>
      <c r="AF169" s="134">
        <f t="shared" si="43"/>
        <v>0.85</v>
      </c>
      <c r="AG169" s="136">
        <v>2.4</v>
      </c>
      <c r="AH169" s="55"/>
      <c r="AI169" s="56"/>
      <c r="AK169" s="57"/>
    </row>
    <row r="170" spans="1:37" x14ac:dyDescent="0.25">
      <c r="A170" s="121" t="s">
        <v>174</v>
      </c>
      <c r="B170" s="133">
        <v>0.9</v>
      </c>
      <c r="C170" s="134">
        <f t="shared" si="42"/>
        <v>0.9</v>
      </c>
      <c r="D170" s="134">
        <f t="shared" si="42"/>
        <v>0.9</v>
      </c>
      <c r="E170" s="134">
        <f t="shared" si="42"/>
        <v>0.9</v>
      </c>
      <c r="F170" s="134">
        <f t="shared" si="42"/>
        <v>0.9</v>
      </c>
      <c r="G170" s="134">
        <f t="shared" si="42"/>
        <v>0.9</v>
      </c>
      <c r="H170" s="134">
        <f t="shared" si="42"/>
        <v>0.9</v>
      </c>
      <c r="I170" s="134">
        <f t="shared" si="42"/>
        <v>0.9</v>
      </c>
      <c r="J170" s="134">
        <f t="shared" si="42"/>
        <v>0.9</v>
      </c>
      <c r="K170" s="134">
        <f t="shared" si="42"/>
        <v>0.9</v>
      </c>
      <c r="L170" s="134">
        <f t="shared" si="42"/>
        <v>0.9</v>
      </c>
      <c r="M170" s="134">
        <f t="shared" si="42"/>
        <v>0.9</v>
      </c>
      <c r="N170" s="134">
        <f t="shared" si="42"/>
        <v>0.9</v>
      </c>
      <c r="O170" s="134">
        <f t="shared" si="42"/>
        <v>0.9</v>
      </c>
      <c r="P170" s="134">
        <f t="shared" si="42"/>
        <v>0.9</v>
      </c>
      <c r="Q170" s="134">
        <f t="shared" si="42"/>
        <v>0.9</v>
      </c>
      <c r="R170" s="134">
        <f t="shared" si="43"/>
        <v>0.9</v>
      </c>
      <c r="S170" s="134">
        <f t="shared" si="43"/>
        <v>0.9</v>
      </c>
      <c r="T170" s="134">
        <f t="shared" si="43"/>
        <v>0.9</v>
      </c>
      <c r="U170" s="134">
        <f t="shared" si="43"/>
        <v>0.9</v>
      </c>
      <c r="V170" s="134">
        <f t="shared" si="43"/>
        <v>0.9</v>
      </c>
      <c r="W170" s="134">
        <f t="shared" si="43"/>
        <v>0.9</v>
      </c>
      <c r="X170" s="134">
        <f t="shared" si="43"/>
        <v>0.9</v>
      </c>
      <c r="Y170" s="134">
        <f t="shared" si="43"/>
        <v>0.9</v>
      </c>
      <c r="Z170" s="134">
        <f t="shared" si="43"/>
        <v>0.9</v>
      </c>
      <c r="AA170" s="134">
        <f t="shared" si="43"/>
        <v>0.9</v>
      </c>
      <c r="AB170" s="134">
        <f t="shared" si="43"/>
        <v>0.9</v>
      </c>
      <c r="AC170" s="134">
        <f t="shared" si="43"/>
        <v>0.9</v>
      </c>
      <c r="AD170" s="134">
        <f t="shared" si="43"/>
        <v>0.9</v>
      </c>
      <c r="AE170" s="134">
        <f t="shared" si="43"/>
        <v>0.9</v>
      </c>
      <c r="AF170" s="134">
        <f t="shared" si="43"/>
        <v>0.9</v>
      </c>
      <c r="AG170" s="136">
        <v>2.2000000000000002</v>
      </c>
      <c r="AH170" s="55"/>
      <c r="AI170" s="56"/>
      <c r="AK170" s="57"/>
    </row>
    <row r="171" spans="1:37" x14ac:dyDescent="0.25">
      <c r="A171" s="121" t="s">
        <v>175</v>
      </c>
      <c r="B171" s="133">
        <v>0.44</v>
      </c>
      <c r="C171" s="134">
        <f t="shared" si="42"/>
        <v>0.44</v>
      </c>
      <c r="D171" s="134">
        <f t="shared" si="42"/>
        <v>0.44</v>
      </c>
      <c r="E171" s="134">
        <f t="shared" si="42"/>
        <v>0.44</v>
      </c>
      <c r="F171" s="134">
        <f t="shared" si="42"/>
        <v>0.44</v>
      </c>
      <c r="G171" s="134">
        <f t="shared" si="42"/>
        <v>0.44</v>
      </c>
      <c r="H171" s="134">
        <f t="shared" si="42"/>
        <v>0.44</v>
      </c>
      <c r="I171" s="134">
        <f t="shared" si="42"/>
        <v>0.44</v>
      </c>
      <c r="J171" s="134">
        <f t="shared" si="42"/>
        <v>0.44</v>
      </c>
      <c r="K171" s="134">
        <f t="shared" si="42"/>
        <v>0.44</v>
      </c>
      <c r="L171" s="134">
        <f t="shared" si="42"/>
        <v>0.44</v>
      </c>
      <c r="M171" s="134">
        <f t="shared" si="42"/>
        <v>0.44</v>
      </c>
      <c r="N171" s="134">
        <f t="shared" si="42"/>
        <v>0.44</v>
      </c>
      <c r="O171" s="134">
        <f t="shared" si="42"/>
        <v>0.44</v>
      </c>
      <c r="P171" s="134">
        <f t="shared" si="42"/>
        <v>0.44</v>
      </c>
      <c r="Q171" s="134">
        <f t="shared" si="42"/>
        <v>0.44</v>
      </c>
      <c r="R171" s="134">
        <f t="shared" si="43"/>
        <v>0.44</v>
      </c>
      <c r="S171" s="134">
        <f t="shared" si="43"/>
        <v>0.44</v>
      </c>
      <c r="T171" s="134">
        <f t="shared" si="43"/>
        <v>0.44</v>
      </c>
      <c r="U171" s="134">
        <f t="shared" si="43"/>
        <v>0.44</v>
      </c>
      <c r="V171" s="134">
        <f t="shared" si="43"/>
        <v>0.44</v>
      </c>
      <c r="W171" s="134">
        <f t="shared" si="43"/>
        <v>0.44</v>
      </c>
      <c r="X171" s="134">
        <f t="shared" si="43"/>
        <v>0.44</v>
      </c>
      <c r="Y171" s="134">
        <f t="shared" si="43"/>
        <v>0.44</v>
      </c>
      <c r="Z171" s="134">
        <f t="shared" si="43"/>
        <v>0.44</v>
      </c>
      <c r="AA171" s="134">
        <f t="shared" si="43"/>
        <v>0.44</v>
      </c>
      <c r="AB171" s="134">
        <f t="shared" si="43"/>
        <v>0.44</v>
      </c>
      <c r="AC171" s="134">
        <f t="shared" si="43"/>
        <v>0.44</v>
      </c>
      <c r="AD171" s="134">
        <f t="shared" si="43"/>
        <v>0.44</v>
      </c>
      <c r="AE171" s="134">
        <f t="shared" si="43"/>
        <v>0.44</v>
      </c>
      <c r="AF171" s="134">
        <f t="shared" si="43"/>
        <v>0.44</v>
      </c>
      <c r="AG171" s="136">
        <v>2</v>
      </c>
      <c r="AH171" s="55"/>
      <c r="AI171" s="56"/>
      <c r="AK171" s="57"/>
    </row>
    <row r="172" spans="1:37" x14ac:dyDescent="0.25">
      <c r="A172" s="121" t="s">
        <v>176</v>
      </c>
      <c r="B172" s="133">
        <v>2.1</v>
      </c>
      <c r="C172" s="134">
        <f t="shared" si="42"/>
        <v>2.1</v>
      </c>
      <c r="D172" s="134">
        <f t="shared" si="42"/>
        <v>2.1</v>
      </c>
      <c r="E172" s="134">
        <f t="shared" si="42"/>
        <v>2.1</v>
      </c>
      <c r="F172" s="134">
        <f t="shared" si="42"/>
        <v>2.1</v>
      </c>
      <c r="G172" s="134">
        <f t="shared" si="42"/>
        <v>2.1</v>
      </c>
      <c r="H172" s="134">
        <f t="shared" si="42"/>
        <v>2.1</v>
      </c>
      <c r="I172" s="134">
        <f t="shared" si="42"/>
        <v>2.1</v>
      </c>
      <c r="J172" s="134">
        <f t="shared" si="42"/>
        <v>2.1</v>
      </c>
      <c r="K172" s="134">
        <f t="shared" si="42"/>
        <v>2.1</v>
      </c>
      <c r="L172" s="134">
        <f t="shared" si="42"/>
        <v>2.1</v>
      </c>
      <c r="M172" s="134">
        <f t="shared" si="42"/>
        <v>2.1</v>
      </c>
      <c r="N172" s="134">
        <f t="shared" si="42"/>
        <v>2.1</v>
      </c>
      <c r="O172" s="134">
        <f t="shared" si="42"/>
        <v>2.1</v>
      </c>
      <c r="P172" s="134">
        <f t="shared" si="42"/>
        <v>2.1</v>
      </c>
      <c r="Q172" s="134">
        <f t="shared" si="42"/>
        <v>2.1</v>
      </c>
      <c r="R172" s="134">
        <f t="shared" si="43"/>
        <v>2.1</v>
      </c>
      <c r="S172" s="134">
        <f t="shared" si="43"/>
        <v>2.1</v>
      </c>
      <c r="T172" s="134">
        <f t="shared" si="43"/>
        <v>2.1</v>
      </c>
      <c r="U172" s="134">
        <f t="shared" si="43"/>
        <v>2.1</v>
      </c>
      <c r="V172" s="134">
        <f t="shared" si="43"/>
        <v>2.1</v>
      </c>
      <c r="W172" s="134">
        <f t="shared" si="43"/>
        <v>2.1</v>
      </c>
      <c r="X172" s="134">
        <f t="shared" si="43"/>
        <v>2.1</v>
      </c>
      <c r="Y172" s="134">
        <f t="shared" si="43"/>
        <v>2.1</v>
      </c>
      <c r="Z172" s="134">
        <f t="shared" si="43"/>
        <v>2.1</v>
      </c>
      <c r="AA172" s="134">
        <f t="shared" si="43"/>
        <v>2.1</v>
      </c>
      <c r="AB172" s="134">
        <f t="shared" si="43"/>
        <v>2.1</v>
      </c>
      <c r="AC172" s="134">
        <f t="shared" si="43"/>
        <v>2.1</v>
      </c>
      <c r="AD172" s="134">
        <f t="shared" si="43"/>
        <v>2.1</v>
      </c>
      <c r="AE172" s="134">
        <f t="shared" si="43"/>
        <v>2.1</v>
      </c>
      <c r="AF172" s="134">
        <f t="shared" si="43"/>
        <v>2.1</v>
      </c>
      <c r="AG172" s="136">
        <v>2</v>
      </c>
      <c r="AH172" s="55"/>
      <c r="AI172" s="56"/>
      <c r="AK172" s="57"/>
    </row>
    <row r="173" spans="1:37" x14ac:dyDescent="0.25">
      <c r="A173" s="121" t="s">
        <v>177</v>
      </c>
      <c r="B173" s="133">
        <v>0.9</v>
      </c>
      <c r="C173" s="134">
        <f t="shared" si="42"/>
        <v>0.9</v>
      </c>
      <c r="D173" s="134">
        <f t="shared" si="42"/>
        <v>0.9</v>
      </c>
      <c r="E173" s="134">
        <f t="shared" si="42"/>
        <v>0.9</v>
      </c>
      <c r="F173" s="134">
        <f t="shared" si="42"/>
        <v>0.9</v>
      </c>
      <c r="G173" s="134">
        <f t="shared" si="42"/>
        <v>0.9</v>
      </c>
      <c r="H173" s="134">
        <f t="shared" si="42"/>
        <v>0.9</v>
      </c>
      <c r="I173" s="134">
        <f t="shared" si="42"/>
        <v>0.9</v>
      </c>
      <c r="J173" s="134">
        <f t="shared" si="42"/>
        <v>0.9</v>
      </c>
      <c r="K173" s="134">
        <f t="shared" si="42"/>
        <v>0.9</v>
      </c>
      <c r="L173" s="134">
        <f t="shared" si="42"/>
        <v>0.9</v>
      </c>
      <c r="M173" s="134">
        <f t="shared" si="42"/>
        <v>0.9</v>
      </c>
      <c r="N173" s="134">
        <f t="shared" si="42"/>
        <v>0.9</v>
      </c>
      <c r="O173" s="134">
        <f t="shared" si="42"/>
        <v>0.9</v>
      </c>
      <c r="P173" s="134">
        <f t="shared" si="42"/>
        <v>0.9</v>
      </c>
      <c r="Q173" s="134">
        <f t="shared" si="42"/>
        <v>0.9</v>
      </c>
      <c r="R173" s="134">
        <f t="shared" si="43"/>
        <v>0.9</v>
      </c>
      <c r="S173" s="134">
        <f t="shared" si="43"/>
        <v>0.9</v>
      </c>
      <c r="T173" s="134">
        <f t="shared" si="43"/>
        <v>0.9</v>
      </c>
      <c r="U173" s="134">
        <f t="shared" si="43"/>
        <v>0.9</v>
      </c>
      <c r="V173" s="134">
        <f t="shared" si="43"/>
        <v>0.9</v>
      </c>
      <c r="W173" s="134">
        <f t="shared" si="43"/>
        <v>0.9</v>
      </c>
      <c r="X173" s="134">
        <f t="shared" si="43"/>
        <v>0.9</v>
      </c>
      <c r="Y173" s="134">
        <f t="shared" si="43"/>
        <v>0.9</v>
      </c>
      <c r="Z173" s="134">
        <f t="shared" si="43"/>
        <v>0.9</v>
      </c>
      <c r="AA173" s="134">
        <f t="shared" si="43"/>
        <v>0.9</v>
      </c>
      <c r="AB173" s="134">
        <f t="shared" si="43"/>
        <v>0.9</v>
      </c>
      <c r="AC173" s="134">
        <f t="shared" si="43"/>
        <v>0.9</v>
      </c>
      <c r="AD173" s="134">
        <f t="shared" si="43"/>
        <v>0.9</v>
      </c>
      <c r="AE173" s="134">
        <f t="shared" si="43"/>
        <v>0.9</v>
      </c>
      <c r="AF173" s="134">
        <f t="shared" si="43"/>
        <v>0.9</v>
      </c>
      <c r="AG173" s="136">
        <v>2</v>
      </c>
      <c r="AH173" s="55"/>
      <c r="AI173" s="56"/>
      <c r="AK173" s="57"/>
    </row>
    <row r="174" spans="1:37" x14ac:dyDescent="0.25">
      <c r="A174" s="121" t="s">
        <v>178</v>
      </c>
      <c r="B174" s="133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6">
        <v>1.8</v>
      </c>
      <c r="AH174" s="55"/>
      <c r="AI174" s="56"/>
      <c r="AK174" s="57"/>
    </row>
    <row r="175" spans="1:37" x14ac:dyDescent="0.25">
      <c r="A175" s="121" t="s">
        <v>179</v>
      </c>
      <c r="B175" s="133">
        <v>0.57999999999999996</v>
      </c>
      <c r="C175" s="134">
        <f t="shared" ref="C175:R187" si="44">B175</f>
        <v>0.57999999999999996</v>
      </c>
      <c r="D175" s="134">
        <f t="shared" si="44"/>
        <v>0.57999999999999996</v>
      </c>
      <c r="E175" s="134">
        <f t="shared" si="44"/>
        <v>0.57999999999999996</v>
      </c>
      <c r="F175" s="134">
        <f t="shared" si="44"/>
        <v>0.57999999999999996</v>
      </c>
      <c r="G175" s="134">
        <f t="shared" si="44"/>
        <v>0.57999999999999996</v>
      </c>
      <c r="H175" s="134">
        <f t="shared" si="44"/>
        <v>0.57999999999999996</v>
      </c>
      <c r="I175" s="134">
        <f t="shared" si="44"/>
        <v>0.57999999999999996</v>
      </c>
      <c r="J175" s="134">
        <f t="shared" si="44"/>
        <v>0.57999999999999996</v>
      </c>
      <c r="K175" s="134">
        <f t="shared" si="44"/>
        <v>0.57999999999999996</v>
      </c>
      <c r="L175" s="134">
        <f t="shared" si="44"/>
        <v>0.57999999999999996</v>
      </c>
      <c r="M175" s="134">
        <f t="shared" si="44"/>
        <v>0.57999999999999996</v>
      </c>
      <c r="N175" s="134">
        <f t="shared" si="44"/>
        <v>0.57999999999999996</v>
      </c>
      <c r="O175" s="134">
        <f t="shared" si="44"/>
        <v>0.57999999999999996</v>
      </c>
      <c r="P175" s="134">
        <f t="shared" si="44"/>
        <v>0.57999999999999996</v>
      </c>
      <c r="Q175" s="134">
        <f t="shared" si="44"/>
        <v>0.57999999999999996</v>
      </c>
      <c r="R175" s="134">
        <f t="shared" si="44"/>
        <v>0.57999999999999996</v>
      </c>
      <c r="S175" s="134">
        <f t="shared" ref="R175:AF187" si="45">R175</f>
        <v>0.57999999999999996</v>
      </c>
      <c r="T175" s="134">
        <f t="shared" si="45"/>
        <v>0.57999999999999996</v>
      </c>
      <c r="U175" s="134">
        <f t="shared" si="45"/>
        <v>0.57999999999999996</v>
      </c>
      <c r="V175" s="134">
        <f t="shared" si="45"/>
        <v>0.57999999999999996</v>
      </c>
      <c r="W175" s="134">
        <f t="shared" si="45"/>
        <v>0.57999999999999996</v>
      </c>
      <c r="X175" s="134">
        <f t="shared" si="45"/>
        <v>0.57999999999999996</v>
      </c>
      <c r="Y175" s="134">
        <f t="shared" si="45"/>
        <v>0.57999999999999996</v>
      </c>
      <c r="Z175" s="134">
        <f t="shared" si="45"/>
        <v>0.57999999999999996</v>
      </c>
      <c r="AA175" s="134">
        <f t="shared" si="45"/>
        <v>0.57999999999999996</v>
      </c>
      <c r="AB175" s="134">
        <f t="shared" si="45"/>
        <v>0.57999999999999996</v>
      </c>
      <c r="AC175" s="134">
        <f t="shared" si="45"/>
        <v>0.57999999999999996</v>
      </c>
      <c r="AD175" s="134">
        <f t="shared" si="45"/>
        <v>0.57999999999999996</v>
      </c>
      <c r="AE175" s="134">
        <f t="shared" si="45"/>
        <v>0.57999999999999996</v>
      </c>
      <c r="AF175" s="134">
        <f t="shared" si="45"/>
        <v>0.57999999999999996</v>
      </c>
      <c r="AG175" s="136">
        <v>1.8</v>
      </c>
      <c r="AH175" s="55"/>
      <c r="AI175" s="56"/>
      <c r="AK175" s="57"/>
    </row>
    <row r="176" spans="1:37" x14ac:dyDescent="0.25">
      <c r="A176" s="121" t="s">
        <v>180</v>
      </c>
      <c r="B176" s="133">
        <v>0.8</v>
      </c>
      <c r="C176" s="134">
        <f t="shared" si="44"/>
        <v>0.8</v>
      </c>
      <c r="D176" s="134">
        <f t="shared" si="44"/>
        <v>0.8</v>
      </c>
      <c r="E176" s="134">
        <f t="shared" si="44"/>
        <v>0.8</v>
      </c>
      <c r="F176" s="134">
        <f t="shared" si="44"/>
        <v>0.8</v>
      </c>
      <c r="G176" s="134">
        <f t="shared" si="44"/>
        <v>0.8</v>
      </c>
      <c r="H176" s="134">
        <f t="shared" si="44"/>
        <v>0.8</v>
      </c>
      <c r="I176" s="134">
        <f t="shared" si="44"/>
        <v>0.8</v>
      </c>
      <c r="J176" s="134">
        <f t="shared" si="44"/>
        <v>0.8</v>
      </c>
      <c r="K176" s="134">
        <f t="shared" si="44"/>
        <v>0.8</v>
      </c>
      <c r="L176" s="134">
        <f t="shared" si="44"/>
        <v>0.8</v>
      </c>
      <c r="M176" s="134">
        <f t="shared" si="44"/>
        <v>0.8</v>
      </c>
      <c r="N176" s="134">
        <f t="shared" si="44"/>
        <v>0.8</v>
      </c>
      <c r="O176" s="134">
        <f t="shared" si="44"/>
        <v>0.8</v>
      </c>
      <c r="P176" s="134">
        <f t="shared" si="44"/>
        <v>0.8</v>
      </c>
      <c r="Q176" s="134">
        <f t="shared" si="44"/>
        <v>0.8</v>
      </c>
      <c r="R176" s="134">
        <f t="shared" si="44"/>
        <v>0.8</v>
      </c>
      <c r="S176" s="134">
        <f t="shared" si="45"/>
        <v>0.8</v>
      </c>
      <c r="T176" s="134">
        <f t="shared" si="45"/>
        <v>0.8</v>
      </c>
      <c r="U176" s="134">
        <f t="shared" si="45"/>
        <v>0.8</v>
      </c>
      <c r="V176" s="134">
        <f t="shared" si="45"/>
        <v>0.8</v>
      </c>
      <c r="W176" s="134">
        <f t="shared" si="45"/>
        <v>0.8</v>
      </c>
      <c r="X176" s="134">
        <f t="shared" si="45"/>
        <v>0.8</v>
      </c>
      <c r="Y176" s="134">
        <f t="shared" si="45"/>
        <v>0.8</v>
      </c>
      <c r="Z176" s="134">
        <f t="shared" si="45"/>
        <v>0.8</v>
      </c>
      <c r="AA176" s="134">
        <f t="shared" si="45"/>
        <v>0.8</v>
      </c>
      <c r="AB176" s="134">
        <f t="shared" si="45"/>
        <v>0.8</v>
      </c>
      <c r="AC176" s="134">
        <f t="shared" si="45"/>
        <v>0.8</v>
      </c>
      <c r="AD176" s="134">
        <f t="shared" si="45"/>
        <v>0.8</v>
      </c>
      <c r="AE176" s="134">
        <f t="shared" si="45"/>
        <v>0.8</v>
      </c>
      <c r="AF176" s="134">
        <f t="shared" si="45"/>
        <v>0.8</v>
      </c>
      <c r="AG176" s="136">
        <v>1.65</v>
      </c>
      <c r="AH176" s="55"/>
      <c r="AI176" s="56"/>
      <c r="AK176" s="57"/>
    </row>
    <row r="177" spans="1:37" x14ac:dyDescent="0.25">
      <c r="A177" s="121" t="s">
        <v>181</v>
      </c>
      <c r="B177" s="133">
        <v>0</v>
      </c>
      <c r="C177" s="134">
        <f t="shared" si="44"/>
        <v>0</v>
      </c>
      <c r="D177" s="134">
        <f t="shared" si="44"/>
        <v>0</v>
      </c>
      <c r="E177" s="134">
        <f t="shared" si="44"/>
        <v>0</v>
      </c>
      <c r="F177" s="134">
        <f t="shared" si="44"/>
        <v>0</v>
      </c>
      <c r="G177" s="134">
        <f t="shared" si="44"/>
        <v>0</v>
      </c>
      <c r="H177" s="134">
        <f t="shared" si="44"/>
        <v>0</v>
      </c>
      <c r="I177" s="134">
        <f t="shared" si="44"/>
        <v>0</v>
      </c>
      <c r="J177" s="134">
        <f t="shared" si="44"/>
        <v>0</v>
      </c>
      <c r="K177" s="134">
        <f t="shared" si="44"/>
        <v>0</v>
      </c>
      <c r="L177" s="134">
        <f t="shared" si="44"/>
        <v>0</v>
      </c>
      <c r="M177" s="134">
        <f t="shared" si="44"/>
        <v>0</v>
      </c>
      <c r="N177" s="134">
        <f t="shared" si="44"/>
        <v>0</v>
      </c>
      <c r="O177" s="134">
        <f t="shared" si="44"/>
        <v>0</v>
      </c>
      <c r="P177" s="134">
        <f t="shared" si="44"/>
        <v>0</v>
      </c>
      <c r="Q177" s="134">
        <f t="shared" si="44"/>
        <v>0</v>
      </c>
      <c r="R177" s="134">
        <f t="shared" si="44"/>
        <v>0</v>
      </c>
      <c r="S177" s="134">
        <f t="shared" si="45"/>
        <v>0</v>
      </c>
      <c r="T177" s="134">
        <f t="shared" si="45"/>
        <v>0</v>
      </c>
      <c r="U177" s="134">
        <f t="shared" si="45"/>
        <v>0</v>
      </c>
      <c r="V177" s="134">
        <f t="shared" si="45"/>
        <v>0</v>
      </c>
      <c r="W177" s="134">
        <f t="shared" si="45"/>
        <v>0</v>
      </c>
      <c r="X177" s="134">
        <f t="shared" si="45"/>
        <v>0</v>
      </c>
      <c r="Y177" s="134">
        <f t="shared" si="45"/>
        <v>0</v>
      </c>
      <c r="Z177" s="134">
        <f t="shared" si="45"/>
        <v>0</v>
      </c>
      <c r="AA177" s="134">
        <f t="shared" si="45"/>
        <v>0</v>
      </c>
      <c r="AB177" s="134">
        <f t="shared" si="45"/>
        <v>0</v>
      </c>
      <c r="AC177" s="134">
        <f t="shared" si="45"/>
        <v>0</v>
      </c>
      <c r="AD177" s="134">
        <f t="shared" si="45"/>
        <v>0</v>
      </c>
      <c r="AE177" s="134">
        <f t="shared" si="45"/>
        <v>0</v>
      </c>
      <c r="AF177" s="134">
        <f t="shared" si="45"/>
        <v>0</v>
      </c>
      <c r="AG177" s="136">
        <v>1.5</v>
      </c>
      <c r="AH177" s="55"/>
      <c r="AI177" s="56"/>
      <c r="AK177" s="57"/>
    </row>
    <row r="178" spans="1:37" x14ac:dyDescent="0.25">
      <c r="A178" s="121" t="s">
        <v>182</v>
      </c>
      <c r="B178" s="133">
        <v>0.6</v>
      </c>
      <c r="C178" s="134">
        <f t="shared" si="44"/>
        <v>0.6</v>
      </c>
      <c r="D178" s="134">
        <f t="shared" si="44"/>
        <v>0.6</v>
      </c>
      <c r="E178" s="134">
        <f t="shared" si="44"/>
        <v>0.6</v>
      </c>
      <c r="F178" s="134">
        <f t="shared" si="44"/>
        <v>0.6</v>
      </c>
      <c r="G178" s="134">
        <f t="shared" si="44"/>
        <v>0.6</v>
      </c>
      <c r="H178" s="134">
        <f t="shared" si="44"/>
        <v>0.6</v>
      </c>
      <c r="I178" s="134">
        <f t="shared" si="44"/>
        <v>0.6</v>
      </c>
      <c r="J178" s="134">
        <f t="shared" si="44"/>
        <v>0.6</v>
      </c>
      <c r="K178" s="134">
        <f t="shared" si="44"/>
        <v>0.6</v>
      </c>
      <c r="L178" s="134">
        <f t="shared" si="44"/>
        <v>0.6</v>
      </c>
      <c r="M178" s="134">
        <f t="shared" si="44"/>
        <v>0.6</v>
      </c>
      <c r="N178" s="134">
        <f t="shared" si="44"/>
        <v>0.6</v>
      </c>
      <c r="O178" s="134">
        <f t="shared" si="44"/>
        <v>0.6</v>
      </c>
      <c r="P178" s="134">
        <f t="shared" si="44"/>
        <v>0.6</v>
      </c>
      <c r="Q178" s="134">
        <f t="shared" si="44"/>
        <v>0.6</v>
      </c>
      <c r="R178" s="134">
        <f t="shared" si="44"/>
        <v>0.6</v>
      </c>
      <c r="S178" s="134">
        <f t="shared" si="45"/>
        <v>0.6</v>
      </c>
      <c r="T178" s="134">
        <f t="shared" si="45"/>
        <v>0.6</v>
      </c>
      <c r="U178" s="134">
        <f t="shared" si="45"/>
        <v>0.6</v>
      </c>
      <c r="V178" s="134">
        <f t="shared" si="45"/>
        <v>0.6</v>
      </c>
      <c r="W178" s="134">
        <f t="shared" si="45"/>
        <v>0.6</v>
      </c>
      <c r="X178" s="134">
        <f t="shared" si="45"/>
        <v>0.6</v>
      </c>
      <c r="Y178" s="134">
        <f t="shared" si="45"/>
        <v>0.6</v>
      </c>
      <c r="Z178" s="134">
        <f t="shared" si="45"/>
        <v>0.6</v>
      </c>
      <c r="AA178" s="134">
        <f t="shared" si="45"/>
        <v>0.6</v>
      </c>
      <c r="AB178" s="134">
        <f t="shared" si="45"/>
        <v>0.6</v>
      </c>
      <c r="AC178" s="134">
        <f t="shared" si="45"/>
        <v>0.6</v>
      </c>
      <c r="AD178" s="134">
        <f t="shared" si="45"/>
        <v>0.6</v>
      </c>
      <c r="AE178" s="134">
        <f t="shared" si="45"/>
        <v>0.6</v>
      </c>
      <c r="AF178" s="134">
        <f t="shared" si="45"/>
        <v>0.6</v>
      </c>
      <c r="AG178" s="136">
        <v>0.998</v>
      </c>
      <c r="AH178" s="55"/>
      <c r="AI178" s="56"/>
      <c r="AK178" s="57"/>
    </row>
    <row r="179" spans="1:37" x14ac:dyDescent="0.25">
      <c r="A179" s="121" t="s">
        <v>183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0.997</v>
      </c>
      <c r="AH179" s="55"/>
      <c r="AI179" s="56"/>
      <c r="AK179" s="57"/>
    </row>
    <row r="180" spans="1:37" x14ac:dyDescent="0.25">
      <c r="A180" s="121" t="s">
        <v>184</v>
      </c>
      <c r="B180" s="133">
        <v>0.35</v>
      </c>
      <c r="C180" s="134">
        <f t="shared" si="44"/>
        <v>0.35</v>
      </c>
      <c r="D180" s="134">
        <f t="shared" si="44"/>
        <v>0.35</v>
      </c>
      <c r="E180" s="134">
        <f t="shared" si="44"/>
        <v>0.35</v>
      </c>
      <c r="F180" s="134">
        <f t="shared" si="44"/>
        <v>0.35</v>
      </c>
      <c r="G180" s="134">
        <f t="shared" si="44"/>
        <v>0.35</v>
      </c>
      <c r="H180" s="134">
        <f t="shared" si="44"/>
        <v>0.35</v>
      </c>
      <c r="I180" s="134">
        <f t="shared" si="44"/>
        <v>0.35</v>
      </c>
      <c r="J180" s="134">
        <f t="shared" si="44"/>
        <v>0.35</v>
      </c>
      <c r="K180" s="134">
        <f t="shared" si="44"/>
        <v>0.35</v>
      </c>
      <c r="L180" s="134">
        <f t="shared" si="44"/>
        <v>0.35</v>
      </c>
      <c r="M180" s="134">
        <f t="shared" si="44"/>
        <v>0.35</v>
      </c>
      <c r="N180" s="134">
        <f t="shared" si="44"/>
        <v>0.35</v>
      </c>
      <c r="O180" s="134">
        <f t="shared" si="44"/>
        <v>0.35</v>
      </c>
      <c r="P180" s="134">
        <f t="shared" si="44"/>
        <v>0.35</v>
      </c>
      <c r="Q180" s="134">
        <f t="shared" si="44"/>
        <v>0.35</v>
      </c>
      <c r="R180" s="134">
        <f t="shared" si="44"/>
        <v>0.35</v>
      </c>
      <c r="S180" s="134">
        <f t="shared" si="45"/>
        <v>0.35</v>
      </c>
      <c r="T180" s="134">
        <f t="shared" si="45"/>
        <v>0.35</v>
      </c>
      <c r="U180" s="134">
        <f t="shared" si="45"/>
        <v>0.35</v>
      </c>
      <c r="V180" s="134">
        <f t="shared" si="45"/>
        <v>0.35</v>
      </c>
      <c r="W180" s="134">
        <f t="shared" si="45"/>
        <v>0.35</v>
      </c>
      <c r="X180" s="134">
        <f t="shared" si="45"/>
        <v>0.35</v>
      </c>
      <c r="Y180" s="134">
        <f t="shared" si="45"/>
        <v>0.35</v>
      </c>
      <c r="Z180" s="134">
        <f t="shared" si="45"/>
        <v>0.35</v>
      </c>
      <c r="AA180" s="134">
        <f t="shared" si="45"/>
        <v>0.35</v>
      </c>
      <c r="AB180" s="134">
        <f t="shared" si="45"/>
        <v>0.35</v>
      </c>
      <c r="AC180" s="134">
        <f t="shared" si="45"/>
        <v>0.35</v>
      </c>
      <c r="AD180" s="134">
        <f t="shared" si="45"/>
        <v>0.35</v>
      </c>
      <c r="AE180" s="134">
        <f t="shared" si="45"/>
        <v>0.35</v>
      </c>
      <c r="AF180" s="134">
        <f t="shared" si="45"/>
        <v>0.35</v>
      </c>
      <c r="AG180" s="136">
        <v>0.997</v>
      </c>
      <c r="AH180" s="55"/>
      <c r="AI180" s="56"/>
      <c r="AK180" s="57"/>
    </row>
    <row r="181" spans="1:37" x14ac:dyDescent="0.25">
      <c r="A181" s="121" t="s">
        <v>185</v>
      </c>
      <c r="B181" s="133">
        <v>0.28999999999999998</v>
      </c>
      <c r="C181" s="134">
        <f t="shared" si="44"/>
        <v>0.28999999999999998</v>
      </c>
      <c r="D181" s="134">
        <f t="shared" si="44"/>
        <v>0.28999999999999998</v>
      </c>
      <c r="E181" s="134">
        <f t="shared" si="44"/>
        <v>0.28999999999999998</v>
      </c>
      <c r="F181" s="134">
        <f t="shared" si="44"/>
        <v>0.28999999999999998</v>
      </c>
      <c r="G181" s="134">
        <f t="shared" si="44"/>
        <v>0.28999999999999998</v>
      </c>
      <c r="H181" s="134">
        <f t="shared" si="44"/>
        <v>0.28999999999999998</v>
      </c>
      <c r="I181" s="134">
        <f t="shared" si="44"/>
        <v>0.28999999999999998</v>
      </c>
      <c r="J181" s="134">
        <f t="shared" si="44"/>
        <v>0.28999999999999998</v>
      </c>
      <c r="K181" s="134">
        <f t="shared" si="44"/>
        <v>0.28999999999999998</v>
      </c>
      <c r="L181" s="134">
        <f t="shared" si="44"/>
        <v>0.28999999999999998</v>
      </c>
      <c r="M181" s="134">
        <f t="shared" si="44"/>
        <v>0.28999999999999998</v>
      </c>
      <c r="N181" s="134">
        <f t="shared" si="44"/>
        <v>0.28999999999999998</v>
      </c>
      <c r="O181" s="134">
        <f t="shared" si="44"/>
        <v>0.28999999999999998</v>
      </c>
      <c r="P181" s="134">
        <f t="shared" si="44"/>
        <v>0.28999999999999998</v>
      </c>
      <c r="Q181" s="134">
        <f t="shared" si="44"/>
        <v>0.28999999999999998</v>
      </c>
      <c r="R181" s="134">
        <f t="shared" si="44"/>
        <v>0.28999999999999998</v>
      </c>
      <c r="S181" s="134">
        <f t="shared" si="45"/>
        <v>0.28999999999999998</v>
      </c>
      <c r="T181" s="134">
        <f t="shared" si="45"/>
        <v>0.28999999999999998</v>
      </c>
      <c r="U181" s="134">
        <f t="shared" si="45"/>
        <v>0.28999999999999998</v>
      </c>
      <c r="V181" s="134">
        <f t="shared" si="45"/>
        <v>0.28999999999999998</v>
      </c>
      <c r="W181" s="134">
        <f t="shared" si="45"/>
        <v>0.28999999999999998</v>
      </c>
      <c r="X181" s="134">
        <f t="shared" si="45"/>
        <v>0.28999999999999998</v>
      </c>
      <c r="Y181" s="134">
        <f t="shared" si="45"/>
        <v>0.28999999999999998</v>
      </c>
      <c r="Z181" s="134">
        <f t="shared" si="45"/>
        <v>0.28999999999999998</v>
      </c>
      <c r="AA181" s="134">
        <f t="shared" si="45"/>
        <v>0.28999999999999998</v>
      </c>
      <c r="AB181" s="134">
        <f t="shared" si="45"/>
        <v>0.28999999999999998</v>
      </c>
      <c r="AC181" s="134">
        <f t="shared" si="45"/>
        <v>0.28999999999999998</v>
      </c>
      <c r="AD181" s="134">
        <f t="shared" si="45"/>
        <v>0.28999999999999998</v>
      </c>
      <c r="AE181" s="134">
        <f t="shared" si="45"/>
        <v>0.28999999999999998</v>
      </c>
      <c r="AF181" s="134">
        <f t="shared" si="45"/>
        <v>0.28999999999999998</v>
      </c>
      <c r="AG181" s="136">
        <v>0.996</v>
      </c>
      <c r="AH181" s="55"/>
      <c r="AI181" s="56"/>
      <c r="AK181" s="57"/>
    </row>
    <row r="182" spans="1:37" x14ac:dyDescent="0.25">
      <c r="A182" s="121" t="s">
        <v>186</v>
      </c>
      <c r="B182" s="133">
        <v>0.06</v>
      </c>
      <c r="C182" s="134">
        <f t="shared" si="44"/>
        <v>0.06</v>
      </c>
      <c r="D182" s="134">
        <f t="shared" si="44"/>
        <v>0.06</v>
      </c>
      <c r="E182" s="134">
        <f t="shared" si="44"/>
        <v>0.06</v>
      </c>
      <c r="F182" s="134">
        <f t="shared" si="44"/>
        <v>0.06</v>
      </c>
      <c r="G182" s="134">
        <f t="shared" si="44"/>
        <v>0.06</v>
      </c>
      <c r="H182" s="134">
        <f t="shared" si="44"/>
        <v>0.06</v>
      </c>
      <c r="I182" s="134">
        <f t="shared" si="44"/>
        <v>0.06</v>
      </c>
      <c r="J182" s="134">
        <f t="shared" si="44"/>
        <v>0.06</v>
      </c>
      <c r="K182" s="134">
        <f t="shared" si="44"/>
        <v>0.06</v>
      </c>
      <c r="L182" s="134">
        <f t="shared" si="44"/>
        <v>0.06</v>
      </c>
      <c r="M182" s="134">
        <f t="shared" si="44"/>
        <v>0.06</v>
      </c>
      <c r="N182" s="134">
        <f t="shared" si="44"/>
        <v>0.06</v>
      </c>
      <c r="O182" s="134">
        <f t="shared" si="44"/>
        <v>0.06</v>
      </c>
      <c r="P182" s="134">
        <f t="shared" si="44"/>
        <v>0.06</v>
      </c>
      <c r="Q182" s="134">
        <f t="shared" si="44"/>
        <v>0.06</v>
      </c>
      <c r="R182" s="134">
        <f t="shared" si="44"/>
        <v>0.06</v>
      </c>
      <c r="S182" s="134">
        <f t="shared" si="45"/>
        <v>0.06</v>
      </c>
      <c r="T182" s="134">
        <f t="shared" si="45"/>
        <v>0.06</v>
      </c>
      <c r="U182" s="134">
        <f t="shared" si="45"/>
        <v>0.06</v>
      </c>
      <c r="V182" s="134">
        <f t="shared" si="45"/>
        <v>0.06</v>
      </c>
      <c r="W182" s="134">
        <f t="shared" si="45"/>
        <v>0.06</v>
      </c>
      <c r="X182" s="134">
        <f t="shared" si="45"/>
        <v>0.06</v>
      </c>
      <c r="Y182" s="134">
        <f t="shared" si="45"/>
        <v>0.06</v>
      </c>
      <c r="Z182" s="134">
        <f t="shared" si="45"/>
        <v>0.06</v>
      </c>
      <c r="AA182" s="134">
        <f t="shared" si="45"/>
        <v>0.06</v>
      </c>
      <c r="AB182" s="134">
        <f t="shared" si="45"/>
        <v>0.06</v>
      </c>
      <c r="AC182" s="134">
        <f t="shared" si="45"/>
        <v>0.06</v>
      </c>
      <c r="AD182" s="134">
        <f t="shared" si="45"/>
        <v>0.06</v>
      </c>
      <c r="AE182" s="134">
        <f t="shared" si="45"/>
        <v>0.06</v>
      </c>
      <c r="AF182" s="134">
        <f t="shared" si="45"/>
        <v>0.06</v>
      </c>
      <c r="AG182" s="136">
        <v>0.996</v>
      </c>
      <c r="AH182" s="55"/>
      <c r="AI182" s="56"/>
      <c r="AK182" s="57"/>
    </row>
    <row r="183" spans="1:37" x14ac:dyDescent="0.25">
      <c r="A183" s="121" t="s">
        <v>187</v>
      </c>
      <c r="B183" s="133">
        <v>0.11</v>
      </c>
      <c r="C183" s="134">
        <f t="shared" si="44"/>
        <v>0.11</v>
      </c>
      <c r="D183" s="134">
        <f t="shared" si="44"/>
        <v>0.11</v>
      </c>
      <c r="E183" s="134">
        <f t="shared" si="44"/>
        <v>0.11</v>
      </c>
      <c r="F183" s="134">
        <f t="shared" si="44"/>
        <v>0.11</v>
      </c>
      <c r="G183" s="134">
        <f t="shared" si="44"/>
        <v>0.11</v>
      </c>
      <c r="H183" s="134">
        <f t="shared" si="44"/>
        <v>0.11</v>
      </c>
      <c r="I183" s="134">
        <f t="shared" si="44"/>
        <v>0.11</v>
      </c>
      <c r="J183" s="134">
        <f t="shared" si="44"/>
        <v>0.11</v>
      </c>
      <c r="K183" s="134">
        <f t="shared" si="44"/>
        <v>0.11</v>
      </c>
      <c r="L183" s="134">
        <f t="shared" si="44"/>
        <v>0.11</v>
      </c>
      <c r="M183" s="134">
        <f t="shared" si="44"/>
        <v>0.11</v>
      </c>
      <c r="N183" s="134">
        <f t="shared" si="44"/>
        <v>0.11</v>
      </c>
      <c r="O183" s="134">
        <f t="shared" si="44"/>
        <v>0.11</v>
      </c>
      <c r="P183" s="134">
        <f t="shared" si="44"/>
        <v>0.11</v>
      </c>
      <c r="Q183" s="134">
        <f t="shared" si="44"/>
        <v>0.11</v>
      </c>
      <c r="R183" s="134">
        <f t="shared" si="44"/>
        <v>0.11</v>
      </c>
      <c r="S183" s="134">
        <f t="shared" si="45"/>
        <v>0.11</v>
      </c>
      <c r="T183" s="134">
        <f t="shared" si="45"/>
        <v>0.11</v>
      </c>
      <c r="U183" s="134">
        <f t="shared" si="45"/>
        <v>0.11</v>
      </c>
      <c r="V183" s="134">
        <f t="shared" si="45"/>
        <v>0.11</v>
      </c>
      <c r="W183" s="134">
        <f t="shared" si="45"/>
        <v>0.11</v>
      </c>
      <c r="X183" s="134">
        <f t="shared" si="45"/>
        <v>0.11</v>
      </c>
      <c r="Y183" s="134">
        <f t="shared" si="45"/>
        <v>0.11</v>
      </c>
      <c r="Z183" s="134">
        <f t="shared" si="45"/>
        <v>0.11</v>
      </c>
      <c r="AA183" s="134">
        <f t="shared" si="45"/>
        <v>0.11</v>
      </c>
      <c r="AB183" s="134">
        <f t="shared" si="45"/>
        <v>0.11</v>
      </c>
      <c r="AC183" s="134">
        <f t="shared" si="45"/>
        <v>0.11</v>
      </c>
      <c r="AD183" s="134">
        <f t="shared" si="45"/>
        <v>0.11</v>
      </c>
      <c r="AE183" s="134">
        <f t="shared" si="45"/>
        <v>0.11</v>
      </c>
      <c r="AF183" s="134">
        <f t="shared" si="45"/>
        <v>0.11</v>
      </c>
      <c r="AG183" s="136">
        <v>0.996</v>
      </c>
      <c r="AH183" s="55"/>
      <c r="AI183" s="56"/>
      <c r="AK183" s="57"/>
    </row>
    <row r="184" spans="1:37" x14ac:dyDescent="0.25">
      <c r="A184" s="121" t="s">
        <v>188</v>
      </c>
      <c r="B184" s="133">
        <v>0.1</v>
      </c>
      <c r="C184" s="134">
        <f t="shared" si="44"/>
        <v>0.1</v>
      </c>
      <c r="D184" s="134">
        <f t="shared" si="44"/>
        <v>0.1</v>
      </c>
      <c r="E184" s="134">
        <f t="shared" si="44"/>
        <v>0.1</v>
      </c>
      <c r="F184" s="134">
        <f t="shared" si="44"/>
        <v>0.1</v>
      </c>
      <c r="G184" s="134">
        <f t="shared" si="44"/>
        <v>0.1</v>
      </c>
      <c r="H184" s="134">
        <f t="shared" si="44"/>
        <v>0.1</v>
      </c>
      <c r="I184" s="134">
        <f t="shared" si="44"/>
        <v>0.1</v>
      </c>
      <c r="J184" s="134">
        <f t="shared" si="44"/>
        <v>0.1</v>
      </c>
      <c r="K184" s="134">
        <f t="shared" si="44"/>
        <v>0.1</v>
      </c>
      <c r="L184" s="134">
        <f t="shared" si="44"/>
        <v>0.1</v>
      </c>
      <c r="M184" s="134">
        <f t="shared" si="44"/>
        <v>0.1</v>
      </c>
      <c r="N184" s="134">
        <f t="shared" si="44"/>
        <v>0.1</v>
      </c>
      <c r="O184" s="134">
        <f t="shared" si="44"/>
        <v>0.1</v>
      </c>
      <c r="P184" s="134">
        <f t="shared" si="44"/>
        <v>0.1</v>
      </c>
      <c r="Q184" s="134">
        <f t="shared" si="44"/>
        <v>0.1</v>
      </c>
      <c r="R184" s="134">
        <f t="shared" si="45"/>
        <v>0.1</v>
      </c>
      <c r="S184" s="134">
        <f t="shared" si="45"/>
        <v>0.1</v>
      </c>
      <c r="T184" s="134">
        <f t="shared" si="45"/>
        <v>0.1</v>
      </c>
      <c r="U184" s="134">
        <f t="shared" si="45"/>
        <v>0.1</v>
      </c>
      <c r="V184" s="134">
        <f t="shared" si="45"/>
        <v>0.1</v>
      </c>
      <c r="W184" s="134">
        <f t="shared" si="45"/>
        <v>0.1</v>
      </c>
      <c r="X184" s="134">
        <f t="shared" si="45"/>
        <v>0.1</v>
      </c>
      <c r="Y184" s="134">
        <f t="shared" si="45"/>
        <v>0.1</v>
      </c>
      <c r="Z184" s="134">
        <f t="shared" si="45"/>
        <v>0.1</v>
      </c>
      <c r="AA184" s="134">
        <f t="shared" si="45"/>
        <v>0.1</v>
      </c>
      <c r="AB184" s="134">
        <f t="shared" si="45"/>
        <v>0.1</v>
      </c>
      <c r="AC184" s="134">
        <f t="shared" si="45"/>
        <v>0.1</v>
      </c>
      <c r="AD184" s="134">
        <f t="shared" si="45"/>
        <v>0.1</v>
      </c>
      <c r="AE184" s="134">
        <f t="shared" si="45"/>
        <v>0.1</v>
      </c>
      <c r="AF184" s="134">
        <f t="shared" si="45"/>
        <v>0.1</v>
      </c>
      <c r="AG184" s="136">
        <v>0.995</v>
      </c>
      <c r="AH184" s="55"/>
      <c r="AI184" s="56"/>
      <c r="AK184" s="57"/>
    </row>
    <row r="185" spans="1:37" x14ac:dyDescent="0.25">
      <c r="A185" s="121" t="s">
        <v>189</v>
      </c>
      <c r="B185" s="133">
        <v>0.09</v>
      </c>
      <c r="C185" s="134">
        <f t="shared" si="44"/>
        <v>0.09</v>
      </c>
      <c r="D185" s="134">
        <f t="shared" si="44"/>
        <v>0.09</v>
      </c>
      <c r="E185" s="134">
        <f t="shared" si="44"/>
        <v>0.09</v>
      </c>
      <c r="F185" s="134">
        <f t="shared" si="44"/>
        <v>0.09</v>
      </c>
      <c r="G185" s="134">
        <f t="shared" si="44"/>
        <v>0.09</v>
      </c>
      <c r="H185" s="134">
        <f t="shared" si="44"/>
        <v>0.09</v>
      </c>
      <c r="I185" s="134">
        <f t="shared" si="44"/>
        <v>0.09</v>
      </c>
      <c r="J185" s="134">
        <f t="shared" si="44"/>
        <v>0.09</v>
      </c>
      <c r="K185" s="134">
        <f t="shared" si="44"/>
        <v>0.09</v>
      </c>
      <c r="L185" s="134">
        <f t="shared" si="44"/>
        <v>0.09</v>
      </c>
      <c r="M185" s="134">
        <f t="shared" si="44"/>
        <v>0.09</v>
      </c>
      <c r="N185" s="134">
        <f t="shared" si="44"/>
        <v>0.09</v>
      </c>
      <c r="O185" s="134">
        <f t="shared" si="44"/>
        <v>0.09</v>
      </c>
      <c r="P185" s="134">
        <f t="shared" si="44"/>
        <v>0.09</v>
      </c>
      <c r="Q185" s="134">
        <f t="shared" si="44"/>
        <v>0.09</v>
      </c>
      <c r="R185" s="134">
        <f t="shared" si="45"/>
        <v>0.09</v>
      </c>
      <c r="S185" s="134">
        <f t="shared" si="45"/>
        <v>0.09</v>
      </c>
      <c r="T185" s="134">
        <f t="shared" si="45"/>
        <v>0.09</v>
      </c>
      <c r="U185" s="134">
        <f t="shared" si="45"/>
        <v>0.09</v>
      </c>
      <c r="V185" s="134">
        <f t="shared" si="45"/>
        <v>0.09</v>
      </c>
      <c r="W185" s="134">
        <f t="shared" si="45"/>
        <v>0.09</v>
      </c>
      <c r="X185" s="134">
        <f t="shared" si="45"/>
        <v>0.09</v>
      </c>
      <c r="Y185" s="134">
        <f t="shared" si="45"/>
        <v>0.09</v>
      </c>
      <c r="Z185" s="134">
        <f t="shared" si="45"/>
        <v>0.09</v>
      </c>
      <c r="AA185" s="134">
        <f t="shared" si="45"/>
        <v>0.09</v>
      </c>
      <c r="AB185" s="134">
        <f t="shared" si="45"/>
        <v>0.09</v>
      </c>
      <c r="AC185" s="134">
        <f t="shared" si="45"/>
        <v>0.09</v>
      </c>
      <c r="AD185" s="134">
        <f t="shared" si="45"/>
        <v>0.09</v>
      </c>
      <c r="AE185" s="134">
        <f t="shared" si="45"/>
        <v>0.09</v>
      </c>
      <c r="AF185" s="134">
        <f t="shared" si="45"/>
        <v>0.09</v>
      </c>
      <c r="AG185" s="136">
        <v>0.99299999999999999</v>
      </c>
      <c r="AH185" s="55"/>
      <c r="AI185" s="56"/>
      <c r="AK185" s="57"/>
    </row>
    <row r="186" spans="1:37" x14ac:dyDescent="0.25">
      <c r="A186" s="121" t="s">
        <v>190</v>
      </c>
      <c r="B186" s="54">
        <v>0.04</v>
      </c>
      <c r="C186" s="134">
        <f t="shared" si="44"/>
        <v>0.04</v>
      </c>
      <c r="D186" s="134">
        <f t="shared" si="44"/>
        <v>0.04</v>
      </c>
      <c r="E186" s="134">
        <f t="shared" si="44"/>
        <v>0.04</v>
      </c>
      <c r="F186" s="134">
        <f t="shared" si="44"/>
        <v>0.04</v>
      </c>
      <c r="G186" s="134">
        <f t="shared" si="44"/>
        <v>0.04</v>
      </c>
      <c r="H186" s="134">
        <f t="shared" si="44"/>
        <v>0.04</v>
      </c>
      <c r="I186" s="134">
        <f t="shared" si="44"/>
        <v>0.04</v>
      </c>
      <c r="J186" s="134">
        <f t="shared" si="44"/>
        <v>0.04</v>
      </c>
      <c r="K186" s="134">
        <f t="shared" si="44"/>
        <v>0.04</v>
      </c>
      <c r="L186" s="134">
        <f t="shared" si="44"/>
        <v>0.04</v>
      </c>
      <c r="M186" s="134">
        <f t="shared" si="44"/>
        <v>0.04</v>
      </c>
      <c r="N186" s="134">
        <f t="shared" si="44"/>
        <v>0.04</v>
      </c>
      <c r="O186" s="134">
        <f t="shared" si="44"/>
        <v>0.04</v>
      </c>
      <c r="P186" s="134">
        <f t="shared" si="44"/>
        <v>0.04</v>
      </c>
      <c r="Q186" s="134">
        <f t="shared" si="44"/>
        <v>0.04</v>
      </c>
      <c r="R186" s="134">
        <f t="shared" si="45"/>
        <v>0.04</v>
      </c>
      <c r="S186" s="134">
        <f t="shared" si="45"/>
        <v>0.04</v>
      </c>
      <c r="T186" s="134">
        <f t="shared" si="45"/>
        <v>0.04</v>
      </c>
      <c r="U186" s="134">
        <f t="shared" si="45"/>
        <v>0.04</v>
      </c>
      <c r="V186" s="134">
        <f t="shared" si="45"/>
        <v>0.04</v>
      </c>
      <c r="W186" s="134">
        <f t="shared" si="45"/>
        <v>0.04</v>
      </c>
      <c r="X186" s="134">
        <f t="shared" si="45"/>
        <v>0.04</v>
      </c>
      <c r="Y186" s="134">
        <f t="shared" si="45"/>
        <v>0.04</v>
      </c>
      <c r="Z186" s="134">
        <f t="shared" si="45"/>
        <v>0.04</v>
      </c>
      <c r="AA186" s="134">
        <f t="shared" si="45"/>
        <v>0.04</v>
      </c>
      <c r="AB186" s="134">
        <f t="shared" si="45"/>
        <v>0.04</v>
      </c>
      <c r="AC186" s="134">
        <f t="shared" si="45"/>
        <v>0.04</v>
      </c>
      <c r="AD186" s="134">
        <f t="shared" si="45"/>
        <v>0.04</v>
      </c>
      <c r="AE186" s="134">
        <f t="shared" si="45"/>
        <v>0.04</v>
      </c>
      <c r="AF186" s="134">
        <f t="shared" si="45"/>
        <v>0.04</v>
      </c>
      <c r="AG186" s="136">
        <v>0.99</v>
      </c>
      <c r="AH186" s="55"/>
      <c r="AI186" s="56"/>
      <c r="AK186" s="57"/>
    </row>
    <row r="187" spans="1:37" x14ac:dyDescent="0.25">
      <c r="A187" s="121" t="s">
        <v>191</v>
      </c>
      <c r="B187" s="54">
        <v>2.3E-2</v>
      </c>
      <c r="C187" s="134">
        <f>B187</f>
        <v>2.3E-2</v>
      </c>
      <c r="D187" s="134">
        <f t="shared" si="44"/>
        <v>2.3E-2</v>
      </c>
      <c r="E187" s="134">
        <f t="shared" si="44"/>
        <v>2.3E-2</v>
      </c>
      <c r="F187" s="134">
        <f t="shared" si="44"/>
        <v>2.3E-2</v>
      </c>
      <c r="G187" s="134">
        <f t="shared" si="44"/>
        <v>2.3E-2</v>
      </c>
      <c r="H187" s="134">
        <f t="shared" si="44"/>
        <v>2.3E-2</v>
      </c>
      <c r="I187" s="134">
        <f t="shared" si="44"/>
        <v>2.3E-2</v>
      </c>
      <c r="J187" s="134">
        <f t="shared" si="44"/>
        <v>2.3E-2</v>
      </c>
      <c r="K187" s="134">
        <f t="shared" si="44"/>
        <v>2.3E-2</v>
      </c>
      <c r="L187" s="134">
        <f t="shared" si="44"/>
        <v>2.3E-2</v>
      </c>
      <c r="M187" s="134">
        <f t="shared" si="44"/>
        <v>2.3E-2</v>
      </c>
      <c r="N187" s="134">
        <f t="shared" si="44"/>
        <v>2.3E-2</v>
      </c>
      <c r="O187" s="134">
        <f t="shared" si="44"/>
        <v>2.3E-2</v>
      </c>
      <c r="P187" s="134">
        <f t="shared" si="44"/>
        <v>2.3E-2</v>
      </c>
      <c r="Q187" s="134">
        <f t="shared" si="44"/>
        <v>2.3E-2</v>
      </c>
      <c r="R187" s="134">
        <f t="shared" si="45"/>
        <v>2.3E-2</v>
      </c>
      <c r="S187" s="134">
        <f t="shared" si="45"/>
        <v>2.3E-2</v>
      </c>
      <c r="T187" s="134">
        <f t="shared" si="45"/>
        <v>2.3E-2</v>
      </c>
      <c r="U187" s="134">
        <f t="shared" si="45"/>
        <v>2.3E-2</v>
      </c>
      <c r="V187" s="134">
        <f t="shared" si="45"/>
        <v>2.3E-2</v>
      </c>
      <c r="W187" s="134">
        <f t="shared" si="45"/>
        <v>2.3E-2</v>
      </c>
      <c r="X187" s="134">
        <f t="shared" si="45"/>
        <v>2.3E-2</v>
      </c>
      <c r="Y187" s="134">
        <f t="shared" si="45"/>
        <v>2.3E-2</v>
      </c>
      <c r="Z187" s="134">
        <f t="shared" si="45"/>
        <v>2.3E-2</v>
      </c>
      <c r="AA187" s="134">
        <f t="shared" si="45"/>
        <v>2.3E-2</v>
      </c>
      <c r="AB187" s="134">
        <f t="shared" si="45"/>
        <v>2.3E-2</v>
      </c>
      <c r="AC187" s="134">
        <f t="shared" si="45"/>
        <v>2.3E-2</v>
      </c>
      <c r="AD187" s="134">
        <f t="shared" si="45"/>
        <v>2.3E-2</v>
      </c>
      <c r="AE187" s="134">
        <f t="shared" si="45"/>
        <v>2.3E-2</v>
      </c>
      <c r="AF187" s="134">
        <f t="shared" si="45"/>
        <v>2.3E-2</v>
      </c>
      <c r="AG187" s="136">
        <v>0.97899999999999998</v>
      </c>
      <c r="AH187" s="55"/>
      <c r="AI187" s="56"/>
      <c r="AK187" s="57"/>
    </row>
    <row r="188" spans="1:37" ht="15.75" thickBot="1" x14ac:dyDescent="0.3">
      <c r="A188" s="137" t="s">
        <v>192</v>
      </c>
      <c r="B188" s="138">
        <f t="shared" ref="B188:AG188" si="46">SUM(B98:B187)</f>
        <v>194.70600000000002</v>
      </c>
      <c r="C188" s="138">
        <f t="shared" si="46"/>
        <v>194.70600000000002</v>
      </c>
      <c r="D188" s="138">
        <f t="shared" si="46"/>
        <v>194.70600000000002</v>
      </c>
      <c r="E188" s="138">
        <f t="shared" si="46"/>
        <v>194.70600000000002</v>
      </c>
      <c r="F188" s="138">
        <f t="shared" si="46"/>
        <v>194.70600000000002</v>
      </c>
      <c r="G188" s="138">
        <f t="shared" si="46"/>
        <v>194.70600000000002</v>
      </c>
      <c r="H188" s="138">
        <f t="shared" si="46"/>
        <v>194.70600000000002</v>
      </c>
      <c r="I188" s="138">
        <f t="shared" si="46"/>
        <v>192.10600000000005</v>
      </c>
      <c r="J188" s="138">
        <f t="shared" si="46"/>
        <v>192.10600000000005</v>
      </c>
      <c r="K188" s="138">
        <f t="shared" si="46"/>
        <v>192.10600000000005</v>
      </c>
      <c r="L188" s="138">
        <f t="shared" si="46"/>
        <v>192.10600000000005</v>
      </c>
      <c r="M188" s="138">
        <f t="shared" si="46"/>
        <v>192.10600000000005</v>
      </c>
      <c r="N188" s="138">
        <f t="shared" si="46"/>
        <v>192.10600000000005</v>
      </c>
      <c r="O188" s="138">
        <f t="shared" si="46"/>
        <v>192.10600000000005</v>
      </c>
      <c r="P188" s="138">
        <f t="shared" si="46"/>
        <v>192.10600000000005</v>
      </c>
      <c r="Q188" s="138">
        <f t="shared" si="46"/>
        <v>192.10600000000005</v>
      </c>
      <c r="R188" s="138">
        <f t="shared" si="46"/>
        <v>192.10600000000005</v>
      </c>
      <c r="S188" s="138">
        <f t="shared" si="46"/>
        <v>192.10600000000005</v>
      </c>
      <c r="T188" s="138">
        <f t="shared" si="46"/>
        <v>192.10600000000005</v>
      </c>
      <c r="U188" s="138">
        <f t="shared" si="46"/>
        <v>192.10600000000005</v>
      </c>
      <c r="V188" s="138">
        <f t="shared" si="46"/>
        <v>192.10600000000005</v>
      </c>
      <c r="W188" s="138">
        <f t="shared" si="46"/>
        <v>192.10600000000005</v>
      </c>
      <c r="X188" s="138">
        <f t="shared" si="46"/>
        <v>192.10600000000005</v>
      </c>
      <c r="Y188" s="138">
        <f t="shared" si="46"/>
        <v>192.10600000000005</v>
      </c>
      <c r="Z188" s="138">
        <f t="shared" si="46"/>
        <v>192.10600000000005</v>
      </c>
      <c r="AA188" s="138">
        <f t="shared" si="46"/>
        <v>192.10600000000005</v>
      </c>
      <c r="AB188" s="138">
        <f t="shared" si="46"/>
        <v>192.10600000000005</v>
      </c>
      <c r="AC188" s="138">
        <f t="shared" si="46"/>
        <v>192.10600000000005</v>
      </c>
      <c r="AD188" s="138">
        <f t="shared" si="46"/>
        <v>192.10600000000005</v>
      </c>
      <c r="AE188" s="138">
        <f t="shared" si="46"/>
        <v>192.10600000000005</v>
      </c>
      <c r="AF188" s="138">
        <f t="shared" si="46"/>
        <v>192.10600000000005</v>
      </c>
      <c r="AG188" s="139">
        <f t="shared" si="46"/>
        <v>412.72299999999984</v>
      </c>
      <c r="AH188" s="55"/>
      <c r="AI188" s="56"/>
      <c r="AK188" s="57"/>
    </row>
    <row r="189" spans="1:37" ht="15.75" thickBot="1" x14ac:dyDescent="0.3">
      <c r="A189" s="28" t="s">
        <v>56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55"/>
      <c r="AI189" s="56"/>
      <c r="AK189" s="57"/>
    </row>
    <row r="190" spans="1:37" x14ac:dyDescent="0.25">
      <c r="A190" s="113" t="s">
        <v>193</v>
      </c>
      <c r="B190" s="140">
        <v>0.3</v>
      </c>
      <c r="C190" s="140">
        <f t="shared" ref="C190:R195" si="47">B190</f>
        <v>0.3</v>
      </c>
      <c r="D190" s="140">
        <f t="shared" si="47"/>
        <v>0.3</v>
      </c>
      <c r="E190" s="140">
        <f t="shared" si="47"/>
        <v>0.3</v>
      </c>
      <c r="F190" s="140">
        <f t="shared" si="47"/>
        <v>0.3</v>
      </c>
      <c r="G190" s="140">
        <f t="shared" si="47"/>
        <v>0.3</v>
      </c>
      <c r="H190" s="140">
        <f t="shared" si="47"/>
        <v>0.3</v>
      </c>
      <c r="I190" s="140">
        <f t="shared" si="47"/>
        <v>0.3</v>
      </c>
      <c r="J190" s="140">
        <f t="shared" si="47"/>
        <v>0.3</v>
      </c>
      <c r="K190" s="140">
        <f t="shared" si="47"/>
        <v>0.3</v>
      </c>
      <c r="L190" s="140">
        <f t="shared" si="47"/>
        <v>0.3</v>
      </c>
      <c r="M190" s="140">
        <f t="shared" si="47"/>
        <v>0.3</v>
      </c>
      <c r="N190" s="140">
        <f t="shared" si="47"/>
        <v>0.3</v>
      </c>
      <c r="O190" s="140">
        <f t="shared" si="47"/>
        <v>0.3</v>
      </c>
      <c r="P190" s="140">
        <f t="shared" si="47"/>
        <v>0.3</v>
      </c>
      <c r="Q190" s="140">
        <f t="shared" si="47"/>
        <v>0.3</v>
      </c>
      <c r="R190" s="140">
        <f t="shared" si="47"/>
        <v>0.3</v>
      </c>
      <c r="S190" s="140">
        <f t="shared" ref="S190:AF195" si="48">R190</f>
        <v>0.3</v>
      </c>
      <c r="T190" s="140">
        <f t="shared" si="48"/>
        <v>0.3</v>
      </c>
      <c r="U190" s="140">
        <f t="shared" si="48"/>
        <v>0.3</v>
      </c>
      <c r="V190" s="140">
        <f t="shared" si="48"/>
        <v>0.3</v>
      </c>
      <c r="W190" s="140">
        <f t="shared" si="48"/>
        <v>0.3</v>
      </c>
      <c r="X190" s="140">
        <f t="shared" si="48"/>
        <v>0.3</v>
      </c>
      <c r="Y190" s="140">
        <f t="shared" si="48"/>
        <v>0.3</v>
      </c>
      <c r="Z190" s="140">
        <f t="shared" si="48"/>
        <v>0.3</v>
      </c>
      <c r="AA190" s="140">
        <f t="shared" si="48"/>
        <v>0.3</v>
      </c>
      <c r="AB190" s="140">
        <f t="shared" si="48"/>
        <v>0.3</v>
      </c>
      <c r="AC190" s="140">
        <f t="shared" si="48"/>
        <v>0.3</v>
      </c>
      <c r="AD190" s="140">
        <f t="shared" si="48"/>
        <v>0.3</v>
      </c>
      <c r="AE190" s="140">
        <f t="shared" si="48"/>
        <v>0.3</v>
      </c>
      <c r="AF190" s="140">
        <f t="shared" si="48"/>
        <v>0.3</v>
      </c>
      <c r="AG190" s="141">
        <v>2.4</v>
      </c>
      <c r="AH190" s="55"/>
      <c r="AI190" s="56"/>
      <c r="AK190" s="57"/>
    </row>
    <row r="191" spans="1:37" x14ac:dyDescent="0.25">
      <c r="A191" s="119" t="s">
        <v>194</v>
      </c>
      <c r="B191" s="134">
        <v>0.4</v>
      </c>
      <c r="C191" s="134">
        <f t="shared" si="47"/>
        <v>0.4</v>
      </c>
      <c r="D191" s="134">
        <f t="shared" si="47"/>
        <v>0.4</v>
      </c>
      <c r="E191" s="134">
        <f t="shared" si="47"/>
        <v>0.4</v>
      </c>
      <c r="F191" s="134">
        <f t="shared" si="47"/>
        <v>0.4</v>
      </c>
      <c r="G191" s="134">
        <f t="shared" si="47"/>
        <v>0.4</v>
      </c>
      <c r="H191" s="134">
        <f t="shared" si="47"/>
        <v>0.4</v>
      </c>
      <c r="I191" s="134">
        <f t="shared" si="47"/>
        <v>0.4</v>
      </c>
      <c r="J191" s="134">
        <f t="shared" si="47"/>
        <v>0.4</v>
      </c>
      <c r="K191" s="134">
        <f t="shared" si="47"/>
        <v>0.4</v>
      </c>
      <c r="L191" s="134">
        <f t="shared" si="47"/>
        <v>0.4</v>
      </c>
      <c r="M191" s="134">
        <f t="shared" si="47"/>
        <v>0.4</v>
      </c>
      <c r="N191" s="134">
        <f t="shared" si="47"/>
        <v>0.4</v>
      </c>
      <c r="O191" s="134">
        <f t="shared" si="47"/>
        <v>0.4</v>
      </c>
      <c r="P191" s="134">
        <f t="shared" si="47"/>
        <v>0.4</v>
      </c>
      <c r="Q191" s="134">
        <f t="shared" si="47"/>
        <v>0.4</v>
      </c>
      <c r="R191" s="134">
        <f t="shared" si="47"/>
        <v>0.4</v>
      </c>
      <c r="S191" s="134">
        <f t="shared" si="48"/>
        <v>0.4</v>
      </c>
      <c r="T191" s="134">
        <f t="shared" si="48"/>
        <v>0.4</v>
      </c>
      <c r="U191" s="134">
        <f t="shared" si="48"/>
        <v>0.4</v>
      </c>
      <c r="V191" s="134">
        <f>U191</f>
        <v>0.4</v>
      </c>
      <c r="W191" s="134">
        <f>V191</f>
        <v>0.4</v>
      </c>
      <c r="X191" s="134">
        <f t="shared" si="48"/>
        <v>0.4</v>
      </c>
      <c r="Y191" s="134">
        <f t="shared" si="48"/>
        <v>0.4</v>
      </c>
      <c r="Z191" s="134">
        <f t="shared" si="48"/>
        <v>0.4</v>
      </c>
      <c r="AA191" s="134">
        <f t="shared" si="48"/>
        <v>0.4</v>
      </c>
      <c r="AB191" s="134">
        <f t="shared" si="48"/>
        <v>0.4</v>
      </c>
      <c r="AC191" s="134">
        <f t="shared" si="48"/>
        <v>0.4</v>
      </c>
      <c r="AD191" s="134">
        <f t="shared" si="48"/>
        <v>0.4</v>
      </c>
      <c r="AE191" s="134">
        <f t="shared" si="48"/>
        <v>0.4</v>
      </c>
      <c r="AF191" s="134">
        <f t="shared" si="48"/>
        <v>0.4</v>
      </c>
      <c r="AG191" s="142">
        <v>2</v>
      </c>
      <c r="AH191" s="55"/>
      <c r="AI191" s="56"/>
      <c r="AK191" s="57"/>
    </row>
    <row r="192" spans="1:37" x14ac:dyDescent="0.25">
      <c r="A192" s="119" t="s">
        <v>195</v>
      </c>
      <c r="B192" s="134">
        <v>1.5</v>
      </c>
      <c r="C192" s="134">
        <f t="shared" si="47"/>
        <v>1.5</v>
      </c>
      <c r="D192" s="134">
        <f t="shared" si="47"/>
        <v>1.5</v>
      </c>
      <c r="E192" s="134">
        <f t="shared" si="47"/>
        <v>1.5</v>
      </c>
      <c r="F192" s="134">
        <f t="shared" si="47"/>
        <v>1.5</v>
      </c>
      <c r="G192" s="134">
        <f t="shared" si="47"/>
        <v>1.5</v>
      </c>
      <c r="H192" s="134">
        <f t="shared" si="47"/>
        <v>1.5</v>
      </c>
      <c r="I192" s="134">
        <f t="shared" si="47"/>
        <v>1.5</v>
      </c>
      <c r="J192" s="134">
        <f t="shared" si="47"/>
        <v>1.5</v>
      </c>
      <c r="K192" s="134">
        <f t="shared" si="47"/>
        <v>1.5</v>
      </c>
      <c r="L192" s="134">
        <f t="shared" si="47"/>
        <v>1.5</v>
      </c>
      <c r="M192" s="134">
        <f t="shared" si="47"/>
        <v>1.5</v>
      </c>
      <c r="N192" s="134">
        <f t="shared" si="47"/>
        <v>1.5</v>
      </c>
      <c r="O192" s="134">
        <f t="shared" si="47"/>
        <v>1.5</v>
      </c>
      <c r="P192" s="134">
        <f t="shared" si="47"/>
        <v>1.5</v>
      </c>
      <c r="Q192" s="134">
        <f t="shared" si="47"/>
        <v>1.5</v>
      </c>
      <c r="R192" s="134">
        <f t="shared" si="47"/>
        <v>1.5</v>
      </c>
      <c r="S192" s="134">
        <f t="shared" si="48"/>
        <v>1.5</v>
      </c>
      <c r="T192" s="134">
        <f t="shared" si="48"/>
        <v>1.5</v>
      </c>
      <c r="U192" s="134">
        <f t="shared" si="48"/>
        <v>1.5</v>
      </c>
      <c r="V192" s="134">
        <f t="shared" si="48"/>
        <v>1.5</v>
      </c>
      <c r="W192" s="134">
        <f t="shared" si="48"/>
        <v>1.5</v>
      </c>
      <c r="X192" s="134">
        <f t="shared" si="48"/>
        <v>1.5</v>
      </c>
      <c r="Y192" s="134">
        <f t="shared" si="48"/>
        <v>1.5</v>
      </c>
      <c r="Z192" s="134">
        <f t="shared" si="48"/>
        <v>1.5</v>
      </c>
      <c r="AA192" s="134">
        <f t="shared" si="48"/>
        <v>1.5</v>
      </c>
      <c r="AB192" s="134">
        <f t="shared" si="48"/>
        <v>1.5</v>
      </c>
      <c r="AC192" s="134">
        <f t="shared" si="48"/>
        <v>1.5</v>
      </c>
      <c r="AD192" s="134">
        <f t="shared" si="48"/>
        <v>1.5</v>
      </c>
      <c r="AE192" s="134">
        <f t="shared" si="48"/>
        <v>1.5</v>
      </c>
      <c r="AF192" s="134">
        <f t="shared" si="48"/>
        <v>1.5</v>
      </c>
      <c r="AG192" s="142">
        <v>1.5</v>
      </c>
      <c r="AH192" s="55"/>
      <c r="AI192" s="56"/>
      <c r="AK192" s="57"/>
    </row>
    <row r="193" spans="1:37" x14ac:dyDescent="0.25">
      <c r="A193" s="119" t="s">
        <v>196</v>
      </c>
      <c r="B193" s="134">
        <v>0.3</v>
      </c>
      <c r="C193" s="134">
        <f t="shared" si="47"/>
        <v>0.3</v>
      </c>
      <c r="D193" s="134">
        <f t="shared" si="47"/>
        <v>0.3</v>
      </c>
      <c r="E193" s="134">
        <f t="shared" si="47"/>
        <v>0.3</v>
      </c>
      <c r="F193" s="134">
        <f t="shared" si="47"/>
        <v>0.3</v>
      </c>
      <c r="G193" s="134">
        <f t="shared" si="47"/>
        <v>0.3</v>
      </c>
      <c r="H193" s="134">
        <f t="shared" si="47"/>
        <v>0.3</v>
      </c>
      <c r="I193" s="134">
        <f t="shared" si="47"/>
        <v>0.3</v>
      </c>
      <c r="J193" s="134">
        <f t="shared" si="47"/>
        <v>0.3</v>
      </c>
      <c r="K193" s="134">
        <f t="shared" si="47"/>
        <v>0.3</v>
      </c>
      <c r="L193" s="134">
        <f t="shared" si="47"/>
        <v>0.3</v>
      </c>
      <c r="M193" s="134">
        <f t="shared" si="47"/>
        <v>0.3</v>
      </c>
      <c r="N193" s="134">
        <f t="shared" si="47"/>
        <v>0.3</v>
      </c>
      <c r="O193" s="134">
        <f t="shared" si="47"/>
        <v>0.3</v>
      </c>
      <c r="P193" s="134">
        <f t="shared" si="47"/>
        <v>0.3</v>
      </c>
      <c r="Q193" s="134">
        <f t="shared" si="47"/>
        <v>0.3</v>
      </c>
      <c r="R193" s="134">
        <f t="shared" si="47"/>
        <v>0.3</v>
      </c>
      <c r="S193" s="134">
        <f t="shared" si="48"/>
        <v>0.3</v>
      </c>
      <c r="T193" s="134">
        <f t="shared" si="48"/>
        <v>0.3</v>
      </c>
      <c r="U193" s="134">
        <f t="shared" si="48"/>
        <v>0.3</v>
      </c>
      <c r="V193" s="134">
        <f t="shared" si="48"/>
        <v>0.3</v>
      </c>
      <c r="W193" s="134">
        <f t="shared" si="48"/>
        <v>0.3</v>
      </c>
      <c r="X193" s="134">
        <f t="shared" si="48"/>
        <v>0.3</v>
      </c>
      <c r="Y193" s="134">
        <f t="shared" si="48"/>
        <v>0.3</v>
      </c>
      <c r="Z193" s="134">
        <f t="shared" si="48"/>
        <v>0.3</v>
      </c>
      <c r="AA193" s="134">
        <f t="shared" si="48"/>
        <v>0.3</v>
      </c>
      <c r="AB193" s="134">
        <f t="shared" si="48"/>
        <v>0.3</v>
      </c>
      <c r="AC193" s="134">
        <f t="shared" si="48"/>
        <v>0.3</v>
      </c>
      <c r="AD193" s="134">
        <f t="shared" si="48"/>
        <v>0.3</v>
      </c>
      <c r="AE193" s="134">
        <f t="shared" si="48"/>
        <v>0.3</v>
      </c>
      <c r="AF193" s="134">
        <f t="shared" si="48"/>
        <v>0.3</v>
      </c>
      <c r="AG193" s="142">
        <v>1</v>
      </c>
      <c r="AH193" s="55"/>
      <c r="AI193" s="56"/>
      <c r="AK193" s="57"/>
    </row>
    <row r="194" spans="1:37" x14ac:dyDescent="0.25">
      <c r="A194" s="119" t="s">
        <v>197</v>
      </c>
      <c r="B194" s="134">
        <v>0.4</v>
      </c>
      <c r="C194" s="134">
        <f t="shared" si="47"/>
        <v>0.4</v>
      </c>
      <c r="D194" s="134">
        <f t="shared" si="47"/>
        <v>0.4</v>
      </c>
      <c r="E194" s="134">
        <f t="shared" si="47"/>
        <v>0.4</v>
      </c>
      <c r="F194" s="134">
        <f t="shared" si="47"/>
        <v>0.4</v>
      </c>
      <c r="G194" s="134">
        <f t="shared" si="47"/>
        <v>0.4</v>
      </c>
      <c r="H194" s="134">
        <f t="shared" si="47"/>
        <v>0.4</v>
      </c>
      <c r="I194" s="134">
        <f t="shared" si="47"/>
        <v>0.4</v>
      </c>
      <c r="J194" s="134">
        <f t="shared" si="47"/>
        <v>0.4</v>
      </c>
      <c r="K194" s="134">
        <f t="shared" si="47"/>
        <v>0.4</v>
      </c>
      <c r="L194" s="134">
        <f t="shared" si="47"/>
        <v>0.4</v>
      </c>
      <c r="M194" s="134">
        <f t="shared" si="47"/>
        <v>0.4</v>
      </c>
      <c r="N194" s="134">
        <f t="shared" si="47"/>
        <v>0.4</v>
      </c>
      <c r="O194" s="134">
        <f t="shared" si="47"/>
        <v>0.4</v>
      </c>
      <c r="P194" s="134">
        <f t="shared" si="47"/>
        <v>0.4</v>
      </c>
      <c r="Q194" s="134">
        <f t="shared" si="47"/>
        <v>0.4</v>
      </c>
      <c r="R194" s="134">
        <f t="shared" si="47"/>
        <v>0.4</v>
      </c>
      <c r="S194" s="134">
        <f t="shared" si="48"/>
        <v>0.4</v>
      </c>
      <c r="T194" s="134">
        <f t="shared" si="48"/>
        <v>0.4</v>
      </c>
      <c r="U194" s="134">
        <f t="shared" si="48"/>
        <v>0.4</v>
      </c>
      <c r="V194" s="134">
        <f t="shared" si="48"/>
        <v>0.4</v>
      </c>
      <c r="W194" s="134">
        <f t="shared" si="48"/>
        <v>0.4</v>
      </c>
      <c r="X194" s="134">
        <f t="shared" si="48"/>
        <v>0.4</v>
      </c>
      <c r="Y194" s="134">
        <f t="shared" si="48"/>
        <v>0.4</v>
      </c>
      <c r="Z194" s="134">
        <f t="shared" si="48"/>
        <v>0.4</v>
      </c>
      <c r="AA194" s="134">
        <f t="shared" si="48"/>
        <v>0.4</v>
      </c>
      <c r="AB194" s="134">
        <f t="shared" si="48"/>
        <v>0.4</v>
      </c>
      <c r="AC194" s="134">
        <f t="shared" si="48"/>
        <v>0.4</v>
      </c>
      <c r="AD194" s="134">
        <f t="shared" si="48"/>
        <v>0.4</v>
      </c>
      <c r="AE194" s="134">
        <f t="shared" si="48"/>
        <v>0.4</v>
      </c>
      <c r="AF194" s="134">
        <f t="shared" si="48"/>
        <v>0.4</v>
      </c>
      <c r="AG194" s="142">
        <v>1</v>
      </c>
      <c r="AH194" s="55"/>
      <c r="AI194" s="56"/>
      <c r="AK194" s="57"/>
    </row>
    <row r="195" spans="1:37" ht="15.75" thickBot="1" x14ac:dyDescent="0.3">
      <c r="A195" s="121" t="s">
        <v>198</v>
      </c>
      <c r="B195" s="143">
        <v>0.64</v>
      </c>
      <c r="C195" s="143">
        <f t="shared" si="47"/>
        <v>0.64</v>
      </c>
      <c r="D195" s="143">
        <f t="shared" si="47"/>
        <v>0.64</v>
      </c>
      <c r="E195" s="143">
        <f t="shared" si="47"/>
        <v>0.64</v>
      </c>
      <c r="F195" s="143">
        <f t="shared" si="47"/>
        <v>0.64</v>
      </c>
      <c r="G195" s="143">
        <f t="shared" si="47"/>
        <v>0.64</v>
      </c>
      <c r="H195" s="143">
        <f t="shared" si="47"/>
        <v>0.64</v>
      </c>
      <c r="I195" s="143">
        <f t="shared" si="47"/>
        <v>0.64</v>
      </c>
      <c r="J195" s="143">
        <f t="shared" si="47"/>
        <v>0.64</v>
      </c>
      <c r="K195" s="143">
        <f t="shared" si="47"/>
        <v>0.64</v>
      </c>
      <c r="L195" s="143">
        <f t="shared" si="47"/>
        <v>0.64</v>
      </c>
      <c r="M195" s="143">
        <f t="shared" si="47"/>
        <v>0.64</v>
      </c>
      <c r="N195" s="143">
        <f t="shared" si="47"/>
        <v>0.64</v>
      </c>
      <c r="O195" s="143">
        <f t="shared" si="47"/>
        <v>0.64</v>
      </c>
      <c r="P195" s="143">
        <f t="shared" si="47"/>
        <v>0.64</v>
      </c>
      <c r="Q195" s="143">
        <f t="shared" si="47"/>
        <v>0.64</v>
      </c>
      <c r="R195" s="143">
        <f t="shared" si="47"/>
        <v>0.64</v>
      </c>
      <c r="S195" s="143">
        <f t="shared" si="48"/>
        <v>0.64</v>
      </c>
      <c r="T195" s="143">
        <f t="shared" si="48"/>
        <v>0.64</v>
      </c>
      <c r="U195" s="143">
        <f t="shared" si="48"/>
        <v>0.64</v>
      </c>
      <c r="V195" s="143">
        <f t="shared" si="48"/>
        <v>0.64</v>
      </c>
      <c r="W195" s="143">
        <f t="shared" si="48"/>
        <v>0.64</v>
      </c>
      <c r="X195" s="143">
        <f t="shared" si="48"/>
        <v>0.64</v>
      </c>
      <c r="Y195" s="143">
        <f t="shared" si="48"/>
        <v>0.64</v>
      </c>
      <c r="Z195" s="143">
        <f t="shared" si="48"/>
        <v>0.64</v>
      </c>
      <c r="AA195" s="143">
        <f t="shared" si="48"/>
        <v>0.64</v>
      </c>
      <c r="AB195" s="143">
        <f t="shared" si="48"/>
        <v>0.64</v>
      </c>
      <c r="AC195" s="143">
        <f t="shared" si="48"/>
        <v>0.64</v>
      </c>
      <c r="AD195" s="143">
        <f t="shared" si="48"/>
        <v>0.64</v>
      </c>
      <c r="AE195" s="143">
        <f t="shared" si="48"/>
        <v>0.64</v>
      </c>
      <c r="AF195" s="143">
        <f t="shared" si="48"/>
        <v>0.64</v>
      </c>
      <c r="AG195" s="144">
        <v>0.66</v>
      </c>
      <c r="AH195" s="55"/>
      <c r="AI195" s="56"/>
    </row>
    <row r="196" spans="1:37" ht="15.75" thickBot="1" x14ac:dyDescent="0.3">
      <c r="A196" s="145" t="s">
        <v>56</v>
      </c>
      <c r="B196" s="146">
        <f>SUM(B190:B195)</f>
        <v>3.54</v>
      </c>
      <c r="C196" s="146">
        <f t="shared" ref="C196:K196" si="49">SUM(C190:C195)</f>
        <v>3.54</v>
      </c>
      <c r="D196" s="146">
        <f t="shared" si="49"/>
        <v>3.54</v>
      </c>
      <c r="E196" s="146">
        <f t="shared" si="49"/>
        <v>3.54</v>
      </c>
      <c r="F196" s="146">
        <f t="shared" si="49"/>
        <v>3.54</v>
      </c>
      <c r="G196" s="146">
        <f t="shared" si="49"/>
        <v>3.54</v>
      </c>
      <c r="H196" s="146">
        <f t="shared" si="49"/>
        <v>3.54</v>
      </c>
      <c r="I196" s="146">
        <f t="shared" si="49"/>
        <v>3.54</v>
      </c>
      <c r="J196" s="146">
        <f t="shared" si="49"/>
        <v>3.54</v>
      </c>
      <c r="K196" s="146">
        <f t="shared" si="49"/>
        <v>3.54</v>
      </c>
      <c r="L196" s="146">
        <f>SUM(L190:L195)</f>
        <v>3.54</v>
      </c>
      <c r="M196" s="146">
        <f t="shared" ref="M196:R196" si="50">SUM(M190:M195)</f>
        <v>3.54</v>
      </c>
      <c r="N196" s="146">
        <f t="shared" si="50"/>
        <v>3.54</v>
      </c>
      <c r="O196" s="146">
        <f t="shared" si="50"/>
        <v>3.54</v>
      </c>
      <c r="P196" s="146">
        <f t="shared" si="50"/>
        <v>3.54</v>
      </c>
      <c r="Q196" s="146">
        <f t="shared" si="50"/>
        <v>3.54</v>
      </c>
      <c r="R196" s="146">
        <f t="shared" si="50"/>
        <v>3.54</v>
      </c>
      <c r="S196" s="146">
        <f>SUM(S190:S195)</f>
        <v>3.54</v>
      </c>
      <c r="T196" s="146">
        <f t="shared" ref="T196:AG196" si="51">SUM(T190:T195)</f>
        <v>3.54</v>
      </c>
      <c r="U196" s="146">
        <f t="shared" si="51"/>
        <v>3.54</v>
      </c>
      <c r="V196" s="146">
        <f t="shared" si="51"/>
        <v>3.54</v>
      </c>
      <c r="W196" s="146">
        <f t="shared" si="51"/>
        <v>3.54</v>
      </c>
      <c r="X196" s="146">
        <f t="shared" si="51"/>
        <v>3.54</v>
      </c>
      <c r="Y196" s="146">
        <f t="shared" si="51"/>
        <v>3.54</v>
      </c>
      <c r="Z196" s="146">
        <f t="shared" si="51"/>
        <v>3.54</v>
      </c>
      <c r="AA196" s="146">
        <f t="shared" si="51"/>
        <v>3.54</v>
      </c>
      <c r="AB196" s="146">
        <f t="shared" si="51"/>
        <v>3.54</v>
      </c>
      <c r="AC196" s="146">
        <f t="shared" si="51"/>
        <v>3.54</v>
      </c>
      <c r="AD196" s="146">
        <f t="shared" si="51"/>
        <v>3.54</v>
      </c>
      <c r="AE196" s="146">
        <f t="shared" si="51"/>
        <v>3.54</v>
      </c>
      <c r="AF196" s="146">
        <f t="shared" si="51"/>
        <v>3.54</v>
      </c>
      <c r="AG196" s="147">
        <f t="shared" si="51"/>
        <v>8.56</v>
      </c>
      <c r="AH196" s="55"/>
      <c r="AI196" s="56"/>
    </row>
    <row r="197" spans="1:37" ht="15.75" thickBot="1" x14ac:dyDescent="0.3"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109"/>
      <c r="AH197" s="47"/>
    </row>
    <row r="198" spans="1:37" x14ac:dyDescent="0.25">
      <c r="A198" s="92" t="s">
        <v>199</v>
      </c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9"/>
      <c r="AG198" s="47"/>
      <c r="AH198" s="55"/>
      <c r="AI198" s="56"/>
    </row>
    <row r="199" spans="1:37" x14ac:dyDescent="0.25">
      <c r="A199" s="150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153"/>
      <c r="AH199" s="55"/>
      <c r="AI199" s="56"/>
    </row>
    <row r="200" spans="1:37" x14ac:dyDescent="0.25">
      <c r="A200" s="96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3"/>
      <c r="AH200" s="55"/>
      <c r="AI200" s="56"/>
    </row>
    <row r="201" spans="1:37" x14ac:dyDescent="0.25">
      <c r="A201" s="96" t="s">
        <v>202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ht="15.75" thickBot="1" x14ac:dyDescent="0.3">
      <c r="A202" s="156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3"/>
      <c r="AH202" s="55"/>
      <c r="AI202" s="56"/>
    </row>
    <row r="203" spans="1:37" x14ac:dyDescent="0.25"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</row>
    <row r="204" spans="1:37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159" t="s">
        <v>204</v>
      </c>
      <c r="B205" s="160">
        <f>MAX(F72:M72)</f>
        <v>1154.44</v>
      </c>
      <c r="C205" s="161">
        <f>INDEX(F9:M9,1,MATCH(MAX(F72:M72),F72:M72,0))</f>
        <v>0.375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162" t="str">
        <f ca="1">MID(CELL("filename",C7),FIND("]",CELL("filename",C7))+1,600)</f>
        <v>3</v>
      </c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97" t="s">
        <v>205</v>
      </c>
      <c r="B207" s="197"/>
      <c r="C207" s="47"/>
      <c r="D207" s="162" t="str">
        <f ca="1">"Pie Chart of Daily Peak Demand(Inclusive of Export) of Nepal ("&amp;A4&amp;" "&amp;B4&amp;")"</f>
        <v>Pie Chart of Daily Peak Demand(Inclusive of Export) of Nepal (Nepali Date: 2078/04/3)</v>
      </c>
      <c r="E207" s="47"/>
      <c r="F207" s="47"/>
      <c r="G207" s="162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"Daily Load Curve(Excluding of Export) of Nepal ("&amp;A4&amp;" "&amp;B4&amp;")"</f>
        <v>Daily Load Curve(Excluding of Export) of Nepal (Nepali Date: 2078/04/3)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ht="12.75" customHeight="1" thickBot="1" x14ac:dyDescent="0.3">
      <c r="A208" s="163" t="s">
        <v>7</v>
      </c>
      <c r="B208" s="164"/>
      <c r="C208" s="47"/>
      <c r="D208" s="16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5.75" thickTop="1" x14ac:dyDescent="0.25">
      <c r="A209" s="163" t="s">
        <v>206</v>
      </c>
      <c r="B209" s="164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6" t="s">
        <v>207</v>
      </c>
      <c r="T209" s="167">
        <v>4.1666666666666664E-2</v>
      </c>
      <c r="U209" s="168">
        <v>8.3333333333333301E-2</v>
      </c>
      <c r="V209" s="168">
        <v>0.125</v>
      </c>
      <c r="W209" s="168">
        <v>0.16666666666666699</v>
      </c>
      <c r="X209" s="168">
        <v>0.20833333333333301</v>
      </c>
      <c r="Y209" s="168">
        <v>0.22916666666666666</v>
      </c>
      <c r="Z209" s="168">
        <v>0.25</v>
      </c>
      <c r="AA209" s="168">
        <v>0.27083333333333331</v>
      </c>
      <c r="AB209" s="168">
        <v>0.29166666666666669</v>
      </c>
      <c r="AC209" s="168">
        <v>0.3125</v>
      </c>
      <c r="AD209" s="169">
        <v>0.33333333333333331</v>
      </c>
      <c r="AE209" s="169">
        <v>0.375</v>
      </c>
      <c r="AF209" s="169">
        <v>0.41666666666666702</v>
      </c>
      <c r="AG209" s="169">
        <v>0.45833333333333298</v>
      </c>
      <c r="AH209" s="169">
        <v>0.5</v>
      </c>
      <c r="AI209" s="169">
        <v>0.54166666666666696</v>
      </c>
      <c r="AJ209" s="169">
        <v>0.58333333333333304</v>
      </c>
      <c r="AK209" s="169">
        <v>0.625</v>
      </c>
      <c r="AL209" s="169">
        <v>0.66666666666666696</v>
      </c>
      <c r="AM209" s="169">
        <v>0.70833333333333304</v>
      </c>
      <c r="AN209" s="169">
        <v>0.72916666666666663</v>
      </c>
      <c r="AO209" s="169">
        <v>0.75</v>
      </c>
      <c r="AP209" s="169">
        <v>0.77083333333333337</v>
      </c>
      <c r="AQ209" s="169">
        <v>0.79166666666666663</v>
      </c>
      <c r="AR209" s="169">
        <v>0.8125</v>
      </c>
      <c r="AS209" s="168">
        <v>0.83333333333333337</v>
      </c>
      <c r="AT209" s="168">
        <v>0.85416666666666663</v>
      </c>
      <c r="AU209" s="168">
        <v>0.875</v>
      </c>
      <c r="AV209" s="168">
        <v>0.91666666666666696</v>
      </c>
      <c r="AW209" s="168">
        <v>0.95833333333333304</v>
      </c>
      <c r="AX209" s="168">
        <v>1</v>
      </c>
    </row>
    <row r="210" spans="1:50" x14ac:dyDescent="0.25">
      <c r="A210" s="163" t="s">
        <v>208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 t="s">
        <v>209</v>
      </c>
      <c r="T210" s="170">
        <f t="shared" ref="T210:AX210" si="52">B72</f>
        <v>3.54</v>
      </c>
      <c r="U210" s="170">
        <f t="shared" si="52"/>
        <v>1039.6400000000001</v>
      </c>
      <c r="V210" s="170">
        <f t="shared" si="52"/>
        <v>1017.8399999999999</v>
      </c>
      <c r="W210" s="170">
        <f t="shared" si="52"/>
        <v>1000.0400000000001</v>
      </c>
      <c r="X210" s="170">
        <f t="shared" si="52"/>
        <v>988.6400000000001</v>
      </c>
      <c r="Y210" s="170">
        <f t="shared" si="52"/>
        <v>999.1400000000001</v>
      </c>
      <c r="Z210" s="170">
        <f t="shared" si="52"/>
        <v>964.84000000000015</v>
      </c>
      <c r="AA210" s="170">
        <f t="shared" si="52"/>
        <v>1009.5400000000001</v>
      </c>
      <c r="AB210" s="170">
        <f t="shared" si="52"/>
        <v>1101.94</v>
      </c>
      <c r="AC210" s="170">
        <f t="shared" si="52"/>
        <v>1070.0400000000002</v>
      </c>
      <c r="AD210" s="170">
        <f t="shared" si="52"/>
        <v>1093.54</v>
      </c>
      <c r="AE210" s="170">
        <f t="shared" si="52"/>
        <v>1154.44</v>
      </c>
      <c r="AF210" s="170">
        <f t="shared" si="52"/>
        <v>1155.6400000000001</v>
      </c>
      <c r="AG210" s="170">
        <f t="shared" si="52"/>
        <v>1161.6399999999999</v>
      </c>
      <c r="AH210" s="170">
        <f t="shared" si="52"/>
        <v>1243.74</v>
      </c>
      <c r="AI210" s="170">
        <f t="shared" si="52"/>
        <v>1271.74</v>
      </c>
      <c r="AJ210" s="170">
        <f t="shared" si="52"/>
        <v>1287.74</v>
      </c>
      <c r="AK210" s="170">
        <f t="shared" si="52"/>
        <v>1262.8400000000001</v>
      </c>
      <c r="AL210" s="170">
        <f t="shared" si="52"/>
        <v>1246.74</v>
      </c>
      <c r="AM210" s="170">
        <f t="shared" si="52"/>
        <v>1215.1399999999999</v>
      </c>
      <c r="AN210" s="170">
        <f t="shared" si="52"/>
        <v>1229.04</v>
      </c>
      <c r="AO210" s="170">
        <f t="shared" si="52"/>
        <v>1309.44</v>
      </c>
      <c r="AP210" s="170">
        <f t="shared" si="52"/>
        <v>1450.44</v>
      </c>
      <c r="AQ210" s="170">
        <f t="shared" si="52"/>
        <v>1458.3000000000002</v>
      </c>
      <c r="AR210" s="170">
        <f t="shared" si="52"/>
        <v>1435.94</v>
      </c>
      <c r="AS210" s="170">
        <f t="shared" si="52"/>
        <v>1413.6399999999999</v>
      </c>
      <c r="AT210" s="170">
        <f t="shared" si="52"/>
        <v>1386.94</v>
      </c>
      <c r="AU210" s="170">
        <f t="shared" si="52"/>
        <v>1371.24</v>
      </c>
      <c r="AV210" s="170">
        <f t="shared" si="52"/>
        <v>1266.04</v>
      </c>
      <c r="AW210" s="170">
        <f t="shared" si="52"/>
        <v>1215.74</v>
      </c>
      <c r="AX210" s="170">
        <f t="shared" si="52"/>
        <v>1214.94</v>
      </c>
    </row>
    <row r="211" spans="1:50" x14ac:dyDescent="0.25">
      <c r="A211" s="163" t="s">
        <v>210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63" t="s">
        <v>211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212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213</v>
      </c>
      <c r="B214" s="171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214</v>
      </c>
      <c r="B215" s="16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A231" s="172" t="s">
        <v>199</v>
      </c>
      <c r="B231" s="173">
        <f t="shared" ref="B231:AF231" si="53">B195</f>
        <v>0.64</v>
      </c>
      <c r="C231" s="173">
        <f t="shared" si="53"/>
        <v>0.64</v>
      </c>
      <c r="D231" s="173">
        <f t="shared" si="53"/>
        <v>0.64</v>
      </c>
      <c r="E231" s="173">
        <f t="shared" si="53"/>
        <v>0.64</v>
      </c>
      <c r="F231" s="173">
        <f t="shared" si="53"/>
        <v>0.64</v>
      </c>
      <c r="G231" s="173">
        <f t="shared" si="53"/>
        <v>0.64</v>
      </c>
      <c r="H231" s="173">
        <f t="shared" si="53"/>
        <v>0.64</v>
      </c>
      <c r="I231" s="173">
        <f t="shared" si="53"/>
        <v>0.64</v>
      </c>
      <c r="J231" s="173">
        <f t="shared" si="53"/>
        <v>0.64</v>
      </c>
      <c r="K231" s="173">
        <f t="shared" si="53"/>
        <v>0.64</v>
      </c>
      <c r="L231" s="173">
        <f t="shared" si="53"/>
        <v>0.64</v>
      </c>
      <c r="M231" s="173">
        <f t="shared" si="53"/>
        <v>0.64</v>
      </c>
      <c r="N231" s="173">
        <f t="shared" si="53"/>
        <v>0.64</v>
      </c>
      <c r="O231" s="173">
        <f t="shared" si="53"/>
        <v>0.64</v>
      </c>
      <c r="P231" s="173">
        <f t="shared" si="53"/>
        <v>0.64</v>
      </c>
      <c r="Q231" s="173">
        <f t="shared" si="53"/>
        <v>0.64</v>
      </c>
      <c r="R231" s="173">
        <f t="shared" si="53"/>
        <v>0.64</v>
      </c>
      <c r="S231" s="173">
        <f t="shared" si="53"/>
        <v>0.64</v>
      </c>
      <c r="T231" s="173">
        <f t="shared" si="53"/>
        <v>0.64</v>
      </c>
      <c r="U231" s="173">
        <f t="shared" si="53"/>
        <v>0.64</v>
      </c>
      <c r="V231" s="173">
        <f t="shared" si="53"/>
        <v>0.64</v>
      </c>
      <c r="W231" s="173">
        <f t="shared" si="53"/>
        <v>0.64</v>
      </c>
      <c r="X231" s="173">
        <f t="shared" si="53"/>
        <v>0.64</v>
      </c>
      <c r="Y231" s="173">
        <f t="shared" si="53"/>
        <v>0.64</v>
      </c>
      <c r="Z231" s="173">
        <f t="shared" si="53"/>
        <v>0.64</v>
      </c>
      <c r="AA231" s="173">
        <f t="shared" si="53"/>
        <v>0.64</v>
      </c>
      <c r="AB231" s="173">
        <f t="shared" si="53"/>
        <v>0.64</v>
      </c>
      <c r="AC231" s="173">
        <f t="shared" si="53"/>
        <v>0.64</v>
      </c>
      <c r="AD231" s="173">
        <f t="shared" si="53"/>
        <v>0.64</v>
      </c>
      <c r="AE231" s="173">
        <f t="shared" si="53"/>
        <v>0.64</v>
      </c>
      <c r="AF231" s="173">
        <f t="shared" si="53"/>
        <v>0.64</v>
      </c>
      <c r="AG231" s="47"/>
      <c r="AH231" s="47"/>
    </row>
    <row r="232" spans="1:34" x14ac:dyDescent="0.25">
      <c r="A232" s="117" t="str">
        <f>A199</f>
        <v>KGA</v>
      </c>
      <c r="B232" s="117" t="str">
        <f>IF(B199&lt;100,"",B199-520)</f>
        <v/>
      </c>
      <c r="C232" s="117" t="str">
        <f t="shared" ref="C232:AF232" si="54">IF(C199&lt;100,"",C199-520)</f>
        <v/>
      </c>
      <c r="D232" s="117" t="str">
        <f t="shared" si="54"/>
        <v/>
      </c>
      <c r="E232" s="117" t="str">
        <f t="shared" si="54"/>
        <v/>
      </c>
      <c r="F232" s="117" t="str">
        <f t="shared" si="54"/>
        <v/>
      </c>
      <c r="G232" s="117" t="str">
        <f t="shared" si="54"/>
        <v/>
      </c>
      <c r="H232" s="117" t="str">
        <f t="shared" si="54"/>
        <v/>
      </c>
      <c r="I232" s="117" t="str">
        <f t="shared" si="54"/>
        <v/>
      </c>
      <c r="J232" s="117" t="str">
        <f t="shared" si="54"/>
        <v/>
      </c>
      <c r="K232" s="117" t="str">
        <f t="shared" si="54"/>
        <v/>
      </c>
      <c r="L232" s="117" t="str">
        <f t="shared" si="54"/>
        <v/>
      </c>
      <c r="M232" s="117" t="str">
        <f t="shared" si="54"/>
        <v/>
      </c>
      <c r="N232" s="117" t="str">
        <f t="shared" si="54"/>
        <v/>
      </c>
      <c r="O232" s="117" t="str">
        <f t="shared" si="54"/>
        <v/>
      </c>
      <c r="P232" s="117" t="str">
        <f t="shared" si="54"/>
        <v/>
      </c>
      <c r="Q232" s="117" t="str">
        <f t="shared" si="54"/>
        <v/>
      </c>
      <c r="R232" s="117" t="str">
        <f t="shared" si="54"/>
        <v/>
      </c>
      <c r="S232" s="117" t="str">
        <f t="shared" si="54"/>
        <v/>
      </c>
      <c r="T232" s="117" t="str">
        <f t="shared" si="54"/>
        <v/>
      </c>
      <c r="U232" s="117" t="str">
        <f t="shared" si="54"/>
        <v/>
      </c>
      <c r="V232" s="117" t="str">
        <f t="shared" si="54"/>
        <v/>
      </c>
      <c r="W232" s="117" t="str">
        <f t="shared" si="54"/>
        <v/>
      </c>
      <c r="X232" s="117" t="str">
        <f t="shared" si="54"/>
        <v/>
      </c>
      <c r="Y232" s="117" t="str">
        <f t="shared" si="54"/>
        <v/>
      </c>
      <c r="Z232" s="117" t="str">
        <f t="shared" si="54"/>
        <v/>
      </c>
      <c r="AA232" s="117" t="str">
        <f t="shared" si="54"/>
        <v/>
      </c>
      <c r="AB232" s="117" t="str">
        <f t="shared" si="54"/>
        <v/>
      </c>
      <c r="AC232" s="117" t="str">
        <f t="shared" si="54"/>
        <v/>
      </c>
      <c r="AD232" s="117" t="str">
        <f t="shared" si="54"/>
        <v/>
      </c>
      <c r="AE232" s="117" t="str">
        <f t="shared" si="54"/>
        <v/>
      </c>
      <c r="AF232" s="117" t="str">
        <f t="shared" si="54"/>
        <v/>
      </c>
      <c r="AG232" s="47"/>
      <c r="AH232" s="47"/>
    </row>
    <row r="233" spans="1:34" x14ac:dyDescent="0.25">
      <c r="A233" s="117" t="str">
        <f>A200</f>
        <v>MMRS</v>
      </c>
      <c r="B233" s="117" t="str">
        <f t="shared" ref="B233:AF233" si="55">IF(B200&lt;100,"",B200-620)</f>
        <v/>
      </c>
      <c r="C233" s="117" t="str">
        <f t="shared" si="55"/>
        <v/>
      </c>
      <c r="D233" s="117" t="str">
        <f t="shared" si="55"/>
        <v/>
      </c>
      <c r="E233" s="117" t="str">
        <f t="shared" si="55"/>
        <v/>
      </c>
      <c r="F233" s="117" t="str">
        <f t="shared" si="55"/>
        <v/>
      </c>
      <c r="G233" s="117" t="str">
        <f t="shared" si="55"/>
        <v/>
      </c>
      <c r="H233" s="117" t="str">
        <f t="shared" si="55"/>
        <v/>
      </c>
      <c r="I233" s="117" t="str">
        <f t="shared" si="55"/>
        <v/>
      </c>
      <c r="J233" s="117" t="str">
        <f t="shared" si="55"/>
        <v/>
      </c>
      <c r="K233" s="117" t="str">
        <f t="shared" si="55"/>
        <v/>
      </c>
      <c r="L233" s="117" t="str">
        <f t="shared" si="55"/>
        <v/>
      </c>
      <c r="M233" s="117" t="str">
        <f t="shared" si="55"/>
        <v/>
      </c>
      <c r="N233" s="117" t="str">
        <f t="shared" si="55"/>
        <v/>
      </c>
      <c r="O233" s="117" t="str">
        <f t="shared" si="55"/>
        <v/>
      </c>
      <c r="P233" s="117" t="str">
        <f t="shared" si="55"/>
        <v/>
      </c>
      <c r="Q233" s="117" t="str">
        <f t="shared" si="55"/>
        <v/>
      </c>
      <c r="R233" s="117" t="str">
        <f t="shared" si="55"/>
        <v/>
      </c>
      <c r="S233" s="117" t="str">
        <f t="shared" si="55"/>
        <v/>
      </c>
      <c r="T233" s="117" t="str">
        <f t="shared" si="55"/>
        <v/>
      </c>
      <c r="U233" s="117" t="str">
        <f t="shared" si="55"/>
        <v/>
      </c>
      <c r="V233" s="117" t="str">
        <f t="shared" si="55"/>
        <v/>
      </c>
      <c r="W233" s="117" t="str">
        <f t="shared" si="55"/>
        <v/>
      </c>
      <c r="X233" s="117" t="str">
        <f t="shared" si="55"/>
        <v/>
      </c>
      <c r="Y233" s="117" t="str">
        <f t="shared" si="55"/>
        <v/>
      </c>
      <c r="Z233" s="117" t="str">
        <f t="shared" si="55"/>
        <v/>
      </c>
      <c r="AA233" s="117" t="str">
        <f t="shared" si="55"/>
        <v/>
      </c>
      <c r="AB233" s="117" t="str">
        <f t="shared" si="55"/>
        <v/>
      </c>
      <c r="AC233" s="117" t="str">
        <f t="shared" si="55"/>
        <v/>
      </c>
      <c r="AD233" s="117" t="str">
        <f t="shared" si="55"/>
        <v/>
      </c>
      <c r="AE233" s="117" t="str">
        <f t="shared" si="55"/>
        <v/>
      </c>
      <c r="AF233" s="117" t="str">
        <f t="shared" si="55"/>
        <v/>
      </c>
      <c r="AG233" s="47"/>
      <c r="AH233" s="47"/>
    </row>
    <row r="234" spans="1:34" x14ac:dyDescent="0.25">
      <c r="A234" s="117" t="str">
        <f>A201</f>
        <v>MRS</v>
      </c>
      <c r="B234" s="117" t="str">
        <f t="shared" ref="B234:AF234" si="56">IF(B201&lt;100,"",B201-330)</f>
        <v/>
      </c>
      <c r="C234" s="117" t="str">
        <f t="shared" si="56"/>
        <v/>
      </c>
      <c r="D234" s="117" t="str">
        <f t="shared" si="56"/>
        <v/>
      </c>
      <c r="E234" s="117" t="str">
        <f t="shared" si="56"/>
        <v/>
      </c>
      <c r="F234" s="117" t="str">
        <f t="shared" si="56"/>
        <v/>
      </c>
      <c r="G234" s="117" t="str">
        <f t="shared" si="56"/>
        <v/>
      </c>
      <c r="H234" s="117" t="str">
        <f t="shared" si="56"/>
        <v/>
      </c>
      <c r="I234" s="117" t="str">
        <f t="shared" si="56"/>
        <v/>
      </c>
      <c r="J234" s="117" t="str">
        <f t="shared" si="56"/>
        <v/>
      </c>
      <c r="K234" s="117" t="str">
        <f t="shared" si="56"/>
        <v/>
      </c>
      <c r="L234" s="117" t="str">
        <f t="shared" si="56"/>
        <v/>
      </c>
      <c r="M234" s="117" t="str">
        <f t="shared" si="56"/>
        <v/>
      </c>
      <c r="N234" s="117" t="str">
        <f t="shared" si="56"/>
        <v/>
      </c>
      <c r="O234" s="117" t="str">
        <f t="shared" si="56"/>
        <v/>
      </c>
      <c r="P234" s="117" t="str">
        <f t="shared" si="56"/>
        <v/>
      </c>
      <c r="Q234" s="117" t="str">
        <f t="shared" si="56"/>
        <v/>
      </c>
      <c r="R234" s="117" t="str">
        <f t="shared" si="56"/>
        <v/>
      </c>
      <c r="S234" s="117" t="str">
        <f t="shared" si="56"/>
        <v/>
      </c>
      <c r="T234" s="117" t="str">
        <f t="shared" si="56"/>
        <v/>
      </c>
      <c r="U234" s="117" t="str">
        <f t="shared" si="56"/>
        <v/>
      </c>
      <c r="V234" s="117" t="str">
        <f t="shared" si="56"/>
        <v/>
      </c>
      <c r="W234" s="117" t="str">
        <f t="shared" si="56"/>
        <v/>
      </c>
      <c r="X234" s="117" t="str">
        <f t="shared" si="56"/>
        <v/>
      </c>
      <c r="Y234" s="117" t="str">
        <f t="shared" si="56"/>
        <v/>
      </c>
      <c r="Z234" s="117" t="str">
        <f t="shared" si="56"/>
        <v/>
      </c>
      <c r="AA234" s="117" t="str">
        <f t="shared" si="56"/>
        <v/>
      </c>
      <c r="AB234" s="117" t="str">
        <f t="shared" si="56"/>
        <v/>
      </c>
      <c r="AC234" s="117" t="str">
        <f t="shared" si="56"/>
        <v/>
      </c>
      <c r="AD234" s="117" t="str">
        <f t="shared" si="56"/>
        <v/>
      </c>
      <c r="AE234" s="117" t="str">
        <f t="shared" si="56"/>
        <v/>
      </c>
      <c r="AF234" s="117" t="str">
        <f t="shared" si="56"/>
        <v/>
      </c>
      <c r="AG234" s="47"/>
      <c r="AH234" s="47"/>
    </row>
    <row r="235" spans="1:34" x14ac:dyDescent="0.25">
      <c r="A235" s="117" t="str">
        <f>A202</f>
        <v>KL 1</v>
      </c>
      <c r="B235" s="117" t="str">
        <f>IF(B202&lt;100,"",B202-1500)</f>
        <v/>
      </c>
      <c r="C235" s="117" t="str">
        <f t="shared" ref="C235:AF235" si="57">IF(C202&lt;100,"",C202-1500)</f>
        <v/>
      </c>
      <c r="D235" s="117" t="str">
        <f t="shared" si="57"/>
        <v/>
      </c>
      <c r="E235" s="117" t="str">
        <f t="shared" si="57"/>
        <v/>
      </c>
      <c r="F235" s="117" t="str">
        <f t="shared" si="57"/>
        <v/>
      </c>
      <c r="G235" s="117" t="str">
        <f t="shared" si="57"/>
        <v/>
      </c>
      <c r="H235" s="117" t="str">
        <f t="shared" si="57"/>
        <v/>
      </c>
      <c r="I235" s="117" t="str">
        <f t="shared" si="57"/>
        <v/>
      </c>
      <c r="J235" s="117" t="str">
        <f t="shared" si="57"/>
        <v/>
      </c>
      <c r="K235" s="117" t="str">
        <f t="shared" si="57"/>
        <v/>
      </c>
      <c r="L235" s="117" t="str">
        <f t="shared" si="57"/>
        <v/>
      </c>
      <c r="M235" s="117" t="str">
        <f t="shared" si="57"/>
        <v/>
      </c>
      <c r="N235" s="117" t="str">
        <f t="shared" si="57"/>
        <v/>
      </c>
      <c r="O235" s="117" t="str">
        <f t="shared" si="57"/>
        <v/>
      </c>
      <c r="P235" s="117" t="str">
        <f t="shared" si="57"/>
        <v/>
      </c>
      <c r="Q235" s="117" t="str">
        <f t="shared" si="57"/>
        <v/>
      </c>
      <c r="R235" s="117" t="str">
        <f t="shared" si="57"/>
        <v/>
      </c>
      <c r="S235" s="117" t="str">
        <f t="shared" si="57"/>
        <v/>
      </c>
      <c r="T235" s="117" t="str">
        <f t="shared" si="57"/>
        <v/>
      </c>
      <c r="U235" s="117" t="str">
        <f t="shared" si="57"/>
        <v/>
      </c>
      <c r="V235" s="117" t="str">
        <f t="shared" si="57"/>
        <v/>
      </c>
      <c r="W235" s="117" t="str">
        <f t="shared" si="57"/>
        <v/>
      </c>
      <c r="X235" s="117" t="str">
        <f t="shared" si="57"/>
        <v/>
      </c>
      <c r="Y235" s="117" t="str">
        <f t="shared" si="57"/>
        <v/>
      </c>
      <c r="Z235" s="117" t="str">
        <f t="shared" si="57"/>
        <v/>
      </c>
      <c r="AA235" s="117" t="str">
        <f t="shared" si="57"/>
        <v/>
      </c>
      <c r="AB235" s="117" t="str">
        <f t="shared" si="57"/>
        <v/>
      </c>
      <c r="AC235" s="117" t="str">
        <f t="shared" si="57"/>
        <v/>
      </c>
      <c r="AD235" s="117" t="str">
        <f t="shared" si="57"/>
        <v/>
      </c>
      <c r="AE235" s="117" t="str">
        <f t="shared" si="57"/>
        <v/>
      </c>
      <c r="AF235" s="117" t="str">
        <f t="shared" si="57"/>
        <v/>
      </c>
      <c r="AG235" s="47"/>
      <c r="AH235" s="47"/>
    </row>
    <row r="236" spans="1:34" x14ac:dyDescent="0.25"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086" priority="298">
      <formula>S$9&gt;=20/24</formula>
    </cfRule>
    <cfRule type="expression" dxfId="10085" priority="299">
      <formula>AND(S$9&gt;=14/24,S$9&lt;20/24)</formula>
    </cfRule>
    <cfRule type="expression" dxfId="10084" priority="300">
      <formula>AND(S$9&gt;=8/24,S$9&lt;14/24)</formula>
    </cfRule>
    <cfRule type="expression" dxfId="10083" priority="301">
      <formula>S$9&lt;8/24</formula>
    </cfRule>
  </conditionalFormatting>
  <conditionalFormatting sqref="B8:AF10 AA78:AF78 B78:Q78 B53:AF53 B79:AF79 C190:AF196 Q34 B65:AF69 M59:M64 T209:AX209 B71:AF75 B77:AF77 B60:C64 Q36 N58:N64 Q39 Q42:Q45 O57:Q64 Q12:Q13 Q15:Q16 Q37:AD38 AB81:AF88 L58:M58 L57:N57 B54:K58 O25 N22:O24 Q18:Q30 P22:P25 L36:P39 Q17:S17 R18:S28 L55:V56 T17:X25 T39:AD39 Q11:AD11 Y15:AA25 W82:AA88 AA40:AE40 Y12:AF13 AB26:AF29 AB15:AF24 L50:AF52 AE54:AF57 Y27:AA29 T27:X28 T26:AF26">
    <cfRule type="expression" dxfId="10082" priority="294">
      <formula>B$9&gt;=20/24</formula>
    </cfRule>
    <cfRule type="expression" dxfId="10081" priority="295">
      <formula>AND(B$9&gt;=14/24,B$9&lt;20/24)</formula>
    </cfRule>
    <cfRule type="expression" dxfId="10080" priority="296">
      <formula>AND(B$9&gt;=8/24,B$9&lt;14/24)</formula>
    </cfRule>
    <cfRule type="expression" dxfId="10079" priority="297">
      <formula>B$9&lt;8/24</formula>
    </cfRule>
  </conditionalFormatting>
  <conditionalFormatting sqref="B188:AF188">
    <cfRule type="expression" dxfId="10078" priority="290">
      <formula>B$9&gt;=20/24</formula>
    </cfRule>
    <cfRule type="expression" dxfId="10077" priority="291">
      <formula>AND(B$9&gt;=14/24,B$9&lt;20/24)</formula>
    </cfRule>
    <cfRule type="expression" dxfId="10076" priority="292">
      <formula>AND(B$9&gt;=8/24,B$9&lt;14/24)</formula>
    </cfRule>
    <cfRule type="expression" dxfId="10075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10074" priority="285">
      <formula>L$9&gt;=20/24</formula>
    </cfRule>
    <cfRule type="expression" dxfId="10073" priority="286">
      <formula>AND(L$9&gt;=14/24,L$9&lt;20/24)</formula>
    </cfRule>
    <cfRule type="expression" dxfId="10072" priority="287">
      <formula>AND(L$9&gt;=8/24,L$9&lt;14/24)</formula>
    </cfRule>
    <cfRule type="expression" dxfId="10071" priority="288">
      <formula>L$9&lt;8/24</formula>
    </cfRule>
  </conditionalFormatting>
  <conditionalFormatting sqref="L40:Q40">
    <cfRule type="expression" dxfId="10070" priority="281">
      <formula>L$9&gt;=20/24</formula>
    </cfRule>
    <cfRule type="expression" dxfId="10069" priority="282">
      <formula>AND(L$9&gt;=14/24,L$9&lt;20/24)</formula>
    </cfRule>
    <cfRule type="expression" dxfId="10068" priority="283">
      <formula>AND(L$9&gt;=8/24,L$9&lt;14/24)</formula>
    </cfRule>
    <cfRule type="expression" dxfId="10067" priority="284">
      <formula>L$9&lt;8/24</formula>
    </cfRule>
  </conditionalFormatting>
  <conditionalFormatting sqref="Y30:AF30">
    <cfRule type="expression" dxfId="10066" priority="277">
      <formula>Y$9&gt;=20/24</formula>
    </cfRule>
    <cfRule type="expression" dxfId="10065" priority="278">
      <formula>AND(Y$9&gt;=14/24,Y$9&lt;20/24)</formula>
    </cfRule>
    <cfRule type="expression" dxfId="10064" priority="279">
      <formula>AND(Y$9&gt;=8/24,Y$9&lt;14/24)</formula>
    </cfRule>
    <cfRule type="expression" dxfId="10063" priority="280">
      <formula>Y$9&lt;8/24</formula>
    </cfRule>
  </conditionalFormatting>
  <conditionalFormatting sqref="R36:AD36">
    <cfRule type="expression" dxfId="10062" priority="273">
      <formula>R$9&gt;=20/24</formula>
    </cfRule>
    <cfRule type="expression" dxfId="10061" priority="274">
      <formula>AND(R$9&gt;=14/24,R$9&lt;20/24)</formula>
    </cfRule>
    <cfRule type="expression" dxfId="10060" priority="275">
      <formula>AND(R$9&gt;=8/24,R$9&lt;14/24)</formula>
    </cfRule>
    <cfRule type="expression" dxfId="10059" priority="276">
      <formula>R$9&lt;8/24</formula>
    </cfRule>
  </conditionalFormatting>
  <conditionalFormatting sqref="R54:AD54">
    <cfRule type="expression" dxfId="10058" priority="269">
      <formula>R$9&gt;=20/24</formula>
    </cfRule>
    <cfRule type="expression" dxfId="10057" priority="270">
      <formula>AND(R$9&gt;=14/24,R$9&lt;20/24)</formula>
    </cfRule>
    <cfRule type="expression" dxfId="10056" priority="271">
      <formula>AND(R$9&gt;=8/24,R$9&lt;14/24)</formula>
    </cfRule>
    <cfRule type="expression" dxfId="10055" priority="272">
      <formula>R$9&lt;8/24</formula>
    </cfRule>
  </conditionalFormatting>
  <conditionalFormatting sqref="R78:Z78">
    <cfRule type="expression" dxfId="10054" priority="265">
      <formula>R$9&gt;=20/24</formula>
    </cfRule>
    <cfRule type="expression" dxfId="10053" priority="266">
      <formula>AND(R$9&gt;=14/24,R$9&lt;20/24)</formula>
    </cfRule>
    <cfRule type="expression" dxfId="10052" priority="267">
      <formula>AND(R$9&gt;=8/24,R$9&lt;14/24)</formula>
    </cfRule>
    <cfRule type="expression" dxfId="10051" priority="268">
      <formula>R$9&lt;8/24</formula>
    </cfRule>
  </conditionalFormatting>
  <conditionalFormatting sqref="T81:AA81">
    <cfRule type="expression" dxfId="10050" priority="261">
      <formula>T$9&gt;=20/24</formula>
    </cfRule>
    <cfRule type="expression" dxfId="10049" priority="262">
      <formula>AND(T$9&gt;=14/24,T$9&lt;20/24)</formula>
    </cfRule>
    <cfRule type="expression" dxfId="10048" priority="263">
      <formula>AND(T$9&gt;=8/24,T$9&lt;14/24)</formula>
    </cfRule>
    <cfRule type="expression" dxfId="10047" priority="264">
      <formula>T$9&lt;8/24</formula>
    </cfRule>
  </conditionalFormatting>
  <conditionalFormatting sqref="Q32">
    <cfRule type="expression" dxfId="10046" priority="257">
      <formula>Q$9&gt;=20/24</formula>
    </cfRule>
    <cfRule type="expression" dxfId="10045" priority="258">
      <formula>AND(Q$9&gt;=14/24,Q$9&lt;20/24)</formula>
    </cfRule>
    <cfRule type="expression" dxfId="10044" priority="259">
      <formula>AND(Q$9&gt;=8/24,Q$9&lt;14/24)</formula>
    </cfRule>
    <cfRule type="expression" dxfId="10043" priority="260">
      <formula>Q$9&lt;8/24</formula>
    </cfRule>
  </conditionalFormatting>
  <conditionalFormatting sqref="L46:Z46">
    <cfRule type="expression" dxfId="10042" priority="253">
      <formula>L$9&gt;=20/24</formula>
    </cfRule>
    <cfRule type="expression" dxfId="10041" priority="254">
      <formula>AND(L$9&gt;=14/24,L$9&lt;20/24)</formula>
    </cfRule>
    <cfRule type="expression" dxfId="10040" priority="255">
      <formula>AND(L$9&gt;=8/24,L$9&lt;14/24)</formula>
    </cfRule>
    <cfRule type="expression" dxfId="10039" priority="256">
      <formula>L$9&lt;8/24</formula>
    </cfRule>
  </conditionalFormatting>
  <conditionalFormatting sqref="L47:Q47">
    <cfRule type="expression" dxfId="10038" priority="249">
      <formula>L$9&gt;=20/24</formula>
    </cfRule>
    <cfRule type="expression" dxfId="10037" priority="250">
      <formula>AND(L$9&gt;=14/24,L$9&lt;20/24)</formula>
    </cfRule>
    <cfRule type="expression" dxfId="10036" priority="251">
      <formula>AND(L$9&gt;=8/24,L$9&lt;14/24)</formula>
    </cfRule>
    <cfRule type="expression" dxfId="10035" priority="252">
      <formula>L$9&lt;8/24</formula>
    </cfRule>
  </conditionalFormatting>
  <conditionalFormatting sqref="L42:Q45">
    <cfRule type="expression" dxfId="10034" priority="245">
      <formula>L$9&gt;=20/24</formula>
    </cfRule>
    <cfRule type="expression" dxfId="10033" priority="246">
      <formula>AND(L$9&gt;=14/24,L$9&lt;20/24)</formula>
    </cfRule>
    <cfRule type="expression" dxfId="10032" priority="247">
      <formula>AND(L$9&gt;=8/24,L$9&lt;14/24)</formula>
    </cfRule>
    <cfRule type="expression" dxfId="10031" priority="248">
      <formula>L$9&lt;8/24</formula>
    </cfRule>
  </conditionalFormatting>
  <conditionalFormatting sqref="R34:AF34">
    <cfRule type="expression" dxfId="10030" priority="241">
      <formula>R$9&gt;=20/24</formula>
    </cfRule>
    <cfRule type="expression" dxfId="10029" priority="242">
      <formula>AND(R$9&gt;=14/24,R$9&lt;20/24)</formula>
    </cfRule>
    <cfRule type="expression" dxfId="10028" priority="243">
      <formula>AND(R$9&gt;=8/24,R$9&lt;14/24)</formula>
    </cfRule>
    <cfRule type="expression" dxfId="10027" priority="244">
      <formula>R$9&lt;8/24</formula>
    </cfRule>
  </conditionalFormatting>
  <conditionalFormatting sqref="R29:X30 R32:AF32">
    <cfRule type="expression" dxfId="10026" priority="237">
      <formula>R$9&gt;=20/24</formula>
    </cfRule>
    <cfRule type="expression" dxfId="10025" priority="238">
      <formula>AND(R$9&gt;=14/24,R$9&lt;20/24)</formula>
    </cfRule>
    <cfRule type="expression" dxfId="10024" priority="239">
      <formula>AND(R$9&gt;=8/24,R$9&lt;14/24)</formula>
    </cfRule>
    <cfRule type="expression" dxfId="10023" priority="240">
      <formula>R$9&lt;8/24</formula>
    </cfRule>
  </conditionalFormatting>
  <conditionalFormatting sqref="R39:S40 T40:Z40 R42:AF45">
    <cfRule type="expression" dxfId="10022" priority="233">
      <formula>R$9&gt;=20/24</formula>
    </cfRule>
    <cfRule type="expression" dxfId="10021" priority="234">
      <formula>AND(R$9&gt;=14/24,R$9&lt;20/24)</formula>
    </cfRule>
    <cfRule type="expression" dxfId="10020" priority="235">
      <formula>AND(R$9&gt;=8/24,R$9&lt;14/24)</formula>
    </cfRule>
    <cfRule type="expression" dxfId="10019" priority="236">
      <formula>R$9&lt;8/24</formula>
    </cfRule>
  </conditionalFormatting>
  <conditionalFormatting sqref="R46:AF46">
    <cfRule type="expression" dxfId="10018" priority="229">
      <formula>R$9&gt;=20/24</formula>
    </cfRule>
    <cfRule type="expression" dxfId="10017" priority="230">
      <formula>AND(R$9&gt;=14/24,R$9&lt;20/24)</formula>
    </cfRule>
    <cfRule type="expression" dxfId="10016" priority="231">
      <formula>AND(R$9&gt;=8/24,R$9&lt;14/24)</formula>
    </cfRule>
    <cfRule type="expression" dxfId="10015" priority="232">
      <formula>R$9&lt;8/24</formula>
    </cfRule>
  </conditionalFormatting>
  <conditionalFormatting sqref="R47:AF47">
    <cfRule type="expression" dxfId="10014" priority="225">
      <formula>R$9&gt;=20/24</formula>
    </cfRule>
    <cfRule type="expression" dxfId="10013" priority="226">
      <formula>AND(R$9&gt;=14/24,R$9&lt;20/24)</formula>
    </cfRule>
    <cfRule type="expression" dxfId="10012" priority="227">
      <formula>AND(R$9&gt;=8/24,R$9&lt;14/24)</formula>
    </cfRule>
    <cfRule type="expression" dxfId="10011" priority="228">
      <formula>R$9&lt;8/24</formula>
    </cfRule>
  </conditionalFormatting>
  <conditionalFormatting sqref="Y57:Y64 R57:S64 T57:X58 T60:X64 AB57:AD64 AE58:AF64">
    <cfRule type="expression" dxfId="10010" priority="221">
      <formula>R$9&gt;=20/24</formula>
    </cfRule>
    <cfRule type="expression" dxfId="10009" priority="222">
      <formula>AND(R$9&gt;=14/24,R$9&lt;20/24)</formula>
    </cfRule>
    <cfRule type="expression" dxfId="10008" priority="223">
      <formula>AND(R$9&gt;=8/24,R$9&lt;14/24)</formula>
    </cfRule>
    <cfRule type="expression" dxfId="10007" priority="224">
      <formula>R$9&lt;8/24</formula>
    </cfRule>
  </conditionalFormatting>
  <conditionalFormatting sqref="AB91:AF94">
    <cfRule type="expression" dxfId="10006" priority="217">
      <formula>AB$9&gt;=20/24</formula>
    </cfRule>
    <cfRule type="expression" dxfId="10005" priority="218">
      <formula>AND(AB$9&gt;=14/24,AB$9&lt;20/24)</formula>
    </cfRule>
    <cfRule type="expression" dxfId="10004" priority="219">
      <formula>AND(AB$9&gt;=8/24,AB$9&lt;14/24)</formula>
    </cfRule>
    <cfRule type="expression" dxfId="10003" priority="220">
      <formula>AB$9&lt;8/24</formula>
    </cfRule>
  </conditionalFormatting>
  <conditionalFormatting sqref="B59:K59">
    <cfRule type="expression" dxfId="10002" priority="213">
      <formula>B$9&gt;=20/24</formula>
    </cfRule>
    <cfRule type="expression" dxfId="10001" priority="214">
      <formula>AND(B$9&gt;=14/24,B$9&lt;20/24)</formula>
    </cfRule>
    <cfRule type="expression" dxfId="10000" priority="215">
      <formula>AND(B$9&gt;=8/24,B$9&lt;14/24)</formula>
    </cfRule>
    <cfRule type="expression" dxfId="9999" priority="216">
      <formula>B$9&lt;8/24</formula>
    </cfRule>
  </conditionalFormatting>
  <conditionalFormatting sqref="T91:AA94">
    <cfRule type="expression" dxfId="9998" priority="209">
      <formula>T$9&gt;=20/24</formula>
    </cfRule>
    <cfRule type="expression" dxfId="9997" priority="210">
      <formula>AND(T$9&gt;=14/24,T$9&lt;20/24)</formula>
    </cfRule>
    <cfRule type="expression" dxfId="9996" priority="211">
      <formula>AND(T$9&gt;=8/24,T$9&lt;14/24)</formula>
    </cfRule>
    <cfRule type="expression" dxfId="9995" priority="212">
      <formula>T$9&lt;8/24</formula>
    </cfRule>
  </conditionalFormatting>
  <conditionalFormatting sqref="AG48 B25:J30 B11:K11 C12:K13 Q12:Q13 Q15:Q16 B32:K34 O25 N22:O24 P22:P25 Q17:X25 Q11:AE11 K22:K30 C22:J24 C15:K21 Y12:AE13 B35:AF40 AF11:AF13 Y15:AF25 Q32:AF34 B42:AF53 Q26:AF30">
    <cfRule type="expression" dxfId="9994" priority="208">
      <formula>B11&gt;$AG11</formula>
    </cfRule>
  </conditionalFormatting>
  <conditionalFormatting sqref="A97:A153 A81:A94 A11:A13 A15:A30 A42:A69 A77:A79 A71:A75 A32:A40 A166:A197">
    <cfRule type="expression" dxfId="9993" priority="207">
      <formula>$AH11=0</formula>
    </cfRule>
  </conditionalFormatting>
  <conditionalFormatting sqref="AB95:AF95">
    <cfRule type="expression" dxfId="9992" priority="203">
      <formula>AB$9&gt;=20/24</formula>
    </cfRule>
    <cfRule type="expression" dxfId="9991" priority="204">
      <formula>AND(AB$9&gt;=14/24,AB$9&lt;20/24)</formula>
    </cfRule>
    <cfRule type="expression" dxfId="9990" priority="205">
      <formula>AND(AB$9&gt;=8/24,AB$9&lt;14/24)</formula>
    </cfRule>
    <cfRule type="expression" dxfId="9989" priority="206">
      <formula>AB$9&lt;8/24</formula>
    </cfRule>
  </conditionalFormatting>
  <conditionalFormatting sqref="T95:AA95">
    <cfRule type="expression" dxfId="9988" priority="199">
      <formula>T$9&gt;=20/24</formula>
    </cfRule>
    <cfRule type="expression" dxfId="9987" priority="200">
      <formula>AND(T$9&gt;=14/24,T$9&lt;20/24)</formula>
    </cfRule>
    <cfRule type="expression" dxfId="9986" priority="201">
      <formula>AND(T$9&gt;=8/24,T$9&lt;14/24)</formula>
    </cfRule>
    <cfRule type="expression" dxfId="9985" priority="202">
      <formula>T$9&lt;8/24</formula>
    </cfRule>
  </conditionalFormatting>
  <conditionalFormatting sqref="A95">
    <cfRule type="expression" dxfId="9984" priority="198">
      <formula>$AH95=0</formula>
    </cfRule>
  </conditionalFormatting>
  <conditionalFormatting sqref="Q33:AF33">
    <cfRule type="expression" dxfId="9983" priority="194">
      <formula>Q$9&gt;=20/24</formula>
    </cfRule>
    <cfRule type="expression" dxfId="9982" priority="195">
      <formula>AND(Q$9&gt;=14/24,Q$9&lt;20/24)</formula>
    </cfRule>
    <cfRule type="expression" dxfId="9981" priority="196">
      <formula>AND(Q$9&gt;=8/24,Q$9&lt;14/24)</formula>
    </cfRule>
    <cfRule type="expression" dxfId="9980" priority="197">
      <formula>Q$9&lt;8/24</formula>
    </cfRule>
  </conditionalFormatting>
  <conditionalFormatting sqref="R33:AF33">
    <cfRule type="expression" dxfId="9979" priority="190">
      <formula>R$9&gt;=20/24</formula>
    </cfRule>
    <cfRule type="expression" dxfId="9978" priority="191">
      <formula>AND(R$9&gt;=14/24,R$9&lt;20/24)</formula>
    </cfRule>
    <cfRule type="expression" dxfId="9977" priority="192">
      <formula>AND(R$9&gt;=8/24,R$9&lt;14/24)</formula>
    </cfRule>
    <cfRule type="expression" dxfId="9976" priority="193">
      <formula>R$9&lt;8/24</formula>
    </cfRule>
  </conditionalFormatting>
  <conditionalFormatting sqref="B33:K33">
    <cfRule type="expression" dxfId="9975" priority="186">
      <formula>B$9&gt;=20/24</formula>
    </cfRule>
    <cfRule type="expression" dxfId="9974" priority="187">
      <formula>AND(B$9&gt;=14/24,B$9&lt;20/24)</formula>
    </cfRule>
    <cfRule type="expression" dxfId="9973" priority="188">
      <formula>AND(B$9&gt;=8/24,B$9&lt;14/24)</formula>
    </cfRule>
    <cfRule type="expression" dxfId="9972" priority="189">
      <formula>B$9&lt;8/24</formula>
    </cfRule>
  </conditionalFormatting>
  <conditionalFormatting sqref="D60:K64">
    <cfRule type="expression" dxfId="9971" priority="182">
      <formula>D$9&gt;=20/24</formula>
    </cfRule>
    <cfRule type="expression" dxfId="9970" priority="183">
      <formula>AND(D$9&gt;=14/24,D$9&lt;20/24)</formula>
    </cfRule>
    <cfRule type="expression" dxfId="9969" priority="184">
      <formula>AND(D$9&gt;=8/24,D$9&lt;14/24)</formula>
    </cfRule>
    <cfRule type="expression" dxfId="9968" priority="185">
      <formula>D$9&lt;8/24</formula>
    </cfRule>
  </conditionalFormatting>
  <conditionalFormatting sqref="L59:L64">
    <cfRule type="expression" dxfId="9967" priority="178">
      <formula>L$9&gt;=20/24</formula>
    </cfRule>
    <cfRule type="expression" dxfId="9966" priority="179">
      <formula>AND(L$9&gt;=14/24,L$9&lt;20/24)</formula>
    </cfRule>
    <cfRule type="expression" dxfId="9965" priority="180">
      <formula>AND(L$9&gt;=8/24,L$9&lt;14/24)</formula>
    </cfRule>
    <cfRule type="expression" dxfId="9964" priority="181">
      <formula>L$9&lt;8/24</formula>
    </cfRule>
  </conditionalFormatting>
  <conditionalFormatting sqref="AL30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9963" priority="173">
      <formula>Y$9&gt;=20/24</formula>
    </cfRule>
    <cfRule type="expression" dxfId="9962" priority="174">
      <formula>AND(Y$9&gt;=14/24,Y$9&lt;20/24)</formula>
    </cfRule>
    <cfRule type="expression" dxfId="9961" priority="175">
      <formula>AND(Y$9&gt;=8/24,Y$9&lt;14/24)</formula>
    </cfRule>
    <cfRule type="expression" dxfId="9960" priority="176">
      <formula>Y$9&lt;8/24</formula>
    </cfRule>
  </conditionalFormatting>
  <conditionalFormatting sqref="Q31">
    <cfRule type="expression" dxfId="9959" priority="169">
      <formula>Q$9&gt;=20/24</formula>
    </cfRule>
    <cfRule type="expression" dxfId="9958" priority="170">
      <formula>AND(Q$9&gt;=14/24,Q$9&lt;20/24)</formula>
    </cfRule>
    <cfRule type="expression" dxfId="9957" priority="171">
      <formula>AND(Q$9&gt;=8/24,Q$9&lt;14/24)</formula>
    </cfRule>
    <cfRule type="expression" dxfId="9956" priority="172">
      <formula>Q$9&lt;8/24</formula>
    </cfRule>
  </conditionalFormatting>
  <conditionalFormatting sqref="R31:X31">
    <cfRule type="expression" dxfId="9955" priority="165">
      <formula>R$9&gt;=20/24</formula>
    </cfRule>
    <cfRule type="expression" dxfId="9954" priority="166">
      <formula>AND(R$9&gt;=14/24,R$9&lt;20/24)</formula>
    </cfRule>
    <cfRule type="expression" dxfId="9953" priority="167">
      <formula>AND(R$9&gt;=8/24,R$9&lt;14/24)</formula>
    </cfRule>
    <cfRule type="expression" dxfId="9952" priority="168">
      <formula>R$9&lt;8/24</formula>
    </cfRule>
  </conditionalFormatting>
  <conditionalFormatting sqref="B31:K31 Q31:AF31">
    <cfRule type="expression" dxfId="9951" priority="164">
      <formula>B31&gt;$AG31</formula>
    </cfRule>
  </conditionalFormatting>
  <conditionalFormatting sqref="A31">
    <cfRule type="expression" dxfId="9950" priority="163">
      <formula>$AH31=0</formula>
    </cfRule>
  </conditionalFormatting>
  <conditionalFormatting sqref="B80:AF80">
    <cfRule type="expression" dxfId="9949" priority="159">
      <formula>B$9&gt;=20/24</formula>
    </cfRule>
    <cfRule type="expression" dxfId="9948" priority="160">
      <formula>AND(B$9&gt;=14/24,B$9&lt;20/24)</formula>
    </cfRule>
    <cfRule type="expression" dxfId="9947" priority="161">
      <formula>AND(B$9&gt;=8/24,B$9&lt;14/24)</formula>
    </cfRule>
    <cfRule type="expression" dxfId="9946" priority="162">
      <formula>B$9&lt;8/24</formula>
    </cfRule>
  </conditionalFormatting>
  <conditionalFormatting sqref="A80">
    <cfRule type="expression" dxfId="9945" priority="158">
      <formula>$AH80=0</formula>
    </cfRule>
  </conditionalFormatting>
  <conditionalFormatting sqref="Y14:AF14">
    <cfRule type="expression" dxfId="9944" priority="154">
      <formula>Y$9&gt;=20/24</formula>
    </cfRule>
    <cfRule type="expression" dxfId="9943" priority="155">
      <formula>AND(Y$9&gt;=14/24,Y$9&lt;20/24)</formula>
    </cfRule>
    <cfRule type="expression" dxfId="9942" priority="156">
      <formula>AND(Y$9&gt;=8/24,Y$9&lt;14/24)</formula>
    </cfRule>
    <cfRule type="expression" dxfId="9941" priority="157">
      <formula>Y$9&lt;8/24</formula>
    </cfRule>
  </conditionalFormatting>
  <conditionalFormatting sqref="Q14">
    <cfRule type="expression" dxfId="9940" priority="150">
      <formula>Q$9&gt;=20/24</formula>
    </cfRule>
    <cfRule type="expression" dxfId="9939" priority="151">
      <formula>AND(Q$9&gt;=14/24,Q$9&lt;20/24)</formula>
    </cfRule>
    <cfRule type="expression" dxfId="9938" priority="152">
      <formula>AND(Q$9&gt;=8/24,Q$9&lt;14/24)</formula>
    </cfRule>
    <cfRule type="expression" dxfId="9937" priority="153">
      <formula>Q$9&lt;8/24</formula>
    </cfRule>
  </conditionalFormatting>
  <conditionalFormatting sqref="C14:K14 Q14 Y14:AF14">
    <cfRule type="expression" dxfId="9936" priority="149">
      <formula>C14&gt;$AG14</formula>
    </cfRule>
  </conditionalFormatting>
  <conditionalFormatting sqref="A14">
    <cfRule type="expression" dxfId="9935" priority="148">
      <formula>$AH14=0</formula>
    </cfRule>
  </conditionalFormatting>
  <conditionalFormatting sqref="A160:A165">
    <cfRule type="expression" dxfId="9934" priority="147">
      <formula>$AH160=0</formula>
    </cfRule>
  </conditionalFormatting>
  <conditionalFormatting sqref="A154:A159">
    <cfRule type="expression" dxfId="9933" priority="146">
      <formula>$AH154=0</formula>
    </cfRule>
  </conditionalFormatting>
  <conditionalFormatting sqref="AA41:AF41">
    <cfRule type="expression" dxfId="9932" priority="142">
      <formula>AA$9&gt;=20/24</formula>
    </cfRule>
    <cfRule type="expression" dxfId="9931" priority="143">
      <formula>AND(AA$9&gt;=14/24,AA$9&lt;20/24)</formula>
    </cfRule>
    <cfRule type="expression" dxfId="9930" priority="144">
      <formula>AND(AA$9&gt;=8/24,AA$9&lt;14/24)</formula>
    </cfRule>
    <cfRule type="expression" dxfId="9929" priority="145">
      <formula>AA$9&lt;8/24</formula>
    </cfRule>
  </conditionalFormatting>
  <conditionalFormatting sqref="L41:Q41">
    <cfRule type="expression" dxfId="9928" priority="138">
      <formula>L$9&gt;=20/24</formula>
    </cfRule>
    <cfRule type="expression" dxfId="9927" priority="139">
      <formula>AND(L$9&gt;=14/24,L$9&lt;20/24)</formula>
    </cfRule>
    <cfRule type="expression" dxfId="9926" priority="140">
      <formula>AND(L$9&gt;=8/24,L$9&lt;14/24)</formula>
    </cfRule>
    <cfRule type="expression" dxfId="9925" priority="141">
      <formula>L$9&lt;8/24</formula>
    </cfRule>
  </conditionalFormatting>
  <conditionalFormatting sqref="R41:Z41">
    <cfRule type="expression" dxfId="9924" priority="134">
      <formula>R$9&gt;=20/24</formula>
    </cfRule>
    <cfRule type="expression" dxfId="9923" priority="135">
      <formula>AND(R$9&gt;=14/24,R$9&lt;20/24)</formula>
    </cfRule>
    <cfRule type="expression" dxfId="9922" priority="136">
      <formula>AND(R$9&gt;=8/24,R$9&lt;14/24)</formula>
    </cfRule>
    <cfRule type="expression" dxfId="9921" priority="137">
      <formula>R$9&lt;8/24</formula>
    </cfRule>
  </conditionalFormatting>
  <conditionalFormatting sqref="B41:AF41">
    <cfRule type="expression" dxfId="9920" priority="133">
      <formula>B41&gt;$AG41</formula>
    </cfRule>
  </conditionalFormatting>
  <conditionalFormatting sqref="A41">
    <cfRule type="expression" dxfId="9919" priority="132">
      <formula>$AH41=0</formula>
    </cfRule>
  </conditionalFormatting>
  <conditionalFormatting sqref="B76:AF76">
    <cfRule type="expression" dxfId="9918" priority="128">
      <formula>B$9&gt;=20/24</formula>
    </cfRule>
    <cfRule type="expression" dxfId="9917" priority="129">
      <formula>AND(B$9&gt;=14/24,B$9&lt;20/24)</formula>
    </cfRule>
    <cfRule type="expression" dxfId="9916" priority="130">
      <formula>AND(B$9&gt;=8/24,B$9&lt;14/24)</formula>
    </cfRule>
    <cfRule type="expression" dxfId="9915" priority="131">
      <formula>B$9&lt;8/24</formula>
    </cfRule>
  </conditionalFormatting>
  <conditionalFormatting sqref="A76">
    <cfRule type="expression" dxfId="9914" priority="127">
      <formula>$AH76=0</formula>
    </cfRule>
  </conditionalFormatting>
  <conditionalFormatting sqref="B70:AG70">
    <cfRule type="expression" dxfId="9913" priority="123">
      <formula>B$9&gt;=20/24</formula>
    </cfRule>
    <cfRule type="expression" dxfId="9912" priority="124">
      <formula>AND(B$9&gt;=14/24,B$9&lt;20/24)</formula>
    </cfRule>
    <cfRule type="expression" dxfId="9911" priority="125">
      <formula>AND(B$9&gt;=8/24,B$9&lt;14/24)</formula>
    </cfRule>
    <cfRule type="expression" dxfId="9910" priority="126">
      <formula>B$9&lt;8/24</formula>
    </cfRule>
  </conditionalFormatting>
  <conditionalFormatting sqref="A70">
    <cfRule type="expression" dxfId="9909" priority="122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T59:X59">
    <cfRule type="expression" dxfId="9908" priority="118">
      <formula>T$9&gt;=20/24</formula>
    </cfRule>
    <cfRule type="expression" dxfId="9907" priority="119">
      <formula>AND(T$9&gt;=14/24,T$9&lt;20/24)</formula>
    </cfRule>
    <cfRule type="expression" dxfId="9906" priority="120">
      <formula>AND(T$9&gt;=8/24,T$9&lt;14/24)</formula>
    </cfRule>
    <cfRule type="expression" dxfId="9905" priority="121">
      <formula>T$9&lt;8/24</formula>
    </cfRule>
  </conditionalFormatting>
  <conditionalFormatting sqref="T82:V88">
    <cfRule type="expression" dxfId="9904" priority="114">
      <formula>T$9&gt;=20/24</formula>
    </cfRule>
    <cfRule type="expression" dxfId="9903" priority="115">
      <formula>AND(T$9&gt;=14/24,T$9&lt;20/24)</formula>
    </cfRule>
    <cfRule type="expression" dxfId="9902" priority="116">
      <formula>AND(T$9&gt;=8/24,T$9&lt;14/24)</formula>
    </cfRule>
    <cfRule type="expression" dxfId="9901" priority="117">
      <formula>T$9&lt;8/24</formula>
    </cfRule>
  </conditionalFormatting>
  <conditionalFormatting sqref="B81:Q88 R82:S88">
    <cfRule type="expression" dxfId="9900" priority="110">
      <formula>B$9&gt;=20/24</formula>
    </cfRule>
    <cfRule type="expression" dxfId="9899" priority="111">
      <formula>AND(B$9&gt;=14/24,B$9&lt;20/24)</formula>
    </cfRule>
    <cfRule type="expression" dxfId="9898" priority="112">
      <formula>AND(B$9&gt;=8/24,B$9&lt;14/24)</formula>
    </cfRule>
    <cfRule type="expression" dxfId="9897" priority="113">
      <formula>B$9&lt;8/24</formula>
    </cfRule>
  </conditionalFormatting>
  <conditionalFormatting sqref="R81:S81">
    <cfRule type="expression" dxfId="9896" priority="106">
      <formula>R$9&gt;=20/24</formula>
    </cfRule>
    <cfRule type="expression" dxfId="9895" priority="107">
      <formula>AND(R$9&gt;=14/24,R$9&lt;20/24)</formula>
    </cfRule>
    <cfRule type="expression" dxfId="9894" priority="108">
      <formula>AND(R$9&gt;=8/24,R$9&lt;14/24)</formula>
    </cfRule>
    <cfRule type="expression" dxfId="9893" priority="109">
      <formula>R$9&lt;8/24</formula>
    </cfRule>
  </conditionalFormatting>
  <conditionalFormatting sqref="B92:L94 B91:E91">
    <cfRule type="expression" dxfId="9892" priority="102">
      <formula>B$9&gt;=20/24</formula>
    </cfRule>
    <cfRule type="expression" dxfId="9891" priority="103">
      <formula>AND(B$9&gt;=14/24,B$9&lt;20/24)</formula>
    </cfRule>
    <cfRule type="expression" dxfId="9890" priority="104">
      <formula>AND(B$9&gt;=8/24,B$9&lt;14/24)</formula>
    </cfRule>
    <cfRule type="expression" dxfId="9889" priority="105">
      <formula>B$9&lt;8/24</formula>
    </cfRule>
  </conditionalFormatting>
  <conditionalFormatting sqref="M92:Q94 N91:Q91">
    <cfRule type="expression" dxfId="9888" priority="98">
      <formula>M$9&gt;=20/24</formula>
    </cfRule>
    <cfRule type="expression" dxfId="9887" priority="99">
      <formula>AND(M$9&gt;=14/24,M$9&lt;20/24)</formula>
    </cfRule>
    <cfRule type="expression" dxfId="9886" priority="100">
      <formula>AND(M$9&gt;=8/24,M$9&lt;14/24)</formula>
    </cfRule>
    <cfRule type="expression" dxfId="9885" priority="101">
      <formula>M$9&lt;8/24</formula>
    </cfRule>
  </conditionalFormatting>
  <conditionalFormatting sqref="R91:S94">
    <cfRule type="expression" dxfId="9884" priority="94">
      <formula>R$9&gt;=20/24</formula>
    </cfRule>
    <cfRule type="expression" dxfId="9883" priority="95">
      <formula>AND(R$9&gt;=14/24,R$9&lt;20/24)</formula>
    </cfRule>
    <cfRule type="expression" dxfId="9882" priority="96">
      <formula>AND(R$9&gt;=8/24,R$9&lt;14/24)</formula>
    </cfRule>
    <cfRule type="expression" dxfId="9881" priority="97">
      <formula>R$9&lt;8/24</formula>
    </cfRule>
  </conditionalFormatting>
  <conditionalFormatting sqref="B95:L95">
    <cfRule type="expression" dxfId="9880" priority="90">
      <formula>B$9&gt;=20/24</formula>
    </cfRule>
    <cfRule type="expression" dxfId="9879" priority="91">
      <formula>AND(B$9&gt;=14/24,B$9&lt;20/24)</formula>
    </cfRule>
    <cfRule type="expression" dxfId="9878" priority="92">
      <formula>AND(B$9&gt;=8/24,B$9&lt;14/24)</formula>
    </cfRule>
    <cfRule type="expression" dxfId="9877" priority="93">
      <formula>B$9&lt;8/24</formula>
    </cfRule>
  </conditionalFormatting>
  <conditionalFormatting sqref="M95:Q95">
    <cfRule type="expression" dxfId="9876" priority="86">
      <formula>M$9&gt;=20/24</formula>
    </cfRule>
    <cfRule type="expression" dxfId="9875" priority="87">
      <formula>AND(M$9&gt;=14/24,M$9&lt;20/24)</formula>
    </cfRule>
    <cfRule type="expression" dxfId="9874" priority="88">
      <formula>AND(M$9&gt;=8/24,M$9&lt;14/24)</formula>
    </cfRule>
    <cfRule type="expression" dxfId="9873" priority="89">
      <formula>M$9&lt;8/24</formula>
    </cfRule>
  </conditionalFormatting>
  <conditionalFormatting sqref="R95:S95">
    <cfRule type="expression" dxfId="9872" priority="82">
      <formula>R$9&gt;=20/24</formula>
    </cfRule>
    <cfRule type="expression" dxfId="9871" priority="83">
      <formula>AND(R$9&gt;=14/24,R$9&lt;20/24)</formula>
    </cfRule>
    <cfRule type="expression" dxfId="9870" priority="84">
      <formula>AND(R$9&gt;=8/24,R$9&lt;14/24)</formula>
    </cfRule>
    <cfRule type="expression" dxfId="9869" priority="85">
      <formula>R$9&lt;8/24</formula>
    </cfRule>
  </conditionalFormatting>
  <conditionalFormatting sqref="L91:M91">
    <cfRule type="expression" dxfId="9868" priority="78">
      <formula>L$9&gt;=20/24</formula>
    </cfRule>
    <cfRule type="expression" dxfId="9867" priority="79">
      <formula>AND(L$9&gt;=14/24,L$9&lt;20/24)</formula>
    </cfRule>
    <cfRule type="expression" dxfId="9866" priority="80">
      <formula>AND(L$9&gt;=8/24,L$9&lt;14/24)</formula>
    </cfRule>
    <cfRule type="expression" dxfId="9865" priority="81">
      <formula>L$9&lt;8/24</formula>
    </cfRule>
  </conditionalFormatting>
  <conditionalFormatting sqref="F91:K91">
    <cfRule type="expression" dxfId="9864" priority="74">
      <formula>F$9&gt;=20/24</formula>
    </cfRule>
    <cfRule type="expression" dxfId="9863" priority="75">
      <formula>AND(F$9&gt;=14/24,F$9&lt;20/24)</formula>
    </cfRule>
    <cfRule type="expression" dxfId="9862" priority="76">
      <formula>AND(F$9&gt;=8/24,F$9&lt;14/24)</formula>
    </cfRule>
    <cfRule type="expression" dxfId="9861" priority="77">
      <formula>F$9&lt;8/24</formula>
    </cfRule>
  </conditionalFormatting>
  <conditionalFormatting sqref="T91:V91">
    <cfRule type="expression" dxfId="9860" priority="70">
      <formula>T$9&gt;=20/24</formula>
    </cfRule>
    <cfRule type="expression" dxfId="9859" priority="71">
      <formula>AND(T$9&gt;=14/24,T$9&lt;20/24)</formula>
    </cfRule>
    <cfRule type="expression" dxfId="9858" priority="72">
      <formula>AND(T$9&gt;=8/24,T$9&lt;14/24)</formula>
    </cfRule>
    <cfRule type="expression" dxfId="9857" priority="73">
      <formula>T$9&lt;8/24</formula>
    </cfRule>
  </conditionalFormatting>
  <conditionalFormatting sqref="M91:S91">
    <cfRule type="expression" dxfId="9856" priority="66">
      <formula>M$9&gt;=20/24</formula>
    </cfRule>
    <cfRule type="expression" dxfId="9855" priority="67">
      <formula>AND(M$9&gt;=14/24,M$9&lt;20/24)</formula>
    </cfRule>
    <cfRule type="expression" dxfId="9854" priority="68">
      <formula>AND(M$9&gt;=8/24,M$9&lt;14/24)</formula>
    </cfRule>
    <cfRule type="expression" dxfId="9853" priority="69">
      <formula>M$9&lt;8/24</formula>
    </cfRule>
  </conditionalFormatting>
  <conditionalFormatting sqref="AB96:AF96">
    <cfRule type="expression" dxfId="9852" priority="62">
      <formula>AB$9&gt;=20/24</formula>
    </cfRule>
    <cfRule type="expression" dxfId="9851" priority="63">
      <formula>AND(AB$9&gt;=14/24,AB$9&lt;20/24)</formula>
    </cfRule>
    <cfRule type="expression" dxfId="9850" priority="64">
      <formula>AND(AB$9&gt;=8/24,AB$9&lt;14/24)</formula>
    </cfRule>
    <cfRule type="expression" dxfId="9849" priority="65">
      <formula>AB$9&lt;8/24</formula>
    </cfRule>
  </conditionalFormatting>
  <conditionalFormatting sqref="T96:AA96">
    <cfRule type="expression" dxfId="9848" priority="58">
      <formula>T$9&gt;=20/24</formula>
    </cfRule>
    <cfRule type="expression" dxfId="9847" priority="59">
      <formula>AND(T$9&gt;=14/24,T$9&lt;20/24)</formula>
    </cfRule>
    <cfRule type="expression" dxfId="9846" priority="60">
      <formula>AND(T$9&gt;=8/24,T$9&lt;14/24)</formula>
    </cfRule>
    <cfRule type="expression" dxfId="9845" priority="61">
      <formula>T$9&lt;8/24</formula>
    </cfRule>
  </conditionalFormatting>
  <conditionalFormatting sqref="A96">
    <cfRule type="expression" dxfId="9844" priority="57">
      <formula>$AH96=0</formula>
    </cfRule>
  </conditionalFormatting>
  <conditionalFormatting sqref="B96:L96">
    <cfRule type="expression" dxfId="9843" priority="53">
      <formula>B$9&gt;=20/24</formula>
    </cfRule>
    <cfRule type="expression" dxfId="9842" priority="54">
      <formula>AND(B$9&gt;=14/24,B$9&lt;20/24)</formula>
    </cfRule>
    <cfRule type="expression" dxfId="9841" priority="55">
      <formula>AND(B$9&gt;=8/24,B$9&lt;14/24)</formula>
    </cfRule>
    <cfRule type="expression" dxfId="9840" priority="56">
      <formula>B$9&lt;8/24</formula>
    </cfRule>
  </conditionalFormatting>
  <conditionalFormatting sqref="M96:Q96">
    <cfRule type="expression" dxfId="9839" priority="49">
      <formula>M$9&gt;=20/24</formula>
    </cfRule>
    <cfRule type="expression" dxfId="9838" priority="50">
      <formula>AND(M$9&gt;=14/24,M$9&lt;20/24)</formula>
    </cfRule>
    <cfRule type="expression" dxfId="9837" priority="51">
      <formula>AND(M$9&gt;=8/24,M$9&lt;14/24)</formula>
    </cfRule>
    <cfRule type="expression" dxfId="9836" priority="52">
      <formula>M$9&lt;8/24</formula>
    </cfRule>
  </conditionalFormatting>
  <conditionalFormatting sqref="R96:S96">
    <cfRule type="expression" dxfId="9835" priority="45">
      <formula>R$9&gt;=20/24</formula>
    </cfRule>
    <cfRule type="expression" dxfId="9834" priority="46">
      <formula>AND(R$9&gt;=14/24,R$9&lt;20/24)</formula>
    </cfRule>
    <cfRule type="expression" dxfId="9833" priority="47">
      <formula>AND(R$9&gt;=8/24,R$9&lt;14/24)</formula>
    </cfRule>
    <cfRule type="expression" dxfId="9832" priority="48">
      <formula>R$9&lt;8/24</formula>
    </cfRule>
  </conditionalFormatting>
  <conditionalFormatting sqref="R12:X15">
    <cfRule type="expression" dxfId="9831" priority="41">
      <formula>R$9&gt;=20/24</formula>
    </cfRule>
    <cfRule type="expression" dxfId="9830" priority="42">
      <formula>AND(R$9&gt;=14/24,R$9&lt;20/24)</formula>
    </cfRule>
    <cfRule type="expression" dxfId="9829" priority="43">
      <formula>AND(R$9&gt;=8/24,R$9&lt;14/24)</formula>
    </cfRule>
    <cfRule type="expression" dxfId="9828" priority="44">
      <formula>R$9&lt;8/24</formula>
    </cfRule>
  </conditionalFormatting>
  <conditionalFormatting sqref="R16:X16">
    <cfRule type="expression" dxfId="9827" priority="37">
      <formula>R$9&gt;=20/24</formula>
    </cfRule>
    <cfRule type="expression" dxfId="9826" priority="38">
      <formula>AND(R$9&gt;=14/24,R$9&lt;20/24)</formula>
    </cfRule>
    <cfRule type="expression" dxfId="9825" priority="39">
      <formula>AND(R$9&gt;=8/24,R$9&lt;14/24)</formula>
    </cfRule>
    <cfRule type="expression" dxfId="9824" priority="40">
      <formula>R$9&lt;8/24</formula>
    </cfRule>
  </conditionalFormatting>
  <conditionalFormatting sqref="R12:X12">
    <cfRule type="expression" dxfId="9823" priority="33">
      <formula>R$9&gt;=20/24</formula>
    </cfRule>
    <cfRule type="expression" dxfId="9822" priority="34">
      <formula>AND(R$9&gt;=14/24,R$9&lt;20/24)</formula>
    </cfRule>
    <cfRule type="expression" dxfId="9821" priority="35">
      <formula>AND(R$9&gt;=8/24,R$9&lt;14/24)</formula>
    </cfRule>
    <cfRule type="expression" dxfId="9820" priority="36">
      <formula>R$9&lt;8/24</formula>
    </cfRule>
  </conditionalFormatting>
  <conditionalFormatting sqref="AB55:AD56">
    <cfRule type="expression" dxfId="9819" priority="29">
      <formula>AB$9&gt;=20/24</formula>
    </cfRule>
    <cfRule type="expression" dxfId="9818" priority="30">
      <formula>AND(AB$9&gt;=14/24,AB$9&lt;20/24)</formula>
    </cfRule>
    <cfRule type="expression" dxfId="9817" priority="31">
      <formula>AND(AB$9&gt;=8/24,AB$9&lt;14/24)</formula>
    </cfRule>
    <cfRule type="expression" dxfId="9816" priority="32">
      <formula>AB$9&lt;8/24</formula>
    </cfRule>
  </conditionalFormatting>
  <conditionalFormatting sqref="B12:B24">
    <cfRule type="expression" dxfId="9815" priority="28">
      <formula>B12&gt;$AG12</formula>
    </cfRule>
  </conditionalFormatting>
  <conditionalFormatting sqref="L15:M30 N25:N30 L11:P13 N15:P21 L34:P34 O26:P30">
    <cfRule type="expression" dxfId="9814" priority="24">
      <formula>L$9&gt;=20/24</formula>
    </cfRule>
    <cfRule type="expression" dxfId="9813" priority="25">
      <formula>AND(L$9&gt;=14/24,L$9&lt;20/24)</formula>
    </cfRule>
    <cfRule type="expression" dxfId="9812" priority="26">
      <formula>AND(L$9&gt;=8/24,L$9&lt;14/24)</formula>
    </cfRule>
    <cfRule type="expression" dxfId="9811" priority="27">
      <formula>L$9&lt;8/24</formula>
    </cfRule>
  </conditionalFormatting>
  <conditionalFormatting sqref="L32:P32">
    <cfRule type="expression" dxfId="9810" priority="20">
      <formula>L$9&gt;=20/24</formula>
    </cfRule>
    <cfRule type="expression" dxfId="9809" priority="21">
      <formula>AND(L$9&gt;=14/24,L$9&lt;20/24)</formula>
    </cfRule>
    <cfRule type="expression" dxfId="9808" priority="22">
      <formula>AND(L$9&gt;=8/24,L$9&lt;14/24)</formula>
    </cfRule>
    <cfRule type="expression" dxfId="9807" priority="23">
      <formula>L$9&lt;8/24</formula>
    </cfRule>
  </conditionalFormatting>
  <conditionalFormatting sqref="L15:M30 N25:N30 N15:P21 L11:P13 O26:P30 L32:P34">
    <cfRule type="expression" dxfId="9806" priority="19">
      <formula>L11&gt;$AG11</formula>
    </cfRule>
  </conditionalFormatting>
  <conditionalFormatting sqref="L33:P33">
    <cfRule type="expression" dxfId="9805" priority="15">
      <formula>L$9&gt;=20/24</formula>
    </cfRule>
    <cfRule type="expression" dxfId="9804" priority="16">
      <formula>AND(L$9&gt;=14/24,L$9&lt;20/24)</formula>
    </cfRule>
    <cfRule type="expression" dxfId="9803" priority="17">
      <formula>AND(L$9&gt;=8/24,L$9&lt;14/24)</formula>
    </cfRule>
    <cfRule type="expression" dxfId="9802" priority="18">
      <formula>L$9&lt;8/24</formula>
    </cfRule>
  </conditionalFormatting>
  <conditionalFormatting sqref="L31:P31">
    <cfRule type="expression" dxfId="9801" priority="11">
      <formula>L$9&gt;=20/24</formula>
    </cfRule>
    <cfRule type="expression" dxfId="9800" priority="12">
      <formula>AND(L$9&gt;=14/24,L$9&lt;20/24)</formula>
    </cfRule>
    <cfRule type="expression" dxfId="9799" priority="13">
      <formula>AND(L$9&gt;=8/24,L$9&lt;14/24)</formula>
    </cfRule>
    <cfRule type="expression" dxfId="9798" priority="14">
      <formula>L$9&lt;8/24</formula>
    </cfRule>
  </conditionalFormatting>
  <conditionalFormatting sqref="L31:P31">
    <cfRule type="expression" dxfId="9797" priority="10">
      <formula>L31&gt;$AG31</formula>
    </cfRule>
  </conditionalFormatting>
  <conditionalFormatting sqref="L14:P14">
    <cfRule type="expression" dxfId="9796" priority="6">
      <formula>L$9&gt;=20/24</formula>
    </cfRule>
    <cfRule type="expression" dxfId="9795" priority="7">
      <formula>AND(L$9&gt;=14/24,L$9&lt;20/24)</formula>
    </cfRule>
    <cfRule type="expression" dxfId="9794" priority="8">
      <formula>AND(L$9&gt;=8/24,L$9&lt;14/24)</formula>
    </cfRule>
    <cfRule type="expression" dxfId="9793" priority="9">
      <formula>L$9&lt;8/24</formula>
    </cfRule>
  </conditionalFormatting>
  <conditionalFormatting sqref="L14:P14">
    <cfRule type="expression" dxfId="9792" priority="5">
      <formula>L14&gt;$AG14</formula>
    </cfRule>
  </conditionalFormatting>
  <conditionalFormatting sqref="AA55:AA64">
    <cfRule type="expression" dxfId="9791" priority="1">
      <formula>AA$9&gt;=20/24</formula>
    </cfRule>
    <cfRule type="expression" dxfId="9790" priority="2">
      <formula>AND(AA$9&gt;=14/24,AA$9&lt;20/24)</formula>
    </cfRule>
    <cfRule type="expression" dxfId="9789" priority="3">
      <formula>AND(AA$9&gt;=8/24,AA$9&lt;14/24)</formula>
    </cfRule>
    <cfRule type="expression" dxfId="9788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G25" sqref="AG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2078/04/4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0</v>
      </c>
      <c r="C5" s="32">
        <f t="shared" ref="C5:AF5" si="0">C66</f>
        <v>-42</v>
      </c>
      <c r="D5" s="32">
        <f t="shared" si="0"/>
        <v>-70</v>
      </c>
      <c r="E5" s="32">
        <f t="shared" si="0"/>
        <v>-23.5</v>
      </c>
      <c r="F5" s="32">
        <f t="shared" si="0"/>
        <v>-35</v>
      </c>
      <c r="G5" s="32">
        <f t="shared" si="0"/>
        <v>-53.7</v>
      </c>
      <c r="H5" s="32">
        <f t="shared" si="0"/>
        <v>0</v>
      </c>
      <c r="I5" s="32">
        <f t="shared" si="0"/>
        <v>-24</v>
      </c>
      <c r="J5" s="32">
        <f t="shared" si="0"/>
        <v>-25.7</v>
      </c>
      <c r="K5" s="32">
        <f t="shared" si="0"/>
        <v>-38.9</v>
      </c>
      <c r="L5" s="32">
        <f t="shared" si="0"/>
        <v>-32.6</v>
      </c>
      <c r="M5" s="32">
        <f t="shared" si="0"/>
        <v>-56.4</v>
      </c>
      <c r="N5" s="32">
        <f t="shared" si="0"/>
        <v>-18.100000000000001</v>
      </c>
      <c r="O5" s="32">
        <f t="shared" si="0"/>
        <v>-31</v>
      </c>
      <c r="P5" s="32">
        <f t="shared" si="0"/>
        <v>-30</v>
      </c>
      <c r="Q5" s="32">
        <f t="shared" si="0"/>
        <v>13</v>
      </c>
      <c r="R5" s="32">
        <f t="shared" si="0"/>
        <v>-20.6</v>
      </c>
      <c r="S5" s="32">
        <f t="shared" si="0"/>
        <v>6.5</v>
      </c>
      <c r="T5" s="32">
        <f t="shared" si="0"/>
        <v>9</v>
      </c>
      <c r="U5" s="32">
        <f t="shared" si="0"/>
        <v>-13.9</v>
      </c>
      <c r="V5" s="32">
        <f t="shared" si="0"/>
        <v>-13.9</v>
      </c>
      <c r="W5" s="32">
        <f t="shared" si="0"/>
        <v>25.6</v>
      </c>
      <c r="X5" s="32">
        <f t="shared" si="0"/>
        <v>-15.300000000000011</v>
      </c>
      <c r="Y5" s="32">
        <f t="shared" si="0"/>
        <v>28.699999999999996</v>
      </c>
      <c r="Z5" s="32">
        <f t="shared" si="0"/>
        <v>-63.7</v>
      </c>
      <c r="AA5" s="32">
        <f t="shared" si="0"/>
        <v>-54</v>
      </c>
      <c r="AB5" s="32">
        <f t="shared" si="0"/>
        <v>-37</v>
      </c>
      <c r="AC5" s="32">
        <f t="shared" si="0"/>
        <v>-53</v>
      </c>
      <c r="AD5" s="32">
        <f t="shared" si="0"/>
        <v>-135</v>
      </c>
      <c r="AE5" s="32">
        <f t="shared" si="0"/>
        <v>-145</v>
      </c>
      <c r="AF5" s="32">
        <f t="shared" si="0"/>
        <v>-137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1253MW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Load=1098</v>
      </c>
      <c r="B7" s="37">
        <f t="shared" ref="B7:AF7" si="1">B73</f>
        <v>1235.54</v>
      </c>
      <c r="C7" s="37">
        <f t="shared" si="1"/>
        <v>1162.8399999999999</v>
      </c>
      <c r="D7" s="37">
        <f t="shared" si="1"/>
        <v>1101.54</v>
      </c>
      <c r="E7" s="37">
        <f t="shared" si="1"/>
        <v>1108.44</v>
      </c>
      <c r="F7" s="37">
        <f t="shared" si="1"/>
        <v>1118.94</v>
      </c>
      <c r="G7" s="37">
        <f t="shared" si="1"/>
        <v>1121.6399999999999</v>
      </c>
      <c r="H7" s="37">
        <f t="shared" si="1"/>
        <v>1136.54</v>
      </c>
      <c r="I7" s="37">
        <f t="shared" si="1"/>
        <v>1137.1399999999999</v>
      </c>
      <c r="J7" s="37">
        <f t="shared" si="1"/>
        <v>1156.74</v>
      </c>
      <c r="K7" s="37">
        <f t="shared" si="1"/>
        <v>1203.74</v>
      </c>
      <c r="L7" s="37">
        <f>L73</f>
        <v>1253.24</v>
      </c>
      <c r="M7" s="37">
        <f t="shared" si="1"/>
        <v>1250.6400000000001</v>
      </c>
      <c r="N7" s="37">
        <f t="shared" si="1"/>
        <v>1279.3400000000001</v>
      </c>
      <c r="O7" s="37">
        <f t="shared" si="1"/>
        <v>1297.24</v>
      </c>
      <c r="P7" s="37">
        <f t="shared" si="1"/>
        <v>1316.74</v>
      </c>
      <c r="Q7" s="37">
        <f t="shared" si="1"/>
        <v>1224.8400000000001</v>
      </c>
      <c r="R7" s="37">
        <f t="shared" si="1"/>
        <v>1269.44</v>
      </c>
      <c r="S7" s="37">
        <f t="shared" si="1"/>
        <v>1299.44</v>
      </c>
      <c r="T7" s="37">
        <f t="shared" si="1"/>
        <v>1274.6400000000001</v>
      </c>
      <c r="U7" s="37">
        <f t="shared" si="1"/>
        <v>1290.74</v>
      </c>
      <c r="V7" s="37">
        <f t="shared" si="1"/>
        <v>1097.6399999999999</v>
      </c>
      <c r="W7" s="37">
        <f t="shared" si="1"/>
        <v>1405.64</v>
      </c>
      <c r="X7" s="37">
        <f t="shared" si="1"/>
        <v>1422.44</v>
      </c>
      <c r="Y7" s="37">
        <f t="shared" si="1"/>
        <v>1537.1</v>
      </c>
      <c r="Z7" s="37">
        <f t="shared" si="1"/>
        <v>1495.8400000000001</v>
      </c>
      <c r="AA7" s="37">
        <f t="shared" si="1"/>
        <v>1451.54</v>
      </c>
      <c r="AB7" s="37">
        <f t="shared" si="1"/>
        <v>1380.44</v>
      </c>
      <c r="AC7" s="37">
        <f t="shared" si="1"/>
        <v>1356.44</v>
      </c>
      <c r="AD7" s="37">
        <f t="shared" si="1"/>
        <v>1250.54</v>
      </c>
      <c r="AE7" s="37">
        <f t="shared" si="1"/>
        <v>1214.54</v>
      </c>
      <c r="AF7" s="37">
        <f t="shared" si="1"/>
        <v>1232.54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170</v>
      </c>
      <c r="C11" s="49">
        <v>160</v>
      </c>
      <c r="D11" s="49">
        <v>126</v>
      </c>
      <c r="E11" s="49">
        <v>129</v>
      </c>
      <c r="F11" s="49">
        <v>140</v>
      </c>
      <c r="G11" s="49">
        <v>150</v>
      </c>
      <c r="H11" s="49">
        <v>150</v>
      </c>
      <c r="I11" s="49">
        <v>140</v>
      </c>
      <c r="J11" s="49">
        <v>140.30000000000001</v>
      </c>
      <c r="K11" s="49">
        <v>200</v>
      </c>
      <c r="L11" s="50">
        <v>240.5</v>
      </c>
      <c r="M11" s="50">
        <v>270</v>
      </c>
      <c r="N11" s="50">
        <v>250.3</v>
      </c>
      <c r="O11" s="50">
        <v>281.5</v>
      </c>
      <c r="P11" s="50">
        <v>300</v>
      </c>
      <c r="Q11" s="50">
        <v>260</v>
      </c>
      <c r="R11" s="115">
        <v>240.4</v>
      </c>
      <c r="S11" s="115">
        <v>240</v>
      </c>
      <c r="T11" s="115">
        <v>320</v>
      </c>
      <c r="U11" s="115">
        <v>250</v>
      </c>
      <c r="V11" s="115">
        <v>250</v>
      </c>
      <c r="W11" s="115">
        <v>349</v>
      </c>
      <c r="X11" s="115">
        <v>378</v>
      </c>
      <c r="Y11" s="115">
        <v>378</v>
      </c>
      <c r="Z11" s="115">
        <v>375</v>
      </c>
      <c r="AA11" s="49">
        <v>376</v>
      </c>
      <c r="AB11" s="49">
        <v>350</v>
      </c>
      <c r="AC11" s="49">
        <v>350</v>
      </c>
      <c r="AD11" s="49">
        <v>360</v>
      </c>
      <c r="AE11" s="49">
        <v>360</v>
      </c>
      <c r="AF11" s="49">
        <v>370</v>
      </c>
      <c r="AG11" s="54">
        <v>456</v>
      </c>
      <c r="AH11" s="55">
        <f>MAX(B11:AF11)</f>
        <v>378</v>
      </c>
      <c r="AI11" s="56">
        <f>MIN(B11:AF11)</f>
        <v>126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50">
        <v>60</v>
      </c>
      <c r="X12" s="50">
        <v>60</v>
      </c>
      <c r="Y12" s="50">
        <v>60</v>
      </c>
      <c r="Z12" s="50">
        <v>60</v>
      </c>
      <c r="AA12" s="49">
        <v>60</v>
      </c>
      <c r="AB12" s="49">
        <v>60</v>
      </c>
      <c r="AC12" s="49">
        <v>60</v>
      </c>
      <c r="AD12" s="49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45.7</v>
      </c>
      <c r="C14" s="50">
        <v>45.7</v>
      </c>
      <c r="D14" s="50">
        <v>45.7</v>
      </c>
      <c r="E14" s="50">
        <v>45.8</v>
      </c>
      <c r="F14" s="50">
        <v>45.8</v>
      </c>
      <c r="G14" s="50">
        <v>45.8</v>
      </c>
      <c r="H14" s="50">
        <v>45.8</v>
      </c>
      <c r="I14" s="50">
        <v>45.8</v>
      </c>
      <c r="J14" s="50">
        <v>45.8</v>
      </c>
      <c r="K14" s="50">
        <v>45.8</v>
      </c>
      <c r="L14" s="50">
        <v>45.6</v>
      </c>
      <c r="M14" s="50">
        <v>45.8</v>
      </c>
      <c r="N14" s="50">
        <v>45.8</v>
      </c>
      <c r="O14" s="50">
        <v>45.7</v>
      </c>
      <c r="P14" s="50">
        <v>45.7</v>
      </c>
      <c r="Q14" s="50">
        <v>45.7</v>
      </c>
      <c r="R14" s="50">
        <v>45.8</v>
      </c>
      <c r="S14" s="50">
        <v>45.8</v>
      </c>
      <c r="T14" s="50">
        <v>45.7</v>
      </c>
      <c r="U14" s="50">
        <v>45.7</v>
      </c>
      <c r="V14" s="50">
        <v>45.7</v>
      </c>
      <c r="W14" s="50">
        <v>45.7</v>
      </c>
      <c r="X14" s="50">
        <v>45.7</v>
      </c>
      <c r="Y14" s="50">
        <v>45.7</v>
      </c>
      <c r="Z14" s="50">
        <v>45.6</v>
      </c>
      <c r="AA14" s="62">
        <v>46</v>
      </c>
      <c r="AB14" s="62">
        <v>46</v>
      </c>
      <c r="AC14" s="62">
        <v>46</v>
      </c>
      <c r="AD14" s="62">
        <v>46</v>
      </c>
      <c r="AE14" s="62">
        <v>46</v>
      </c>
      <c r="AF14" s="62">
        <v>46</v>
      </c>
      <c r="AG14" s="63">
        <v>50</v>
      </c>
      <c r="AH14" s="55">
        <f t="shared" si="2"/>
        <v>46</v>
      </c>
      <c r="AI14" s="56">
        <f t="shared" si="3"/>
        <v>45.6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24</v>
      </c>
      <c r="C15" s="50">
        <v>24</v>
      </c>
      <c r="D15" s="50">
        <v>24</v>
      </c>
      <c r="E15" s="50">
        <v>24</v>
      </c>
      <c r="F15" s="50">
        <v>24</v>
      </c>
      <c r="G15" s="50">
        <v>25</v>
      </c>
      <c r="H15" s="50">
        <v>25</v>
      </c>
      <c r="I15" s="50">
        <v>25</v>
      </c>
      <c r="J15" s="50">
        <v>25</v>
      </c>
      <c r="K15" s="50">
        <v>25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0</v>
      </c>
      <c r="U15" s="50">
        <v>26</v>
      </c>
      <c r="V15" s="50">
        <v>26</v>
      </c>
      <c r="W15" s="50">
        <v>26</v>
      </c>
      <c r="X15" s="50">
        <v>26</v>
      </c>
      <c r="Y15" s="50">
        <v>0</v>
      </c>
      <c r="Z15" s="50">
        <v>28</v>
      </c>
      <c r="AA15" s="49">
        <v>28</v>
      </c>
      <c r="AB15" s="49">
        <v>22</v>
      </c>
      <c r="AC15" s="49">
        <v>20</v>
      </c>
      <c r="AD15" s="49">
        <v>26</v>
      </c>
      <c r="AE15" s="49">
        <v>26</v>
      </c>
      <c r="AF15" s="49">
        <v>26</v>
      </c>
      <c r="AG15" s="60">
        <v>45</v>
      </c>
      <c r="AH15" s="55">
        <f t="shared" si="2"/>
        <v>28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50">
        <v>25</v>
      </c>
      <c r="E16" s="50">
        <v>25</v>
      </c>
      <c r="F16" s="50">
        <v>25</v>
      </c>
      <c r="G16" s="50">
        <v>25</v>
      </c>
      <c r="H16" s="50">
        <v>25</v>
      </c>
      <c r="I16" s="50">
        <v>25</v>
      </c>
      <c r="J16" s="50">
        <v>25</v>
      </c>
      <c r="K16" s="50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49">
        <v>25</v>
      </c>
      <c r="AB16" s="49">
        <v>25</v>
      </c>
      <c r="AC16" s="49">
        <v>25</v>
      </c>
      <c r="AD16" s="49">
        <v>25</v>
      </c>
      <c r="AE16" s="49">
        <v>25</v>
      </c>
      <c r="AF16" s="49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49">
        <v>25</v>
      </c>
      <c r="AB17" s="49">
        <v>25</v>
      </c>
      <c r="AC17" s="49">
        <v>25</v>
      </c>
      <c r="AD17" s="49">
        <v>25</v>
      </c>
      <c r="AE17" s="49">
        <v>25</v>
      </c>
      <c r="AF17" s="49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26</v>
      </c>
      <c r="C18" s="50">
        <v>26</v>
      </c>
      <c r="D18" s="50">
        <v>26</v>
      </c>
      <c r="E18" s="50">
        <v>26</v>
      </c>
      <c r="F18" s="50">
        <v>26</v>
      </c>
      <c r="G18" s="50">
        <v>26</v>
      </c>
      <c r="H18" s="50">
        <v>26</v>
      </c>
      <c r="I18" s="50">
        <v>26</v>
      </c>
      <c r="J18" s="50">
        <v>26</v>
      </c>
      <c r="K18" s="50">
        <v>26</v>
      </c>
      <c r="L18" s="50">
        <v>26.3</v>
      </c>
      <c r="M18" s="50">
        <v>26.3</v>
      </c>
      <c r="N18" s="50">
        <v>26.3</v>
      </c>
      <c r="O18" s="50">
        <v>26.3</v>
      </c>
      <c r="P18" s="50">
        <v>26.3</v>
      </c>
      <c r="Q18" s="50">
        <v>26.3</v>
      </c>
      <c r="R18" s="50">
        <v>26.3</v>
      </c>
      <c r="S18" s="50">
        <v>26.3</v>
      </c>
      <c r="T18" s="50">
        <v>0</v>
      </c>
      <c r="U18" s="50">
        <v>26</v>
      </c>
      <c r="V18" s="50">
        <v>0</v>
      </c>
      <c r="W18" s="50">
        <v>25</v>
      </c>
      <c r="X18" s="50">
        <v>25</v>
      </c>
      <c r="Y18" s="50">
        <v>0</v>
      </c>
      <c r="Z18" s="50">
        <v>25</v>
      </c>
      <c r="AA18" s="49">
        <v>24.9</v>
      </c>
      <c r="AB18" s="49">
        <v>24.9</v>
      </c>
      <c r="AC18" s="49">
        <v>24.9</v>
      </c>
      <c r="AD18" s="49">
        <v>24.9</v>
      </c>
      <c r="AE18" s="49">
        <v>24.9</v>
      </c>
      <c r="AF18" s="49">
        <v>24.9</v>
      </c>
      <c r="AG18" s="60">
        <v>30</v>
      </c>
      <c r="AH18" s="55">
        <f t="shared" si="2"/>
        <v>26.3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49">
        <v>11</v>
      </c>
      <c r="AB20" s="49">
        <v>11</v>
      </c>
      <c r="AC20" s="49">
        <v>11</v>
      </c>
      <c r="AD20" s="49">
        <v>11</v>
      </c>
      <c r="AE20" s="49">
        <v>11</v>
      </c>
      <c r="AF20" s="49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0</v>
      </c>
      <c r="Y21" s="50">
        <v>15</v>
      </c>
      <c r="Z21" s="50">
        <v>22</v>
      </c>
      <c r="AA21" s="49">
        <v>22</v>
      </c>
      <c r="AB21" s="49">
        <v>22</v>
      </c>
      <c r="AC21" s="49">
        <v>22</v>
      </c>
      <c r="AD21" s="49">
        <v>22</v>
      </c>
      <c r="AE21" s="49">
        <v>22</v>
      </c>
      <c r="AF21" s="49">
        <v>22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0</v>
      </c>
      <c r="AF23" s="49">
        <v>0</v>
      </c>
      <c r="AG23" s="60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20</v>
      </c>
      <c r="C25" s="49">
        <v>20</v>
      </c>
      <c r="D25" s="49">
        <v>20</v>
      </c>
      <c r="E25" s="49">
        <v>20</v>
      </c>
      <c r="F25" s="49">
        <v>20</v>
      </c>
      <c r="G25" s="49">
        <v>20</v>
      </c>
      <c r="H25" s="49">
        <v>20</v>
      </c>
      <c r="I25" s="49">
        <v>20</v>
      </c>
      <c r="J25" s="49">
        <v>20</v>
      </c>
      <c r="K25" s="49">
        <v>20</v>
      </c>
      <c r="L25" s="50">
        <v>20</v>
      </c>
      <c r="M25" s="50">
        <v>20</v>
      </c>
      <c r="N25" s="50">
        <v>20</v>
      </c>
      <c r="O25" s="50">
        <v>20</v>
      </c>
      <c r="P25" s="50">
        <v>20</v>
      </c>
      <c r="Q25" s="50">
        <v>15</v>
      </c>
      <c r="R25" s="50">
        <v>10</v>
      </c>
      <c r="S25" s="50">
        <v>10</v>
      </c>
      <c r="T25" s="50">
        <v>0</v>
      </c>
      <c r="U25" s="50">
        <v>10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49">
        <v>0</v>
      </c>
      <c r="AB25" s="49">
        <v>12</v>
      </c>
      <c r="AC25" s="49">
        <v>12</v>
      </c>
      <c r="AD25" s="49">
        <v>12</v>
      </c>
      <c r="AE25" s="49">
        <v>15</v>
      </c>
      <c r="AF25" s="49">
        <v>15</v>
      </c>
      <c r="AG25" s="60"/>
      <c r="AH25" s="55">
        <f t="shared" si="2"/>
        <v>20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>
        <v>14.9</v>
      </c>
      <c r="AE26" s="49">
        <v>14.9</v>
      </c>
      <c r="AF26" s="49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9.3000000000000007</v>
      </c>
      <c r="C27" s="49">
        <v>9.3000000000000007</v>
      </c>
      <c r="D27" s="49">
        <v>9.3000000000000007</v>
      </c>
      <c r="E27" s="49">
        <v>9.3000000000000007</v>
      </c>
      <c r="F27" s="49">
        <v>9.3000000000000007</v>
      </c>
      <c r="G27" s="49">
        <v>9.3000000000000007</v>
      </c>
      <c r="H27" s="49">
        <v>9.3000000000000007</v>
      </c>
      <c r="I27" s="49">
        <v>9.3000000000000007</v>
      </c>
      <c r="J27" s="49">
        <v>9.3000000000000007</v>
      </c>
      <c r="K27" s="49">
        <v>9.3000000000000007</v>
      </c>
      <c r="L27" s="50">
        <v>9.3000000000000007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49">
        <v>10</v>
      </c>
      <c r="AB27" s="49">
        <v>10</v>
      </c>
      <c r="AC27" s="49">
        <v>10</v>
      </c>
      <c r="AD27" s="49">
        <v>10</v>
      </c>
      <c r="AE27" s="49">
        <v>10</v>
      </c>
      <c r="AF27" s="49">
        <v>10</v>
      </c>
      <c r="AG27" s="60">
        <v>22.2</v>
      </c>
      <c r="AH27" s="55">
        <f t="shared" si="2"/>
        <v>10</v>
      </c>
      <c r="AI27" s="56">
        <f t="shared" si="3"/>
        <v>9.3000000000000007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12.2</v>
      </c>
      <c r="C28" s="49">
        <v>12.2</v>
      </c>
      <c r="D28" s="49">
        <v>12.2</v>
      </c>
      <c r="E28" s="49">
        <v>12.2</v>
      </c>
      <c r="F28" s="49">
        <v>12.2</v>
      </c>
      <c r="G28" s="49">
        <v>12.2</v>
      </c>
      <c r="H28" s="49">
        <v>12.2</v>
      </c>
      <c r="I28" s="49">
        <v>12.2</v>
      </c>
      <c r="J28" s="49">
        <v>12.2</v>
      </c>
      <c r="K28" s="49">
        <v>12.2</v>
      </c>
      <c r="L28" s="50">
        <v>12.2</v>
      </c>
      <c r="M28" s="50">
        <v>12.2</v>
      </c>
      <c r="N28" s="50">
        <v>12.2</v>
      </c>
      <c r="O28" s="50">
        <v>12.2</v>
      </c>
      <c r="P28" s="50">
        <v>12.2</v>
      </c>
      <c r="Q28" s="50">
        <v>12.2</v>
      </c>
      <c r="R28" s="50">
        <v>12.2</v>
      </c>
      <c r="S28" s="50">
        <v>12.2</v>
      </c>
      <c r="T28" s="50">
        <v>12.2</v>
      </c>
      <c r="U28" s="50">
        <v>12.2</v>
      </c>
      <c r="V28" s="50">
        <v>12.2</v>
      </c>
      <c r="W28" s="50">
        <v>12.2</v>
      </c>
      <c r="X28" s="50">
        <v>12.2</v>
      </c>
      <c r="Y28" s="50">
        <v>0</v>
      </c>
      <c r="Z28" s="50">
        <v>12.2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60">
        <v>22.1</v>
      </c>
      <c r="AH28" s="55">
        <f t="shared" si="2"/>
        <v>12.2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8</v>
      </c>
      <c r="C29" s="49">
        <v>8</v>
      </c>
      <c r="D29" s="49">
        <v>8</v>
      </c>
      <c r="E29" s="49">
        <v>8</v>
      </c>
      <c r="F29" s="49">
        <v>8</v>
      </c>
      <c r="G29" s="49">
        <v>8</v>
      </c>
      <c r="H29" s="49">
        <v>8</v>
      </c>
      <c r="I29" s="49">
        <v>8</v>
      </c>
      <c r="J29" s="49">
        <v>8</v>
      </c>
      <c r="K29" s="49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60">
        <v>22.1</v>
      </c>
      <c r="AH29" s="55">
        <f t="shared" si="2"/>
        <v>8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62">
        <v>12</v>
      </c>
      <c r="AB30" s="62">
        <v>12</v>
      </c>
      <c r="AC30" s="62">
        <v>12</v>
      </c>
      <c r="AD30" s="62">
        <v>12</v>
      </c>
      <c r="AE30" s="62">
        <v>12</v>
      </c>
      <c r="AF30" s="62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240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50">
        <v>220</v>
      </c>
      <c r="S34" s="50">
        <v>220</v>
      </c>
      <c r="T34" s="50">
        <v>220</v>
      </c>
      <c r="U34" s="50">
        <v>220</v>
      </c>
      <c r="V34" s="50">
        <v>220</v>
      </c>
      <c r="W34" s="50">
        <v>220</v>
      </c>
      <c r="X34" s="50">
        <v>220</v>
      </c>
      <c r="Y34" s="50">
        <v>220</v>
      </c>
      <c r="Z34" s="50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>MAX(B34:AF34)</f>
        <v>240</v>
      </c>
      <c r="AI34" s="56">
        <f>MIN(B34:AF34)</f>
        <v>220</v>
      </c>
      <c r="AK34" s="57"/>
    </row>
    <row r="35" spans="1:88" ht="15.75" thickBot="1" x14ac:dyDescent="0.3">
      <c r="A35" s="69" t="s">
        <v>42</v>
      </c>
      <c r="B35" s="62">
        <v>172</v>
      </c>
      <c r="C35" s="62">
        <v>172</v>
      </c>
      <c r="D35" s="62">
        <v>176</v>
      </c>
      <c r="E35" s="62">
        <v>172</v>
      </c>
      <c r="F35" s="62">
        <v>168</v>
      </c>
      <c r="G35" s="62">
        <v>168.1</v>
      </c>
      <c r="H35" s="62">
        <v>168.1</v>
      </c>
      <c r="I35" s="62">
        <v>168.5</v>
      </c>
      <c r="J35" s="62">
        <v>166.9</v>
      </c>
      <c r="K35" s="62">
        <v>166.6</v>
      </c>
      <c r="L35" s="70">
        <f>69.6+91.8</f>
        <v>161.39999999999998</v>
      </c>
      <c r="M35" s="70">
        <f>74.3+86.6</f>
        <v>160.89999999999998</v>
      </c>
      <c r="N35" s="70">
        <f>74.3+95.4</f>
        <v>169.7</v>
      </c>
      <c r="O35" s="70">
        <f>74.4+96</f>
        <v>170.4</v>
      </c>
      <c r="P35" s="70">
        <v>169.7</v>
      </c>
      <c r="Q35" s="70">
        <v>169.1</v>
      </c>
      <c r="R35" s="70">
        <f>74.5+96.4</f>
        <v>170.9</v>
      </c>
      <c r="S35" s="70">
        <f>96+74.1</f>
        <v>170.1</v>
      </c>
      <c r="T35" s="70">
        <f>73.9+96.6</f>
        <v>170.5</v>
      </c>
      <c r="U35" s="70">
        <f>95.8+74.9</f>
        <v>170.7</v>
      </c>
      <c r="V35" s="70">
        <f>95.8+74.9</f>
        <v>170.7</v>
      </c>
      <c r="W35" s="70">
        <f>93.1+73.6</f>
        <v>166.7</v>
      </c>
      <c r="X35" s="70">
        <f>92.8+73.5</f>
        <v>166.3</v>
      </c>
      <c r="Y35" s="62">
        <v>166.5</v>
      </c>
      <c r="Z35" s="62">
        <v>166.5</v>
      </c>
      <c r="AA35" s="70">
        <f>93.7+73.8</f>
        <v>167.5</v>
      </c>
      <c r="AB35" s="70">
        <v>168</v>
      </c>
      <c r="AC35" s="70">
        <v>168</v>
      </c>
      <c r="AD35" s="70">
        <v>170</v>
      </c>
      <c r="AE35" s="62">
        <v>170</v>
      </c>
      <c r="AF35" s="62">
        <v>170</v>
      </c>
      <c r="AG35" s="67">
        <v>240</v>
      </c>
      <c r="AH35" s="55">
        <f t="shared" si="2"/>
        <v>176</v>
      </c>
      <c r="AI35" s="56">
        <f t="shared" si="3"/>
        <v>160.89999999999998</v>
      </c>
      <c r="AK35" s="57"/>
    </row>
    <row r="36" spans="1:88" ht="15.75" thickBot="1" x14ac:dyDescent="0.3">
      <c r="A36" s="71" t="s">
        <v>43</v>
      </c>
      <c r="B36" s="72">
        <f>SUM(B11:B34)</f>
        <v>797.3</v>
      </c>
      <c r="C36" s="72">
        <f t="shared" ref="C36:AF36" si="4">SUM(C11:C34)</f>
        <v>767.3</v>
      </c>
      <c r="D36" s="72">
        <f t="shared" si="4"/>
        <v>733.3</v>
      </c>
      <c r="E36" s="72">
        <f t="shared" si="4"/>
        <v>736.4</v>
      </c>
      <c r="F36" s="72">
        <f t="shared" si="4"/>
        <v>747.4</v>
      </c>
      <c r="G36" s="72">
        <f t="shared" si="4"/>
        <v>758.4</v>
      </c>
      <c r="H36" s="72">
        <f t="shared" si="4"/>
        <v>758.4</v>
      </c>
      <c r="I36" s="72">
        <f t="shared" si="4"/>
        <v>748.4</v>
      </c>
      <c r="J36" s="72">
        <f t="shared" si="4"/>
        <v>748.7</v>
      </c>
      <c r="K36" s="72">
        <f t="shared" si="4"/>
        <v>808.4</v>
      </c>
      <c r="L36" s="72">
        <f t="shared" si="4"/>
        <v>850</v>
      </c>
      <c r="M36" s="72">
        <f t="shared" si="4"/>
        <v>880.4</v>
      </c>
      <c r="N36" s="72">
        <f t="shared" si="4"/>
        <v>860.7</v>
      </c>
      <c r="O36" s="72">
        <f t="shared" si="4"/>
        <v>891.80000000000007</v>
      </c>
      <c r="P36" s="72">
        <f t="shared" si="4"/>
        <v>910.30000000000007</v>
      </c>
      <c r="Q36" s="72">
        <f t="shared" si="4"/>
        <v>865.30000000000007</v>
      </c>
      <c r="R36" s="72">
        <f t="shared" si="4"/>
        <v>840.80000000000007</v>
      </c>
      <c r="S36" s="72">
        <f t="shared" si="4"/>
        <v>840.4</v>
      </c>
      <c r="T36" s="72">
        <f t="shared" si="4"/>
        <v>858</v>
      </c>
      <c r="U36" s="72">
        <f t="shared" si="4"/>
        <v>850</v>
      </c>
      <c r="V36" s="72">
        <f t="shared" si="4"/>
        <v>814</v>
      </c>
      <c r="W36" s="72">
        <f>SUM(W11:W34)</f>
        <v>938.00000000000011</v>
      </c>
      <c r="X36" s="72">
        <f t="shared" si="4"/>
        <v>945.00000000000011</v>
      </c>
      <c r="Y36" s="72">
        <f t="shared" si="4"/>
        <v>896.80000000000007</v>
      </c>
      <c r="Z36" s="72">
        <f t="shared" si="4"/>
        <v>965.90000000000009</v>
      </c>
      <c r="AA36" s="72">
        <f t="shared" si="4"/>
        <v>959</v>
      </c>
      <c r="AB36" s="72">
        <f t="shared" si="4"/>
        <v>939</v>
      </c>
      <c r="AC36" s="72">
        <f t="shared" si="4"/>
        <v>937</v>
      </c>
      <c r="AD36" s="72">
        <f t="shared" si="4"/>
        <v>953</v>
      </c>
      <c r="AE36" s="72">
        <f t="shared" si="4"/>
        <v>934</v>
      </c>
      <c r="AF36" s="72">
        <f t="shared" si="4"/>
        <v>944</v>
      </c>
      <c r="AG36" s="67">
        <f>SUM(AG11:AG35)</f>
        <v>1416.83</v>
      </c>
      <c r="AH36" s="55">
        <f t="shared" si="2"/>
        <v>965.90000000000009</v>
      </c>
      <c r="AI36" s="56">
        <f t="shared" si="3"/>
        <v>733.3</v>
      </c>
      <c r="AK36" s="57"/>
    </row>
    <row r="37" spans="1:88" x14ac:dyDescent="0.25">
      <c r="A37" s="58" t="s">
        <v>44</v>
      </c>
      <c r="B37" s="49">
        <v>143.80000000000001</v>
      </c>
      <c r="C37" s="62">
        <v>143.80000000000001</v>
      </c>
      <c r="D37" s="62">
        <v>144</v>
      </c>
      <c r="E37" s="62">
        <v>131.4</v>
      </c>
      <c r="F37" s="62">
        <v>143.9</v>
      </c>
      <c r="G37" s="62">
        <v>143.9</v>
      </c>
      <c r="H37" s="62">
        <v>130</v>
      </c>
      <c r="I37" s="62">
        <v>143.9</v>
      </c>
      <c r="J37" s="62">
        <v>141</v>
      </c>
      <c r="K37" s="62">
        <v>141</v>
      </c>
      <c r="L37" s="50">
        <v>143.69999999999999</v>
      </c>
      <c r="M37" s="50">
        <v>143.9</v>
      </c>
      <c r="N37" s="50">
        <v>143.9</v>
      </c>
      <c r="O37" s="50">
        <v>143.5</v>
      </c>
      <c r="P37" s="50">
        <v>143.5</v>
      </c>
      <c r="Q37" s="50">
        <v>51</v>
      </c>
      <c r="R37" s="50">
        <v>142.30000000000001</v>
      </c>
      <c r="S37" s="50">
        <v>142.1</v>
      </c>
      <c r="T37" s="50">
        <v>0</v>
      </c>
      <c r="U37" s="50">
        <v>143.1</v>
      </c>
      <c r="V37" s="50">
        <v>0</v>
      </c>
      <c r="W37" s="50">
        <v>144.4</v>
      </c>
      <c r="X37" s="50">
        <v>144</v>
      </c>
      <c r="Y37" s="50">
        <v>0</v>
      </c>
      <c r="Z37" s="50">
        <v>0</v>
      </c>
      <c r="AA37" s="49">
        <v>85.7</v>
      </c>
      <c r="AB37" s="49">
        <v>144</v>
      </c>
      <c r="AC37" s="49">
        <v>143</v>
      </c>
      <c r="AD37" s="49">
        <v>143</v>
      </c>
      <c r="AE37" s="49">
        <v>143</v>
      </c>
      <c r="AF37" s="49">
        <v>143</v>
      </c>
      <c r="AG37" s="63">
        <v>144</v>
      </c>
      <c r="AH37" s="55">
        <f t="shared" si="2"/>
        <v>144.4</v>
      </c>
      <c r="AI37" s="56">
        <f t="shared" si="3"/>
        <v>0</v>
      </c>
      <c r="AK37" s="57"/>
    </row>
    <row r="38" spans="1:88" x14ac:dyDescent="0.25">
      <c r="A38" s="66" t="s">
        <v>45</v>
      </c>
      <c r="B38" s="62">
        <v>70.900000000000006</v>
      </c>
      <c r="C38" s="62">
        <v>70.599999999999994</v>
      </c>
      <c r="D38" s="62">
        <v>70.599999999999994</v>
      </c>
      <c r="E38" s="62">
        <v>50.6</v>
      </c>
      <c r="F38" s="62">
        <v>59.7</v>
      </c>
      <c r="G38" s="62">
        <v>70.2</v>
      </c>
      <c r="H38" s="62">
        <v>55</v>
      </c>
      <c r="I38" s="62">
        <v>56.3</v>
      </c>
      <c r="J38" s="62">
        <v>70.599999999999994</v>
      </c>
      <c r="K38" s="62">
        <v>70.599999999999994</v>
      </c>
      <c r="L38" s="52">
        <v>69.7</v>
      </c>
      <c r="M38" s="52">
        <v>69.900000000000006</v>
      </c>
      <c r="N38" s="52">
        <v>70.099999999999994</v>
      </c>
      <c r="O38" s="52">
        <v>70.2</v>
      </c>
      <c r="P38" s="52">
        <v>70.2</v>
      </c>
      <c r="Q38" s="52">
        <v>70.900000000000006</v>
      </c>
      <c r="R38" s="52">
        <v>69.5</v>
      </c>
      <c r="S38" s="52">
        <v>68.8</v>
      </c>
      <c r="T38" s="52">
        <v>69.5</v>
      </c>
      <c r="U38" s="52">
        <v>72</v>
      </c>
      <c r="V38" s="52">
        <v>72</v>
      </c>
      <c r="W38" s="52">
        <v>70.3</v>
      </c>
      <c r="X38" s="52">
        <v>71.400000000000006</v>
      </c>
      <c r="Y38" s="52">
        <v>70.2</v>
      </c>
      <c r="Z38" s="52">
        <v>69.400000000000006</v>
      </c>
      <c r="AA38" s="62">
        <v>69.900000000000006</v>
      </c>
      <c r="AB38" s="62">
        <v>71</v>
      </c>
      <c r="AC38" s="62">
        <v>65</v>
      </c>
      <c r="AD38" s="62">
        <v>70</v>
      </c>
      <c r="AE38" s="62">
        <v>70</v>
      </c>
      <c r="AF38" s="62">
        <v>70</v>
      </c>
      <c r="AG38" s="67">
        <v>70</v>
      </c>
      <c r="AH38" s="55">
        <f t="shared" si="2"/>
        <v>72</v>
      </c>
      <c r="AI38" s="56">
        <f t="shared" si="3"/>
        <v>50.6</v>
      </c>
      <c r="AK38" s="57"/>
    </row>
    <row r="39" spans="1:88" x14ac:dyDescent="0.25">
      <c r="A39" s="66" t="s">
        <v>46</v>
      </c>
      <c r="B39" s="62">
        <v>67.099999999999994</v>
      </c>
      <c r="C39" s="62">
        <v>66.7</v>
      </c>
      <c r="D39" s="62">
        <v>67.2</v>
      </c>
      <c r="E39" s="62">
        <v>57.8</v>
      </c>
      <c r="F39" s="62">
        <v>67</v>
      </c>
      <c r="G39" s="62">
        <v>66.7</v>
      </c>
      <c r="H39" s="62">
        <v>57</v>
      </c>
      <c r="I39" s="62">
        <v>57.2</v>
      </c>
      <c r="J39" s="62">
        <v>66.8</v>
      </c>
      <c r="K39" s="62">
        <v>66.8</v>
      </c>
      <c r="L39" s="52">
        <v>66.400000000000006</v>
      </c>
      <c r="M39" s="52">
        <v>67.3</v>
      </c>
      <c r="N39" s="52">
        <v>67.599999999999994</v>
      </c>
      <c r="O39" s="52">
        <v>67.5</v>
      </c>
      <c r="P39" s="52">
        <v>67.5</v>
      </c>
      <c r="Q39" s="52">
        <v>66.900000000000006</v>
      </c>
      <c r="R39" s="52">
        <v>66.7</v>
      </c>
      <c r="S39" s="52">
        <v>66.599999999999994</v>
      </c>
      <c r="T39" s="52">
        <v>66.3</v>
      </c>
      <c r="U39" s="52">
        <v>67.2</v>
      </c>
      <c r="V39" s="52">
        <v>67.2</v>
      </c>
      <c r="W39" s="52">
        <v>61.3</v>
      </c>
      <c r="X39" s="52">
        <v>67.099999999999994</v>
      </c>
      <c r="Y39" s="52">
        <v>64.8</v>
      </c>
      <c r="Z39" s="52">
        <v>66.599999999999994</v>
      </c>
      <c r="AA39" s="62">
        <v>66</v>
      </c>
      <c r="AB39" s="62">
        <v>62</v>
      </c>
      <c r="AC39" s="62">
        <v>57</v>
      </c>
      <c r="AD39" s="62">
        <v>67</v>
      </c>
      <c r="AE39" s="62">
        <v>67</v>
      </c>
      <c r="AF39" s="62">
        <v>67</v>
      </c>
      <c r="AG39" s="67">
        <v>69</v>
      </c>
      <c r="AH39" s="55">
        <f t="shared" si="2"/>
        <v>67.599999999999994</v>
      </c>
      <c r="AI39" s="56">
        <f t="shared" si="3"/>
        <v>57</v>
      </c>
      <c r="AK39" s="57"/>
    </row>
    <row r="40" spans="1:88" x14ac:dyDescent="0.25">
      <c r="A40" s="66" t="s">
        <v>47</v>
      </c>
      <c r="B40" s="62">
        <v>60.7</v>
      </c>
      <c r="C40" s="62">
        <v>60.7</v>
      </c>
      <c r="D40" s="62">
        <v>60.7</v>
      </c>
      <c r="E40" s="62">
        <v>60.4</v>
      </c>
      <c r="F40" s="62">
        <v>40.6</v>
      </c>
      <c r="G40" s="62">
        <v>40.799999999999997</v>
      </c>
      <c r="H40" s="62">
        <v>40.799999999999997</v>
      </c>
      <c r="I40" s="62">
        <v>60</v>
      </c>
      <c r="J40" s="62">
        <v>60</v>
      </c>
      <c r="K40" s="62">
        <v>60.5</v>
      </c>
      <c r="L40" s="52">
        <v>60.5</v>
      </c>
      <c r="M40" s="52">
        <v>61</v>
      </c>
      <c r="N40" s="52">
        <v>60.2</v>
      </c>
      <c r="O40" s="52">
        <v>60.2</v>
      </c>
      <c r="P40" s="52">
        <v>60.2</v>
      </c>
      <c r="Q40" s="52">
        <v>30.5</v>
      </c>
      <c r="R40" s="52">
        <v>62</v>
      </c>
      <c r="S40" s="52">
        <v>62</v>
      </c>
      <c r="T40" s="52">
        <v>61.4</v>
      </c>
      <c r="U40" s="52">
        <v>61.7</v>
      </c>
      <c r="V40" s="52">
        <v>61.7</v>
      </c>
      <c r="W40" s="52">
        <v>62</v>
      </c>
      <c r="X40" s="52">
        <v>62</v>
      </c>
      <c r="Y40" s="52">
        <v>62</v>
      </c>
      <c r="Z40" s="52">
        <v>62</v>
      </c>
      <c r="AA40" s="62">
        <v>60.9</v>
      </c>
      <c r="AB40" s="62">
        <v>60.9</v>
      </c>
      <c r="AC40" s="62">
        <v>60.5</v>
      </c>
      <c r="AD40" s="62">
        <v>60.5</v>
      </c>
      <c r="AE40" s="62">
        <v>60.5</v>
      </c>
      <c r="AF40" s="62">
        <v>60.5</v>
      </c>
      <c r="AG40" s="67">
        <v>60</v>
      </c>
      <c r="AH40" s="55">
        <f t="shared" si="2"/>
        <v>62</v>
      </c>
      <c r="AI40" s="56">
        <f t="shared" si="3"/>
        <v>30.5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29.8</v>
      </c>
      <c r="E41" s="62">
        <v>29.4</v>
      </c>
      <c r="F41" s="62">
        <v>29.4</v>
      </c>
      <c r="G41" s="62">
        <v>29.4</v>
      </c>
      <c r="H41" s="62">
        <v>29.4</v>
      </c>
      <c r="I41" s="62">
        <v>29.4</v>
      </c>
      <c r="J41" s="62">
        <v>29.4</v>
      </c>
      <c r="K41" s="62">
        <v>29.4</v>
      </c>
      <c r="L41" s="50">
        <v>29.6</v>
      </c>
      <c r="M41" s="50">
        <v>29.6</v>
      </c>
      <c r="N41" s="50">
        <v>29.5</v>
      </c>
      <c r="O41" s="50">
        <v>29.6</v>
      </c>
      <c r="P41" s="50">
        <v>29.6</v>
      </c>
      <c r="Q41" s="50">
        <v>29.6</v>
      </c>
      <c r="R41" s="50">
        <v>29.6</v>
      </c>
      <c r="S41" s="50">
        <v>29.6</v>
      </c>
      <c r="T41" s="50">
        <v>29.4</v>
      </c>
      <c r="U41" s="50">
        <v>29.4</v>
      </c>
      <c r="V41" s="50">
        <v>29.4</v>
      </c>
      <c r="W41" s="50">
        <v>29.4</v>
      </c>
      <c r="X41" s="50">
        <v>29.4</v>
      </c>
      <c r="Y41" s="52">
        <v>29.6</v>
      </c>
      <c r="Z41" s="52">
        <v>29.6</v>
      </c>
      <c r="AA41" s="62">
        <v>29.6</v>
      </c>
      <c r="AB41" s="62">
        <v>29.6</v>
      </c>
      <c r="AC41" s="62">
        <v>29.6</v>
      </c>
      <c r="AD41" s="62">
        <v>29.6</v>
      </c>
      <c r="AE41" s="62">
        <v>29.6</v>
      </c>
      <c r="AF41" s="62">
        <v>29.6</v>
      </c>
      <c r="AG41" s="67">
        <v>30</v>
      </c>
      <c r="AH41" s="55">
        <f t="shared" si="2"/>
        <v>29.8</v>
      </c>
      <c r="AI41" s="56">
        <f t="shared" si="3"/>
        <v>29.4</v>
      </c>
      <c r="AK41" s="57"/>
    </row>
    <row r="42" spans="1:88" x14ac:dyDescent="0.25">
      <c r="A42" s="66" t="s">
        <v>49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50">
        <v>17</v>
      </c>
      <c r="C43" s="50">
        <v>17</v>
      </c>
      <c r="D43" s="50">
        <v>17</v>
      </c>
      <c r="E43" s="50">
        <v>17</v>
      </c>
      <c r="F43" s="50">
        <v>17</v>
      </c>
      <c r="G43" s="50">
        <v>17</v>
      </c>
      <c r="H43" s="50">
        <v>17</v>
      </c>
      <c r="I43" s="50">
        <v>17</v>
      </c>
      <c r="J43" s="50">
        <v>17</v>
      </c>
      <c r="K43" s="50">
        <v>17</v>
      </c>
      <c r="L43" s="50">
        <v>17</v>
      </c>
      <c r="M43" s="50">
        <v>17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0</v>
      </c>
      <c r="Y43" s="50">
        <v>0</v>
      </c>
      <c r="Z43" s="50">
        <v>17</v>
      </c>
      <c r="AA43" s="62">
        <v>17</v>
      </c>
      <c r="AB43" s="62">
        <v>17</v>
      </c>
      <c r="AC43" s="62">
        <v>17</v>
      </c>
      <c r="AD43" s="62">
        <v>17</v>
      </c>
      <c r="AE43" s="62">
        <v>17</v>
      </c>
      <c r="AF43" s="62">
        <v>17</v>
      </c>
      <c r="AG43" s="67">
        <v>24</v>
      </c>
      <c r="AH43" s="55">
        <f t="shared" si="2"/>
        <v>17</v>
      </c>
      <c r="AI43" s="56">
        <f t="shared" si="3"/>
        <v>0</v>
      </c>
      <c r="AK43" s="57"/>
    </row>
    <row r="44" spans="1:88" x14ac:dyDescent="0.25">
      <c r="A44" s="66" t="s">
        <v>51</v>
      </c>
      <c r="B44" s="50">
        <v>2.5</v>
      </c>
      <c r="C44" s="50">
        <v>2.5</v>
      </c>
      <c r="D44" s="50">
        <v>2.5</v>
      </c>
      <c r="E44" s="50">
        <v>2.5</v>
      </c>
      <c r="F44" s="50">
        <v>2.5</v>
      </c>
      <c r="G44" s="50">
        <v>2.5</v>
      </c>
      <c r="H44" s="50">
        <v>2.5</v>
      </c>
      <c r="I44" s="50">
        <v>2.5</v>
      </c>
      <c r="J44" s="50">
        <v>2.5</v>
      </c>
      <c r="K44" s="50">
        <v>2.5</v>
      </c>
      <c r="L44" s="50">
        <v>2.5</v>
      </c>
      <c r="M44" s="50">
        <v>2.5</v>
      </c>
      <c r="N44" s="50">
        <v>2</v>
      </c>
      <c r="O44" s="50">
        <v>2</v>
      </c>
      <c r="P44" s="50">
        <v>2</v>
      </c>
      <c r="Q44" s="50">
        <v>0</v>
      </c>
      <c r="R44" s="50">
        <v>0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 t="s">
        <v>224</v>
      </c>
      <c r="Z44" s="50" t="s">
        <v>225</v>
      </c>
      <c r="AA44" s="62">
        <v>2.5</v>
      </c>
      <c r="AB44" s="62">
        <v>2.5</v>
      </c>
      <c r="AC44" s="62">
        <v>2.5</v>
      </c>
      <c r="AD44" s="62">
        <v>2.5</v>
      </c>
      <c r="AE44" s="62">
        <v>2.5</v>
      </c>
      <c r="AF44" s="62">
        <v>2.5</v>
      </c>
      <c r="AG44" s="67">
        <v>15</v>
      </c>
      <c r="AH44" s="55">
        <f t="shared" si="2"/>
        <v>2.5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50">
        <v>13.5</v>
      </c>
      <c r="C45" s="50">
        <v>13.5</v>
      </c>
      <c r="D45" s="50">
        <v>13.5</v>
      </c>
      <c r="E45" s="50">
        <v>13.5</v>
      </c>
      <c r="F45" s="50">
        <v>13.5</v>
      </c>
      <c r="G45" s="50">
        <v>13.5</v>
      </c>
      <c r="H45" s="50">
        <v>13.5</v>
      </c>
      <c r="I45" s="50">
        <v>13.5</v>
      </c>
      <c r="J45" s="50">
        <v>13.5</v>
      </c>
      <c r="K45" s="50">
        <v>13.5</v>
      </c>
      <c r="L45" s="50">
        <v>13.5</v>
      </c>
      <c r="M45" s="50">
        <v>13.5</v>
      </c>
      <c r="N45" s="50">
        <v>13.5</v>
      </c>
      <c r="O45" s="50">
        <v>13.5</v>
      </c>
      <c r="P45" s="50">
        <v>13.5</v>
      </c>
      <c r="Q45" s="50">
        <v>13.5</v>
      </c>
      <c r="R45" s="50">
        <v>13.5</v>
      </c>
      <c r="S45" s="50">
        <v>13.5</v>
      </c>
      <c r="T45" s="50">
        <v>13.5</v>
      </c>
      <c r="U45" s="50">
        <v>13.5</v>
      </c>
      <c r="V45" s="50">
        <v>13.5</v>
      </c>
      <c r="W45" s="50">
        <v>13.5</v>
      </c>
      <c r="X45" s="50">
        <v>0</v>
      </c>
      <c r="Y45" s="50">
        <v>0</v>
      </c>
      <c r="Z45" s="50">
        <v>13.5</v>
      </c>
      <c r="AA45" s="62">
        <v>13.1</v>
      </c>
      <c r="AB45" s="62">
        <v>13.1</v>
      </c>
      <c r="AC45" s="62">
        <v>13.1</v>
      </c>
      <c r="AD45" s="62">
        <v>13.1</v>
      </c>
      <c r="AE45" s="62">
        <v>13.1</v>
      </c>
      <c r="AF45" s="62">
        <v>13.1</v>
      </c>
      <c r="AG45" s="67">
        <v>14.1</v>
      </c>
      <c r="AH45" s="55">
        <f t="shared" si="2"/>
        <v>13.5</v>
      </c>
      <c r="AI45" s="56">
        <f t="shared" si="3"/>
        <v>0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50">
        <v>14</v>
      </c>
      <c r="C46" s="50">
        <v>14</v>
      </c>
      <c r="D46" s="50">
        <v>14</v>
      </c>
      <c r="E46" s="50">
        <v>14</v>
      </c>
      <c r="F46" s="50">
        <v>14</v>
      </c>
      <c r="G46" s="50">
        <v>14</v>
      </c>
      <c r="H46" s="50">
        <v>14</v>
      </c>
      <c r="I46" s="50">
        <v>14</v>
      </c>
      <c r="J46" s="50">
        <v>14</v>
      </c>
      <c r="K46" s="50">
        <v>14</v>
      </c>
      <c r="L46" s="50">
        <v>14</v>
      </c>
      <c r="M46" s="50">
        <v>3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0</v>
      </c>
      <c r="U46" s="50">
        <v>14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62">
        <v>7</v>
      </c>
      <c r="AB46" s="62">
        <v>7</v>
      </c>
      <c r="AC46" s="62">
        <v>7</v>
      </c>
      <c r="AD46" s="62">
        <v>7</v>
      </c>
      <c r="AE46" s="62">
        <v>7</v>
      </c>
      <c r="AF46" s="62">
        <v>7</v>
      </c>
      <c r="AG46" s="67">
        <v>14</v>
      </c>
      <c r="AH46" s="55">
        <f t="shared" si="2"/>
        <v>14</v>
      </c>
      <c r="AI46" s="56">
        <f t="shared" si="3"/>
        <v>0</v>
      </c>
      <c r="AK46" s="57"/>
    </row>
    <row r="47" spans="1:88" x14ac:dyDescent="0.25">
      <c r="A47" s="66" t="s">
        <v>54</v>
      </c>
      <c r="B47" s="50">
        <v>9.4</v>
      </c>
      <c r="C47" s="50">
        <v>9.4</v>
      </c>
      <c r="D47" s="50">
        <v>9.4</v>
      </c>
      <c r="E47" s="50">
        <v>9.4</v>
      </c>
      <c r="F47" s="50">
        <v>9.4</v>
      </c>
      <c r="G47" s="50">
        <v>9.4</v>
      </c>
      <c r="H47" s="50">
        <v>9.4</v>
      </c>
      <c r="I47" s="50">
        <v>9.4</v>
      </c>
      <c r="J47" s="50">
        <v>9.4</v>
      </c>
      <c r="K47" s="50">
        <v>9.4</v>
      </c>
      <c r="L47" s="50">
        <v>9.4</v>
      </c>
      <c r="M47" s="50">
        <v>9.4</v>
      </c>
      <c r="N47" s="50">
        <v>9.4</v>
      </c>
      <c r="O47" s="50">
        <v>9.4</v>
      </c>
      <c r="P47" s="50">
        <v>9.4</v>
      </c>
      <c r="Q47" s="50">
        <v>9.4</v>
      </c>
      <c r="R47" s="50">
        <v>9.4</v>
      </c>
      <c r="S47" s="50">
        <v>9.4</v>
      </c>
      <c r="T47" s="50">
        <v>9.4</v>
      </c>
      <c r="U47" s="50">
        <v>9.4</v>
      </c>
      <c r="V47" s="50">
        <v>9.4</v>
      </c>
      <c r="W47" s="50">
        <v>9.4</v>
      </c>
      <c r="X47" s="50">
        <v>9.4</v>
      </c>
      <c r="Y47" s="50">
        <v>9.4</v>
      </c>
      <c r="Z47" s="50">
        <v>9.4</v>
      </c>
      <c r="AA47" s="62">
        <v>6.3</v>
      </c>
      <c r="AB47" s="62">
        <v>6.3</v>
      </c>
      <c r="AC47" s="62">
        <v>6.3</v>
      </c>
      <c r="AD47" s="62">
        <v>6.3</v>
      </c>
      <c r="AE47" s="62">
        <v>6.3</v>
      </c>
      <c r="AF47" s="62">
        <v>6.3</v>
      </c>
      <c r="AG47" s="67">
        <v>10.050000000000001</v>
      </c>
      <c r="AH47" s="55">
        <f t="shared" si="2"/>
        <v>9.4</v>
      </c>
      <c r="AI47" s="56">
        <f t="shared" si="3"/>
        <v>6.3</v>
      </c>
      <c r="AK47" s="57"/>
    </row>
    <row r="48" spans="1:88" x14ac:dyDescent="0.25">
      <c r="A48" s="66" t="s">
        <v>55</v>
      </c>
      <c r="B48" s="50">
        <v>6</v>
      </c>
      <c r="C48" s="50">
        <v>6</v>
      </c>
      <c r="D48" s="50">
        <v>6</v>
      </c>
      <c r="E48" s="50">
        <v>6</v>
      </c>
      <c r="F48" s="50">
        <v>6</v>
      </c>
      <c r="G48" s="50">
        <v>6</v>
      </c>
      <c r="H48" s="50">
        <v>6</v>
      </c>
      <c r="I48" s="50">
        <v>6</v>
      </c>
      <c r="J48" s="50">
        <v>6</v>
      </c>
      <c r="K48" s="50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62">
        <v>6</v>
      </c>
      <c r="AB48" s="62">
        <v>6</v>
      </c>
      <c r="AC48" s="62">
        <v>6</v>
      </c>
      <c r="AD48" s="62">
        <v>6</v>
      </c>
      <c r="AE48" s="62">
        <v>6</v>
      </c>
      <c r="AF48" s="62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438.24</v>
      </c>
      <c r="C50" s="72">
        <f t="shared" si="6"/>
        <v>437.54</v>
      </c>
      <c r="D50" s="72">
        <f t="shared" si="6"/>
        <v>438.24</v>
      </c>
      <c r="E50" s="72">
        <f t="shared" si="6"/>
        <v>395.53999999999996</v>
      </c>
      <c r="F50" s="72">
        <f t="shared" si="6"/>
        <v>406.54</v>
      </c>
      <c r="G50" s="72">
        <f t="shared" si="6"/>
        <v>416.94</v>
      </c>
      <c r="H50" s="72">
        <f t="shared" si="6"/>
        <v>378.14</v>
      </c>
      <c r="I50" s="72">
        <f t="shared" si="6"/>
        <v>412.73999999999995</v>
      </c>
      <c r="J50" s="72">
        <f t="shared" si="6"/>
        <v>433.73999999999995</v>
      </c>
      <c r="K50" s="72">
        <f t="shared" si="6"/>
        <v>434.23999999999995</v>
      </c>
      <c r="L50" s="72">
        <f t="shared" si="6"/>
        <v>435.84</v>
      </c>
      <c r="M50" s="72">
        <f t="shared" si="6"/>
        <v>426.64000000000004</v>
      </c>
      <c r="N50" s="72">
        <f t="shared" si="6"/>
        <v>436.74</v>
      </c>
      <c r="O50" s="72">
        <f t="shared" si="6"/>
        <v>436.44</v>
      </c>
      <c r="P50" s="72">
        <f t="shared" si="6"/>
        <v>436.44</v>
      </c>
      <c r="Q50" s="72">
        <f t="shared" si="6"/>
        <v>312.33999999999997</v>
      </c>
      <c r="R50" s="72">
        <f t="shared" si="6"/>
        <v>433.54</v>
      </c>
      <c r="S50" s="72">
        <f t="shared" si="6"/>
        <v>435.04</v>
      </c>
      <c r="T50" s="72">
        <f t="shared" si="6"/>
        <v>278.54000000000002</v>
      </c>
      <c r="U50" s="72">
        <f t="shared" si="6"/>
        <v>439.34</v>
      </c>
      <c r="V50" s="72">
        <f t="shared" si="6"/>
        <v>282.23999999999995</v>
      </c>
      <c r="W50" s="72">
        <f t="shared" si="6"/>
        <v>419.34</v>
      </c>
      <c r="X50" s="72">
        <f t="shared" si="6"/>
        <v>395.34</v>
      </c>
      <c r="Y50" s="72">
        <f t="shared" si="6"/>
        <v>245.5</v>
      </c>
      <c r="Z50" s="72">
        <f t="shared" si="6"/>
        <v>277.04000000000002</v>
      </c>
      <c r="AA50" s="72">
        <f t="shared" si="6"/>
        <v>367.54000000000008</v>
      </c>
      <c r="AB50" s="72">
        <f t="shared" si="6"/>
        <v>422.94000000000005</v>
      </c>
      <c r="AC50" s="72">
        <f t="shared" si="6"/>
        <v>410.54000000000008</v>
      </c>
      <c r="AD50" s="72">
        <f t="shared" si="6"/>
        <v>425.54000000000008</v>
      </c>
      <c r="AE50" s="72">
        <f t="shared" si="6"/>
        <v>425.54000000000008</v>
      </c>
      <c r="AF50" s="72">
        <f t="shared" si="6"/>
        <v>425.54000000000008</v>
      </c>
      <c r="AG50" s="77">
        <f>SUM(AG37:AG49)</f>
        <v>489.91</v>
      </c>
      <c r="AH50" s="55">
        <f t="shared" si="2"/>
        <v>439.34</v>
      </c>
      <c r="AI50" s="56">
        <f t="shared" si="3"/>
        <v>245.5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20.399999999999999</v>
      </c>
      <c r="R51" s="50">
        <v>9.8000000000000007</v>
      </c>
      <c r="S51" s="50">
        <v>12</v>
      </c>
      <c r="T51" s="50">
        <v>29.6</v>
      </c>
      <c r="U51" s="50">
        <v>10</v>
      </c>
      <c r="V51" s="50">
        <v>10</v>
      </c>
      <c r="W51" s="50">
        <v>13.8</v>
      </c>
      <c r="X51" s="50">
        <v>59.7</v>
      </c>
      <c r="Y51" s="50">
        <v>59.4</v>
      </c>
      <c r="Z51" s="50">
        <v>59</v>
      </c>
      <c r="AA51" s="50">
        <v>49.9</v>
      </c>
      <c r="AB51" s="50">
        <v>35</v>
      </c>
      <c r="AC51" s="50">
        <v>40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59.7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10.1</v>
      </c>
      <c r="R52" s="50">
        <v>4.3</v>
      </c>
      <c r="S52" s="50">
        <v>4</v>
      </c>
      <c r="T52" s="50">
        <v>14.3</v>
      </c>
      <c r="U52" s="52">
        <v>3.9</v>
      </c>
      <c r="V52" s="52">
        <v>3.9</v>
      </c>
      <c r="W52" s="52">
        <v>6.5</v>
      </c>
      <c r="X52" s="52">
        <v>27.6</v>
      </c>
      <c r="Y52" s="52">
        <v>26.9</v>
      </c>
      <c r="Z52" s="52">
        <v>27.5</v>
      </c>
      <c r="AA52" s="52">
        <v>21.7</v>
      </c>
      <c r="AB52" s="52">
        <v>15</v>
      </c>
      <c r="AC52" s="52">
        <v>16</v>
      </c>
      <c r="AD52" s="52">
        <v>5</v>
      </c>
      <c r="AE52" s="52">
        <v>0</v>
      </c>
      <c r="AF52" s="52">
        <v>0</v>
      </c>
      <c r="AG52" s="67">
        <v>32</v>
      </c>
      <c r="AH52" s="55">
        <f t="shared" si="2"/>
        <v>27.6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3.7</v>
      </c>
      <c r="R53" s="50">
        <v>1.6</v>
      </c>
      <c r="S53" s="50">
        <v>1.5</v>
      </c>
      <c r="T53" s="50">
        <v>5.2</v>
      </c>
      <c r="U53" s="78">
        <v>1.4</v>
      </c>
      <c r="V53" s="78">
        <v>1.4</v>
      </c>
      <c r="W53" s="78">
        <v>2.4</v>
      </c>
      <c r="X53" s="78">
        <v>10.1</v>
      </c>
      <c r="Y53" s="78">
        <v>9.8000000000000007</v>
      </c>
      <c r="Z53" s="78">
        <v>10.1</v>
      </c>
      <c r="AA53" s="78">
        <v>7.4</v>
      </c>
      <c r="AB53" s="78">
        <v>5.5</v>
      </c>
      <c r="AC53" s="78">
        <v>5.9</v>
      </c>
      <c r="AD53" s="78">
        <v>2</v>
      </c>
      <c r="AE53" s="78">
        <v>0</v>
      </c>
      <c r="AF53" s="78">
        <v>0</v>
      </c>
      <c r="AG53" s="79">
        <v>14</v>
      </c>
      <c r="AH53" s="55">
        <f t="shared" si="2"/>
        <v>10.1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34.200000000000003</v>
      </c>
      <c r="R54" s="72">
        <f t="shared" si="7"/>
        <v>15.700000000000001</v>
      </c>
      <c r="S54" s="72">
        <f t="shared" si="7"/>
        <v>17.5</v>
      </c>
      <c r="T54" s="72">
        <f t="shared" si="7"/>
        <v>49.100000000000009</v>
      </c>
      <c r="U54" s="72">
        <f t="shared" si="7"/>
        <v>15.3</v>
      </c>
      <c r="V54" s="72">
        <f t="shared" si="7"/>
        <v>15.3</v>
      </c>
      <c r="W54" s="72">
        <f t="shared" si="7"/>
        <v>22.7</v>
      </c>
      <c r="X54" s="72">
        <f t="shared" si="7"/>
        <v>97.4</v>
      </c>
      <c r="Y54" s="72">
        <f t="shared" si="7"/>
        <v>96.1</v>
      </c>
      <c r="Z54" s="72">
        <f t="shared" si="7"/>
        <v>96.6</v>
      </c>
      <c r="AA54" s="72">
        <f t="shared" si="7"/>
        <v>79</v>
      </c>
      <c r="AB54" s="72">
        <f t="shared" si="7"/>
        <v>55.5</v>
      </c>
      <c r="AC54" s="72">
        <f t="shared" si="7"/>
        <v>61.9</v>
      </c>
      <c r="AD54" s="72">
        <f t="shared" si="7"/>
        <v>7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97.4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10</v>
      </c>
      <c r="R55" s="50">
        <v>10</v>
      </c>
      <c r="S55" s="50">
        <v>10</v>
      </c>
      <c r="T55" s="50">
        <v>54.3</v>
      </c>
      <c r="U55" s="50">
        <v>-3.9</v>
      </c>
      <c r="V55" s="50">
        <v>-3.9</v>
      </c>
      <c r="W55" s="50">
        <v>52.6</v>
      </c>
      <c r="X55" s="50">
        <v>69.599999999999994</v>
      </c>
      <c r="Y55" s="50">
        <v>78.2</v>
      </c>
      <c r="Z55" s="50">
        <v>71.5</v>
      </c>
      <c r="AA55" s="50">
        <v>71.599999999999994</v>
      </c>
      <c r="AB55" s="50">
        <v>60</v>
      </c>
      <c r="AC55" s="50">
        <v>60</v>
      </c>
      <c r="AD55" s="50">
        <v>24</v>
      </c>
      <c r="AE55" s="50">
        <v>0</v>
      </c>
      <c r="AF55" s="50">
        <v>0</v>
      </c>
      <c r="AG55" s="63"/>
      <c r="AH55" s="55">
        <f t="shared" si="2"/>
        <v>78.2</v>
      </c>
      <c r="AI55" s="56">
        <f t="shared" si="3"/>
        <v>-3.9</v>
      </c>
      <c r="AK55" s="56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-78.900000000000006</v>
      </c>
      <c r="Z56" s="80">
        <v>-75.2</v>
      </c>
      <c r="AA56" s="52">
        <v>-66.8</v>
      </c>
      <c r="AB56" s="52">
        <v>-71</v>
      </c>
      <c r="AC56" s="52">
        <v>-76</v>
      </c>
      <c r="AD56" s="52">
        <v>-90</v>
      </c>
      <c r="AE56" s="52">
        <v>-86</v>
      </c>
      <c r="AF56" s="52">
        <v>-84</v>
      </c>
      <c r="AG56" s="67"/>
      <c r="AH56" s="55">
        <f t="shared" si="2"/>
        <v>0</v>
      </c>
      <c r="AI56" s="56">
        <f t="shared" si="3"/>
        <v>-90</v>
      </c>
      <c r="AK56" s="56">
        <f>78.5*5</f>
        <v>392.5</v>
      </c>
    </row>
    <row r="57" spans="1:37" x14ac:dyDescent="0.25">
      <c r="A57" s="66" t="s">
        <v>64</v>
      </c>
      <c r="B57" s="52">
        <v>0</v>
      </c>
      <c r="C57" s="52">
        <v>-42</v>
      </c>
      <c r="D57" s="52">
        <v>-70</v>
      </c>
      <c r="E57" s="52">
        <v>-23.5</v>
      </c>
      <c r="F57" s="52">
        <v>-35</v>
      </c>
      <c r="G57" s="52">
        <v>-53.7</v>
      </c>
      <c r="H57" s="50">
        <v>0</v>
      </c>
      <c r="I57" s="50">
        <v>-24</v>
      </c>
      <c r="J57" s="50">
        <v>-25.7</v>
      </c>
      <c r="K57" s="50">
        <v>-38.9</v>
      </c>
      <c r="L57" s="52">
        <v>-32.6</v>
      </c>
      <c r="M57" s="52">
        <v>-56.4</v>
      </c>
      <c r="N57" s="52">
        <v>-18.100000000000001</v>
      </c>
      <c r="O57" s="52">
        <v>-31</v>
      </c>
      <c r="P57" s="52">
        <v>-30</v>
      </c>
      <c r="Q57" s="52">
        <v>-7</v>
      </c>
      <c r="R57" s="52">
        <v>-30.6</v>
      </c>
      <c r="S57" s="52">
        <v>-3.5</v>
      </c>
      <c r="T57" s="52">
        <v>-53.3</v>
      </c>
      <c r="U57" s="81">
        <v>-10</v>
      </c>
      <c r="V57" s="81">
        <v>-10</v>
      </c>
      <c r="W57" s="81">
        <v>-27</v>
      </c>
      <c r="X57" s="81">
        <v>-84.9</v>
      </c>
      <c r="Y57" s="81">
        <v>29.4</v>
      </c>
      <c r="Z57" s="81">
        <v>-60</v>
      </c>
      <c r="AA57" s="52">
        <v>-60</v>
      </c>
      <c r="AB57" s="52">
        <v>-26</v>
      </c>
      <c r="AC57" s="52">
        <v>-17</v>
      </c>
      <c r="AD57" s="52">
        <v>-15</v>
      </c>
      <c r="AE57" s="52">
        <v>-7</v>
      </c>
      <c r="AF57" s="52">
        <v>-2</v>
      </c>
      <c r="AG57" s="82"/>
      <c r="AH57" s="55">
        <f t="shared" si="2"/>
        <v>29.4</v>
      </c>
      <c r="AI57" s="56">
        <f t="shared" si="3"/>
        <v>-84.9</v>
      </c>
      <c r="AK57" s="56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10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82"/>
      <c r="AH58" s="55">
        <f t="shared" si="2"/>
        <v>10</v>
      </c>
      <c r="AI58" s="56">
        <f t="shared" si="3"/>
        <v>0</v>
      </c>
      <c r="AK58" s="56">
        <f>44*4</f>
        <v>176</v>
      </c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2">
        <v>0</v>
      </c>
      <c r="T59" s="50">
        <v>0</v>
      </c>
      <c r="U59" s="52">
        <v>0</v>
      </c>
      <c r="V59" s="52">
        <v>0</v>
      </c>
      <c r="W59" s="52">
        <v>0</v>
      </c>
      <c r="X59" s="52">
        <v>0</v>
      </c>
      <c r="Y59" s="50">
        <v>0</v>
      </c>
      <c r="Z59" s="50">
        <v>0</v>
      </c>
      <c r="AA59" s="50">
        <v>-18.8</v>
      </c>
      <c r="AB59" s="50">
        <v>-20</v>
      </c>
      <c r="AC59" s="50">
        <v>-40</v>
      </c>
      <c r="AD59" s="50">
        <v>-64</v>
      </c>
      <c r="AE59" s="50">
        <v>-62</v>
      </c>
      <c r="AF59" s="50">
        <v>-61</v>
      </c>
      <c r="AG59" s="82"/>
      <c r="AH59" s="55">
        <f t="shared" si="2"/>
        <v>0</v>
      </c>
      <c r="AI59" s="56">
        <f t="shared" si="3"/>
        <v>-64</v>
      </c>
      <c r="AK59" s="56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52">
        <v>0</v>
      </c>
      <c r="T60" s="61">
        <v>8</v>
      </c>
      <c r="U60" s="52">
        <v>0</v>
      </c>
      <c r="V60" s="52">
        <v>0</v>
      </c>
      <c r="W60" s="52">
        <v>0</v>
      </c>
      <c r="X60" s="52">
        <v>0</v>
      </c>
      <c r="Y60" s="61">
        <v>0</v>
      </c>
      <c r="Z60" s="61">
        <v>0</v>
      </c>
      <c r="AA60" s="61">
        <v>10</v>
      </c>
      <c r="AB60" s="61">
        <v>10</v>
      </c>
      <c r="AC60" s="61">
        <v>10</v>
      </c>
      <c r="AD60" s="61">
        <v>0</v>
      </c>
      <c r="AE60" s="61">
        <v>0</v>
      </c>
      <c r="AF60" s="61">
        <v>0</v>
      </c>
      <c r="AG60" s="82"/>
      <c r="AH60" s="55">
        <f t="shared" si="2"/>
        <v>10</v>
      </c>
      <c r="AI60" s="56">
        <f t="shared" si="3"/>
        <v>0</v>
      </c>
      <c r="AK60" s="56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52">
        <v>0</v>
      </c>
      <c r="T61" s="61">
        <v>0</v>
      </c>
      <c r="U61" s="52">
        <v>0</v>
      </c>
      <c r="V61" s="52">
        <v>0</v>
      </c>
      <c r="W61" s="52">
        <v>0</v>
      </c>
      <c r="X61" s="52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6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2">
        <v>0</v>
      </c>
      <c r="T62" s="59">
        <v>0</v>
      </c>
      <c r="U62" s="52">
        <v>0</v>
      </c>
      <c r="V62" s="52">
        <v>0</v>
      </c>
      <c r="W62" s="52">
        <v>0</v>
      </c>
      <c r="X62" s="52">
        <v>0</v>
      </c>
      <c r="Y62" s="59">
        <v>0</v>
      </c>
      <c r="Z62" s="59">
        <v>0</v>
      </c>
      <c r="AA62" s="59">
        <v>10</v>
      </c>
      <c r="AB62" s="59">
        <v>10</v>
      </c>
      <c r="AC62" s="59">
        <v>10</v>
      </c>
      <c r="AD62" s="59">
        <v>10</v>
      </c>
      <c r="AE62" s="59">
        <v>10</v>
      </c>
      <c r="AF62" s="59">
        <v>10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2">
        <v>0</v>
      </c>
      <c r="T63" s="59">
        <v>0</v>
      </c>
      <c r="U63" s="52">
        <v>0</v>
      </c>
      <c r="V63" s="52">
        <v>0</v>
      </c>
      <c r="W63" s="52">
        <v>0</v>
      </c>
      <c r="X63" s="52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52">
        <v>0</v>
      </c>
      <c r="T64" s="84">
        <v>0</v>
      </c>
      <c r="U64" s="52">
        <v>0</v>
      </c>
      <c r="V64" s="52">
        <v>0</v>
      </c>
      <c r="W64" s="52">
        <v>0</v>
      </c>
      <c r="X64" s="52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52">
        <v>0</v>
      </c>
      <c r="T65" s="84">
        <v>0</v>
      </c>
      <c r="U65" s="52">
        <v>0</v>
      </c>
      <c r="V65" s="52">
        <v>0</v>
      </c>
      <c r="W65" s="52">
        <v>0</v>
      </c>
      <c r="X65" s="52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0</v>
      </c>
      <c r="C66" s="72">
        <f t="shared" ref="C66:AF66" si="8">SUM(C55:C65)</f>
        <v>-42</v>
      </c>
      <c r="D66" s="72">
        <f t="shared" si="8"/>
        <v>-70</v>
      </c>
      <c r="E66" s="72">
        <f t="shared" si="8"/>
        <v>-23.5</v>
      </c>
      <c r="F66" s="72">
        <f t="shared" si="8"/>
        <v>-35</v>
      </c>
      <c r="G66" s="72">
        <f t="shared" si="8"/>
        <v>-53.7</v>
      </c>
      <c r="H66" s="72">
        <f t="shared" si="8"/>
        <v>0</v>
      </c>
      <c r="I66" s="72">
        <f t="shared" si="8"/>
        <v>-24</v>
      </c>
      <c r="J66" s="72">
        <f t="shared" si="8"/>
        <v>-25.7</v>
      </c>
      <c r="K66" s="72">
        <f t="shared" si="8"/>
        <v>-38.9</v>
      </c>
      <c r="L66" s="72">
        <f t="shared" si="8"/>
        <v>-32.6</v>
      </c>
      <c r="M66" s="72">
        <f t="shared" si="8"/>
        <v>-56.4</v>
      </c>
      <c r="N66" s="72">
        <f t="shared" si="8"/>
        <v>-18.100000000000001</v>
      </c>
      <c r="O66" s="72">
        <f t="shared" si="8"/>
        <v>-31</v>
      </c>
      <c r="P66" s="72">
        <f t="shared" si="8"/>
        <v>-30</v>
      </c>
      <c r="Q66" s="72">
        <f t="shared" si="8"/>
        <v>13</v>
      </c>
      <c r="R66" s="72">
        <f t="shared" si="8"/>
        <v>-20.6</v>
      </c>
      <c r="S66" s="72">
        <f t="shared" si="8"/>
        <v>6.5</v>
      </c>
      <c r="T66" s="72">
        <f t="shared" si="8"/>
        <v>9</v>
      </c>
      <c r="U66" s="72">
        <f t="shared" si="8"/>
        <v>-13.9</v>
      </c>
      <c r="V66" s="72">
        <f t="shared" si="8"/>
        <v>-13.9</v>
      </c>
      <c r="W66" s="72">
        <f t="shared" si="8"/>
        <v>25.6</v>
      </c>
      <c r="X66" s="72">
        <f t="shared" si="8"/>
        <v>-15.300000000000011</v>
      </c>
      <c r="Y66" s="72">
        <f t="shared" si="8"/>
        <v>28.699999999999996</v>
      </c>
      <c r="Z66" s="72">
        <f t="shared" si="8"/>
        <v>-63.7</v>
      </c>
      <c r="AA66" s="72">
        <f t="shared" si="8"/>
        <v>-54</v>
      </c>
      <c r="AB66" s="72">
        <f t="shared" si="8"/>
        <v>-37</v>
      </c>
      <c r="AC66" s="72">
        <f t="shared" si="8"/>
        <v>-53</v>
      </c>
      <c r="AD66" s="72">
        <f t="shared" si="8"/>
        <v>-135</v>
      </c>
      <c r="AE66" s="72">
        <f t="shared" si="8"/>
        <v>-145</v>
      </c>
      <c r="AF66" s="72">
        <f t="shared" si="8"/>
        <v>-137</v>
      </c>
      <c r="AG66" s="77">
        <f>SUM(AG55:AG65)</f>
        <v>0</v>
      </c>
      <c r="AH66" s="55">
        <f t="shared" si="2"/>
        <v>28.699999999999996</v>
      </c>
      <c r="AI66" s="56">
        <f t="shared" si="3"/>
        <v>-145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1235.54</v>
      </c>
      <c r="C71" s="87">
        <f t="shared" ref="C71:AG71" si="10">C66+C54+C50+C36+C70</f>
        <v>1162.8399999999999</v>
      </c>
      <c r="D71" s="87">
        <f t="shared" si="10"/>
        <v>1101.54</v>
      </c>
      <c r="E71" s="87">
        <f t="shared" si="10"/>
        <v>1108.44</v>
      </c>
      <c r="F71" s="87">
        <f t="shared" si="10"/>
        <v>1118.94</v>
      </c>
      <c r="G71" s="87">
        <f t="shared" si="10"/>
        <v>1121.6399999999999</v>
      </c>
      <c r="H71" s="87">
        <f t="shared" si="10"/>
        <v>1136.54</v>
      </c>
      <c r="I71" s="87">
        <f t="shared" si="10"/>
        <v>1137.1399999999999</v>
      </c>
      <c r="J71" s="87">
        <f t="shared" si="10"/>
        <v>1156.74</v>
      </c>
      <c r="K71" s="87">
        <f t="shared" si="10"/>
        <v>1203.74</v>
      </c>
      <c r="L71" s="87">
        <f t="shared" si="10"/>
        <v>1253.24</v>
      </c>
      <c r="M71" s="87">
        <f t="shared" si="10"/>
        <v>1250.6400000000001</v>
      </c>
      <c r="N71" s="87">
        <f t="shared" si="10"/>
        <v>1279.3400000000001</v>
      </c>
      <c r="O71" s="87">
        <f t="shared" si="10"/>
        <v>1297.24</v>
      </c>
      <c r="P71" s="87">
        <f t="shared" si="10"/>
        <v>1316.74</v>
      </c>
      <c r="Q71" s="87">
        <f t="shared" si="10"/>
        <v>1224.8400000000001</v>
      </c>
      <c r="R71" s="87">
        <f t="shared" si="10"/>
        <v>1269.44</v>
      </c>
      <c r="S71" s="87">
        <f t="shared" si="10"/>
        <v>1299.44</v>
      </c>
      <c r="T71" s="87">
        <f t="shared" si="10"/>
        <v>1194.6400000000001</v>
      </c>
      <c r="U71" s="87">
        <f t="shared" si="10"/>
        <v>1290.74</v>
      </c>
      <c r="V71" s="87">
        <f t="shared" si="10"/>
        <v>1097.6399999999999</v>
      </c>
      <c r="W71" s="87">
        <f t="shared" si="10"/>
        <v>1405.64</v>
      </c>
      <c r="X71" s="87">
        <f t="shared" si="10"/>
        <v>1422.44</v>
      </c>
      <c r="Y71" s="87">
        <f t="shared" si="10"/>
        <v>1267.0999999999999</v>
      </c>
      <c r="Z71" s="87">
        <f t="shared" si="10"/>
        <v>1275.8400000000001</v>
      </c>
      <c r="AA71" s="87">
        <f t="shared" si="10"/>
        <v>1351.54</v>
      </c>
      <c r="AB71" s="87">
        <f t="shared" si="10"/>
        <v>1380.44</v>
      </c>
      <c r="AC71" s="87">
        <f t="shared" si="10"/>
        <v>1356.44</v>
      </c>
      <c r="AD71" s="87">
        <f t="shared" si="10"/>
        <v>1250.54</v>
      </c>
      <c r="AE71" s="87">
        <f t="shared" si="10"/>
        <v>1214.54</v>
      </c>
      <c r="AF71" s="87">
        <f t="shared" si="10"/>
        <v>1232.54</v>
      </c>
      <c r="AG71" s="87">
        <f t="shared" si="10"/>
        <v>2068.14</v>
      </c>
      <c r="AH71" s="55">
        <f t="shared" si="2"/>
        <v>1422.44</v>
      </c>
      <c r="AI71" s="56">
        <f t="shared" si="3"/>
        <v>1097.6399999999999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>
        <v>80</v>
      </c>
      <c r="U72" s="89"/>
      <c r="V72" s="89"/>
      <c r="W72" s="89"/>
      <c r="X72" s="89"/>
      <c r="Y72" s="89">
        <v>270</v>
      </c>
      <c r="Z72" s="89">
        <v>220</v>
      </c>
      <c r="AA72" s="89">
        <v>100</v>
      </c>
      <c r="AB72" s="89"/>
      <c r="AC72" s="89"/>
      <c r="AD72" s="89"/>
      <c r="AE72" s="89"/>
      <c r="AF72" s="89"/>
      <c r="AG72" s="77"/>
      <c r="AH72" s="55">
        <f t="shared" si="2"/>
        <v>270</v>
      </c>
      <c r="AI72" s="56">
        <f t="shared" si="3"/>
        <v>80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1235.54</v>
      </c>
      <c r="C73" s="87">
        <f t="shared" ref="C73:AF73" si="11">C70+C66+C54+C50+C36+C72</f>
        <v>1162.8399999999999</v>
      </c>
      <c r="D73" s="87">
        <f t="shared" si="11"/>
        <v>1101.54</v>
      </c>
      <c r="E73" s="87">
        <f t="shared" si="11"/>
        <v>1108.44</v>
      </c>
      <c r="F73" s="87">
        <f t="shared" si="11"/>
        <v>1118.94</v>
      </c>
      <c r="G73" s="87">
        <f t="shared" si="11"/>
        <v>1121.6399999999999</v>
      </c>
      <c r="H73" s="87">
        <f t="shared" si="11"/>
        <v>1136.54</v>
      </c>
      <c r="I73" s="87">
        <f t="shared" si="11"/>
        <v>1137.1399999999999</v>
      </c>
      <c r="J73" s="87">
        <f t="shared" si="11"/>
        <v>1156.74</v>
      </c>
      <c r="K73" s="87">
        <f t="shared" si="11"/>
        <v>1203.74</v>
      </c>
      <c r="L73" s="87">
        <f t="shared" si="11"/>
        <v>1253.24</v>
      </c>
      <c r="M73" s="87">
        <f t="shared" si="11"/>
        <v>1250.6400000000001</v>
      </c>
      <c r="N73" s="87">
        <f t="shared" si="11"/>
        <v>1279.3400000000001</v>
      </c>
      <c r="O73" s="87">
        <f t="shared" si="11"/>
        <v>1297.24</v>
      </c>
      <c r="P73" s="87">
        <f t="shared" si="11"/>
        <v>1316.74</v>
      </c>
      <c r="Q73" s="87">
        <f t="shared" si="11"/>
        <v>1224.8400000000001</v>
      </c>
      <c r="R73" s="87">
        <f t="shared" si="11"/>
        <v>1269.44</v>
      </c>
      <c r="S73" s="87">
        <f t="shared" si="11"/>
        <v>1299.44</v>
      </c>
      <c r="T73" s="87">
        <f t="shared" si="11"/>
        <v>1274.6400000000001</v>
      </c>
      <c r="U73" s="87">
        <f t="shared" si="11"/>
        <v>1290.74</v>
      </c>
      <c r="V73" s="87">
        <f t="shared" si="11"/>
        <v>1097.6399999999999</v>
      </c>
      <c r="W73" s="87">
        <f t="shared" si="11"/>
        <v>1405.64</v>
      </c>
      <c r="X73" s="87">
        <f t="shared" si="11"/>
        <v>1422.44</v>
      </c>
      <c r="Y73" s="87">
        <f t="shared" si="11"/>
        <v>1537.1</v>
      </c>
      <c r="Z73" s="87">
        <f t="shared" si="11"/>
        <v>1495.8400000000001</v>
      </c>
      <c r="AA73" s="87">
        <f t="shared" si="11"/>
        <v>1451.54</v>
      </c>
      <c r="AB73" s="87">
        <f t="shared" si="11"/>
        <v>1380.44</v>
      </c>
      <c r="AC73" s="87">
        <f t="shared" si="11"/>
        <v>1356.44</v>
      </c>
      <c r="AD73" s="87">
        <f t="shared" si="11"/>
        <v>1250.54</v>
      </c>
      <c r="AE73" s="87">
        <f t="shared" si="11"/>
        <v>1214.54</v>
      </c>
      <c r="AF73" s="87">
        <f t="shared" si="11"/>
        <v>1232.54</v>
      </c>
      <c r="AG73" s="77">
        <f>AG70+AG66+AG54+AG50+AG36+AG72</f>
        <v>2068.14</v>
      </c>
      <c r="AH73" s="55">
        <f t="shared" si="2"/>
        <v>1537.1</v>
      </c>
      <c r="AI73" s="56">
        <f t="shared" si="3"/>
        <v>1097.6399999999999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 t="shared" ref="B74:R74" si="12">IF(B58&lt;0,B58*-1,0)</f>
        <v>0</v>
      </c>
      <c r="C74" s="59">
        <f t="shared" si="12"/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ref="S74:AF74" si="13">IF(S58&lt;0,S58*-1,0)</f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IF(B59&lt;0,B59*-1,0)</f>
        <v>0</v>
      </c>
      <c r="C75" s="59">
        <f t="shared" ref="C75:Q75" si="14">IF(C56&lt;0,C56*-1,0)</f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>IF(R56&lt;0,R56*-1,0)</f>
        <v>0</v>
      </c>
      <c r="S75" s="59">
        <f t="shared" ref="S75:AF75" si="15">IF(S56&lt;0,S56*-1,0)</f>
        <v>0</v>
      </c>
      <c r="T75" s="59">
        <f t="shared" si="15"/>
        <v>0</v>
      </c>
      <c r="U75" s="59">
        <f t="shared" si="15"/>
        <v>0</v>
      </c>
      <c r="V75" s="59">
        <f t="shared" si="15"/>
        <v>0</v>
      </c>
      <c r="W75" s="59">
        <f t="shared" si="15"/>
        <v>0</v>
      </c>
      <c r="X75" s="59">
        <f t="shared" si="15"/>
        <v>0</v>
      </c>
      <c r="Y75" s="59">
        <f t="shared" si="15"/>
        <v>78.900000000000006</v>
      </c>
      <c r="Z75" s="59">
        <f t="shared" si="15"/>
        <v>75.2</v>
      </c>
      <c r="AA75" s="59">
        <f t="shared" si="15"/>
        <v>66.8</v>
      </c>
      <c r="AB75" s="59">
        <f t="shared" si="15"/>
        <v>71</v>
      </c>
      <c r="AC75" s="59">
        <f t="shared" si="15"/>
        <v>76</v>
      </c>
      <c r="AD75" s="59">
        <f t="shared" si="15"/>
        <v>90</v>
      </c>
      <c r="AE75" s="59">
        <f t="shared" si="15"/>
        <v>86</v>
      </c>
      <c r="AF75" s="59">
        <f t="shared" si="15"/>
        <v>84</v>
      </c>
      <c r="AG75" s="67"/>
      <c r="AH75" s="55">
        <f t="shared" si="2"/>
        <v>90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IF(B60&lt;0,B60*-1,0)</f>
        <v>0</v>
      </c>
      <c r="C76" s="59">
        <f t="shared" ref="C76:Q76" si="16">IF(C59&lt;0,C59*-1,0)</f>
        <v>0</v>
      </c>
      <c r="D76" s="59">
        <f t="shared" si="16"/>
        <v>0</v>
      </c>
      <c r="E76" s="59">
        <f t="shared" si="16"/>
        <v>0</v>
      </c>
      <c r="F76" s="59">
        <f t="shared" si="16"/>
        <v>0</v>
      </c>
      <c r="G76" s="59">
        <f t="shared" si="16"/>
        <v>0</v>
      </c>
      <c r="H76" s="59">
        <f t="shared" si="16"/>
        <v>0</v>
      </c>
      <c r="I76" s="59">
        <f t="shared" si="16"/>
        <v>0</v>
      </c>
      <c r="J76" s="59">
        <f t="shared" si="16"/>
        <v>0</v>
      </c>
      <c r="K76" s="59">
        <f t="shared" si="16"/>
        <v>0</v>
      </c>
      <c r="L76" s="59">
        <f t="shared" si="16"/>
        <v>0</v>
      </c>
      <c r="M76" s="59">
        <f t="shared" si="16"/>
        <v>0</v>
      </c>
      <c r="N76" s="59">
        <f t="shared" si="16"/>
        <v>0</v>
      </c>
      <c r="O76" s="59">
        <f t="shared" si="16"/>
        <v>0</v>
      </c>
      <c r="P76" s="59">
        <f t="shared" si="16"/>
        <v>0</v>
      </c>
      <c r="Q76" s="59">
        <f t="shared" si="16"/>
        <v>0</v>
      </c>
      <c r="R76" s="59">
        <f>IF(R59&lt;0,R59*-1,0)</f>
        <v>0</v>
      </c>
      <c r="S76" s="59">
        <f t="shared" ref="S76:AF76" si="17">IF(S59&lt;0,S59*-1,0)</f>
        <v>0</v>
      </c>
      <c r="T76" s="59">
        <f t="shared" si="17"/>
        <v>0</v>
      </c>
      <c r="U76" s="59">
        <f t="shared" si="17"/>
        <v>0</v>
      </c>
      <c r="V76" s="59">
        <f t="shared" si="17"/>
        <v>0</v>
      </c>
      <c r="W76" s="59">
        <f t="shared" si="17"/>
        <v>0</v>
      </c>
      <c r="X76" s="59">
        <f t="shared" si="17"/>
        <v>0</v>
      </c>
      <c r="Y76" s="59">
        <f t="shared" si="17"/>
        <v>0</v>
      </c>
      <c r="Z76" s="59">
        <f t="shared" si="17"/>
        <v>0</v>
      </c>
      <c r="AA76" s="59">
        <f t="shared" si="17"/>
        <v>18.8</v>
      </c>
      <c r="AB76" s="59">
        <f t="shared" si="17"/>
        <v>20</v>
      </c>
      <c r="AC76" s="59">
        <f t="shared" si="17"/>
        <v>40</v>
      </c>
      <c r="AD76" s="59">
        <f t="shared" si="17"/>
        <v>64</v>
      </c>
      <c r="AE76" s="59">
        <f t="shared" si="17"/>
        <v>62</v>
      </c>
      <c r="AF76" s="59">
        <f t="shared" si="17"/>
        <v>61</v>
      </c>
      <c r="AG76" s="90"/>
      <c r="AH76" s="55">
        <f t="shared" si="2"/>
        <v>64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IF(B61&lt;0,B61*-1,0)</f>
        <v>0</v>
      </c>
      <c r="C77" s="59">
        <f t="shared" ref="C77:AF77" si="18">IF(C57&lt;0,C57*-1,0)</f>
        <v>42</v>
      </c>
      <c r="D77" s="59">
        <f t="shared" si="18"/>
        <v>70</v>
      </c>
      <c r="E77" s="59">
        <f t="shared" si="18"/>
        <v>23.5</v>
      </c>
      <c r="F77" s="59">
        <f t="shared" si="18"/>
        <v>35</v>
      </c>
      <c r="G77" s="59">
        <f t="shared" si="18"/>
        <v>53.7</v>
      </c>
      <c r="H77" s="59">
        <f t="shared" si="18"/>
        <v>0</v>
      </c>
      <c r="I77" s="59">
        <f t="shared" si="18"/>
        <v>24</v>
      </c>
      <c r="J77" s="59">
        <f t="shared" si="18"/>
        <v>25.7</v>
      </c>
      <c r="K77" s="59">
        <f t="shared" si="18"/>
        <v>38.9</v>
      </c>
      <c r="L77" s="59">
        <f t="shared" si="18"/>
        <v>32.6</v>
      </c>
      <c r="M77" s="59">
        <f t="shared" si="18"/>
        <v>56.4</v>
      </c>
      <c r="N77" s="59">
        <f t="shared" si="18"/>
        <v>18.100000000000001</v>
      </c>
      <c r="O77" s="59">
        <f t="shared" si="18"/>
        <v>31</v>
      </c>
      <c r="P77" s="59">
        <f t="shared" si="18"/>
        <v>30</v>
      </c>
      <c r="Q77" s="59">
        <f t="shared" si="18"/>
        <v>7</v>
      </c>
      <c r="R77" s="59">
        <f t="shared" si="18"/>
        <v>30.6</v>
      </c>
      <c r="S77" s="59">
        <f t="shared" si="18"/>
        <v>3.5</v>
      </c>
      <c r="T77" s="59">
        <f t="shared" si="18"/>
        <v>53.3</v>
      </c>
      <c r="U77" s="59">
        <f t="shared" si="18"/>
        <v>10</v>
      </c>
      <c r="V77" s="59">
        <f t="shared" si="18"/>
        <v>10</v>
      </c>
      <c r="W77" s="59">
        <f t="shared" si="18"/>
        <v>27</v>
      </c>
      <c r="X77" s="59">
        <f t="shared" si="18"/>
        <v>84.9</v>
      </c>
      <c r="Y77" s="59">
        <f t="shared" si="18"/>
        <v>0</v>
      </c>
      <c r="Z77" s="59">
        <f t="shared" si="18"/>
        <v>60</v>
      </c>
      <c r="AA77" s="59">
        <f t="shared" si="18"/>
        <v>60</v>
      </c>
      <c r="AB77" s="59">
        <f t="shared" si="18"/>
        <v>26</v>
      </c>
      <c r="AC77" s="59">
        <f t="shared" si="18"/>
        <v>17</v>
      </c>
      <c r="AD77" s="59">
        <f t="shared" si="18"/>
        <v>15</v>
      </c>
      <c r="AE77" s="59">
        <f t="shared" si="18"/>
        <v>7</v>
      </c>
      <c r="AF77" s="59">
        <f t="shared" si="18"/>
        <v>2</v>
      </c>
      <c r="AG77" s="90"/>
      <c r="AH77" s="55">
        <f t="shared" ref="AH77:AH89" si="19">MAX(B77:AF77)</f>
        <v>84.9</v>
      </c>
      <c r="AI77" s="56">
        <f t="shared" ref="AI77:AI89" si="20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IF(B62&lt;0,B62*-1,0)</f>
        <v>0</v>
      </c>
      <c r="C78" s="59">
        <f t="shared" ref="C78:AF78" si="21">IF(C55&lt;0,C55*-1,0)</f>
        <v>0</v>
      </c>
      <c r="D78" s="59">
        <f t="shared" si="21"/>
        <v>0</v>
      </c>
      <c r="E78" s="59">
        <f t="shared" si="21"/>
        <v>0</v>
      </c>
      <c r="F78" s="59">
        <f t="shared" si="21"/>
        <v>0</v>
      </c>
      <c r="G78" s="59">
        <f t="shared" si="21"/>
        <v>0</v>
      </c>
      <c r="H78" s="59">
        <f t="shared" si="21"/>
        <v>0</v>
      </c>
      <c r="I78" s="59">
        <f t="shared" si="21"/>
        <v>0</v>
      </c>
      <c r="J78" s="59">
        <f t="shared" si="21"/>
        <v>0</v>
      </c>
      <c r="K78" s="59">
        <f t="shared" si="21"/>
        <v>0</v>
      </c>
      <c r="L78" s="59">
        <f t="shared" si="21"/>
        <v>0</v>
      </c>
      <c r="M78" s="59">
        <f t="shared" si="21"/>
        <v>0</v>
      </c>
      <c r="N78" s="59">
        <f t="shared" si="21"/>
        <v>0</v>
      </c>
      <c r="O78" s="59">
        <f t="shared" si="21"/>
        <v>0</v>
      </c>
      <c r="P78" s="59">
        <f t="shared" si="21"/>
        <v>0</v>
      </c>
      <c r="Q78" s="59">
        <f t="shared" si="21"/>
        <v>0</v>
      </c>
      <c r="R78" s="59">
        <f t="shared" si="21"/>
        <v>0</v>
      </c>
      <c r="S78" s="59">
        <f t="shared" si="21"/>
        <v>0</v>
      </c>
      <c r="T78" s="59">
        <f t="shared" si="21"/>
        <v>0</v>
      </c>
      <c r="U78" s="59">
        <f t="shared" si="21"/>
        <v>3.9</v>
      </c>
      <c r="V78" s="59">
        <f t="shared" si="21"/>
        <v>3.9</v>
      </c>
      <c r="W78" s="59">
        <f t="shared" si="21"/>
        <v>0</v>
      </c>
      <c r="X78" s="59">
        <f t="shared" si="21"/>
        <v>0</v>
      </c>
      <c r="Y78" s="59">
        <f t="shared" si="21"/>
        <v>0</v>
      </c>
      <c r="Z78" s="59">
        <f t="shared" si="21"/>
        <v>0</v>
      </c>
      <c r="AA78" s="59">
        <f t="shared" si="21"/>
        <v>0</v>
      </c>
      <c r="AB78" s="59">
        <f t="shared" si="21"/>
        <v>0</v>
      </c>
      <c r="AC78" s="59">
        <f t="shared" si="21"/>
        <v>0</v>
      </c>
      <c r="AD78" s="59">
        <f t="shared" si="21"/>
        <v>0</v>
      </c>
      <c r="AE78" s="59">
        <f t="shared" si="21"/>
        <v>0</v>
      </c>
      <c r="AF78" s="59">
        <f t="shared" si="21"/>
        <v>0</v>
      </c>
      <c r="AG78" s="90"/>
      <c r="AH78" s="55">
        <f t="shared" si="19"/>
        <v>3.9</v>
      </c>
      <c r="AI78" s="56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9"/>
        <v>0</v>
      </c>
      <c r="AI79" s="56">
        <f t="shared" si="20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2">SUM(B74:B79)</f>
        <v>0</v>
      </c>
      <c r="C80" s="72">
        <f t="shared" si="22"/>
        <v>42</v>
      </c>
      <c r="D80" s="72">
        <f t="shared" si="22"/>
        <v>70</v>
      </c>
      <c r="E80" s="72">
        <f t="shared" si="22"/>
        <v>23.5</v>
      </c>
      <c r="F80" s="72">
        <f t="shared" si="22"/>
        <v>35</v>
      </c>
      <c r="G80" s="72">
        <f t="shared" si="22"/>
        <v>53.7</v>
      </c>
      <c r="H80" s="72">
        <f t="shared" si="22"/>
        <v>0</v>
      </c>
      <c r="I80" s="72">
        <f t="shared" si="22"/>
        <v>24</v>
      </c>
      <c r="J80" s="72">
        <f t="shared" si="22"/>
        <v>25.7</v>
      </c>
      <c r="K80" s="72">
        <f t="shared" si="22"/>
        <v>38.9</v>
      </c>
      <c r="L80" s="72">
        <f t="shared" si="22"/>
        <v>32.6</v>
      </c>
      <c r="M80" s="72">
        <f t="shared" si="22"/>
        <v>56.4</v>
      </c>
      <c r="N80" s="72">
        <f t="shared" si="22"/>
        <v>18.100000000000001</v>
      </c>
      <c r="O80" s="72">
        <f t="shared" si="22"/>
        <v>31</v>
      </c>
      <c r="P80" s="72">
        <f t="shared" si="22"/>
        <v>30</v>
      </c>
      <c r="Q80" s="72">
        <f t="shared" si="22"/>
        <v>7</v>
      </c>
      <c r="R80" s="72">
        <f t="shared" si="22"/>
        <v>30.6</v>
      </c>
      <c r="S80" s="72">
        <f t="shared" si="22"/>
        <v>3.5</v>
      </c>
      <c r="T80" s="72">
        <f t="shared" si="22"/>
        <v>53.3</v>
      </c>
      <c r="U80" s="72">
        <f t="shared" si="22"/>
        <v>13.9</v>
      </c>
      <c r="V80" s="72">
        <f t="shared" si="22"/>
        <v>13.9</v>
      </c>
      <c r="W80" s="72">
        <f t="shared" si="22"/>
        <v>27</v>
      </c>
      <c r="X80" s="72">
        <f t="shared" si="22"/>
        <v>84.9</v>
      </c>
      <c r="Y80" s="72">
        <f t="shared" si="22"/>
        <v>78.900000000000006</v>
      </c>
      <c r="Z80" s="72">
        <f t="shared" si="22"/>
        <v>135.19999999999999</v>
      </c>
      <c r="AA80" s="72">
        <f t="shared" si="22"/>
        <v>145.6</v>
      </c>
      <c r="AB80" s="72">
        <f t="shared" si="22"/>
        <v>117</v>
      </c>
      <c r="AC80" s="72">
        <f t="shared" si="22"/>
        <v>133</v>
      </c>
      <c r="AD80" s="72">
        <f t="shared" si="22"/>
        <v>169</v>
      </c>
      <c r="AE80" s="72">
        <f t="shared" si="22"/>
        <v>155</v>
      </c>
      <c r="AF80" s="72">
        <f t="shared" si="22"/>
        <v>147</v>
      </c>
      <c r="AG80" s="77">
        <f t="shared" si="22"/>
        <v>0</v>
      </c>
      <c r="AH80" s="55">
        <f t="shared" si="19"/>
        <v>169</v>
      </c>
      <c r="AI80" s="56">
        <f t="shared" si="20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3">SUM(B68:B80)</f>
        <v>2471.08</v>
      </c>
      <c r="C81" s="72">
        <f t="shared" si="23"/>
        <v>2409.6799999999998</v>
      </c>
      <c r="D81" s="72">
        <f t="shared" si="23"/>
        <v>2343.08</v>
      </c>
      <c r="E81" s="72">
        <f t="shared" si="23"/>
        <v>2263.88</v>
      </c>
      <c r="F81" s="72">
        <f t="shared" si="23"/>
        <v>2307.88</v>
      </c>
      <c r="G81" s="72">
        <f t="shared" si="23"/>
        <v>2350.6799999999994</v>
      </c>
      <c r="H81" s="72">
        <f t="shared" si="23"/>
        <v>2273.08</v>
      </c>
      <c r="I81" s="72">
        <f t="shared" si="23"/>
        <v>2322.2799999999997</v>
      </c>
      <c r="J81" s="72">
        <f t="shared" si="23"/>
        <v>2364.8799999999997</v>
      </c>
      <c r="K81" s="72">
        <f t="shared" si="23"/>
        <v>2485.2800000000002</v>
      </c>
      <c r="L81" s="72">
        <f t="shared" si="23"/>
        <v>2571.6799999999998</v>
      </c>
      <c r="M81" s="72">
        <f t="shared" si="23"/>
        <v>2614.0800000000004</v>
      </c>
      <c r="N81" s="72">
        <f t="shared" si="23"/>
        <v>2594.88</v>
      </c>
      <c r="O81" s="72">
        <f t="shared" si="23"/>
        <v>2656.48</v>
      </c>
      <c r="P81" s="72">
        <f t="shared" si="23"/>
        <v>2693.48</v>
      </c>
      <c r="Q81" s="72">
        <f t="shared" si="23"/>
        <v>2463.6800000000003</v>
      </c>
      <c r="R81" s="72">
        <f t="shared" si="23"/>
        <v>2600.08</v>
      </c>
      <c r="S81" s="72">
        <f t="shared" si="23"/>
        <v>2605.88</v>
      </c>
      <c r="T81" s="72">
        <f t="shared" si="23"/>
        <v>2655.8800000000006</v>
      </c>
      <c r="U81" s="72">
        <f t="shared" si="23"/>
        <v>2609.2800000000002</v>
      </c>
      <c r="V81" s="72">
        <f t="shared" si="23"/>
        <v>2223.08</v>
      </c>
      <c r="W81" s="72">
        <f t="shared" si="23"/>
        <v>2865.28</v>
      </c>
      <c r="X81" s="72">
        <f t="shared" si="23"/>
        <v>3014.6800000000003</v>
      </c>
      <c r="Y81" s="72">
        <f t="shared" si="23"/>
        <v>3232</v>
      </c>
      <c r="Z81" s="72">
        <f t="shared" si="23"/>
        <v>3262.08</v>
      </c>
      <c r="AA81" s="72">
        <f t="shared" si="23"/>
        <v>3194.28</v>
      </c>
      <c r="AB81" s="72">
        <f t="shared" si="23"/>
        <v>2994.88</v>
      </c>
      <c r="AC81" s="72">
        <f t="shared" si="23"/>
        <v>2978.88</v>
      </c>
      <c r="AD81" s="72">
        <f t="shared" si="23"/>
        <v>2839.08</v>
      </c>
      <c r="AE81" s="72">
        <f t="shared" si="23"/>
        <v>2739.08</v>
      </c>
      <c r="AF81" s="72">
        <f t="shared" si="23"/>
        <v>2759.08</v>
      </c>
      <c r="AG81" s="77">
        <f t="shared" si="23"/>
        <v>4208.08</v>
      </c>
      <c r="AH81" s="55">
        <f t="shared" si="19"/>
        <v>3262.08</v>
      </c>
      <c r="AI81" s="56">
        <f t="shared" si="20"/>
        <v>2223.08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49.984000000000002</v>
      </c>
      <c r="C82" s="93">
        <v>50.023000000000003</v>
      </c>
      <c r="D82" s="93">
        <v>49.97</v>
      </c>
      <c r="E82" s="93">
        <v>50.04</v>
      </c>
      <c r="F82" s="93">
        <v>50.04</v>
      </c>
      <c r="G82" s="93">
        <v>50.02</v>
      </c>
      <c r="H82" s="93">
        <v>50.1</v>
      </c>
      <c r="I82" s="93">
        <v>50.03</v>
      </c>
      <c r="J82" s="93">
        <v>49.97</v>
      </c>
      <c r="K82" s="93">
        <v>49.94</v>
      </c>
      <c r="L82" s="93">
        <v>50.034999999999997</v>
      </c>
      <c r="M82" s="93">
        <v>50.029000000000003</v>
      </c>
      <c r="N82" s="93">
        <v>50.036999999999999</v>
      </c>
      <c r="O82" s="93">
        <v>50.021000000000001</v>
      </c>
      <c r="P82" s="93">
        <v>50.036999999999999</v>
      </c>
      <c r="Q82" s="93">
        <v>49.875999999999998</v>
      </c>
      <c r="R82" s="93">
        <v>50.023000000000003</v>
      </c>
      <c r="S82" s="93">
        <v>50.037999999999997</v>
      </c>
      <c r="T82" s="93">
        <v>50.034999999999997</v>
      </c>
      <c r="U82" s="93">
        <v>49.813000000000002</v>
      </c>
      <c r="V82" s="93">
        <v>49.813000000000002</v>
      </c>
      <c r="W82" s="93">
        <v>49.883000000000003</v>
      </c>
      <c r="X82" s="93">
        <v>49.845999999999997</v>
      </c>
      <c r="Y82" s="93">
        <v>50.006</v>
      </c>
      <c r="Z82" s="93">
        <v>50.005000000000003</v>
      </c>
      <c r="AA82" s="93">
        <v>49.999000000000002</v>
      </c>
      <c r="AB82" s="93">
        <v>49.97</v>
      </c>
      <c r="AC82" s="93">
        <v>50.05</v>
      </c>
      <c r="AD82" s="93">
        <v>50.06</v>
      </c>
      <c r="AE82" s="93">
        <v>50.08</v>
      </c>
      <c r="AF82" s="94">
        <v>50.08</v>
      </c>
      <c r="AG82" s="95"/>
      <c r="AH82" s="55">
        <f t="shared" si="19"/>
        <v>50.1</v>
      </c>
      <c r="AI82" s="56">
        <f t="shared" si="20"/>
        <v>49.813000000000002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125.6</v>
      </c>
      <c r="C83" s="52">
        <v>126.6</v>
      </c>
      <c r="D83" s="52">
        <v>125.5</v>
      </c>
      <c r="E83" s="52">
        <v>127.7</v>
      </c>
      <c r="F83" s="52">
        <v>126.8</v>
      </c>
      <c r="G83" s="52">
        <v>126.7</v>
      </c>
      <c r="H83" s="52">
        <v>126.7</v>
      </c>
      <c r="I83" s="52">
        <v>125.9</v>
      </c>
      <c r="J83" s="52">
        <v>125.1</v>
      </c>
      <c r="K83" s="52">
        <v>123.9</v>
      </c>
      <c r="L83" s="52">
        <v>123</v>
      </c>
      <c r="M83" s="52">
        <v>123.6</v>
      </c>
      <c r="N83" s="52">
        <v>122</v>
      </c>
      <c r="O83" s="52">
        <v>122.2</v>
      </c>
      <c r="P83" s="52">
        <v>122</v>
      </c>
      <c r="Q83" s="52">
        <v>124.3</v>
      </c>
      <c r="R83" s="52">
        <v>123.6</v>
      </c>
      <c r="S83" s="97">
        <v>124</v>
      </c>
      <c r="T83" s="97">
        <v>124.7</v>
      </c>
      <c r="U83" s="97">
        <v>125.1</v>
      </c>
      <c r="V83" s="97">
        <v>125.1</v>
      </c>
      <c r="W83" s="97">
        <v>125.1</v>
      </c>
      <c r="X83" s="97">
        <v>126.2</v>
      </c>
      <c r="Y83" s="97">
        <v>127.1</v>
      </c>
      <c r="Z83" s="97">
        <v>126.1</v>
      </c>
      <c r="AA83" s="52">
        <v>126.4</v>
      </c>
      <c r="AB83" s="52">
        <v>126</v>
      </c>
      <c r="AC83" s="52">
        <v>126</v>
      </c>
      <c r="AD83" s="52">
        <v>124</v>
      </c>
      <c r="AE83" s="52">
        <v>123</v>
      </c>
      <c r="AF83" s="98">
        <v>123</v>
      </c>
      <c r="AG83" s="99"/>
      <c r="AH83" s="55">
        <f t="shared" si="19"/>
        <v>127.7</v>
      </c>
      <c r="AI83" s="56">
        <f t="shared" si="20"/>
        <v>122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129.9</v>
      </c>
      <c r="C84" s="52">
        <v>130.69999999999999</v>
      </c>
      <c r="D84" s="52">
        <v>130</v>
      </c>
      <c r="E84" s="52">
        <v>130.6</v>
      </c>
      <c r="F84" s="52">
        <v>130.30000000000001</v>
      </c>
      <c r="G84" s="52">
        <v>130.4</v>
      </c>
      <c r="H84" s="52">
        <v>130.4</v>
      </c>
      <c r="I84" s="52">
        <v>128.9</v>
      </c>
      <c r="J84" s="52">
        <v>128.1</v>
      </c>
      <c r="K84" s="52">
        <v>127.1</v>
      </c>
      <c r="L84" s="52">
        <v>126.3</v>
      </c>
      <c r="M84" s="52">
        <v>126.5</v>
      </c>
      <c r="N84" s="52">
        <v>125.1</v>
      </c>
      <c r="O84" s="52">
        <v>124.9</v>
      </c>
      <c r="P84" s="52">
        <v>125.1</v>
      </c>
      <c r="Q84" s="52">
        <v>126.6</v>
      </c>
      <c r="R84" s="52">
        <v>126.7</v>
      </c>
      <c r="S84" s="97">
        <v>127</v>
      </c>
      <c r="T84" s="97">
        <v>127.6</v>
      </c>
      <c r="U84" s="97">
        <v>128.69999999999999</v>
      </c>
      <c r="V84" s="97">
        <v>128.69999999999999</v>
      </c>
      <c r="W84" s="97">
        <v>128</v>
      </c>
      <c r="X84" s="97">
        <v>128.30000000000001</v>
      </c>
      <c r="Y84" s="97">
        <v>130</v>
      </c>
      <c r="Z84" s="97">
        <v>129.5</v>
      </c>
      <c r="AA84" s="52">
        <v>129.1</v>
      </c>
      <c r="AB84" s="52">
        <v>129</v>
      </c>
      <c r="AC84" s="52">
        <v>129</v>
      </c>
      <c r="AD84" s="52">
        <v>128</v>
      </c>
      <c r="AE84" s="52">
        <v>127.5</v>
      </c>
      <c r="AF84" s="98">
        <v>128</v>
      </c>
      <c r="AG84" s="99"/>
      <c r="AH84" s="55">
        <f t="shared" si="19"/>
        <v>130.69999999999999</v>
      </c>
      <c r="AI84" s="56">
        <f t="shared" si="20"/>
        <v>124.9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129.19999999999999</v>
      </c>
      <c r="C85" s="52">
        <v>127.3</v>
      </c>
      <c r="D85" s="52">
        <v>125.6</v>
      </c>
      <c r="E85" s="52">
        <v>128.6</v>
      </c>
      <c r="F85" s="52">
        <v>127.5</v>
      </c>
      <c r="G85" s="52">
        <v>128.80000000000001</v>
      </c>
      <c r="H85" s="52">
        <v>128.80000000000001</v>
      </c>
      <c r="I85" s="52">
        <v>128.4</v>
      </c>
      <c r="J85" s="52">
        <v>128.69999999999999</v>
      </c>
      <c r="K85" s="52">
        <v>125.1</v>
      </c>
      <c r="L85" s="52">
        <v>127.9</v>
      </c>
      <c r="M85" s="52">
        <v>126.4</v>
      </c>
      <c r="N85" s="52">
        <v>126.5</v>
      </c>
      <c r="O85" s="52">
        <v>127.1</v>
      </c>
      <c r="P85" s="52">
        <v>126.5</v>
      </c>
      <c r="Q85" s="52">
        <v>124.1</v>
      </c>
      <c r="R85" s="52">
        <v>127.3</v>
      </c>
      <c r="S85" s="52">
        <v>125.1</v>
      </c>
      <c r="T85" s="52">
        <v>122.7</v>
      </c>
      <c r="U85" s="52">
        <v>126.2</v>
      </c>
      <c r="V85" s="52">
        <v>126.2</v>
      </c>
      <c r="W85" s="97">
        <v>124.9</v>
      </c>
      <c r="X85" s="97">
        <v>129.9</v>
      </c>
      <c r="Y85" s="97">
        <v>126.6</v>
      </c>
      <c r="Z85" s="97">
        <v>126.6</v>
      </c>
      <c r="AA85" s="52">
        <v>127.8</v>
      </c>
      <c r="AB85" s="52">
        <v>125</v>
      </c>
      <c r="AC85" s="52">
        <v>125</v>
      </c>
      <c r="AD85" s="52">
        <v>124</v>
      </c>
      <c r="AE85" s="52">
        <v>124</v>
      </c>
      <c r="AF85" s="98">
        <v>125</v>
      </c>
      <c r="AG85" s="99"/>
      <c r="AH85" s="55">
        <f t="shared" si="19"/>
        <v>129.9</v>
      </c>
      <c r="AI85" s="56">
        <f t="shared" si="20"/>
        <v>122.7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132.30000000000001</v>
      </c>
      <c r="C86" s="52">
        <v>131.19999999999999</v>
      </c>
      <c r="D86" s="52">
        <v>129.9</v>
      </c>
      <c r="E86" s="52">
        <v>132.4</v>
      </c>
      <c r="F86" s="52">
        <v>131.69999999999999</v>
      </c>
      <c r="G86" s="52">
        <v>132.30000000000001</v>
      </c>
      <c r="H86" s="52">
        <v>132.30000000000001</v>
      </c>
      <c r="I86" s="52">
        <v>132.30000000000001</v>
      </c>
      <c r="J86" s="52">
        <v>132.19999999999999</v>
      </c>
      <c r="K86" s="52">
        <v>128.6</v>
      </c>
      <c r="L86" s="52">
        <v>131.69999999999999</v>
      </c>
      <c r="M86" s="52">
        <v>129.30000000000001</v>
      </c>
      <c r="N86" s="52">
        <v>129.1</v>
      </c>
      <c r="O86" s="52">
        <v>129.1</v>
      </c>
      <c r="P86" s="52">
        <v>129.1</v>
      </c>
      <c r="Q86" s="52">
        <v>127.4</v>
      </c>
      <c r="R86" s="52">
        <v>129.30000000000001</v>
      </c>
      <c r="S86" s="52">
        <v>127.4</v>
      </c>
      <c r="T86" s="52">
        <v>125.8</v>
      </c>
      <c r="U86" s="52">
        <v>129.19999999999999</v>
      </c>
      <c r="V86" s="52">
        <v>129.19999999999999</v>
      </c>
      <c r="W86" s="97">
        <v>127.7</v>
      </c>
      <c r="X86" s="97">
        <v>131.1</v>
      </c>
      <c r="Y86" s="97">
        <v>129.4</v>
      </c>
      <c r="Z86" s="97">
        <v>129.5</v>
      </c>
      <c r="AA86" s="52">
        <v>130.69999999999999</v>
      </c>
      <c r="AB86" s="52">
        <v>128</v>
      </c>
      <c r="AC86" s="52">
        <v>128</v>
      </c>
      <c r="AD86" s="52">
        <v>129</v>
      </c>
      <c r="AE86" s="52">
        <v>128.6</v>
      </c>
      <c r="AF86" s="98">
        <v>129</v>
      </c>
      <c r="AG86" s="99"/>
      <c r="AH86" s="55">
        <f t="shared" si="19"/>
        <v>132.4</v>
      </c>
      <c r="AI86" s="56">
        <f t="shared" si="20"/>
        <v>125.8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135.19999999999999</v>
      </c>
      <c r="C87" s="101">
        <v>134.4</v>
      </c>
      <c r="D87" s="101">
        <v>133.19999999999999</v>
      </c>
      <c r="E87" s="101">
        <v>132</v>
      </c>
      <c r="F87" s="101">
        <v>133.9</v>
      </c>
      <c r="G87" s="101">
        <v>132.9</v>
      </c>
      <c r="H87" s="101">
        <v>132.9</v>
      </c>
      <c r="I87" s="101">
        <v>131.80000000000001</v>
      </c>
      <c r="J87" s="101">
        <v>133</v>
      </c>
      <c r="K87" s="101">
        <v>132.6</v>
      </c>
      <c r="L87" s="101">
        <v>129.19999999999999</v>
      </c>
      <c r="M87" s="101">
        <v>134.9</v>
      </c>
      <c r="N87" s="101">
        <v>130.5</v>
      </c>
      <c r="O87" s="101">
        <v>131.80000000000001</v>
      </c>
      <c r="P87" s="101">
        <v>130.5</v>
      </c>
      <c r="Q87" s="101">
        <v>129.9</v>
      </c>
      <c r="R87" s="101">
        <v>133.5</v>
      </c>
      <c r="S87" s="101">
        <v>133.5</v>
      </c>
      <c r="T87" s="101">
        <v>130</v>
      </c>
      <c r="U87" s="101">
        <v>133.19999999999999</v>
      </c>
      <c r="V87" s="101">
        <v>132</v>
      </c>
      <c r="W87" s="97">
        <v>131.19999999999999</v>
      </c>
      <c r="X87" s="97">
        <v>135.30000000000001</v>
      </c>
      <c r="Y87" s="97">
        <v>132</v>
      </c>
      <c r="Z87" s="97">
        <v>126.3</v>
      </c>
      <c r="AA87" s="101">
        <v>129</v>
      </c>
      <c r="AB87" s="101">
        <v>135</v>
      </c>
      <c r="AC87" s="101">
        <v>135</v>
      </c>
      <c r="AD87" s="101">
        <v>132</v>
      </c>
      <c r="AE87" s="101">
        <v>130</v>
      </c>
      <c r="AF87" s="102">
        <v>132</v>
      </c>
      <c r="AG87" s="103"/>
      <c r="AH87" s="55">
        <f t="shared" si="19"/>
        <v>135.30000000000001</v>
      </c>
      <c r="AI87" s="56">
        <f t="shared" si="20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134.30000000000001</v>
      </c>
      <c r="C88" s="52">
        <v>133.69999999999999</v>
      </c>
      <c r="D88" s="52">
        <v>133.69999999999999</v>
      </c>
      <c r="E88" s="52">
        <v>130</v>
      </c>
      <c r="F88" s="52">
        <v>132.5</v>
      </c>
      <c r="G88" s="52">
        <v>130.9</v>
      </c>
      <c r="H88" s="52">
        <v>130.9</v>
      </c>
      <c r="I88" s="52">
        <v>131.80000000000001</v>
      </c>
      <c r="J88" s="52">
        <v>132.80000000000001</v>
      </c>
      <c r="K88" s="52">
        <v>131.69999999999999</v>
      </c>
      <c r="L88" s="52">
        <v>124.9</v>
      </c>
      <c r="M88" s="52">
        <v>130.9</v>
      </c>
      <c r="N88" s="52">
        <v>124.9</v>
      </c>
      <c r="O88" s="52">
        <v>125.6</v>
      </c>
      <c r="P88" s="52">
        <v>124.9</v>
      </c>
      <c r="Q88" s="52">
        <v>127.4</v>
      </c>
      <c r="R88" s="52">
        <v>128.6</v>
      </c>
      <c r="S88" s="52">
        <v>127.6</v>
      </c>
      <c r="T88" s="52">
        <v>130.6</v>
      </c>
      <c r="U88" s="52">
        <v>127.8</v>
      </c>
      <c r="V88" s="52">
        <v>127.8</v>
      </c>
      <c r="W88" s="97">
        <v>130.9</v>
      </c>
      <c r="X88" s="97">
        <v>130.9</v>
      </c>
      <c r="Y88" s="97">
        <v>132.6</v>
      </c>
      <c r="Z88" s="97">
        <v>136</v>
      </c>
      <c r="AA88" s="52">
        <v>128.69999999999999</v>
      </c>
      <c r="AB88" s="52">
        <v>130</v>
      </c>
      <c r="AC88" s="52">
        <v>130</v>
      </c>
      <c r="AD88" s="52">
        <v>127</v>
      </c>
      <c r="AE88" s="52">
        <v>126</v>
      </c>
      <c r="AF88" s="98">
        <v>129</v>
      </c>
      <c r="AG88" s="99"/>
      <c r="AH88" s="55">
        <f t="shared" si="19"/>
        <v>136</v>
      </c>
      <c r="AI88" s="56">
        <f t="shared" si="20"/>
        <v>124.9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65.7</v>
      </c>
      <c r="C89" s="104">
        <v>66.400000000000006</v>
      </c>
      <c r="D89" s="104">
        <v>66</v>
      </c>
      <c r="E89" s="104">
        <v>66.2</v>
      </c>
      <c r="F89" s="104">
        <v>66.900000000000006</v>
      </c>
      <c r="G89" s="104">
        <v>65.8</v>
      </c>
      <c r="H89" s="104">
        <v>65.8</v>
      </c>
      <c r="I89" s="104">
        <v>65.400000000000006</v>
      </c>
      <c r="J89" s="104">
        <v>65</v>
      </c>
      <c r="K89" s="104">
        <v>65</v>
      </c>
      <c r="L89" s="104">
        <v>64.2</v>
      </c>
      <c r="M89" s="104">
        <v>63.9</v>
      </c>
      <c r="N89" s="104">
        <v>63.4</v>
      </c>
      <c r="O89" s="104">
        <v>63.3</v>
      </c>
      <c r="P89" s="104">
        <v>63.4</v>
      </c>
      <c r="Q89" s="104">
        <v>64.099999999999994</v>
      </c>
      <c r="R89" s="104">
        <v>64</v>
      </c>
      <c r="S89" s="104">
        <v>64.3</v>
      </c>
      <c r="T89" s="104">
        <v>64.400000000000006</v>
      </c>
      <c r="U89" s="104">
        <v>64.900000000000006</v>
      </c>
      <c r="V89" s="104">
        <v>64.900000000000006</v>
      </c>
      <c r="W89" s="104">
        <v>64.8</v>
      </c>
      <c r="X89" s="104">
        <v>65.099999999999994</v>
      </c>
      <c r="Y89" s="104">
        <v>66</v>
      </c>
      <c r="Z89" s="104">
        <v>65.8</v>
      </c>
      <c r="AA89" s="104">
        <v>66</v>
      </c>
      <c r="AB89" s="104">
        <v>65.599999999999994</v>
      </c>
      <c r="AC89" s="104">
        <v>65.599999999999994</v>
      </c>
      <c r="AD89" s="104">
        <v>65.400000000000006</v>
      </c>
      <c r="AE89" s="104">
        <v>65</v>
      </c>
      <c r="AF89" s="105">
        <v>65.099999999999994</v>
      </c>
      <c r="AG89" s="106"/>
      <c r="AH89" s="55">
        <f t="shared" si="19"/>
        <v>66.900000000000006</v>
      </c>
      <c r="AI89" s="56">
        <f t="shared" si="20"/>
        <v>63.3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145.63999999999999</v>
      </c>
      <c r="C91" s="111">
        <f t="shared" ref="C91:AF91" si="24">SUM(C14,C17,C20:C21,C40,C42:C43,C45,C47,C92:C95,C100,C106,C112,C121,C123,C135,C142,C145:C146,C153,C155,C157,C161:C163,C165:C167,C172,C178:C179,C181:C183,C191,C196)</f>
        <v>149.73999999999998</v>
      </c>
      <c r="D91" s="111">
        <f t="shared" si="24"/>
        <v>134.24</v>
      </c>
      <c r="E91" s="111">
        <f t="shared" si="24"/>
        <v>158.73999999999998</v>
      </c>
      <c r="F91" s="111">
        <f t="shared" si="24"/>
        <v>161.94</v>
      </c>
      <c r="G91" s="111">
        <f t="shared" si="24"/>
        <v>177.73999999999998</v>
      </c>
      <c r="H91" s="111">
        <f t="shared" si="24"/>
        <v>187.33999999999997</v>
      </c>
      <c r="I91" s="111">
        <f t="shared" si="24"/>
        <v>208.14</v>
      </c>
      <c r="J91" s="111">
        <f t="shared" si="24"/>
        <v>256.94</v>
      </c>
      <c r="K91" s="111">
        <f t="shared" si="24"/>
        <v>279.03999999999996</v>
      </c>
      <c r="L91" s="111">
        <f t="shared" si="24"/>
        <v>289.04000000000002</v>
      </c>
      <c r="M91" s="111">
        <f t="shared" si="24"/>
        <v>277.44</v>
      </c>
      <c r="N91" s="111">
        <f t="shared" si="24"/>
        <v>288.04000000000002</v>
      </c>
      <c r="O91" s="111">
        <f t="shared" si="24"/>
        <v>290.64000000000004</v>
      </c>
      <c r="P91" s="111">
        <f t="shared" si="24"/>
        <v>287.94</v>
      </c>
      <c r="Q91" s="111">
        <f t="shared" si="24"/>
        <v>280.14</v>
      </c>
      <c r="R91" s="111">
        <f t="shared" si="24"/>
        <v>280.84000000000003</v>
      </c>
      <c r="S91" s="111">
        <f t="shared" si="24"/>
        <v>267.94000000000005</v>
      </c>
      <c r="T91" s="111">
        <f t="shared" si="24"/>
        <v>292.64000000000004</v>
      </c>
      <c r="U91" s="111">
        <f t="shared" si="24"/>
        <v>297.04000000000002</v>
      </c>
      <c r="V91" s="111">
        <f t="shared" si="24"/>
        <v>297.04000000000002</v>
      </c>
      <c r="W91" s="111">
        <f t="shared" si="24"/>
        <v>346.84000000000003</v>
      </c>
      <c r="X91" s="111">
        <f t="shared" si="24"/>
        <v>351.04</v>
      </c>
      <c r="Y91" s="111">
        <f t="shared" si="24"/>
        <v>330.04</v>
      </c>
      <c r="Z91" s="111">
        <f t="shared" si="24"/>
        <v>307.34000000000003</v>
      </c>
      <c r="AA91" s="111">
        <f t="shared" si="24"/>
        <v>295.24</v>
      </c>
      <c r="AB91" s="111">
        <f t="shared" si="24"/>
        <v>289.14000000000004</v>
      </c>
      <c r="AC91" s="111">
        <f t="shared" si="24"/>
        <v>255.53999999999996</v>
      </c>
      <c r="AD91" s="111">
        <f t="shared" si="24"/>
        <v>210.73999999999998</v>
      </c>
      <c r="AE91" s="111">
        <f t="shared" si="24"/>
        <v>183.73999999999998</v>
      </c>
      <c r="AF91" s="111">
        <f t="shared" si="24"/>
        <v>180.73999999999998</v>
      </c>
      <c r="AG91" s="112"/>
      <c r="AH91" s="55">
        <f>MAX(B91:AF91)</f>
        <v>351.04</v>
      </c>
      <c r="AI91" s="56">
        <f>MIN(B91:AF91)</f>
        <v>134.24</v>
      </c>
    </row>
    <row r="92" spans="1:88" x14ac:dyDescent="0.25">
      <c r="A92" s="113" t="s">
        <v>95</v>
      </c>
      <c r="B92" s="59">
        <v>29.1</v>
      </c>
      <c r="C92" s="59">
        <v>31.6</v>
      </c>
      <c r="D92" s="59">
        <v>45.3</v>
      </c>
      <c r="E92" s="59">
        <v>19.600000000000001</v>
      </c>
      <c r="F92" s="59">
        <v>41.9</v>
      </c>
      <c r="G92" s="59">
        <v>44.3</v>
      </c>
      <c r="H92" s="59">
        <v>45.3</v>
      </c>
      <c r="I92" s="59">
        <v>38.6</v>
      </c>
      <c r="J92" s="59">
        <v>46.5</v>
      </c>
      <c r="K92" s="59">
        <v>44.8</v>
      </c>
      <c r="L92" s="115">
        <v>41.4</v>
      </c>
      <c r="M92" s="114">
        <v>31.5</v>
      </c>
      <c r="N92" s="114">
        <v>34</v>
      </c>
      <c r="O92" s="114">
        <v>28.4</v>
      </c>
      <c r="P92" s="114">
        <v>34</v>
      </c>
      <c r="Q92" s="114">
        <v>6.7</v>
      </c>
      <c r="R92" s="114">
        <v>39</v>
      </c>
      <c r="S92" s="115">
        <v>34</v>
      </c>
      <c r="T92" s="115">
        <v>2</v>
      </c>
      <c r="U92" s="114">
        <v>28.1</v>
      </c>
      <c r="V92" s="114">
        <v>28.1</v>
      </c>
      <c r="W92" s="114">
        <v>27.2</v>
      </c>
      <c r="X92" s="114">
        <v>34.1</v>
      </c>
      <c r="Y92" s="114">
        <v>3.1</v>
      </c>
      <c r="Z92" s="114">
        <v>39.299999999999997</v>
      </c>
      <c r="AA92" s="115">
        <v>40.700000000000003</v>
      </c>
      <c r="AB92" s="115">
        <v>38</v>
      </c>
      <c r="AC92" s="115">
        <v>28</v>
      </c>
      <c r="AD92" s="115">
        <v>28</v>
      </c>
      <c r="AE92" s="115">
        <v>23</v>
      </c>
      <c r="AF92" s="116">
        <v>16</v>
      </c>
      <c r="AG92" s="117">
        <v>75</v>
      </c>
      <c r="AH92" s="55">
        <f t="shared" ref="AH92:AH97" si="25">IF(ABS(MAX(B92:AF92))&gt;ABS(MIN(B92:AF92)),MAX(B92:AF92),MIN(B92:AF92))</f>
        <v>46.5</v>
      </c>
      <c r="AI92" s="118">
        <f t="shared" ref="AI92:AI97" si="26">INDEX($B$9:$AF$9,1,MATCH(AH92,B92:AF92,0))</f>
        <v>0.29166666666666669</v>
      </c>
    </row>
    <row r="93" spans="1:88" x14ac:dyDescent="0.25">
      <c r="A93" s="119" t="s">
        <v>96</v>
      </c>
      <c r="B93" s="61">
        <v>-106</v>
      </c>
      <c r="C93" s="61">
        <v>-104</v>
      </c>
      <c r="D93" s="61">
        <f>-51-60.6</f>
        <v>-111.6</v>
      </c>
      <c r="E93" s="61">
        <f>-42.4-50.7</f>
        <v>-93.1</v>
      </c>
      <c r="F93" s="61">
        <f>-39.3-47.3</f>
        <v>-86.6</v>
      </c>
      <c r="G93" s="61">
        <f>-36.4-43.7</f>
        <v>-80.099999999999994</v>
      </c>
      <c r="H93" s="61">
        <f>-35-36.5</f>
        <v>-71.5</v>
      </c>
      <c r="I93" s="61">
        <f>-28.6-34.6</f>
        <v>-63.2</v>
      </c>
      <c r="J93" s="61">
        <f>-25.2-30.4</f>
        <v>-55.599999999999994</v>
      </c>
      <c r="K93" s="61">
        <f>-23.1-28.1</f>
        <v>-51.2</v>
      </c>
      <c r="L93" s="61">
        <v>-46.1</v>
      </c>
      <c r="M93" s="61">
        <v>-48.2</v>
      </c>
      <c r="N93" s="61">
        <v>-46</v>
      </c>
      <c r="O93" s="61">
        <v>-44.3</v>
      </c>
      <c r="P93" s="61">
        <v>-46</v>
      </c>
      <c r="Q93" s="61">
        <v>-27.8</v>
      </c>
      <c r="R93" s="61">
        <v>-51.1</v>
      </c>
      <c r="S93" s="61">
        <v>-55.8</v>
      </c>
      <c r="T93" s="61">
        <v>-38.5</v>
      </c>
      <c r="U93" s="61">
        <v>-44</v>
      </c>
      <c r="V93" s="61">
        <v>-44</v>
      </c>
      <c r="W93" s="61">
        <v>-26</v>
      </c>
      <c r="X93" s="61">
        <v>-4</v>
      </c>
      <c r="Y93" s="61">
        <v>-11</v>
      </c>
      <c r="Z93" s="61">
        <v>-48</v>
      </c>
      <c r="AA93" s="52">
        <v>-53</v>
      </c>
      <c r="AB93" s="52">
        <v>-57</v>
      </c>
      <c r="AC93" s="52">
        <v>-73</v>
      </c>
      <c r="AD93" s="52">
        <v>-90</v>
      </c>
      <c r="AE93" s="52">
        <v>-103</v>
      </c>
      <c r="AF93" s="120">
        <v>-100</v>
      </c>
      <c r="AG93" s="117">
        <v>240</v>
      </c>
      <c r="AH93" s="55">
        <f t="shared" si="25"/>
        <v>-111.6</v>
      </c>
      <c r="AI93" s="118">
        <f t="shared" si="26"/>
        <v>0.125</v>
      </c>
    </row>
    <row r="94" spans="1:88" x14ac:dyDescent="0.25">
      <c r="A94" s="119" t="s">
        <v>97</v>
      </c>
      <c r="B94" s="61">
        <v>-18.5</v>
      </c>
      <c r="C94" s="61">
        <v>-15</v>
      </c>
      <c r="D94" s="61">
        <v>-14.6</v>
      </c>
      <c r="E94" s="61">
        <v>-15.3</v>
      </c>
      <c r="F94" s="61">
        <v>-12.5</v>
      </c>
      <c r="G94" s="61">
        <v>-10.4</v>
      </c>
      <c r="H94" s="61">
        <v>-10.4</v>
      </c>
      <c r="I94" s="61">
        <v>-10.4</v>
      </c>
      <c r="J94" s="61">
        <v>0</v>
      </c>
      <c r="K94" s="61">
        <v>4.5999999999999996</v>
      </c>
      <c r="L94" s="61">
        <v>0.7</v>
      </c>
      <c r="M94" s="61">
        <v>-1</v>
      </c>
      <c r="N94" s="61">
        <v>0.7</v>
      </c>
      <c r="O94" s="61">
        <v>2.6</v>
      </c>
      <c r="P94" s="61">
        <v>0.7</v>
      </c>
      <c r="Q94" s="61">
        <v>23.3</v>
      </c>
      <c r="R94" s="61">
        <v>5.7</v>
      </c>
      <c r="S94" s="61">
        <v>2.2999999999999998</v>
      </c>
      <c r="T94" s="61">
        <v>15.8</v>
      </c>
      <c r="U94" s="61">
        <v>4</v>
      </c>
      <c r="V94" s="61">
        <v>4</v>
      </c>
      <c r="W94" s="61">
        <v>13.2</v>
      </c>
      <c r="X94" s="61">
        <v>47.3</v>
      </c>
      <c r="Y94" s="61">
        <v>42.6</v>
      </c>
      <c r="Z94" s="61">
        <v>23.3</v>
      </c>
      <c r="AA94" s="52">
        <v>22.2</v>
      </c>
      <c r="AB94" s="52">
        <v>15</v>
      </c>
      <c r="AC94" s="52">
        <v>14</v>
      </c>
      <c r="AD94" s="52">
        <v>-15</v>
      </c>
      <c r="AE94" s="52">
        <v>-26</v>
      </c>
      <c r="AF94" s="120">
        <v>-30</v>
      </c>
      <c r="AG94" s="117">
        <v>60</v>
      </c>
      <c r="AH94" s="55">
        <f t="shared" si="25"/>
        <v>47.3</v>
      </c>
      <c r="AI94" s="118">
        <f t="shared" si="26"/>
        <v>0.77083333333333337</v>
      </c>
    </row>
    <row r="95" spans="1:88" x14ac:dyDescent="0.25">
      <c r="A95" s="121" t="s">
        <v>98</v>
      </c>
      <c r="B95" s="84">
        <v>1.9</v>
      </c>
      <c r="C95" s="84">
        <v>-2</v>
      </c>
      <c r="D95" s="84">
        <v>-24</v>
      </c>
      <c r="E95" s="84">
        <v>8.6</v>
      </c>
      <c r="F95" s="84">
        <v>0</v>
      </c>
      <c r="G95" s="84">
        <v>4.5999999999999996</v>
      </c>
      <c r="H95" s="84">
        <v>4.5999999999999996</v>
      </c>
      <c r="I95" s="84">
        <v>4.5999999999999996</v>
      </c>
      <c r="J95" s="84">
        <v>27.5</v>
      </c>
      <c r="K95" s="84">
        <v>41.8</v>
      </c>
      <c r="L95" s="84">
        <v>54.2</v>
      </c>
      <c r="M95" s="84">
        <v>55.6</v>
      </c>
      <c r="N95" s="84">
        <v>60.6</v>
      </c>
      <c r="O95" s="84">
        <v>65.3</v>
      </c>
      <c r="P95" s="84">
        <v>60.6</v>
      </c>
      <c r="Q95" s="84">
        <v>69</v>
      </c>
      <c r="R95" s="84">
        <v>46.7</v>
      </c>
      <c r="S95" s="84">
        <v>46.9</v>
      </c>
      <c r="T95" s="84">
        <v>73.5</v>
      </c>
      <c r="U95" s="84">
        <v>68.8</v>
      </c>
      <c r="V95" s="84">
        <v>68.8</v>
      </c>
      <c r="W95" s="84">
        <v>92</v>
      </c>
      <c r="X95" s="84">
        <v>85.7</v>
      </c>
      <c r="Y95" s="84">
        <v>92.4</v>
      </c>
      <c r="Z95" s="84">
        <v>52.4</v>
      </c>
      <c r="AA95" s="122">
        <v>49.2</v>
      </c>
      <c r="AB95" s="122">
        <v>57</v>
      </c>
      <c r="AC95" s="122">
        <v>50.8</v>
      </c>
      <c r="AD95" s="122">
        <v>52</v>
      </c>
      <c r="AE95" s="122">
        <v>54</v>
      </c>
      <c r="AF95" s="123">
        <v>59</v>
      </c>
      <c r="AG95" s="124">
        <v>120</v>
      </c>
      <c r="AH95" s="55">
        <f t="shared" si="25"/>
        <v>92.4</v>
      </c>
      <c r="AI95" s="118">
        <f t="shared" si="26"/>
        <v>0.79166666666666663</v>
      </c>
    </row>
    <row r="96" spans="1:88" x14ac:dyDescent="0.25">
      <c r="A96" s="121" t="s">
        <v>99</v>
      </c>
      <c r="B96" s="84">
        <v>25.4</v>
      </c>
      <c r="C96" s="84">
        <v>20.3</v>
      </c>
      <c r="D96" s="84">
        <v>4.0999999999999996</v>
      </c>
      <c r="E96" s="84">
        <v>33.5</v>
      </c>
      <c r="F96" s="84">
        <v>21</v>
      </c>
      <c r="G96" s="84">
        <v>22.5</v>
      </c>
      <c r="H96" s="84">
        <v>25.2</v>
      </c>
      <c r="I96" s="84">
        <v>33</v>
      </c>
      <c r="J96" s="84">
        <v>33</v>
      </c>
      <c r="K96" s="84">
        <v>44.5</v>
      </c>
      <c r="L96" s="84">
        <v>52.3</v>
      </c>
      <c r="M96" s="84">
        <v>50.6</v>
      </c>
      <c r="N96" s="84">
        <v>57.9</v>
      </c>
      <c r="O96" s="84">
        <v>60.9</v>
      </c>
      <c r="P96" s="84">
        <v>57.9</v>
      </c>
      <c r="Q96" s="84">
        <v>63.8</v>
      </c>
      <c r="R96" s="84">
        <v>48.5</v>
      </c>
      <c r="S96" s="84">
        <v>47.7</v>
      </c>
      <c r="T96" s="84">
        <v>61.3</v>
      </c>
      <c r="U96" s="84">
        <v>56.9</v>
      </c>
      <c r="V96" s="84">
        <v>56.9</v>
      </c>
      <c r="W96" s="84">
        <v>69.400000000000006</v>
      </c>
      <c r="X96" s="84">
        <v>61.7</v>
      </c>
      <c r="Y96" s="84">
        <v>66.5</v>
      </c>
      <c r="Z96" s="84">
        <v>36.700000000000003</v>
      </c>
      <c r="AA96" s="122">
        <v>37</v>
      </c>
      <c r="AB96" s="122">
        <v>45</v>
      </c>
      <c r="AC96" s="122">
        <v>46</v>
      </c>
      <c r="AD96" s="122">
        <v>53</v>
      </c>
      <c r="AE96" s="122">
        <v>58</v>
      </c>
      <c r="AF96" s="123">
        <v>61</v>
      </c>
      <c r="AG96" s="124"/>
      <c r="AH96" s="55">
        <f t="shared" si="25"/>
        <v>69.400000000000006</v>
      </c>
      <c r="AI96" s="118">
        <f t="shared" si="26"/>
        <v>0.75</v>
      </c>
    </row>
    <row r="97" spans="1:37" ht="15.75" thickBot="1" x14ac:dyDescent="0.3">
      <c r="A97" s="121" t="s">
        <v>100</v>
      </c>
      <c r="B97" s="84">
        <v>70.900000000000006</v>
      </c>
      <c r="C97" s="84">
        <v>68</v>
      </c>
      <c r="D97" s="84">
        <v>51.5</v>
      </c>
      <c r="E97" s="84">
        <v>65</v>
      </c>
      <c r="F97" s="84">
        <v>52.3</v>
      </c>
      <c r="G97" s="84">
        <v>55.2</v>
      </c>
      <c r="H97" s="84">
        <v>52</v>
      </c>
      <c r="I97" s="84">
        <v>44.3</v>
      </c>
      <c r="J97" s="84">
        <v>38.4</v>
      </c>
      <c r="K97" s="84">
        <v>40</v>
      </c>
      <c r="L97" s="84">
        <v>46.4</v>
      </c>
      <c r="M97" s="84">
        <v>48.6</v>
      </c>
      <c r="N97" s="84">
        <v>53.2</v>
      </c>
      <c r="O97" s="84">
        <v>55.8</v>
      </c>
      <c r="P97" s="84">
        <v>53.2</v>
      </c>
      <c r="Q97" s="84">
        <v>72.3</v>
      </c>
      <c r="R97" s="84">
        <v>44.7</v>
      </c>
      <c r="S97" s="84">
        <v>48.9</v>
      </c>
      <c r="T97" s="84">
        <v>48.3</v>
      </c>
      <c r="U97" s="84">
        <v>51.9</v>
      </c>
      <c r="V97" s="84">
        <v>51.9</v>
      </c>
      <c r="W97" s="84">
        <v>30.8</v>
      </c>
      <c r="X97" s="84">
        <v>40.200000000000003</v>
      </c>
      <c r="Y97" s="84">
        <v>40</v>
      </c>
      <c r="Z97" s="84">
        <v>36</v>
      </c>
      <c r="AA97" s="84">
        <v>52.6</v>
      </c>
      <c r="AB97" s="122">
        <v>61</v>
      </c>
      <c r="AC97" s="122">
        <v>79.5</v>
      </c>
      <c r="AD97" s="122">
        <v>26</v>
      </c>
      <c r="AE97" s="122">
        <v>40</v>
      </c>
      <c r="AF97" s="123">
        <v>57</v>
      </c>
      <c r="AG97" s="125"/>
      <c r="AH97" s="55">
        <f t="shared" si="25"/>
        <v>79.5</v>
      </c>
      <c r="AI97" s="118">
        <f t="shared" si="26"/>
        <v>0.875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7">B99</f>
        <v>9.9</v>
      </c>
      <c r="D99" s="131">
        <f t="shared" si="27"/>
        <v>9.9</v>
      </c>
      <c r="E99" s="131">
        <f t="shared" si="27"/>
        <v>9.9</v>
      </c>
      <c r="F99" s="131">
        <f t="shared" si="27"/>
        <v>9.9</v>
      </c>
      <c r="G99" s="131">
        <f t="shared" si="27"/>
        <v>9.9</v>
      </c>
      <c r="H99" s="131">
        <f t="shared" si="27"/>
        <v>9.9</v>
      </c>
      <c r="I99" s="131">
        <f t="shared" si="27"/>
        <v>9.9</v>
      </c>
      <c r="J99" s="131">
        <f t="shared" si="27"/>
        <v>9.9</v>
      </c>
      <c r="K99" s="131">
        <f t="shared" si="27"/>
        <v>9.9</v>
      </c>
      <c r="L99" s="131">
        <f t="shared" si="27"/>
        <v>9.9</v>
      </c>
      <c r="M99" s="131">
        <f t="shared" si="27"/>
        <v>9.9</v>
      </c>
      <c r="N99" s="131">
        <f t="shared" si="27"/>
        <v>9.9</v>
      </c>
      <c r="O99" s="131">
        <f t="shared" si="27"/>
        <v>9.9</v>
      </c>
      <c r="P99" s="131">
        <f t="shared" si="27"/>
        <v>9.9</v>
      </c>
      <c r="Q99" s="131">
        <f t="shared" si="27"/>
        <v>9.9</v>
      </c>
      <c r="R99" s="131">
        <f t="shared" si="27"/>
        <v>9.9</v>
      </c>
      <c r="S99" s="131">
        <f t="shared" ref="S99:AF104" si="28">R99</f>
        <v>9.9</v>
      </c>
      <c r="T99" s="131">
        <f t="shared" si="28"/>
        <v>9.9</v>
      </c>
      <c r="U99" s="131">
        <f t="shared" si="28"/>
        <v>9.9</v>
      </c>
      <c r="V99" s="131">
        <f t="shared" si="28"/>
        <v>9.9</v>
      </c>
      <c r="W99" s="131">
        <f t="shared" si="28"/>
        <v>9.9</v>
      </c>
      <c r="X99" s="131">
        <f t="shared" si="28"/>
        <v>9.9</v>
      </c>
      <c r="Y99" s="131">
        <f t="shared" si="28"/>
        <v>9.9</v>
      </c>
      <c r="Z99" s="131">
        <f t="shared" si="28"/>
        <v>9.9</v>
      </c>
      <c r="AA99" s="131">
        <f t="shared" si="28"/>
        <v>9.9</v>
      </c>
      <c r="AB99" s="131">
        <f t="shared" si="28"/>
        <v>9.9</v>
      </c>
      <c r="AC99" s="131">
        <f t="shared" si="28"/>
        <v>9.9</v>
      </c>
      <c r="AD99" s="131">
        <f t="shared" si="28"/>
        <v>9.9</v>
      </c>
      <c r="AE99" s="131">
        <f t="shared" si="28"/>
        <v>9.9</v>
      </c>
      <c r="AF99" s="131">
        <f t="shared" si="28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7"/>
        <v>9.6</v>
      </c>
      <c r="D100" s="134">
        <f t="shared" si="27"/>
        <v>9.6</v>
      </c>
      <c r="E100" s="134">
        <f t="shared" si="27"/>
        <v>9.6</v>
      </c>
      <c r="F100" s="134">
        <f t="shared" si="27"/>
        <v>9.6</v>
      </c>
      <c r="G100" s="134">
        <f t="shared" si="27"/>
        <v>9.6</v>
      </c>
      <c r="H100" s="134">
        <f t="shared" si="27"/>
        <v>9.6</v>
      </c>
      <c r="I100" s="134">
        <f t="shared" si="27"/>
        <v>9.6</v>
      </c>
      <c r="J100" s="134">
        <f t="shared" si="27"/>
        <v>9.6</v>
      </c>
      <c r="K100" s="134">
        <f t="shared" si="27"/>
        <v>9.6</v>
      </c>
      <c r="L100" s="134">
        <f t="shared" si="27"/>
        <v>9.6</v>
      </c>
      <c r="M100" s="134">
        <f t="shared" si="27"/>
        <v>9.6</v>
      </c>
      <c r="N100" s="134">
        <f t="shared" si="27"/>
        <v>9.6</v>
      </c>
      <c r="O100" s="134">
        <f t="shared" si="27"/>
        <v>9.6</v>
      </c>
      <c r="P100" s="134">
        <f t="shared" si="27"/>
        <v>9.6</v>
      </c>
      <c r="Q100" s="134">
        <f t="shared" si="27"/>
        <v>9.6</v>
      </c>
      <c r="R100" s="134">
        <f t="shared" si="27"/>
        <v>9.6</v>
      </c>
      <c r="S100" s="134">
        <f t="shared" si="28"/>
        <v>9.6</v>
      </c>
      <c r="T100" s="134">
        <f t="shared" si="28"/>
        <v>9.6</v>
      </c>
      <c r="U100" s="134">
        <f t="shared" si="28"/>
        <v>9.6</v>
      </c>
      <c r="V100" s="134">
        <f t="shared" si="28"/>
        <v>9.6</v>
      </c>
      <c r="W100" s="134">
        <f t="shared" si="28"/>
        <v>9.6</v>
      </c>
      <c r="X100" s="134">
        <f t="shared" si="28"/>
        <v>9.6</v>
      </c>
      <c r="Y100" s="134">
        <f t="shared" si="28"/>
        <v>9.6</v>
      </c>
      <c r="Z100" s="134">
        <f t="shared" si="28"/>
        <v>9.6</v>
      </c>
      <c r="AA100" s="134">
        <f t="shared" si="28"/>
        <v>9.6</v>
      </c>
      <c r="AB100" s="134">
        <f t="shared" si="28"/>
        <v>9.6</v>
      </c>
      <c r="AC100" s="134">
        <f t="shared" si="28"/>
        <v>9.6</v>
      </c>
      <c r="AD100" s="134">
        <f t="shared" si="28"/>
        <v>9.6</v>
      </c>
      <c r="AE100" s="134">
        <f t="shared" si="28"/>
        <v>9.6</v>
      </c>
      <c r="AF100" s="134">
        <f t="shared" si="28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7"/>
        <v>9.98</v>
      </c>
      <c r="D101" s="134">
        <f t="shared" si="27"/>
        <v>9.98</v>
      </c>
      <c r="E101" s="134">
        <f t="shared" si="27"/>
        <v>9.98</v>
      </c>
      <c r="F101" s="134">
        <f t="shared" si="27"/>
        <v>9.98</v>
      </c>
      <c r="G101" s="134">
        <f t="shared" si="27"/>
        <v>9.98</v>
      </c>
      <c r="H101" s="134">
        <f t="shared" si="27"/>
        <v>9.98</v>
      </c>
      <c r="I101" s="134">
        <f t="shared" si="27"/>
        <v>9.98</v>
      </c>
      <c r="J101" s="134">
        <f t="shared" si="27"/>
        <v>9.98</v>
      </c>
      <c r="K101" s="134">
        <f t="shared" si="27"/>
        <v>9.98</v>
      </c>
      <c r="L101" s="134">
        <f t="shared" si="27"/>
        <v>9.98</v>
      </c>
      <c r="M101" s="134">
        <f t="shared" si="27"/>
        <v>9.98</v>
      </c>
      <c r="N101" s="134">
        <f t="shared" si="27"/>
        <v>9.98</v>
      </c>
      <c r="O101" s="134">
        <f t="shared" si="27"/>
        <v>9.98</v>
      </c>
      <c r="P101" s="134">
        <f t="shared" si="27"/>
        <v>9.98</v>
      </c>
      <c r="Q101" s="134">
        <f t="shared" si="27"/>
        <v>9.98</v>
      </c>
      <c r="R101" s="134">
        <f t="shared" si="27"/>
        <v>9.98</v>
      </c>
      <c r="S101" s="134">
        <f t="shared" si="28"/>
        <v>9.98</v>
      </c>
      <c r="T101" s="134">
        <f t="shared" si="28"/>
        <v>9.98</v>
      </c>
      <c r="U101" s="134">
        <f t="shared" si="28"/>
        <v>9.98</v>
      </c>
      <c r="V101" s="134">
        <f t="shared" si="28"/>
        <v>9.98</v>
      </c>
      <c r="W101" s="134">
        <f t="shared" si="28"/>
        <v>9.98</v>
      </c>
      <c r="X101" s="134">
        <f t="shared" si="28"/>
        <v>9.98</v>
      </c>
      <c r="Y101" s="134">
        <f t="shared" si="28"/>
        <v>9.98</v>
      </c>
      <c r="Z101" s="134">
        <f t="shared" si="28"/>
        <v>9.98</v>
      </c>
      <c r="AA101" s="134">
        <f t="shared" si="28"/>
        <v>9.98</v>
      </c>
      <c r="AB101" s="134">
        <f t="shared" si="28"/>
        <v>9.98</v>
      </c>
      <c r="AC101" s="134">
        <f t="shared" si="28"/>
        <v>9.98</v>
      </c>
      <c r="AD101" s="134">
        <f t="shared" si="28"/>
        <v>9.98</v>
      </c>
      <c r="AE101" s="134">
        <f t="shared" si="28"/>
        <v>9.98</v>
      </c>
      <c r="AF101" s="134">
        <f t="shared" si="28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7"/>
        <v>9.1</v>
      </c>
      <c r="D102" s="134">
        <f t="shared" si="27"/>
        <v>9.1</v>
      </c>
      <c r="E102" s="134">
        <f t="shared" si="27"/>
        <v>9.1</v>
      </c>
      <c r="F102" s="134">
        <f t="shared" si="27"/>
        <v>9.1</v>
      </c>
      <c r="G102" s="134">
        <f t="shared" si="27"/>
        <v>9.1</v>
      </c>
      <c r="H102" s="134">
        <f t="shared" si="27"/>
        <v>9.1</v>
      </c>
      <c r="I102" s="134">
        <f t="shared" si="27"/>
        <v>9.1</v>
      </c>
      <c r="J102" s="134">
        <f t="shared" si="27"/>
        <v>9.1</v>
      </c>
      <c r="K102" s="134">
        <f t="shared" si="27"/>
        <v>9.1</v>
      </c>
      <c r="L102" s="134">
        <f t="shared" si="27"/>
        <v>9.1</v>
      </c>
      <c r="M102" s="134">
        <f t="shared" si="27"/>
        <v>9.1</v>
      </c>
      <c r="N102" s="134">
        <f t="shared" si="27"/>
        <v>9.1</v>
      </c>
      <c r="O102" s="134">
        <f t="shared" si="27"/>
        <v>9.1</v>
      </c>
      <c r="P102" s="134">
        <f t="shared" si="27"/>
        <v>9.1</v>
      </c>
      <c r="Q102" s="134">
        <f t="shared" si="27"/>
        <v>9.1</v>
      </c>
      <c r="R102" s="134">
        <f t="shared" si="27"/>
        <v>9.1</v>
      </c>
      <c r="S102" s="134">
        <f t="shared" si="28"/>
        <v>9.1</v>
      </c>
      <c r="T102" s="134">
        <f t="shared" si="28"/>
        <v>9.1</v>
      </c>
      <c r="U102" s="134">
        <f t="shared" si="28"/>
        <v>9.1</v>
      </c>
      <c r="V102" s="134">
        <f t="shared" si="28"/>
        <v>9.1</v>
      </c>
      <c r="W102" s="134">
        <f t="shared" si="28"/>
        <v>9.1</v>
      </c>
      <c r="X102" s="134">
        <f t="shared" si="28"/>
        <v>9.1</v>
      </c>
      <c r="Y102" s="134">
        <f t="shared" si="28"/>
        <v>9.1</v>
      </c>
      <c r="Z102" s="134">
        <f t="shared" si="28"/>
        <v>9.1</v>
      </c>
      <c r="AA102" s="134">
        <f t="shared" si="28"/>
        <v>9.1</v>
      </c>
      <c r="AB102" s="134">
        <f t="shared" si="28"/>
        <v>9.1</v>
      </c>
      <c r="AC102" s="134">
        <f t="shared" si="28"/>
        <v>9.1</v>
      </c>
      <c r="AD102" s="134">
        <f t="shared" si="28"/>
        <v>9.1</v>
      </c>
      <c r="AE102" s="134">
        <f t="shared" si="28"/>
        <v>9.1</v>
      </c>
      <c r="AF102" s="134">
        <f t="shared" si="28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7"/>
        <v>9.18</v>
      </c>
      <c r="D103" s="134">
        <f t="shared" si="27"/>
        <v>9.18</v>
      </c>
      <c r="E103" s="134">
        <f t="shared" si="27"/>
        <v>9.18</v>
      </c>
      <c r="F103" s="134">
        <f t="shared" si="27"/>
        <v>9.18</v>
      </c>
      <c r="G103" s="134">
        <f t="shared" si="27"/>
        <v>9.18</v>
      </c>
      <c r="H103" s="134">
        <f t="shared" si="27"/>
        <v>9.18</v>
      </c>
      <c r="I103" s="134">
        <f t="shared" si="27"/>
        <v>9.18</v>
      </c>
      <c r="J103" s="134">
        <f t="shared" si="27"/>
        <v>9.18</v>
      </c>
      <c r="K103" s="134">
        <f t="shared" si="27"/>
        <v>9.18</v>
      </c>
      <c r="L103" s="134">
        <f t="shared" si="27"/>
        <v>9.18</v>
      </c>
      <c r="M103" s="134">
        <f t="shared" si="27"/>
        <v>9.18</v>
      </c>
      <c r="N103" s="134">
        <f t="shared" si="27"/>
        <v>9.18</v>
      </c>
      <c r="O103" s="134">
        <f t="shared" si="27"/>
        <v>9.18</v>
      </c>
      <c r="P103" s="134">
        <f t="shared" si="27"/>
        <v>9.18</v>
      </c>
      <c r="Q103" s="134">
        <f t="shared" si="27"/>
        <v>9.18</v>
      </c>
      <c r="R103" s="134">
        <f t="shared" si="27"/>
        <v>9.18</v>
      </c>
      <c r="S103" s="134">
        <f t="shared" si="28"/>
        <v>9.18</v>
      </c>
      <c r="T103" s="134">
        <f t="shared" si="28"/>
        <v>9.18</v>
      </c>
      <c r="U103" s="134">
        <f t="shared" si="28"/>
        <v>9.18</v>
      </c>
      <c r="V103" s="134">
        <f t="shared" si="28"/>
        <v>9.18</v>
      </c>
      <c r="W103" s="134">
        <f t="shared" si="28"/>
        <v>9.18</v>
      </c>
      <c r="X103" s="134">
        <f t="shared" si="28"/>
        <v>9.18</v>
      </c>
      <c r="Y103" s="134">
        <f t="shared" si="28"/>
        <v>9.18</v>
      </c>
      <c r="Z103" s="134">
        <f t="shared" si="28"/>
        <v>9.18</v>
      </c>
      <c r="AA103" s="134">
        <f t="shared" si="28"/>
        <v>9.18</v>
      </c>
      <c r="AB103" s="134">
        <f t="shared" si="28"/>
        <v>9.18</v>
      </c>
      <c r="AC103" s="134">
        <f t="shared" si="28"/>
        <v>9.18</v>
      </c>
      <c r="AD103" s="134">
        <f t="shared" si="28"/>
        <v>9.18</v>
      </c>
      <c r="AE103" s="134">
        <f t="shared" si="28"/>
        <v>9.18</v>
      </c>
      <c r="AF103" s="134">
        <f t="shared" si="28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7"/>
        <v>7</v>
      </c>
      <c r="D104" s="134">
        <f t="shared" si="27"/>
        <v>7</v>
      </c>
      <c r="E104" s="134">
        <f t="shared" si="27"/>
        <v>7</v>
      </c>
      <c r="F104" s="134">
        <f t="shared" si="27"/>
        <v>7</v>
      </c>
      <c r="G104" s="134">
        <f t="shared" si="27"/>
        <v>7</v>
      </c>
      <c r="H104" s="134">
        <f t="shared" si="27"/>
        <v>7</v>
      </c>
      <c r="I104" s="134">
        <f t="shared" si="27"/>
        <v>7</v>
      </c>
      <c r="J104" s="134">
        <f t="shared" si="27"/>
        <v>7</v>
      </c>
      <c r="K104" s="134">
        <f t="shared" si="27"/>
        <v>7</v>
      </c>
      <c r="L104" s="134">
        <f t="shared" si="27"/>
        <v>7</v>
      </c>
      <c r="M104" s="134">
        <f t="shared" si="27"/>
        <v>7</v>
      </c>
      <c r="N104" s="134">
        <f t="shared" si="27"/>
        <v>7</v>
      </c>
      <c r="O104" s="134">
        <f t="shared" si="27"/>
        <v>7</v>
      </c>
      <c r="P104" s="134">
        <f t="shared" si="27"/>
        <v>7</v>
      </c>
      <c r="Q104" s="134">
        <f t="shared" si="27"/>
        <v>7</v>
      </c>
      <c r="R104" s="134">
        <f t="shared" si="27"/>
        <v>7</v>
      </c>
      <c r="S104" s="134">
        <f t="shared" si="28"/>
        <v>7</v>
      </c>
      <c r="T104" s="134">
        <f t="shared" si="28"/>
        <v>7</v>
      </c>
      <c r="U104" s="134">
        <f t="shared" si="28"/>
        <v>7</v>
      </c>
      <c r="V104" s="134">
        <f t="shared" si="28"/>
        <v>7</v>
      </c>
      <c r="W104" s="134">
        <f t="shared" si="28"/>
        <v>7</v>
      </c>
      <c r="X104" s="134">
        <f t="shared" si="28"/>
        <v>7</v>
      </c>
      <c r="Y104" s="134">
        <f t="shared" si="28"/>
        <v>7</v>
      </c>
      <c r="Z104" s="134">
        <f t="shared" si="28"/>
        <v>7</v>
      </c>
      <c r="AA104" s="134">
        <f t="shared" si="28"/>
        <v>7</v>
      </c>
      <c r="AB104" s="134">
        <f t="shared" si="28"/>
        <v>7</v>
      </c>
      <c r="AC104" s="134">
        <f t="shared" si="28"/>
        <v>7</v>
      </c>
      <c r="AD104" s="134">
        <f t="shared" si="28"/>
        <v>7</v>
      </c>
      <c r="AE104" s="134">
        <f t="shared" si="28"/>
        <v>7</v>
      </c>
      <c r="AF104" s="134">
        <f t="shared" si="28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9">B106</f>
        <v>2.25</v>
      </c>
      <c r="D106" s="134">
        <f t="shared" si="29"/>
        <v>2.25</v>
      </c>
      <c r="E106" s="134">
        <f t="shared" si="29"/>
        <v>2.25</v>
      </c>
      <c r="F106" s="134">
        <f t="shared" si="29"/>
        <v>2.25</v>
      </c>
      <c r="G106" s="134">
        <f t="shared" si="29"/>
        <v>2.25</v>
      </c>
      <c r="H106" s="134">
        <f t="shared" si="29"/>
        <v>2.25</v>
      </c>
      <c r="I106" s="134">
        <f t="shared" si="29"/>
        <v>2.25</v>
      </c>
      <c r="J106" s="134">
        <f t="shared" si="29"/>
        <v>2.25</v>
      </c>
      <c r="K106" s="134">
        <f t="shared" si="29"/>
        <v>2.25</v>
      </c>
      <c r="L106" s="134">
        <f t="shared" si="29"/>
        <v>2.25</v>
      </c>
      <c r="M106" s="134">
        <f t="shared" si="29"/>
        <v>2.25</v>
      </c>
      <c r="N106" s="134">
        <f t="shared" si="29"/>
        <v>2.25</v>
      </c>
      <c r="O106" s="134">
        <f t="shared" si="29"/>
        <v>2.25</v>
      </c>
      <c r="P106" s="134">
        <f t="shared" si="29"/>
        <v>2.25</v>
      </c>
      <c r="Q106" s="134">
        <f t="shared" si="29"/>
        <v>2.25</v>
      </c>
      <c r="R106" s="134">
        <f t="shared" si="29"/>
        <v>2.25</v>
      </c>
      <c r="S106" s="134">
        <f t="shared" ref="S106:AF107" si="30">R106</f>
        <v>2.25</v>
      </c>
      <c r="T106" s="134">
        <f t="shared" si="30"/>
        <v>2.25</v>
      </c>
      <c r="U106" s="134">
        <f t="shared" si="30"/>
        <v>2.25</v>
      </c>
      <c r="V106" s="134">
        <f t="shared" si="30"/>
        <v>2.25</v>
      </c>
      <c r="W106" s="134">
        <f t="shared" si="30"/>
        <v>2.25</v>
      </c>
      <c r="X106" s="134">
        <f t="shared" si="30"/>
        <v>2.25</v>
      </c>
      <c r="Y106" s="134">
        <f t="shared" si="30"/>
        <v>2.25</v>
      </c>
      <c r="Z106" s="134">
        <f t="shared" si="30"/>
        <v>2.25</v>
      </c>
      <c r="AA106" s="134">
        <f t="shared" si="30"/>
        <v>2.25</v>
      </c>
      <c r="AB106" s="134">
        <f t="shared" si="30"/>
        <v>2.25</v>
      </c>
      <c r="AC106" s="134">
        <f t="shared" si="30"/>
        <v>2.25</v>
      </c>
      <c r="AD106" s="134">
        <f t="shared" si="30"/>
        <v>2.25</v>
      </c>
      <c r="AE106" s="134">
        <f t="shared" si="30"/>
        <v>2.25</v>
      </c>
      <c r="AF106" s="134">
        <f t="shared" si="30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9"/>
        <v>1.64</v>
      </c>
      <c r="D107" s="134">
        <f t="shared" si="29"/>
        <v>1.64</v>
      </c>
      <c r="E107" s="134">
        <f t="shared" si="29"/>
        <v>1.64</v>
      </c>
      <c r="F107" s="134">
        <f t="shared" si="29"/>
        <v>1.64</v>
      </c>
      <c r="G107" s="134">
        <f t="shared" si="29"/>
        <v>1.64</v>
      </c>
      <c r="H107" s="134">
        <f t="shared" si="29"/>
        <v>1.64</v>
      </c>
      <c r="I107" s="134">
        <f t="shared" si="29"/>
        <v>1.64</v>
      </c>
      <c r="J107" s="134">
        <f t="shared" si="29"/>
        <v>1.64</v>
      </c>
      <c r="K107" s="134">
        <f t="shared" si="29"/>
        <v>1.64</v>
      </c>
      <c r="L107" s="134">
        <f t="shared" si="29"/>
        <v>1.64</v>
      </c>
      <c r="M107" s="134">
        <f t="shared" si="29"/>
        <v>1.64</v>
      </c>
      <c r="N107" s="134">
        <f t="shared" si="29"/>
        <v>1.64</v>
      </c>
      <c r="O107" s="134">
        <f t="shared" si="29"/>
        <v>1.64</v>
      </c>
      <c r="P107" s="134">
        <f t="shared" si="29"/>
        <v>1.64</v>
      </c>
      <c r="Q107" s="134">
        <f t="shared" si="29"/>
        <v>1.64</v>
      </c>
      <c r="R107" s="134">
        <f t="shared" si="29"/>
        <v>1.64</v>
      </c>
      <c r="S107" s="134">
        <f t="shared" si="30"/>
        <v>1.64</v>
      </c>
      <c r="T107" s="134">
        <f t="shared" si="30"/>
        <v>1.64</v>
      </c>
      <c r="U107" s="134">
        <f t="shared" si="30"/>
        <v>1.64</v>
      </c>
      <c r="V107" s="134">
        <f t="shared" si="30"/>
        <v>1.64</v>
      </c>
      <c r="W107" s="134">
        <f t="shared" si="30"/>
        <v>1.64</v>
      </c>
      <c r="X107" s="134">
        <f t="shared" si="30"/>
        <v>1.64</v>
      </c>
      <c r="Y107" s="134">
        <f t="shared" si="30"/>
        <v>1.64</v>
      </c>
      <c r="Z107" s="134">
        <f t="shared" si="30"/>
        <v>1.64</v>
      </c>
      <c r="AA107" s="134">
        <f t="shared" si="30"/>
        <v>1.64</v>
      </c>
      <c r="AB107" s="134">
        <f t="shared" si="30"/>
        <v>1.64</v>
      </c>
      <c r="AC107" s="134">
        <f t="shared" si="30"/>
        <v>1.64</v>
      </c>
      <c r="AD107" s="134">
        <f t="shared" si="30"/>
        <v>1.64</v>
      </c>
      <c r="AE107" s="134">
        <f t="shared" si="30"/>
        <v>1.64</v>
      </c>
      <c r="AF107" s="134">
        <f t="shared" si="30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31">B109</f>
        <v>1.62</v>
      </c>
      <c r="D109" s="134">
        <f t="shared" si="31"/>
        <v>1.62</v>
      </c>
      <c r="E109" s="134">
        <f t="shared" si="31"/>
        <v>1.62</v>
      </c>
      <c r="F109" s="134">
        <f t="shared" si="31"/>
        <v>1.62</v>
      </c>
      <c r="G109" s="134">
        <f t="shared" si="31"/>
        <v>1.62</v>
      </c>
      <c r="H109" s="134">
        <f t="shared" si="31"/>
        <v>1.62</v>
      </c>
      <c r="I109" s="134">
        <f t="shared" si="31"/>
        <v>1.62</v>
      </c>
      <c r="J109" s="134">
        <f t="shared" si="31"/>
        <v>1.62</v>
      </c>
      <c r="K109" s="134">
        <f t="shared" si="31"/>
        <v>1.62</v>
      </c>
      <c r="L109" s="134">
        <f t="shared" si="31"/>
        <v>1.62</v>
      </c>
      <c r="M109" s="134">
        <f t="shared" si="31"/>
        <v>1.62</v>
      </c>
      <c r="N109" s="134">
        <f t="shared" si="31"/>
        <v>1.62</v>
      </c>
      <c r="O109" s="134">
        <f t="shared" si="31"/>
        <v>1.62</v>
      </c>
      <c r="P109" s="134">
        <f t="shared" si="31"/>
        <v>1.62</v>
      </c>
      <c r="Q109" s="134">
        <f t="shared" si="31"/>
        <v>1.62</v>
      </c>
      <c r="R109" s="134">
        <f t="shared" si="31"/>
        <v>1.62</v>
      </c>
      <c r="S109" s="134">
        <f t="shared" ref="S109:AF124" si="32">R109</f>
        <v>1.62</v>
      </c>
      <c r="T109" s="134">
        <f t="shared" si="32"/>
        <v>1.62</v>
      </c>
      <c r="U109" s="134">
        <f t="shared" si="32"/>
        <v>1.62</v>
      </c>
      <c r="V109" s="134">
        <f t="shared" si="32"/>
        <v>1.62</v>
      </c>
      <c r="W109" s="134">
        <f t="shared" si="32"/>
        <v>1.62</v>
      </c>
      <c r="X109" s="134">
        <f t="shared" si="32"/>
        <v>1.62</v>
      </c>
      <c r="Y109" s="134">
        <f t="shared" si="32"/>
        <v>1.62</v>
      </c>
      <c r="Z109" s="134">
        <f t="shared" si="32"/>
        <v>1.62</v>
      </c>
      <c r="AA109" s="134">
        <f t="shared" si="32"/>
        <v>1.62</v>
      </c>
      <c r="AB109" s="134">
        <f t="shared" si="32"/>
        <v>1.62</v>
      </c>
      <c r="AC109" s="134">
        <f t="shared" si="32"/>
        <v>1.62</v>
      </c>
      <c r="AD109" s="134">
        <f t="shared" si="32"/>
        <v>1.62</v>
      </c>
      <c r="AE109" s="134">
        <f t="shared" si="32"/>
        <v>1.62</v>
      </c>
      <c r="AF109" s="134">
        <f t="shared" si="32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31"/>
        <v>8.36</v>
      </c>
      <c r="D110" s="134">
        <f t="shared" si="31"/>
        <v>8.36</v>
      </c>
      <c r="E110" s="134">
        <f t="shared" si="31"/>
        <v>8.36</v>
      </c>
      <c r="F110" s="134">
        <f t="shared" si="31"/>
        <v>8.36</v>
      </c>
      <c r="G110" s="134">
        <f t="shared" si="31"/>
        <v>8.36</v>
      </c>
      <c r="H110" s="134">
        <f t="shared" si="31"/>
        <v>8.36</v>
      </c>
      <c r="I110" s="134">
        <f t="shared" si="31"/>
        <v>8.36</v>
      </c>
      <c r="J110" s="134">
        <f t="shared" si="31"/>
        <v>8.36</v>
      </c>
      <c r="K110" s="134">
        <f t="shared" si="31"/>
        <v>8.36</v>
      </c>
      <c r="L110" s="134">
        <f t="shared" si="31"/>
        <v>8.36</v>
      </c>
      <c r="M110" s="134">
        <f t="shared" si="31"/>
        <v>8.36</v>
      </c>
      <c r="N110" s="134">
        <f t="shared" si="31"/>
        <v>8.36</v>
      </c>
      <c r="O110" s="134">
        <f t="shared" si="31"/>
        <v>8.36</v>
      </c>
      <c r="P110" s="134">
        <f t="shared" si="31"/>
        <v>8.36</v>
      </c>
      <c r="Q110" s="134">
        <f t="shared" si="31"/>
        <v>8.36</v>
      </c>
      <c r="R110" s="134">
        <f t="shared" si="31"/>
        <v>8.36</v>
      </c>
      <c r="S110" s="134">
        <f t="shared" si="32"/>
        <v>8.36</v>
      </c>
      <c r="T110" s="134">
        <f t="shared" si="32"/>
        <v>8.36</v>
      </c>
      <c r="U110" s="134">
        <f t="shared" si="32"/>
        <v>8.36</v>
      </c>
      <c r="V110" s="134">
        <f t="shared" si="32"/>
        <v>8.36</v>
      </c>
      <c r="W110" s="134">
        <f t="shared" si="32"/>
        <v>8.36</v>
      </c>
      <c r="X110" s="134">
        <f t="shared" si="32"/>
        <v>8.36</v>
      </c>
      <c r="Y110" s="134">
        <f t="shared" si="32"/>
        <v>8.36</v>
      </c>
      <c r="Z110" s="134">
        <f t="shared" si="32"/>
        <v>8.36</v>
      </c>
      <c r="AA110" s="134">
        <f t="shared" si="32"/>
        <v>8.36</v>
      </c>
      <c r="AB110" s="134">
        <f t="shared" si="32"/>
        <v>8.36</v>
      </c>
      <c r="AC110" s="134">
        <f t="shared" si="32"/>
        <v>8.36</v>
      </c>
      <c r="AD110" s="134">
        <f t="shared" si="32"/>
        <v>8.36</v>
      </c>
      <c r="AE110" s="134">
        <f t="shared" si="32"/>
        <v>8.36</v>
      </c>
      <c r="AF110" s="134">
        <f t="shared" si="32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31"/>
        <v>8</v>
      </c>
      <c r="D111" s="134">
        <f t="shared" si="31"/>
        <v>8</v>
      </c>
      <c r="E111" s="134">
        <f t="shared" si="31"/>
        <v>8</v>
      </c>
      <c r="F111" s="134">
        <f t="shared" si="31"/>
        <v>8</v>
      </c>
      <c r="G111" s="134">
        <f t="shared" si="31"/>
        <v>8</v>
      </c>
      <c r="H111" s="134">
        <f t="shared" si="31"/>
        <v>8</v>
      </c>
      <c r="I111" s="134">
        <v>5.4</v>
      </c>
      <c r="J111" s="134">
        <f t="shared" si="31"/>
        <v>5.4</v>
      </c>
      <c r="K111" s="134">
        <f t="shared" si="31"/>
        <v>5.4</v>
      </c>
      <c r="L111" s="134">
        <f t="shared" si="31"/>
        <v>5.4</v>
      </c>
      <c r="M111" s="134">
        <f t="shared" si="31"/>
        <v>5.4</v>
      </c>
      <c r="N111" s="134">
        <f t="shared" si="31"/>
        <v>5.4</v>
      </c>
      <c r="O111" s="134">
        <f t="shared" si="31"/>
        <v>5.4</v>
      </c>
      <c r="P111" s="134">
        <f t="shared" si="31"/>
        <v>5.4</v>
      </c>
      <c r="Q111" s="134">
        <f t="shared" si="31"/>
        <v>5.4</v>
      </c>
      <c r="R111" s="134">
        <f t="shared" si="31"/>
        <v>5.4</v>
      </c>
      <c r="S111" s="134">
        <f t="shared" si="32"/>
        <v>5.4</v>
      </c>
      <c r="T111" s="134">
        <f t="shared" si="32"/>
        <v>5.4</v>
      </c>
      <c r="U111" s="134">
        <f t="shared" si="32"/>
        <v>5.4</v>
      </c>
      <c r="V111" s="134">
        <f t="shared" si="32"/>
        <v>5.4</v>
      </c>
      <c r="W111" s="134">
        <f t="shared" si="32"/>
        <v>5.4</v>
      </c>
      <c r="X111" s="134">
        <f t="shared" si="32"/>
        <v>5.4</v>
      </c>
      <c r="Y111" s="134">
        <f t="shared" si="32"/>
        <v>5.4</v>
      </c>
      <c r="Z111" s="134">
        <f t="shared" si="32"/>
        <v>5.4</v>
      </c>
      <c r="AA111" s="134">
        <f t="shared" si="32"/>
        <v>5.4</v>
      </c>
      <c r="AB111" s="134">
        <f t="shared" si="32"/>
        <v>5.4</v>
      </c>
      <c r="AC111" s="134">
        <f t="shared" si="32"/>
        <v>5.4</v>
      </c>
      <c r="AD111" s="134">
        <f t="shared" si="32"/>
        <v>5.4</v>
      </c>
      <c r="AE111" s="134">
        <f t="shared" si="32"/>
        <v>5.4</v>
      </c>
      <c r="AF111" s="134">
        <f t="shared" si="32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31"/>
        <v>6.57</v>
      </c>
      <c r="D112" s="134">
        <f t="shared" si="31"/>
        <v>6.57</v>
      </c>
      <c r="E112" s="134">
        <f t="shared" si="31"/>
        <v>6.57</v>
      </c>
      <c r="F112" s="134">
        <f t="shared" si="31"/>
        <v>6.57</v>
      </c>
      <c r="G112" s="134">
        <f t="shared" si="31"/>
        <v>6.57</v>
      </c>
      <c r="H112" s="134">
        <f t="shared" si="31"/>
        <v>6.57</v>
      </c>
      <c r="I112" s="134">
        <f t="shared" si="31"/>
        <v>6.57</v>
      </c>
      <c r="J112" s="134">
        <f t="shared" si="31"/>
        <v>6.57</v>
      </c>
      <c r="K112" s="134">
        <f t="shared" si="31"/>
        <v>6.57</v>
      </c>
      <c r="L112" s="134">
        <f t="shared" si="31"/>
        <v>6.57</v>
      </c>
      <c r="M112" s="134">
        <f t="shared" si="31"/>
        <v>6.57</v>
      </c>
      <c r="N112" s="134">
        <f t="shared" si="31"/>
        <v>6.57</v>
      </c>
      <c r="O112" s="134">
        <f t="shared" si="31"/>
        <v>6.57</v>
      </c>
      <c r="P112" s="134">
        <f t="shared" si="31"/>
        <v>6.57</v>
      </c>
      <c r="Q112" s="134">
        <f t="shared" si="31"/>
        <v>6.57</v>
      </c>
      <c r="R112" s="134">
        <f t="shared" si="31"/>
        <v>6.57</v>
      </c>
      <c r="S112" s="134">
        <f t="shared" si="32"/>
        <v>6.57</v>
      </c>
      <c r="T112" s="134">
        <f t="shared" si="32"/>
        <v>6.57</v>
      </c>
      <c r="U112" s="134">
        <f t="shared" si="32"/>
        <v>6.57</v>
      </c>
      <c r="V112" s="134">
        <f t="shared" si="32"/>
        <v>6.57</v>
      </c>
      <c r="W112" s="134">
        <f t="shared" si="32"/>
        <v>6.57</v>
      </c>
      <c r="X112" s="134">
        <f t="shared" si="32"/>
        <v>6.57</v>
      </c>
      <c r="Y112" s="134">
        <f t="shared" si="32"/>
        <v>6.57</v>
      </c>
      <c r="Z112" s="134">
        <f t="shared" si="32"/>
        <v>6.57</v>
      </c>
      <c r="AA112" s="134">
        <f t="shared" si="32"/>
        <v>6.57</v>
      </c>
      <c r="AB112" s="134">
        <f t="shared" si="32"/>
        <v>6.57</v>
      </c>
      <c r="AC112" s="134">
        <f t="shared" si="32"/>
        <v>6.57</v>
      </c>
      <c r="AD112" s="134">
        <f t="shared" si="32"/>
        <v>6.57</v>
      </c>
      <c r="AE112" s="134">
        <f t="shared" si="32"/>
        <v>6.57</v>
      </c>
      <c r="AF112" s="134">
        <f t="shared" si="32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31"/>
        <v>3.43</v>
      </c>
      <c r="D113" s="134">
        <f t="shared" si="31"/>
        <v>3.43</v>
      </c>
      <c r="E113" s="134">
        <f t="shared" si="31"/>
        <v>3.43</v>
      </c>
      <c r="F113" s="134">
        <f t="shared" si="31"/>
        <v>3.43</v>
      </c>
      <c r="G113" s="134">
        <f t="shared" si="31"/>
        <v>3.43</v>
      </c>
      <c r="H113" s="134">
        <f t="shared" si="31"/>
        <v>3.43</v>
      </c>
      <c r="I113" s="134">
        <f t="shared" si="31"/>
        <v>3.43</v>
      </c>
      <c r="J113" s="134">
        <f t="shared" si="31"/>
        <v>3.43</v>
      </c>
      <c r="K113" s="134">
        <f t="shared" si="31"/>
        <v>3.43</v>
      </c>
      <c r="L113" s="134">
        <f t="shared" si="31"/>
        <v>3.43</v>
      </c>
      <c r="M113" s="134">
        <f t="shared" si="31"/>
        <v>3.43</v>
      </c>
      <c r="N113" s="134">
        <f t="shared" si="31"/>
        <v>3.43</v>
      </c>
      <c r="O113" s="134">
        <f t="shared" si="31"/>
        <v>3.43</v>
      </c>
      <c r="P113" s="134">
        <f t="shared" si="31"/>
        <v>3.43</v>
      </c>
      <c r="Q113" s="134">
        <f t="shared" si="31"/>
        <v>3.43</v>
      </c>
      <c r="R113" s="134">
        <f t="shared" si="31"/>
        <v>3.43</v>
      </c>
      <c r="S113" s="134">
        <f t="shared" si="32"/>
        <v>3.43</v>
      </c>
      <c r="T113" s="134">
        <f t="shared" si="32"/>
        <v>3.43</v>
      </c>
      <c r="U113" s="134">
        <f t="shared" si="32"/>
        <v>3.43</v>
      </c>
      <c r="V113" s="134">
        <f t="shared" si="32"/>
        <v>3.43</v>
      </c>
      <c r="W113" s="134">
        <f t="shared" si="32"/>
        <v>3.43</v>
      </c>
      <c r="X113" s="134">
        <f t="shared" si="32"/>
        <v>3.43</v>
      </c>
      <c r="Y113" s="134">
        <f t="shared" si="32"/>
        <v>3.43</v>
      </c>
      <c r="Z113" s="134">
        <f t="shared" si="32"/>
        <v>3.43</v>
      </c>
      <c r="AA113" s="134">
        <f t="shared" si="32"/>
        <v>3.43</v>
      </c>
      <c r="AB113" s="134">
        <f t="shared" si="32"/>
        <v>3.43</v>
      </c>
      <c r="AC113" s="134">
        <f t="shared" si="32"/>
        <v>3.43</v>
      </c>
      <c r="AD113" s="134">
        <f t="shared" si="32"/>
        <v>3.43</v>
      </c>
      <c r="AE113" s="134">
        <f t="shared" si="32"/>
        <v>3.43</v>
      </c>
      <c r="AF113" s="134">
        <f t="shared" si="32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31"/>
        <v>2.96</v>
      </c>
      <c r="D114" s="134">
        <f t="shared" si="31"/>
        <v>2.96</v>
      </c>
      <c r="E114" s="134">
        <f t="shared" si="31"/>
        <v>2.96</v>
      </c>
      <c r="F114" s="134">
        <f t="shared" si="31"/>
        <v>2.96</v>
      </c>
      <c r="G114" s="134">
        <f t="shared" si="31"/>
        <v>2.96</v>
      </c>
      <c r="H114" s="134">
        <f t="shared" si="31"/>
        <v>2.96</v>
      </c>
      <c r="I114" s="134">
        <f t="shared" si="31"/>
        <v>2.96</v>
      </c>
      <c r="J114" s="134">
        <f t="shared" si="31"/>
        <v>2.96</v>
      </c>
      <c r="K114" s="134">
        <f t="shared" si="31"/>
        <v>2.96</v>
      </c>
      <c r="L114" s="134">
        <f t="shared" si="31"/>
        <v>2.96</v>
      </c>
      <c r="M114" s="134">
        <f t="shared" si="31"/>
        <v>2.96</v>
      </c>
      <c r="N114" s="134">
        <f t="shared" si="31"/>
        <v>2.96</v>
      </c>
      <c r="O114" s="134">
        <f t="shared" si="31"/>
        <v>2.96</v>
      </c>
      <c r="P114" s="134">
        <f t="shared" si="31"/>
        <v>2.96</v>
      </c>
      <c r="Q114" s="134">
        <f t="shared" si="31"/>
        <v>2.96</v>
      </c>
      <c r="R114" s="134">
        <f t="shared" si="31"/>
        <v>2.96</v>
      </c>
      <c r="S114" s="134">
        <f t="shared" si="32"/>
        <v>2.96</v>
      </c>
      <c r="T114" s="134">
        <f t="shared" si="32"/>
        <v>2.96</v>
      </c>
      <c r="U114" s="134">
        <f t="shared" si="32"/>
        <v>2.96</v>
      </c>
      <c r="V114" s="134">
        <f t="shared" si="32"/>
        <v>2.96</v>
      </c>
      <c r="W114" s="134">
        <f t="shared" si="32"/>
        <v>2.96</v>
      </c>
      <c r="X114" s="134">
        <f t="shared" si="32"/>
        <v>2.96</v>
      </c>
      <c r="Y114" s="134">
        <f t="shared" si="32"/>
        <v>2.96</v>
      </c>
      <c r="Z114" s="134">
        <f t="shared" si="32"/>
        <v>2.96</v>
      </c>
      <c r="AA114" s="134">
        <f t="shared" si="32"/>
        <v>2.96</v>
      </c>
      <c r="AB114" s="134">
        <f t="shared" si="32"/>
        <v>2.96</v>
      </c>
      <c r="AC114" s="134">
        <f t="shared" si="32"/>
        <v>2.96</v>
      </c>
      <c r="AD114" s="134">
        <f t="shared" si="32"/>
        <v>2.96</v>
      </c>
      <c r="AE114" s="134">
        <f t="shared" si="32"/>
        <v>2.96</v>
      </c>
      <c r="AF114" s="134">
        <f t="shared" si="32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31"/>
        <v>8</v>
      </c>
      <c r="D115" s="134">
        <f t="shared" si="31"/>
        <v>8</v>
      </c>
      <c r="E115" s="134">
        <f t="shared" si="31"/>
        <v>8</v>
      </c>
      <c r="F115" s="134">
        <f t="shared" si="31"/>
        <v>8</v>
      </c>
      <c r="G115" s="134">
        <f t="shared" si="31"/>
        <v>8</v>
      </c>
      <c r="H115" s="134">
        <f t="shared" si="31"/>
        <v>8</v>
      </c>
      <c r="I115" s="134">
        <f t="shared" si="31"/>
        <v>8</v>
      </c>
      <c r="J115" s="134">
        <f t="shared" si="31"/>
        <v>8</v>
      </c>
      <c r="K115" s="134">
        <f t="shared" si="31"/>
        <v>8</v>
      </c>
      <c r="L115" s="134">
        <f t="shared" si="31"/>
        <v>8</v>
      </c>
      <c r="M115" s="134">
        <f t="shared" si="31"/>
        <v>8</v>
      </c>
      <c r="N115" s="134">
        <f t="shared" si="31"/>
        <v>8</v>
      </c>
      <c r="O115" s="134">
        <f t="shared" si="31"/>
        <v>8</v>
      </c>
      <c r="P115" s="134">
        <f t="shared" si="31"/>
        <v>8</v>
      </c>
      <c r="Q115" s="134">
        <f t="shared" si="31"/>
        <v>8</v>
      </c>
      <c r="R115" s="134">
        <f t="shared" si="31"/>
        <v>8</v>
      </c>
      <c r="S115" s="134">
        <f t="shared" si="32"/>
        <v>8</v>
      </c>
      <c r="T115" s="134">
        <f t="shared" si="32"/>
        <v>8</v>
      </c>
      <c r="U115" s="134">
        <f t="shared" si="32"/>
        <v>8</v>
      </c>
      <c r="V115" s="134">
        <f t="shared" si="32"/>
        <v>8</v>
      </c>
      <c r="W115" s="134">
        <f t="shared" si="32"/>
        <v>8</v>
      </c>
      <c r="X115" s="134">
        <f t="shared" si="32"/>
        <v>8</v>
      </c>
      <c r="Y115" s="134">
        <f t="shared" si="32"/>
        <v>8</v>
      </c>
      <c r="Z115" s="134">
        <f t="shared" si="32"/>
        <v>8</v>
      </c>
      <c r="AA115" s="134">
        <f t="shared" si="32"/>
        <v>8</v>
      </c>
      <c r="AB115" s="134">
        <f t="shared" si="32"/>
        <v>8</v>
      </c>
      <c r="AC115" s="134">
        <f t="shared" si="32"/>
        <v>8</v>
      </c>
      <c r="AD115" s="134">
        <f t="shared" si="32"/>
        <v>8</v>
      </c>
      <c r="AE115" s="134">
        <f t="shared" si="32"/>
        <v>8</v>
      </c>
      <c r="AF115" s="134">
        <f t="shared" si="32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31"/>
        <v>7</v>
      </c>
      <c r="E116" s="134">
        <f t="shared" si="31"/>
        <v>7</v>
      </c>
      <c r="F116" s="134">
        <f t="shared" si="31"/>
        <v>7</v>
      </c>
      <c r="G116" s="134">
        <f t="shared" si="31"/>
        <v>7</v>
      </c>
      <c r="H116" s="134">
        <f t="shared" si="31"/>
        <v>7</v>
      </c>
      <c r="I116" s="134">
        <f t="shared" si="31"/>
        <v>7</v>
      </c>
      <c r="J116" s="134">
        <f t="shared" si="31"/>
        <v>7</v>
      </c>
      <c r="K116" s="134">
        <f t="shared" si="31"/>
        <v>7</v>
      </c>
      <c r="L116" s="134">
        <f t="shared" si="31"/>
        <v>7</v>
      </c>
      <c r="M116" s="134">
        <f t="shared" si="31"/>
        <v>7</v>
      </c>
      <c r="N116" s="134">
        <f t="shared" si="31"/>
        <v>7</v>
      </c>
      <c r="O116" s="134">
        <f t="shared" si="31"/>
        <v>7</v>
      </c>
      <c r="P116" s="134">
        <f t="shared" si="31"/>
        <v>7</v>
      </c>
      <c r="Q116" s="134">
        <f t="shared" si="31"/>
        <v>7</v>
      </c>
      <c r="R116" s="134">
        <f t="shared" si="31"/>
        <v>7</v>
      </c>
      <c r="S116" s="134">
        <f t="shared" si="32"/>
        <v>7</v>
      </c>
      <c r="T116" s="134">
        <f t="shared" si="32"/>
        <v>7</v>
      </c>
      <c r="U116" s="134">
        <f t="shared" si="32"/>
        <v>7</v>
      </c>
      <c r="V116" s="134">
        <f t="shared" si="32"/>
        <v>7</v>
      </c>
      <c r="W116" s="134">
        <f t="shared" si="32"/>
        <v>7</v>
      </c>
      <c r="X116" s="134">
        <f t="shared" si="32"/>
        <v>7</v>
      </c>
      <c r="Y116" s="134">
        <f t="shared" si="32"/>
        <v>7</v>
      </c>
      <c r="Z116" s="134">
        <f t="shared" si="32"/>
        <v>7</v>
      </c>
      <c r="AA116" s="134">
        <f t="shared" si="32"/>
        <v>7</v>
      </c>
      <c r="AB116" s="134">
        <f t="shared" si="32"/>
        <v>7</v>
      </c>
      <c r="AC116" s="134">
        <f t="shared" si="32"/>
        <v>7</v>
      </c>
      <c r="AD116" s="134">
        <f t="shared" si="32"/>
        <v>7</v>
      </c>
      <c r="AE116" s="134">
        <f t="shared" si="32"/>
        <v>7</v>
      </c>
      <c r="AF116" s="134">
        <f t="shared" si="32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3">B117</f>
        <v>3.47</v>
      </c>
      <c r="D117" s="134">
        <f t="shared" si="33"/>
        <v>3.47</v>
      </c>
      <c r="E117" s="134">
        <f t="shared" si="33"/>
        <v>3.47</v>
      </c>
      <c r="F117" s="134">
        <f t="shared" si="33"/>
        <v>3.47</v>
      </c>
      <c r="G117" s="134">
        <f t="shared" si="33"/>
        <v>3.47</v>
      </c>
      <c r="H117" s="134">
        <f t="shared" si="33"/>
        <v>3.47</v>
      </c>
      <c r="I117" s="134">
        <f t="shared" si="33"/>
        <v>3.47</v>
      </c>
      <c r="J117" s="134">
        <f t="shared" si="33"/>
        <v>3.47</v>
      </c>
      <c r="K117" s="134">
        <f t="shared" si="33"/>
        <v>3.47</v>
      </c>
      <c r="L117" s="134">
        <f t="shared" si="33"/>
        <v>3.47</v>
      </c>
      <c r="M117" s="134">
        <f t="shared" si="33"/>
        <v>3.47</v>
      </c>
      <c r="N117" s="134">
        <f t="shared" si="33"/>
        <v>3.47</v>
      </c>
      <c r="O117" s="134">
        <f t="shared" si="33"/>
        <v>3.47</v>
      </c>
      <c r="P117" s="134">
        <f t="shared" si="33"/>
        <v>3.47</v>
      </c>
      <c r="Q117" s="134">
        <f t="shared" si="33"/>
        <v>3.47</v>
      </c>
      <c r="R117" s="134">
        <f t="shared" si="33"/>
        <v>3.47</v>
      </c>
      <c r="S117" s="134">
        <f t="shared" si="32"/>
        <v>3.47</v>
      </c>
      <c r="T117" s="134">
        <f t="shared" si="32"/>
        <v>3.47</v>
      </c>
      <c r="U117" s="134">
        <f t="shared" si="32"/>
        <v>3.47</v>
      </c>
      <c r="V117" s="134">
        <f t="shared" si="32"/>
        <v>3.47</v>
      </c>
      <c r="W117" s="134">
        <f t="shared" si="32"/>
        <v>3.47</v>
      </c>
      <c r="X117" s="134">
        <f t="shared" si="32"/>
        <v>3.47</v>
      </c>
      <c r="Y117" s="134">
        <f t="shared" si="32"/>
        <v>3.47</v>
      </c>
      <c r="Z117" s="134">
        <f t="shared" si="32"/>
        <v>3.47</v>
      </c>
      <c r="AA117" s="134">
        <f t="shared" si="32"/>
        <v>3.47</v>
      </c>
      <c r="AB117" s="134">
        <f t="shared" si="32"/>
        <v>3.47</v>
      </c>
      <c r="AC117" s="134">
        <f t="shared" si="32"/>
        <v>3.47</v>
      </c>
      <c r="AD117" s="134">
        <f t="shared" si="32"/>
        <v>3.47</v>
      </c>
      <c r="AE117" s="134">
        <f t="shared" si="32"/>
        <v>3.47</v>
      </c>
      <c r="AF117" s="134">
        <f t="shared" si="32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3"/>
        <v>2.1</v>
      </c>
      <c r="D118" s="134">
        <f t="shared" si="33"/>
        <v>2.1</v>
      </c>
      <c r="E118" s="134">
        <f t="shared" si="33"/>
        <v>2.1</v>
      </c>
      <c r="F118" s="134">
        <f t="shared" si="33"/>
        <v>2.1</v>
      </c>
      <c r="G118" s="134">
        <f t="shared" si="33"/>
        <v>2.1</v>
      </c>
      <c r="H118" s="134">
        <f t="shared" si="33"/>
        <v>2.1</v>
      </c>
      <c r="I118" s="134">
        <f t="shared" si="33"/>
        <v>2.1</v>
      </c>
      <c r="J118" s="134">
        <f t="shared" si="33"/>
        <v>2.1</v>
      </c>
      <c r="K118" s="134">
        <f t="shared" si="33"/>
        <v>2.1</v>
      </c>
      <c r="L118" s="134">
        <f t="shared" si="33"/>
        <v>2.1</v>
      </c>
      <c r="M118" s="134">
        <f t="shared" si="33"/>
        <v>2.1</v>
      </c>
      <c r="N118" s="134">
        <f t="shared" si="33"/>
        <v>2.1</v>
      </c>
      <c r="O118" s="134">
        <f t="shared" si="33"/>
        <v>2.1</v>
      </c>
      <c r="P118" s="134">
        <f t="shared" si="33"/>
        <v>2.1</v>
      </c>
      <c r="Q118" s="134">
        <f t="shared" si="33"/>
        <v>2.1</v>
      </c>
      <c r="R118" s="134">
        <f t="shared" si="33"/>
        <v>2.1</v>
      </c>
      <c r="S118" s="134">
        <f t="shared" si="32"/>
        <v>2.1</v>
      </c>
      <c r="T118" s="134">
        <f t="shared" si="32"/>
        <v>2.1</v>
      </c>
      <c r="U118" s="134">
        <f t="shared" si="32"/>
        <v>2.1</v>
      </c>
      <c r="V118" s="134">
        <f t="shared" si="32"/>
        <v>2.1</v>
      </c>
      <c r="W118" s="134">
        <f t="shared" si="32"/>
        <v>2.1</v>
      </c>
      <c r="X118" s="134">
        <f t="shared" si="32"/>
        <v>2.1</v>
      </c>
      <c r="Y118" s="134">
        <f t="shared" si="32"/>
        <v>2.1</v>
      </c>
      <c r="Z118" s="134">
        <f t="shared" si="32"/>
        <v>2.1</v>
      </c>
      <c r="AA118" s="134">
        <f t="shared" si="32"/>
        <v>2.1</v>
      </c>
      <c r="AB118" s="134">
        <f t="shared" si="32"/>
        <v>2.1</v>
      </c>
      <c r="AC118" s="134">
        <f t="shared" si="32"/>
        <v>2.1</v>
      </c>
      <c r="AD118" s="134">
        <f t="shared" si="32"/>
        <v>2.1</v>
      </c>
      <c r="AE118" s="134">
        <f t="shared" si="32"/>
        <v>2.1</v>
      </c>
      <c r="AF118" s="134">
        <f t="shared" si="32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3"/>
        <v>9.3000000000000007</v>
      </c>
      <c r="D119" s="134">
        <f t="shared" si="33"/>
        <v>9.3000000000000007</v>
      </c>
      <c r="E119" s="134">
        <f t="shared" si="33"/>
        <v>9.3000000000000007</v>
      </c>
      <c r="F119" s="134">
        <f t="shared" si="33"/>
        <v>9.3000000000000007</v>
      </c>
      <c r="G119" s="134">
        <f t="shared" si="33"/>
        <v>9.3000000000000007</v>
      </c>
      <c r="H119" s="134">
        <f t="shared" si="33"/>
        <v>9.3000000000000007</v>
      </c>
      <c r="I119" s="134">
        <f t="shared" si="33"/>
        <v>9.3000000000000007</v>
      </c>
      <c r="J119" s="134">
        <f t="shared" si="33"/>
        <v>9.3000000000000007</v>
      </c>
      <c r="K119" s="134">
        <f t="shared" si="33"/>
        <v>9.3000000000000007</v>
      </c>
      <c r="L119" s="134">
        <f t="shared" si="33"/>
        <v>9.3000000000000007</v>
      </c>
      <c r="M119" s="134">
        <f t="shared" si="33"/>
        <v>9.3000000000000007</v>
      </c>
      <c r="N119" s="134">
        <f t="shared" si="33"/>
        <v>9.3000000000000007</v>
      </c>
      <c r="O119" s="134">
        <f t="shared" si="33"/>
        <v>9.3000000000000007</v>
      </c>
      <c r="P119" s="134">
        <f t="shared" si="33"/>
        <v>9.3000000000000007</v>
      </c>
      <c r="Q119" s="134">
        <f t="shared" si="33"/>
        <v>9.3000000000000007</v>
      </c>
      <c r="R119" s="134">
        <f t="shared" si="33"/>
        <v>9.3000000000000007</v>
      </c>
      <c r="S119" s="134">
        <f t="shared" si="32"/>
        <v>9.3000000000000007</v>
      </c>
      <c r="T119" s="134">
        <f t="shared" si="32"/>
        <v>9.3000000000000007</v>
      </c>
      <c r="U119" s="134">
        <f t="shared" si="32"/>
        <v>9.3000000000000007</v>
      </c>
      <c r="V119" s="134">
        <f t="shared" si="32"/>
        <v>9.3000000000000007</v>
      </c>
      <c r="W119" s="134">
        <f t="shared" si="32"/>
        <v>9.3000000000000007</v>
      </c>
      <c r="X119" s="134">
        <f t="shared" si="32"/>
        <v>9.3000000000000007</v>
      </c>
      <c r="Y119" s="134">
        <f t="shared" si="32"/>
        <v>9.3000000000000007</v>
      </c>
      <c r="Z119" s="134">
        <f t="shared" si="32"/>
        <v>9.3000000000000007</v>
      </c>
      <c r="AA119" s="134">
        <f t="shared" si="32"/>
        <v>9.3000000000000007</v>
      </c>
      <c r="AB119" s="134">
        <f t="shared" si="32"/>
        <v>9.3000000000000007</v>
      </c>
      <c r="AC119" s="134">
        <f t="shared" si="32"/>
        <v>9.3000000000000007</v>
      </c>
      <c r="AD119" s="134">
        <f t="shared" si="32"/>
        <v>9.3000000000000007</v>
      </c>
      <c r="AE119" s="134">
        <f t="shared" si="32"/>
        <v>9.3000000000000007</v>
      </c>
      <c r="AF119" s="134">
        <f t="shared" si="32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3"/>
        <v>0</v>
      </c>
      <c r="D120" s="134">
        <f t="shared" si="33"/>
        <v>0</v>
      </c>
      <c r="E120" s="134">
        <f t="shared" si="33"/>
        <v>0</v>
      </c>
      <c r="F120" s="134">
        <f t="shared" si="33"/>
        <v>0</v>
      </c>
      <c r="G120" s="134">
        <f t="shared" si="33"/>
        <v>0</v>
      </c>
      <c r="H120" s="134">
        <f t="shared" si="33"/>
        <v>0</v>
      </c>
      <c r="I120" s="134">
        <f t="shared" si="33"/>
        <v>0</v>
      </c>
      <c r="J120" s="134">
        <f t="shared" si="33"/>
        <v>0</v>
      </c>
      <c r="K120" s="134">
        <f t="shared" si="33"/>
        <v>0</v>
      </c>
      <c r="L120" s="134">
        <f t="shared" si="33"/>
        <v>0</v>
      </c>
      <c r="M120" s="134">
        <f t="shared" si="33"/>
        <v>0</v>
      </c>
      <c r="N120" s="134">
        <f t="shared" si="33"/>
        <v>0</v>
      </c>
      <c r="O120" s="134">
        <f t="shared" si="33"/>
        <v>0</v>
      </c>
      <c r="P120" s="134">
        <f t="shared" si="33"/>
        <v>0</v>
      </c>
      <c r="Q120" s="134">
        <f t="shared" si="33"/>
        <v>0</v>
      </c>
      <c r="R120" s="134">
        <f t="shared" si="33"/>
        <v>0</v>
      </c>
      <c r="S120" s="134">
        <f t="shared" si="32"/>
        <v>0</v>
      </c>
      <c r="T120" s="134">
        <f t="shared" si="32"/>
        <v>0</v>
      </c>
      <c r="U120" s="134">
        <f t="shared" si="32"/>
        <v>0</v>
      </c>
      <c r="V120" s="134">
        <f t="shared" si="32"/>
        <v>0</v>
      </c>
      <c r="W120" s="134">
        <f t="shared" si="32"/>
        <v>0</v>
      </c>
      <c r="X120" s="134">
        <f t="shared" si="32"/>
        <v>0</v>
      </c>
      <c r="Y120" s="134">
        <f t="shared" si="32"/>
        <v>0</v>
      </c>
      <c r="Z120" s="134">
        <f t="shared" si="32"/>
        <v>0</v>
      </c>
      <c r="AA120" s="134">
        <f t="shared" si="32"/>
        <v>0</v>
      </c>
      <c r="AB120" s="134">
        <f t="shared" si="32"/>
        <v>0</v>
      </c>
      <c r="AC120" s="134">
        <f t="shared" si="32"/>
        <v>0</v>
      </c>
      <c r="AD120" s="134">
        <f t="shared" si="32"/>
        <v>0</v>
      </c>
      <c r="AE120" s="134">
        <f t="shared" si="32"/>
        <v>0</v>
      </c>
      <c r="AF120" s="134">
        <f t="shared" si="32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3"/>
        <v>0</v>
      </c>
      <c r="D121" s="134">
        <f t="shared" si="33"/>
        <v>0</v>
      </c>
      <c r="E121" s="134">
        <f t="shared" si="33"/>
        <v>0</v>
      </c>
      <c r="F121" s="134">
        <f t="shared" si="33"/>
        <v>0</v>
      </c>
      <c r="G121" s="134">
        <f t="shared" si="33"/>
        <v>0</v>
      </c>
      <c r="H121" s="134">
        <f t="shared" si="33"/>
        <v>0</v>
      </c>
      <c r="I121" s="134">
        <f t="shared" si="33"/>
        <v>0</v>
      </c>
      <c r="J121" s="134">
        <f t="shared" si="33"/>
        <v>0</v>
      </c>
      <c r="K121" s="134">
        <f t="shared" si="33"/>
        <v>0</v>
      </c>
      <c r="L121" s="134">
        <f t="shared" si="33"/>
        <v>0</v>
      </c>
      <c r="M121" s="134">
        <f t="shared" si="33"/>
        <v>0</v>
      </c>
      <c r="N121" s="134">
        <f t="shared" si="33"/>
        <v>0</v>
      </c>
      <c r="O121" s="134">
        <f t="shared" si="33"/>
        <v>0</v>
      </c>
      <c r="P121" s="134">
        <f t="shared" si="33"/>
        <v>0</v>
      </c>
      <c r="Q121" s="134">
        <f t="shared" si="33"/>
        <v>0</v>
      </c>
      <c r="R121" s="134">
        <f t="shared" si="33"/>
        <v>0</v>
      </c>
      <c r="S121" s="134">
        <f t="shared" si="32"/>
        <v>0</v>
      </c>
      <c r="T121" s="134">
        <f t="shared" si="32"/>
        <v>0</v>
      </c>
      <c r="U121" s="134">
        <f t="shared" si="32"/>
        <v>0</v>
      </c>
      <c r="V121" s="134">
        <f t="shared" si="32"/>
        <v>0</v>
      </c>
      <c r="W121" s="134">
        <f t="shared" si="32"/>
        <v>0</v>
      </c>
      <c r="X121" s="134">
        <f t="shared" si="32"/>
        <v>0</v>
      </c>
      <c r="Y121" s="134">
        <f t="shared" si="32"/>
        <v>0</v>
      </c>
      <c r="Z121" s="134">
        <f t="shared" si="32"/>
        <v>0</v>
      </c>
      <c r="AA121" s="134">
        <f t="shared" si="32"/>
        <v>0</v>
      </c>
      <c r="AB121" s="134">
        <f t="shared" si="32"/>
        <v>0</v>
      </c>
      <c r="AC121" s="134">
        <f t="shared" si="32"/>
        <v>0</v>
      </c>
      <c r="AD121" s="134">
        <f t="shared" si="32"/>
        <v>0</v>
      </c>
      <c r="AE121" s="134">
        <f t="shared" si="32"/>
        <v>0</v>
      </c>
      <c r="AF121" s="134">
        <f t="shared" si="32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3"/>
        <v>5</v>
      </c>
      <c r="D122" s="134">
        <f t="shared" si="33"/>
        <v>5</v>
      </c>
      <c r="E122" s="134">
        <f t="shared" si="33"/>
        <v>5</v>
      </c>
      <c r="F122" s="134">
        <f t="shared" si="33"/>
        <v>5</v>
      </c>
      <c r="G122" s="134">
        <f t="shared" si="33"/>
        <v>5</v>
      </c>
      <c r="H122" s="134">
        <f t="shared" si="33"/>
        <v>5</v>
      </c>
      <c r="I122" s="134">
        <f t="shared" si="33"/>
        <v>5</v>
      </c>
      <c r="J122" s="134">
        <f t="shared" si="33"/>
        <v>5</v>
      </c>
      <c r="K122" s="134">
        <f t="shared" si="33"/>
        <v>5</v>
      </c>
      <c r="L122" s="134">
        <f t="shared" si="33"/>
        <v>5</v>
      </c>
      <c r="M122" s="134">
        <f t="shared" si="33"/>
        <v>5</v>
      </c>
      <c r="N122" s="134">
        <f t="shared" si="33"/>
        <v>5</v>
      </c>
      <c r="O122" s="134">
        <f t="shared" si="33"/>
        <v>5</v>
      </c>
      <c r="P122" s="134">
        <f t="shared" si="33"/>
        <v>5</v>
      </c>
      <c r="Q122" s="134">
        <f t="shared" si="33"/>
        <v>5</v>
      </c>
      <c r="R122" s="134">
        <f t="shared" si="33"/>
        <v>5</v>
      </c>
      <c r="S122" s="134">
        <f t="shared" si="32"/>
        <v>5</v>
      </c>
      <c r="T122" s="134">
        <f t="shared" si="32"/>
        <v>5</v>
      </c>
      <c r="U122" s="134">
        <f t="shared" si="32"/>
        <v>5</v>
      </c>
      <c r="V122" s="134">
        <f t="shared" si="32"/>
        <v>5</v>
      </c>
      <c r="W122" s="134">
        <f t="shared" si="32"/>
        <v>5</v>
      </c>
      <c r="X122" s="134">
        <f t="shared" si="32"/>
        <v>5</v>
      </c>
      <c r="Y122" s="134">
        <f t="shared" si="32"/>
        <v>5</v>
      </c>
      <c r="Z122" s="134">
        <f t="shared" si="32"/>
        <v>5</v>
      </c>
      <c r="AA122" s="134">
        <f t="shared" si="32"/>
        <v>5</v>
      </c>
      <c r="AB122" s="134">
        <f t="shared" si="32"/>
        <v>5</v>
      </c>
      <c r="AC122" s="134">
        <f t="shared" si="32"/>
        <v>5</v>
      </c>
      <c r="AD122" s="134">
        <f t="shared" si="32"/>
        <v>5</v>
      </c>
      <c r="AE122" s="134">
        <f t="shared" si="32"/>
        <v>5</v>
      </c>
      <c r="AF122" s="134">
        <f t="shared" si="32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3"/>
        <v>1</v>
      </c>
      <c r="D123" s="134">
        <f t="shared" si="33"/>
        <v>1</v>
      </c>
      <c r="E123" s="134">
        <f t="shared" si="33"/>
        <v>1</v>
      </c>
      <c r="F123" s="134">
        <f t="shared" si="33"/>
        <v>1</v>
      </c>
      <c r="G123" s="134">
        <f t="shared" si="33"/>
        <v>1</v>
      </c>
      <c r="H123" s="134">
        <f t="shared" si="33"/>
        <v>1</v>
      </c>
      <c r="I123" s="134">
        <f t="shared" si="33"/>
        <v>1</v>
      </c>
      <c r="J123" s="134">
        <f t="shared" si="33"/>
        <v>1</v>
      </c>
      <c r="K123" s="134">
        <f t="shared" si="33"/>
        <v>1</v>
      </c>
      <c r="L123" s="134">
        <f t="shared" si="33"/>
        <v>1</v>
      </c>
      <c r="M123" s="134">
        <f t="shared" si="33"/>
        <v>1</v>
      </c>
      <c r="N123" s="134">
        <f t="shared" si="33"/>
        <v>1</v>
      </c>
      <c r="O123" s="134">
        <f t="shared" si="33"/>
        <v>1</v>
      </c>
      <c r="P123" s="134">
        <f t="shared" si="33"/>
        <v>1</v>
      </c>
      <c r="Q123" s="134">
        <f t="shared" si="33"/>
        <v>1</v>
      </c>
      <c r="R123" s="134">
        <f t="shared" si="33"/>
        <v>1</v>
      </c>
      <c r="S123" s="134">
        <f t="shared" si="32"/>
        <v>1</v>
      </c>
      <c r="T123" s="134">
        <f t="shared" si="32"/>
        <v>1</v>
      </c>
      <c r="U123" s="134">
        <f t="shared" si="32"/>
        <v>1</v>
      </c>
      <c r="V123" s="134">
        <f t="shared" si="32"/>
        <v>1</v>
      </c>
      <c r="W123" s="134">
        <f t="shared" si="32"/>
        <v>1</v>
      </c>
      <c r="X123" s="134">
        <f t="shared" si="32"/>
        <v>1</v>
      </c>
      <c r="Y123" s="134">
        <f t="shared" si="32"/>
        <v>1</v>
      </c>
      <c r="Z123" s="134">
        <f t="shared" si="32"/>
        <v>1</v>
      </c>
      <c r="AA123" s="134">
        <f t="shared" si="32"/>
        <v>1</v>
      </c>
      <c r="AB123" s="134">
        <f t="shared" si="32"/>
        <v>1</v>
      </c>
      <c r="AC123" s="134">
        <f t="shared" si="32"/>
        <v>1</v>
      </c>
      <c r="AD123" s="134">
        <f t="shared" si="32"/>
        <v>1</v>
      </c>
      <c r="AE123" s="134">
        <f t="shared" si="32"/>
        <v>1</v>
      </c>
      <c r="AF123" s="134">
        <f t="shared" si="32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3"/>
        <v>1.58</v>
      </c>
      <c r="D124" s="134">
        <f t="shared" si="33"/>
        <v>1.58</v>
      </c>
      <c r="E124" s="134">
        <f t="shared" si="33"/>
        <v>1.58</v>
      </c>
      <c r="F124" s="134">
        <f t="shared" si="33"/>
        <v>1.58</v>
      </c>
      <c r="G124" s="134">
        <f t="shared" si="33"/>
        <v>1.58</v>
      </c>
      <c r="H124" s="134">
        <f t="shared" si="33"/>
        <v>1.58</v>
      </c>
      <c r="I124" s="134">
        <f t="shared" si="33"/>
        <v>1.58</v>
      </c>
      <c r="J124" s="134">
        <f t="shared" si="33"/>
        <v>1.58</v>
      </c>
      <c r="K124" s="134">
        <f t="shared" si="33"/>
        <v>1.58</v>
      </c>
      <c r="L124" s="134">
        <f t="shared" si="33"/>
        <v>1.58</v>
      </c>
      <c r="M124" s="134">
        <f t="shared" si="33"/>
        <v>1.58</v>
      </c>
      <c r="N124" s="134">
        <f t="shared" si="33"/>
        <v>1.58</v>
      </c>
      <c r="O124" s="134">
        <f t="shared" si="33"/>
        <v>1.58</v>
      </c>
      <c r="P124" s="134">
        <f t="shared" si="33"/>
        <v>1.58</v>
      </c>
      <c r="Q124" s="134">
        <f t="shared" si="33"/>
        <v>1.58</v>
      </c>
      <c r="R124" s="134">
        <f t="shared" si="33"/>
        <v>1.58</v>
      </c>
      <c r="S124" s="134">
        <f t="shared" si="32"/>
        <v>1.58</v>
      </c>
      <c r="T124" s="134">
        <f t="shared" si="32"/>
        <v>1.58</v>
      </c>
      <c r="U124" s="134">
        <f t="shared" si="32"/>
        <v>1.58</v>
      </c>
      <c r="V124" s="134">
        <f t="shared" si="32"/>
        <v>1.58</v>
      </c>
      <c r="W124" s="134">
        <f t="shared" si="32"/>
        <v>1.58</v>
      </c>
      <c r="X124" s="134">
        <f t="shared" si="32"/>
        <v>1.58</v>
      </c>
      <c r="Y124" s="134">
        <f t="shared" si="32"/>
        <v>1.58</v>
      </c>
      <c r="Z124" s="134">
        <f t="shared" si="32"/>
        <v>1.58</v>
      </c>
      <c r="AA124" s="134">
        <f t="shared" si="32"/>
        <v>1.58</v>
      </c>
      <c r="AB124" s="134">
        <f t="shared" si="32"/>
        <v>1.58</v>
      </c>
      <c r="AC124" s="134">
        <f t="shared" si="32"/>
        <v>1.58</v>
      </c>
      <c r="AD124" s="134">
        <f t="shared" si="32"/>
        <v>1.58</v>
      </c>
      <c r="AE124" s="134">
        <f t="shared" si="32"/>
        <v>1.58</v>
      </c>
      <c r="AF124" s="134">
        <f t="shared" si="32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3"/>
        <v>1.46</v>
      </c>
      <c r="D125" s="134">
        <f t="shared" si="33"/>
        <v>1.46</v>
      </c>
      <c r="E125" s="134">
        <f t="shared" si="33"/>
        <v>1.46</v>
      </c>
      <c r="F125" s="134">
        <f t="shared" si="33"/>
        <v>1.46</v>
      </c>
      <c r="G125" s="134">
        <f t="shared" si="33"/>
        <v>1.46</v>
      </c>
      <c r="H125" s="134">
        <f t="shared" si="33"/>
        <v>1.46</v>
      </c>
      <c r="I125" s="134">
        <f t="shared" si="33"/>
        <v>1.46</v>
      </c>
      <c r="J125" s="134">
        <f t="shared" si="33"/>
        <v>1.46</v>
      </c>
      <c r="K125" s="134">
        <f t="shared" si="33"/>
        <v>1.46</v>
      </c>
      <c r="L125" s="134">
        <f t="shared" si="33"/>
        <v>1.46</v>
      </c>
      <c r="M125" s="134">
        <f t="shared" si="33"/>
        <v>1.46</v>
      </c>
      <c r="N125" s="134">
        <f t="shared" si="33"/>
        <v>1.46</v>
      </c>
      <c r="O125" s="134">
        <f t="shared" si="33"/>
        <v>1.46</v>
      </c>
      <c r="P125" s="134">
        <f t="shared" si="33"/>
        <v>1.46</v>
      </c>
      <c r="Q125" s="134">
        <f t="shared" si="33"/>
        <v>1.46</v>
      </c>
      <c r="R125" s="134">
        <f t="shared" si="33"/>
        <v>1.46</v>
      </c>
      <c r="S125" s="134">
        <f t="shared" ref="S125:AF126" si="34">R125</f>
        <v>1.46</v>
      </c>
      <c r="T125" s="134">
        <f t="shared" si="34"/>
        <v>1.46</v>
      </c>
      <c r="U125" s="134">
        <f t="shared" si="34"/>
        <v>1.46</v>
      </c>
      <c r="V125" s="134">
        <f t="shared" si="34"/>
        <v>1.46</v>
      </c>
      <c r="W125" s="134">
        <f t="shared" si="34"/>
        <v>1.46</v>
      </c>
      <c r="X125" s="134">
        <f t="shared" si="34"/>
        <v>1.46</v>
      </c>
      <c r="Y125" s="134">
        <f t="shared" si="34"/>
        <v>1.46</v>
      </c>
      <c r="Z125" s="134">
        <f t="shared" si="34"/>
        <v>1.46</v>
      </c>
      <c r="AA125" s="134">
        <f t="shared" si="34"/>
        <v>1.46</v>
      </c>
      <c r="AB125" s="134">
        <f t="shared" si="34"/>
        <v>1.46</v>
      </c>
      <c r="AC125" s="134">
        <f t="shared" si="34"/>
        <v>1.46</v>
      </c>
      <c r="AD125" s="134">
        <f t="shared" si="34"/>
        <v>1.46</v>
      </c>
      <c r="AE125" s="134">
        <f t="shared" si="34"/>
        <v>1.46</v>
      </c>
      <c r="AF125" s="134">
        <f t="shared" si="34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3"/>
        <v>1.48</v>
      </c>
      <c r="D126" s="134">
        <f t="shared" si="33"/>
        <v>1.48</v>
      </c>
      <c r="E126" s="134">
        <f t="shared" si="33"/>
        <v>1.48</v>
      </c>
      <c r="F126" s="134">
        <f t="shared" si="33"/>
        <v>1.48</v>
      </c>
      <c r="G126" s="134">
        <f t="shared" si="33"/>
        <v>1.48</v>
      </c>
      <c r="H126" s="134">
        <f t="shared" si="33"/>
        <v>1.48</v>
      </c>
      <c r="I126" s="134">
        <f t="shared" si="33"/>
        <v>1.48</v>
      </c>
      <c r="J126" s="134">
        <f t="shared" si="33"/>
        <v>1.48</v>
      </c>
      <c r="K126" s="134">
        <f t="shared" si="33"/>
        <v>1.48</v>
      </c>
      <c r="L126" s="134">
        <f t="shared" si="33"/>
        <v>1.48</v>
      </c>
      <c r="M126" s="134">
        <f t="shared" si="33"/>
        <v>1.48</v>
      </c>
      <c r="N126" s="134">
        <f t="shared" si="33"/>
        <v>1.48</v>
      </c>
      <c r="O126" s="134">
        <f t="shared" si="33"/>
        <v>1.48</v>
      </c>
      <c r="P126" s="134">
        <f t="shared" si="33"/>
        <v>1.48</v>
      </c>
      <c r="Q126" s="134">
        <f t="shared" si="33"/>
        <v>1.48</v>
      </c>
      <c r="R126" s="134">
        <f t="shared" si="33"/>
        <v>1.48</v>
      </c>
      <c r="S126" s="134">
        <f t="shared" si="34"/>
        <v>1.48</v>
      </c>
      <c r="T126" s="134">
        <f t="shared" si="34"/>
        <v>1.48</v>
      </c>
      <c r="U126" s="134">
        <f t="shared" si="34"/>
        <v>1.48</v>
      </c>
      <c r="V126" s="134">
        <f t="shared" si="34"/>
        <v>1.48</v>
      </c>
      <c r="W126" s="134">
        <f t="shared" si="34"/>
        <v>1.48</v>
      </c>
      <c r="X126" s="134">
        <f t="shared" si="34"/>
        <v>1.48</v>
      </c>
      <c r="Y126" s="134">
        <f t="shared" si="34"/>
        <v>1.48</v>
      </c>
      <c r="Z126" s="134">
        <f t="shared" si="34"/>
        <v>1.48</v>
      </c>
      <c r="AA126" s="134">
        <f t="shared" si="34"/>
        <v>1.48</v>
      </c>
      <c r="AB126" s="134">
        <f t="shared" si="34"/>
        <v>1.48</v>
      </c>
      <c r="AC126" s="134">
        <f t="shared" si="34"/>
        <v>1.48</v>
      </c>
      <c r="AD126" s="134">
        <f t="shared" si="34"/>
        <v>1.48</v>
      </c>
      <c r="AE126" s="134">
        <f t="shared" si="34"/>
        <v>1.48</v>
      </c>
      <c r="AF126" s="134">
        <f t="shared" si="34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5">B128</f>
        <v>2.2000000000000002</v>
      </c>
      <c r="D128" s="134">
        <f t="shared" si="35"/>
        <v>2.2000000000000002</v>
      </c>
      <c r="E128" s="134">
        <f t="shared" si="35"/>
        <v>2.2000000000000002</v>
      </c>
      <c r="F128" s="134">
        <f t="shared" si="35"/>
        <v>2.2000000000000002</v>
      </c>
      <c r="G128" s="134">
        <f t="shared" si="35"/>
        <v>2.2000000000000002</v>
      </c>
      <c r="H128" s="134">
        <f t="shared" si="35"/>
        <v>2.2000000000000002</v>
      </c>
      <c r="I128" s="134">
        <f t="shared" si="35"/>
        <v>2.2000000000000002</v>
      </c>
      <c r="J128" s="134">
        <f t="shared" si="35"/>
        <v>2.2000000000000002</v>
      </c>
      <c r="K128" s="134">
        <f t="shared" si="35"/>
        <v>2.2000000000000002</v>
      </c>
      <c r="L128" s="134">
        <f t="shared" si="35"/>
        <v>2.2000000000000002</v>
      </c>
      <c r="M128" s="134">
        <f t="shared" si="35"/>
        <v>2.2000000000000002</v>
      </c>
      <c r="N128" s="134">
        <f t="shared" si="35"/>
        <v>2.2000000000000002</v>
      </c>
      <c r="O128" s="134">
        <f t="shared" si="35"/>
        <v>2.2000000000000002</v>
      </c>
      <c r="P128" s="134">
        <f t="shared" si="35"/>
        <v>2.2000000000000002</v>
      </c>
      <c r="Q128" s="134">
        <f t="shared" si="35"/>
        <v>2.2000000000000002</v>
      </c>
      <c r="R128" s="134">
        <f t="shared" si="35"/>
        <v>2.2000000000000002</v>
      </c>
      <c r="S128" s="134">
        <f t="shared" ref="S128:AF135" si="36">R128</f>
        <v>2.2000000000000002</v>
      </c>
      <c r="T128" s="134">
        <f t="shared" si="36"/>
        <v>2.2000000000000002</v>
      </c>
      <c r="U128" s="134">
        <f t="shared" si="36"/>
        <v>2.2000000000000002</v>
      </c>
      <c r="V128" s="134">
        <f t="shared" si="36"/>
        <v>2.2000000000000002</v>
      </c>
      <c r="W128" s="134">
        <f t="shared" si="36"/>
        <v>2.2000000000000002</v>
      </c>
      <c r="X128" s="134">
        <f t="shared" si="36"/>
        <v>2.2000000000000002</v>
      </c>
      <c r="Y128" s="134">
        <f t="shared" si="36"/>
        <v>2.2000000000000002</v>
      </c>
      <c r="Z128" s="134">
        <f t="shared" si="36"/>
        <v>2.2000000000000002</v>
      </c>
      <c r="AA128" s="134">
        <f t="shared" si="36"/>
        <v>2.2000000000000002</v>
      </c>
      <c r="AB128" s="134">
        <f t="shared" si="36"/>
        <v>2.2000000000000002</v>
      </c>
      <c r="AC128" s="134">
        <f t="shared" si="36"/>
        <v>2.2000000000000002</v>
      </c>
      <c r="AD128" s="134">
        <f t="shared" si="36"/>
        <v>2.2000000000000002</v>
      </c>
      <c r="AE128" s="134">
        <f t="shared" si="36"/>
        <v>2.2000000000000002</v>
      </c>
      <c r="AF128" s="134">
        <f t="shared" si="36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5"/>
        <v>2</v>
      </c>
      <c r="D129" s="134">
        <f t="shared" si="35"/>
        <v>2</v>
      </c>
      <c r="E129" s="134">
        <f t="shared" si="35"/>
        <v>2</v>
      </c>
      <c r="F129" s="134">
        <f t="shared" si="35"/>
        <v>2</v>
      </c>
      <c r="G129" s="134">
        <f t="shared" si="35"/>
        <v>2</v>
      </c>
      <c r="H129" s="134">
        <f t="shared" si="35"/>
        <v>2</v>
      </c>
      <c r="I129" s="134">
        <f t="shared" si="35"/>
        <v>2</v>
      </c>
      <c r="J129" s="134">
        <f t="shared" si="35"/>
        <v>2</v>
      </c>
      <c r="K129" s="134">
        <f t="shared" si="35"/>
        <v>2</v>
      </c>
      <c r="L129" s="134">
        <f t="shared" si="35"/>
        <v>2</v>
      </c>
      <c r="M129" s="134">
        <f t="shared" si="35"/>
        <v>2</v>
      </c>
      <c r="N129" s="134">
        <f t="shared" si="35"/>
        <v>2</v>
      </c>
      <c r="O129" s="134">
        <f t="shared" si="35"/>
        <v>2</v>
      </c>
      <c r="P129" s="134">
        <f t="shared" si="35"/>
        <v>2</v>
      </c>
      <c r="Q129" s="134">
        <f t="shared" si="35"/>
        <v>2</v>
      </c>
      <c r="R129" s="134">
        <f t="shared" si="35"/>
        <v>2</v>
      </c>
      <c r="S129" s="134">
        <f t="shared" si="36"/>
        <v>2</v>
      </c>
      <c r="T129" s="134">
        <f t="shared" si="36"/>
        <v>2</v>
      </c>
      <c r="U129" s="134">
        <f t="shared" si="36"/>
        <v>2</v>
      </c>
      <c r="V129" s="134">
        <f t="shared" si="36"/>
        <v>2</v>
      </c>
      <c r="W129" s="134">
        <f t="shared" si="36"/>
        <v>2</v>
      </c>
      <c r="X129" s="134">
        <f t="shared" si="36"/>
        <v>2</v>
      </c>
      <c r="Y129" s="134">
        <f t="shared" si="36"/>
        <v>2</v>
      </c>
      <c r="Z129" s="134">
        <f t="shared" si="36"/>
        <v>2</v>
      </c>
      <c r="AA129" s="134">
        <f t="shared" si="36"/>
        <v>2</v>
      </c>
      <c r="AB129" s="134">
        <f t="shared" si="36"/>
        <v>2</v>
      </c>
      <c r="AC129" s="134">
        <f t="shared" si="36"/>
        <v>2</v>
      </c>
      <c r="AD129" s="134">
        <f t="shared" si="36"/>
        <v>2</v>
      </c>
      <c r="AE129" s="134">
        <f t="shared" si="36"/>
        <v>2</v>
      </c>
      <c r="AF129" s="134">
        <f t="shared" si="36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5"/>
        <v>1.25</v>
      </c>
      <c r="D130" s="134">
        <f t="shared" si="35"/>
        <v>1.25</v>
      </c>
      <c r="E130" s="134">
        <f t="shared" si="35"/>
        <v>1.25</v>
      </c>
      <c r="F130" s="134">
        <f t="shared" si="35"/>
        <v>1.25</v>
      </c>
      <c r="G130" s="134">
        <f t="shared" si="35"/>
        <v>1.25</v>
      </c>
      <c r="H130" s="134">
        <f t="shared" si="35"/>
        <v>1.25</v>
      </c>
      <c r="I130" s="134">
        <f t="shared" si="35"/>
        <v>1.25</v>
      </c>
      <c r="J130" s="134">
        <f t="shared" si="35"/>
        <v>1.25</v>
      </c>
      <c r="K130" s="134">
        <f t="shared" si="35"/>
        <v>1.25</v>
      </c>
      <c r="L130" s="134">
        <f t="shared" si="35"/>
        <v>1.25</v>
      </c>
      <c r="M130" s="134">
        <f t="shared" si="35"/>
        <v>1.25</v>
      </c>
      <c r="N130" s="134">
        <f t="shared" si="35"/>
        <v>1.25</v>
      </c>
      <c r="O130" s="134">
        <f t="shared" si="35"/>
        <v>1.25</v>
      </c>
      <c r="P130" s="134">
        <f t="shared" si="35"/>
        <v>1.25</v>
      </c>
      <c r="Q130" s="134">
        <f t="shared" si="35"/>
        <v>1.25</v>
      </c>
      <c r="R130" s="134">
        <f t="shared" si="35"/>
        <v>1.25</v>
      </c>
      <c r="S130" s="134">
        <f t="shared" si="36"/>
        <v>1.25</v>
      </c>
      <c r="T130" s="134">
        <f t="shared" si="36"/>
        <v>1.25</v>
      </c>
      <c r="U130" s="134">
        <f t="shared" si="36"/>
        <v>1.25</v>
      </c>
      <c r="V130" s="134">
        <f t="shared" si="36"/>
        <v>1.25</v>
      </c>
      <c r="W130" s="134">
        <f t="shared" si="36"/>
        <v>1.25</v>
      </c>
      <c r="X130" s="134">
        <f t="shared" si="36"/>
        <v>1.25</v>
      </c>
      <c r="Y130" s="134">
        <f t="shared" si="36"/>
        <v>1.25</v>
      </c>
      <c r="Z130" s="134">
        <f t="shared" si="36"/>
        <v>1.25</v>
      </c>
      <c r="AA130" s="134">
        <f t="shared" si="36"/>
        <v>1.25</v>
      </c>
      <c r="AB130" s="134">
        <f t="shared" si="36"/>
        <v>1.25</v>
      </c>
      <c r="AC130" s="134">
        <f t="shared" si="36"/>
        <v>1.25</v>
      </c>
      <c r="AD130" s="134">
        <f t="shared" si="36"/>
        <v>1.25</v>
      </c>
      <c r="AE130" s="134">
        <f t="shared" si="36"/>
        <v>1.25</v>
      </c>
      <c r="AF130" s="134">
        <f t="shared" si="36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5"/>
        <v>1.1499999999999999</v>
      </c>
      <c r="D131" s="134">
        <f t="shared" si="35"/>
        <v>1.1499999999999999</v>
      </c>
      <c r="E131" s="134">
        <f t="shared" si="35"/>
        <v>1.1499999999999999</v>
      </c>
      <c r="F131" s="134">
        <f t="shared" si="35"/>
        <v>1.1499999999999999</v>
      </c>
      <c r="G131" s="134">
        <f t="shared" si="35"/>
        <v>1.1499999999999999</v>
      </c>
      <c r="H131" s="134">
        <f t="shared" si="35"/>
        <v>1.1499999999999999</v>
      </c>
      <c r="I131" s="134">
        <f t="shared" si="35"/>
        <v>1.1499999999999999</v>
      </c>
      <c r="J131" s="134">
        <f t="shared" si="35"/>
        <v>1.1499999999999999</v>
      </c>
      <c r="K131" s="134">
        <f t="shared" si="35"/>
        <v>1.1499999999999999</v>
      </c>
      <c r="L131" s="134">
        <f t="shared" si="35"/>
        <v>1.1499999999999999</v>
      </c>
      <c r="M131" s="134">
        <f t="shared" si="35"/>
        <v>1.1499999999999999</v>
      </c>
      <c r="N131" s="134">
        <f t="shared" si="35"/>
        <v>1.1499999999999999</v>
      </c>
      <c r="O131" s="134">
        <f t="shared" si="35"/>
        <v>1.1499999999999999</v>
      </c>
      <c r="P131" s="134">
        <f t="shared" si="35"/>
        <v>1.1499999999999999</v>
      </c>
      <c r="Q131" s="134">
        <f t="shared" si="35"/>
        <v>1.1499999999999999</v>
      </c>
      <c r="R131" s="134">
        <f t="shared" si="35"/>
        <v>1.1499999999999999</v>
      </c>
      <c r="S131" s="134">
        <f t="shared" si="36"/>
        <v>1.1499999999999999</v>
      </c>
      <c r="T131" s="134">
        <f t="shared" si="36"/>
        <v>1.1499999999999999</v>
      </c>
      <c r="U131" s="134">
        <f t="shared" si="36"/>
        <v>1.1499999999999999</v>
      </c>
      <c r="V131" s="134">
        <f t="shared" si="36"/>
        <v>1.1499999999999999</v>
      </c>
      <c r="W131" s="134">
        <f t="shared" si="36"/>
        <v>1.1499999999999999</v>
      </c>
      <c r="X131" s="134">
        <f t="shared" si="36"/>
        <v>1.1499999999999999</v>
      </c>
      <c r="Y131" s="134">
        <f t="shared" si="36"/>
        <v>1.1499999999999999</v>
      </c>
      <c r="Z131" s="134">
        <f t="shared" si="36"/>
        <v>1.1499999999999999</v>
      </c>
      <c r="AA131" s="134">
        <f t="shared" si="36"/>
        <v>1.1499999999999999</v>
      </c>
      <c r="AB131" s="134">
        <f t="shared" si="36"/>
        <v>1.1499999999999999</v>
      </c>
      <c r="AC131" s="134">
        <f t="shared" si="36"/>
        <v>1.1499999999999999</v>
      </c>
      <c r="AD131" s="134">
        <f t="shared" si="36"/>
        <v>1.1499999999999999</v>
      </c>
      <c r="AE131" s="134">
        <f t="shared" si="36"/>
        <v>1.1499999999999999</v>
      </c>
      <c r="AF131" s="134">
        <f t="shared" si="36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5"/>
        <v>2.133</v>
      </c>
      <c r="D132" s="134">
        <f t="shared" si="35"/>
        <v>2.133</v>
      </c>
      <c r="E132" s="134">
        <f t="shared" si="35"/>
        <v>2.133</v>
      </c>
      <c r="F132" s="134">
        <f t="shared" si="35"/>
        <v>2.133</v>
      </c>
      <c r="G132" s="134">
        <f t="shared" si="35"/>
        <v>2.133</v>
      </c>
      <c r="H132" s="134">
        <f t="shared" si="35"/>
        <v>2.133</v>
      </c>
      <c r="I132" s="134">
        <f t="shared" si="35"/>
        <v>2.133</v>
      </c>
      <c r="J132" s="134">
        <f t="shared" si="35"/>
        <v>2.133</v>
      </c>
      <c r="K132" s="134">
        <f t="shared" si="35"/>
        <v>2.133</v>
      </c>
      <c r="L132" s="134">
        <f t="shared" si="35"/>
        <v>2.133</v>
      </c>
      <c r="M132" s="134">
        <f t="shared" si="35"/>
        <v>2.133</v>
      </c>
      <c r="N132" s="134">
        <f t="shared" si="35"/>
        <v>2.133</v>
      </c>
      <c r="O132" s="134">
        <f t="shared" si="35"/>
        <v>2.133</v>
      </c>
      <c r="P132" s="134">
        <f t="shared" si="35"/>
        <v>2.133</v>
      </c>
      <c r="Q132" s="134">
        <f t="shared" si="35"/>
        <v>2.133</v>
      </c>
      <c r="R132" s="134">
        <f t="shared" si="35"/>
        <v>2.133</v>
      </c>
      <c r="S132" s="134">
        <f t="shared" si="36"/>
        <v>2.133</v>
      </c>
      <c r="T132" s="134">
        <f t="shared" si="36"/>
        <v>2.133</v>
      </c>
      <c r="U132" s="134">
        <f t="shared" si="36"/>
        <v>2.133</v>
      </c>
      <c r="V132" s="134">
        <f t="shared" si="36"/>
        <v>2.133</v>
      </c>
      <c r="W132" s="134">
        <f t="shared" si="36"/>
        <v>2.133</v>
      </c>
      <c r="X132" s="134">
        <f t="shared" si="36"/>
        <v>2.133</v>
      </c>
      <c r="Y132" s="134">
        <f t="shared" si="36"/>
        <v>2.133</v>
      </c>
      <c r="Z132" s="134">
        <f t="shared" si="36"/>
        <v>2.133</v>
      </c>
      <c r="AA132" s="134">
        <f t="shared" si="36"/>
        <v>2.133</v>
      </c>
      <c r="AB132" s="134">
        <f t="shared" si="36"/>
        <v>2.133</v>
      </c>
      <c r="AC132" s="134">
        <f t="shared" si="36"/>
        <v>2.133</v>
      </c>
      <c r="AD132" s="134">
        <f t="shared" si="36"/>
        <v>2.133</v>
      </c>
      <c r="AE132" s="134">
        <f t="shared" si="36"/>
        <v>2.133</v>
      </c>
      <c r="AF132" s="134">
        <f t="shared" si="36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5"/>
        <v>2.09</v>
      </c>
      <c r="D133" s="134">
        <f t="shared" si="35"/>
        <v>2.09</v>
      </c>
      <c r="E133" s="134">
        <f t="shared" si="35"/>
        <v>2.09</v>
      </c>
      <c r="F133" s="134">
        <f t="shared" si="35"/>
        <v>2.09</v>
      </c>
      <c r="G133" s="134">
        <f t="shared" si="35"/>
        <v>2.09</v>
      </c>
      <c r="H133" s="134">
        <f t="shared" si="35"/>
        <v>2.09</v>
      </c>
      <c r="I133" s="134">
        <f t="shared" si="35"/>
        <v>2.09</v>
      </c>
      <c r="J133" s="134">
        <f t="shared" si="35"/>
        <v>2.09</v>
      </c>
      <c r="K133" s="134">
        <f t="shared" si="35"/>
        <v>2.09</v>
      </c>
      <c r="L133" s="134">
        <f t="shared" si="35"/>
        <v>2.09</v>
      </c>
      <c r="M133" s="134">
        <f t="shared" si="35"/>
        <v>2.09</v>
      </c>
      <c r="N133" s="134">
        <f t="shared" si="35"/>
        <v>2.09</v>
      </c>
      <c r="O133" s="134">
        <f t="shared" si="35"/>
        <v>2.09</v>
      </c>
      <c r="P133" s="134">
        <f t="shared" si="35"/>
        <v>2.09</v>
      </c>
      <c r="Q133" s="134">
        <f t="shared" si="35"/>
        <v>2.09</v>
      </c>
      <c r="R133" s="134">
        <f t="shared" si="35"/>
        <v>2.09</v>
      </c>
      <c r="S133" s="134">
        <f t="shared" si="36"/>
        <v>2.09</v>
      </c>
      <c r="T133" s="134">
        <f t="shared" si="36"/>
        <v>2.09</v>
      </c>
      <c r="U133" s="134">
        <f t="shared" si="36"/>
        <v>2.09</v>
      </c>
      <c r="V133" s="134">
        <f t="shared" si="36"/>
        <v>2.09</v>
      </c>
      <c r="W133" s="134">
        <f t="shared" si="36"/>
        <v>2.09</v>
      </c>
      <c r="X133" s="134">
        <f t="shared" si="36"/>
        <v>2.09</v>
      </c>
      <c r="Y133" s="134">
        <f t="shared" si="36"/>
        <v>2.09</v>
      </c>
      <c r="Z133" s="134">
        <f t="shared" si="36"/>
        <v>2.09</v>
      </c>
      <c r="AA133" s="134">
        <f t="shared" si="36"/>
        <v>2.09</v>
      </c>
      <c r="AB133" s="134">
        <f t="shared" si="36"/>
        <v>2.09</v>
      </c>
      <c r="AC133" s="134">
        <f t="shared" si="36"/>
        <v>2.09</v>
      </c>
      <c r="AD133" s="134">
        <f t="shared" si="36"/>
        <v>2.09</v>
      </c>
      <c r="AE133" s="134">
        <f t="shared" si="36"/>
        <v>2.09</v>
      </c>
      <c r="AF133" s="134">
        <f t="shared" si="36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5"/>
        <v>1.1399999999999999</v>
      </c>
      <c r="D134" s="134">
        <f t="shared" si="35"/>
        <v>1.1399999999999999</v>
      </c>
      <c r="E134" s="134">
        <f t="shared" si="35"/>
        <v>1.1399999999999999</v>
      </c>
      <c r="F134" s="134">
        <f t="shared" si="35"/>
        <v>1.1399999999999999</v>
      </c>
      <c r="G134" s="134">
        <f t="shared" si="35"/>
        <v>1.1399999999999999</v>
      </c>
      <c r="H134" s="134">
        <f t="shared" si="35"/>
        <v>1.1399999999999999</v>
      </c>
      <c r="I134" s="134">
        <f t="shared" si="35"/>
        <v>1.1399999999999999</v>
      </c>
      <c r="J134" s="134">
        <f t="shared" si="35"/>
        <v>1.1399999999999999</v>
      </c>
      <c r="K134" s="134">
        <f t="shared" si="35"/>
        <v>1.1399999999999999</v>
      </c>
      <c r="L134" s="134">
        <f t="shared" si="35"/>
        <v>1.1399999999999999</v>
      </c>
      <c r="M134" s="134">
        <f t="shared" si="35"/>
        <v>1.1399999999999999</v>
      </c>
      <c r="N134" s="134">
        <f t="shared" si="35"/>
        <v>1.1399999999999999</v>
      </c>
      <c r="O134" s="134">
        <f t="shared" si="35"/>
        <v>1.1399999999999999</v>
      </c>
      <c r="P134" s="134">
        <f t="shared" si="35"/>
        <v>1.1399999999999999</v>
      </c>
      <c r="Q134" s="134">
        <f t="shared" si="35"/>
        <v>1.1399999999999999</v>
      </c>
      <c r="R134" s="134">
        <f t="shared" si="35"/>
        <v>1.1399999999999999</v>
      </c>
      <c r="S134" s="134">
        <f t="shared" si="36"/>
        <v>1.1399999999999999</v>
      </c>
      <c r="T134" s="134">
        <f t="shared" si="36"/>
        <v>1.1399999999999999</v>
      </c>
      <c r="U134" s="134">
        <f t="shared" si="36"/>
        <v>1.1399999999999999</v>
      </c>
      <c r="V134" s="134">
        <f t="shared" si="36"/>
        <v>1.1399999999999999</v>
      </c>
      <c r="W134" s="134">
        <f t="shared" si="36"/>
        <v>1.1399999999999999</v>
      </c>
      <c r="X134" s="134">
        <f t="shared" si="36"/>
        <v>1.1399999999999999</v>
      </c>
      <c r="Y134" s="134">
        <f t="shared" si="36"/>
        <v>1.1399999999999999</v>
      </c>
      <c r="Z134" s="134">
        <f t="shared" si="36"/>
        <v>1.1399999999999999</v>
      </c>
      <c r="AA134" s="134">
        <f t="shared" si="36"/>
        <v>1.1399999999999999</v>
      </c>
      <c r="AB134" s="134">
        <f t="shared" si="36"/>
        <v>1.1399999999999999</v>
      </c>
      <c r="AC134" s="134">
        <f t="shared" si="36"/>
        <v>1.1399999999999999</v>
      </c>
      <c r="AD134" s="134">
        <f t="shared" si="36"/>
        <v>1.1399999999999999</v>
      </c>
      <c r="AE134" s="134">
        <f t="shared" si="36"/>
        <v>1.1399999999999999</v>
      </c>
      <c r="AF134" s="134">
        <f t="shared" si="36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5"/>
        <v>0.82</v>
      </c>
      <c r="D135" s="134">
        <f t="shared" si="35"/>
        <v>0.82</v>
      </c>
      <c r="E135" s="134">
        <f t="shared" si="35"/>
        <v>0.82</v>
      </c>
      <c r="F135" s="134">
        <f t="shared" si="35"/>
        <v>0.82</v>
      </c>
      <c r="G135" s="134">
        <f t="shared" si="35"/>
        <v>0.82</v>
      </c>
      <c r="H135" s="134">
        <f t="shared" si="35"/>
        <v>0.82</v>
      </c>
      <c r="I135" s="134">
        <f t="shared" si="35"/>
        <v>0.82</v>
      </c>
      <c r="J135" s="134">
        <f t="shared" si="35"/>
        <v>0.82</v>
      </c>
      <c r="K135" s="134">
        <f t="shared" si="35"/>
        <v>0.82</v>
      </c>
      <c r="L135" s="134">
        <f t="shared" si="35"/>
        <v>0.82</v>
      </c>
      <c r="M135" s="134">
        <f t="shared" si="35"/>
        <v>0.82</v>
      </c>
      <c r="N135" s="134">
        <f t="shared" si="35"/>
        <v>0.82</v>
      </c>
      <c r="O135" s="134">
        <f t="shared" si="35"/>
        <v>0.82</v>
      </c>
      <c r="P135" s="134">
        <f t="shared" si="35"/>
        <v>0.82</v>
      </c>
      <c r="Q135" s="134">
        <f t="shared" si="35"/>
        <v>0.82</v>
      </c>
      <c r="R135" s="134">
        <f t="shared" si="35"/>
        <v>0.82</v>
      </c>
      <c r="S135" s="134">
        <f t="shared" si="36"/>
        <v>0.82</v>
      </c>
      <c r="T135" s="134">
        <f t="shared" si="36"/>
        <v>0.82</v>
      </c>
      <c r="U135" s="134">
        <f t="shared" si="36"/>
        <v>0.82</v>
      </c>
      <c r="V135" s="134">
        <f t="shared" si="36"/>
        <v>0.82</v>
      </c>
      <c r="W135" s="134">
        <f t="shared" si="36"/>
        <v>0.82</v>
      </c>
      <c r="X135" s="134">
        <f t="shared" si="36"/>
        <v>0.82</v>
      </c>
      <c r="Y135" s="134">
        <f t="shared" si="36"/>
        <v>0.82</v>
      </c>
      <c r="Z135" s="134">
        <f t="shared" si="36"/>
        <v>0.82</v>
      </c>
      <c r="AA135" s="134">
        <f t="shared" si="36"/>
        <v>0.82</v>
      </c>
      <c r="AB135" s="134">
        <f t="shared" si="36"/>
        <v>0.82</v>
      </c>
      <c r="AC135" s="134">
        <f t="shared" si="36"/>
        <v>0.82</v>
      </c>
      <c r="AD135" s="134">
        <f t="shared" si="36"/>
        <v>0.82</v>
      </c>
      <c r="AE135" s="134">
        <f t="shared" si="36"/>
        <v>0.82</v>
      </c>
      <c r="AF135" s="134">
        <f t="shared" si="36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7">B137</f>
        <v>2</v>
      </c>
      <c r="D137" s="134">
        <f t="shared" si="37"/>
        <v>2</v>
      </c>
      <c r="E137" s="134">
        <f t="shared" si="37"/>
        <v>2</v>
      </c>
      <c r="F137" s="134">
        <f t="shared" si="37"/>
        <v>2</v>
      </c>
      <c r="G137" s="134">
        <f t="shared" si="37"/>
        <v>2</v>
      </c>
      <c r="H137" s="134">
        <f t="shared" si="37"/>
        <v>2</v>
      </c>
      <c r="I137" s="134">
        <f t="shared" si="37"/>
        <v>2</v>
      </c>
      <c r="J137" s="134">
        <f t="shared" si="37"/>
        <v>2</v>
      </c>
      <c r="K137" s="134">
        <f t="shared" si="37"/>
        <v>2</v>
      </c>
      <c r="L137" s="134">
        <f t="shared" si="37"/>
        <v>2</v>
      </c>
      <c r="M137" s="134">
        <f t="shared" si="37"/>
        <v>2</v>
      </c>
      <c r="N137" s="134">
        <f t="shared" si="37"/>
        <v>2</v>
      </c>
      <c r="O137" s="134">
        <f t="shared" si="37"/>
        <v>2</v>
      </c>
      <c r="P137" s="134">
        <f t="shared" si="37"/>
        <v>2</v>
      </c>
      <c r="Q137" s="134">
        <f t="shared" si="37"/>
        <v>2</v>
      </c>
      <c r="R137" s="134">
        <f t="shared" si="37"/>
        <v>2</v>
      </c>
      <c r="S137" s="134">
        <f t="shared" ref="S137:AF143" si="38">R137</f>
        <v>2</v>
      </c>
      <c r="T137" s="134">
        <f t="shared" si="38"/>
        <v>2</v>
      </c>
      <c r="U137" s="134">
        <f t="shared" si="38"/>
        <v>2</v>
      </c>
      <c r="V137" s="134">
        <f t="shared" si="38"/>
        <v>2</v>
      </c>
      <c r="W137" s="134">
        <f t="shared" si="38"/>
        <v>2</v>
      </c>
      <c r="X137" s="134">
        <f t="shared" si="38"/>
        <v>2</v>
      </c>
      <c r="Y137" s="134">
        <f t="shared" si="38"/>
        <v>2</v>
      </c>
      <c r="Z137" s="134">
        <f t="shared" si="38"/>
        <v>2</v>
      </c>
      <c r="AA137" s="134">
        <f t="shared" si="38"/>
        <v>2</v>
      </c>
      <c r="AB137" s="134">
        <f t="shared" si="38"/>
        <v>2</v>
      </c>
      <c r="AC137" s="134">
        <f t="shared" si="38"/>
        <v>2</v>
      </c>
      <c r="AD137" s="134">
        <f t="shared" si="38"/>
        <v>2</v>
      </c>
      <c r="AE137" s="134">
        <f t="shared" si="38"/>
        <v>2</v>
      </c>
      <c r="AF137" s="134">
        <f t="shared" si="38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7"/>
        <v>5.61</v>
      </c>
      <c r="D138" s="134">
        <f t="shared" si="37"/>
        <v>5.61</v>
      </c>
      <c r="E138" s="134">
        <f t="shared" si="37"/>
        <v>5.61</v>
      </c>
      <c r="F138" s="134">
        <f t="shared" si="37"/>
        <v>5.61</v>
      </c>
      <c r="G138" s="134">
        <f t="shared" si="37"/>
        <v>5.61</v>
      </c>
      <c r="H138" s="134">
        <f t="shared" si="37"/>
        <v>5.61</v>
      </c>
      <c r="I138" s="134">
        <f t="shared" si="37"/>
        <v>5.61</v>
      </c>
      <c r="J138" s="134">
        <f t="shared" si="37"/>
        <v>5.61</v>
      </c>
      <c r="K138" s="134">
        <f t="shared" si="37"/>
        <v>5.61</v>
      </c>
      <c r="L138" s="134">
        <f t="shared" si="37"/>
        <v>5.61</v>
      </c>
      <c r="M138" s="134">
        <f t="shared" si="37"/>
        <v>5.61</v>
      </c>
      <c r="N138" s="134">
        <f t="shared" si="37"/>
        <v>5.61</v>
      </c>
      <c r="O138" s="134">
        <f t="shared" si="37"/>
        <v>5.61</v>
      </c>
      <c r="P138" s="134">
        <f t="shared" si="37"/>
        <v>5.61</v>
      </c>
      <c r="Q138" s="134">
        <f t="shared" si="37"/>
        <v>5.61</v>
      </c>
      <c r="R138" s="134">
        <f t="shared" si="37"/>
        <v>5.61</v>
      </c>
      <c r="S138" s="134">
        <f t="shared" si="38"/>
        <v>5.61</v>
      </c>
      <c r="T138" s="134">
        <f t="shared" si="38"/>
        <v>5.61</v>
      </c>
      <c r="U138" s="134">
        <f t="shared" si="38"/>
        <v>5.61</v>
      </c>
      <c r="V138" s="134">
        <f t="shared" si="38"/>
        <v>5.61</v>
      </c>
      <c r="W138" s="134">
        <f t="shared" si="38"/>
        <v>5.61</v>
      </c>
      <c r="X138" s="134">
        <f t="shared" si="38"/>
        <v>5.61</v>
      </c>
      <c r="Y138" s="134">
        <f t="shared" si="38"/>
        <v>5.61</v>
      </c>
      <c r="Z138" s="134">
        <f t="shared" si="38"/>
        <v>5.61</v>
      </c>
      <c r="AA138" s="134">
        <f t="shared" si="38"/>
        <v>5.61</v>
      </c>
      <c r="AB138" s="134">
        <f t="shared" si="38"/>
        <v>5.61</v>
      </c>
      <c r="AC138" s="134">
        <f t="shared" si="38"/>
        <v>5.61</v>
      </c>
      <c r="AD138" s="134">
        <f t="shared" si="38"/>
        <v>5.61</v>
      </c>
      <c r="AE138" s="134">
        <f t="shared" si="38"/>
        <v>5.61</v>
      </c>
      <c r="AF138" s="134">
        <f t="shared" si="38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7"/>
        <v>1.25</v>
      </c>
      <c r="D139" s="134">
        <f t="shared" si="37"/>
        <v>1.25</v>
      </c>
      <c r="E139" s="134">
        <f t="shared" si="37"/>
        <v>1.25</v>
      </c>
      <c r="F139" s="134">
        <f t="shared" si="37"/>
        <v>1.25</v>
      </c>
      <c r="G139" s="134">
        <f t="shared" si="37"/>
        <v>1.25</v>
      </c>
      <c r="H139" s="134">
        <f t="shared" si="37"/>
        <v>1.25</v>
      </c>
      <c r="I139" s="134">
        <f t="shared" si="37"/>
        <v>1.25</v>
      </c>
      <c r="J139" s="134">
        <f t="shared" si="37"/>
        <v>1.25</v>
      </c>
      <c r="K139" s="134">
        <f t="shared" si="37"/>
        <v>1.25</v>
      </c>
      <c r="L139" s="134">
        <f t="shared" si="37"/>
        <v>1.25</v>
      </c>
      <c r="M139" s="134">
        <f t="shared" si="37"/>
        <v>1.25</v>
      </c>
      <c r="N139" s="134">
        <f t="shared" si="37"/>
        <v>1.25</v>
      </c>
      <c r="O139" s="134">
        <f t="shared" si="37"/>
        <v>1.25</v>
      </c>
      <c r="P139" s="134">
        <f t="shared" si="37"/>
        <v>1.25</v>
      </c>
      <c r="Q139" s="134">
        <f t="shared" si="37"/>
        <v>1.25</v>
      </c>
      <c r="R139" s="134">
        <f t="shared" si="37"/>
        <v>1.25</v>
      </c>
      <c r="S139" s="134">
        <f t="shared" si="38"/>
        <v>1.25</v>
      </c>
      <c r="T139" s="134">
        <f t="shared" si="38"/>
        <v>1.25</v>
      </c>
      <c r="U139" s="134">
        <f t="shared" si="38"/>
        <v>1.25</v>
      </c>
      <c r="V139" s="134">
        <f t="shared" si="38"/>
        <v>1.25</v>
      </c>
      <c r="W139" s="134">
        <f t="shared" si="38"/>
        <v>1.25</v>
      </c>
      <c r="X139" s="134">
        <f t="shared" si="38"/>
        <v>1.25</v>
      </c>
      <c r="Y139" s="134">
        <f t="shared" si="38"/>
        <v>1.25</v>
      </c>
      <c r="Z139" s="134">
        <f t="shared" si="38"/>
        <v>1.25</v>
      </c>
      <c r="AA139" s="134">
        <f t="shared" si="38"/>
        <v>1.25</v>
      </c>
      <c r="AB139" s="134">
        <f t="shared" si="38"/>
        <v>1.25</v>
      </c>
      <c r="AC139" s="134">
        <f t="shared" si="38"/>
        <v>1.25</v>
      </c>
      <c r="AD139" s="134">
        <f t="shared" si="38"/>
        <v>1.25</v>
      </c>
      <c r="AE139" s="134">
        <f t="shared" si="38"/>
        <v>1.25</v>
      </c>
      <c r="AF139" s="134">
        <f t="shared" si="38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7"/>
        <v>1.25</v>
      </c>
      <c r="D140" s="134">
        <f t="shared" si="37"/>
        <v>1.25</v>
      </c>
      <c r="E140" s="134">
        <f t="shared" si="37"/>
        <v>1.25</v>
      </c>
      <c r="F140" s="134">
        <f t="shared" si="37"/>
        <v>1.25</v>
      </c>
      <c r="G140" s="134">
        <f t="shared" si="37"/>
        <v>1.25</v>
      </c>
      <c r="H140" s="134">
        <f t="shared" si="37"/>
        <v>1.25</v>
      </c>
      <c r="I140" s="134">
        <f t="shared" si="37"/>
        <v>1.25</v>
      </c>
      <c r="J140" s="134">
        <f t="shared" si="37"/>
        <v>1.25</v>
      </c>
      <c r="K140" s="134">
        <f t="shared" si="37"/>
        <v>1.25</v>
      </c>
      <c r="L140" s="134">
        <f t="shared" si="37"/>
        <v>1.25</v>
      </c>
      <c r="M140" s="134">
        <f t="shared" si="37"/>
        <v>1.25</v>
      </c>
      <c r="N140" s="134">
        <f t="shared" si="37"/>
        <v>1.25</v>
      </c>
      <c r="O140" s="134">
        <f t="shared" si="37"/>
        <v>1.25</v>
      </c>
      <c r="P140" s="134">
        <f t="shared" si="37"/>
        <v>1.25</v>
      </c>
      <c r="Q140" s="134">
        <f t="shared" si="37"/>
        <v>1.25</v>
      </c>
      <c r="R140" s="134">
        <f t="shared" si="37"/>
        <v>1.25</v>
      </c>
      <c r="S140" s="134">
        <f t="shared" si="38"/>
        <v>1.25</v>
      </c>
      <c r="T140" s="134">
        <f t="shared" si="38"/>
        <v>1.25</v>
      </c>
      <c r="U140" s="134">
        <f t="shared" si="38"/>
        <v>1.25</v>
      </c>
      <c r="V140" s="134">
        <f t="shared" si="38"/>
        <v>1.25</v>
      </c>
      <c r="W140" s="134">
        <f t="shared" si="38"/>
        <v>1.25</v>
      </c>
      <c r="X140" s="134">
        <f t="shared" si="38"/>
        <v>1.25</v>
      </c>
      <c r="Y140" s="134">
        <f t="shared" si="38"/>
        <v>1.25</v>
      </c>
      <c r="Z140" s="134">
        <f t="shared" si="38"/>
        <v>1.25</v>
      </c>
      <c r="AA140" s="134">
        <f t="shared" si="38"/>
        <v>1.25</v>
      </c>
      <c r="AB140" s="134">
        <f t="shared" si="38"/>
        <v>1.25</v>
      </c>
      <c r="AC140" s="134">
        <f t="shared" si="38"/>
        <v>1.25</v>
      </c>
      <c r="AD140" s="134">
        <f t="shared" si="38"/>
        <v>1.25</v>
      </c>
      <c r="AE140" s="134">
        <f t="shared" si="38"/>
        <v>1.25</v>
      </c>
      <c r="AF140" s="134">
        <f t="shared" si="38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7"/>
        <v>1.46</v>
      </c>
      <c r="D141" s="134">
        <f t="shared" si="37"/>
        <v>1.46</v>
      </c>
      <c r="E141" s="134">
        <f t="shared" si="37"/>
        <v>1.46</v>
      </c>
      <c r="F141" s="134">
        <f t="shared" si="37"/>
        <v>1.46</v>
      </c>
      <c r="G141" s="134">
        <f t="shared" si="37"/>
        <v>1.46</v>
      </c>
      <c r="H141" s="134">
        <f t="shared" si="37"/>
        <v>1.46</v>
      </c>
      <c r="I141" s="134">
        <f t="shared" si="37"/>
        <v>1.46</v>
      </c>
      <c r="J141" s="134">
        <f t="shared" si="37"/>
        <v>1.46</v>
      </c>
      <c r="K141" s="134">
        <f t="shared" si="37"/>
        <v>1.46</v>
      </c>
      <c r="L141" s="134">
        <f t="shared" si="37"/>
        <v>1.46</v>
      </c>
      <c r="M141" s="134">
        <f t="shared" si="37"/>
        <v>1.46</v>
      </c>
      <c r="N141" s="134">
        <f t="shared" si="37"/>
        <v>1.46</v>
      </c>
      <c r="O141" s="134">
        <f t="shared" si="37"/>
        <v>1.46</v>
      </c>
      <c r="P141" s="134">
        <f t="shared" si="37"/>
        <v>1.46</v>
      </c>
      <c r="Q141" s="134">
        <f t="shared" si="37"/>
        <v>1.46</v>
      </c>
      <c r="R141" s="134">
        <f t="shared" si="37"/>
        <v>1.46</v>
      </c>
      <c r="S141" s="134">
        <f t="shared" si="38"/>
        <v>1.46</v>
      </c>
      <c r="T141" s="134">
        <f t="shared" si="38"/>
        <v>1.46</v>
      </c>
      <c r="U141" s="134">
        <f t="shared" si="38"/>
        <v>1.46</v>
      </c>
      <c r="V141" s="134">
        <f t="shared" si="38"/>
        <v>1.46</v>
      </c>
      <c r="W141" s="134">
        <f t="shared" si="38"/>
        <v>1.46</v>
      </c>
      <c r="X141" s="134">
        <f t="shared" si="38"/>
        <v>1.46</v>
      </c>
      <c r="Y141" s="134">
        <f t="shared" si="38"/>
        <v>1.46</v>
      </c>
      <c r="Z141" s="134">
        <f t="shared" si="38"/>
        <v>1.46</v>
      </c>
      <c r="AA141" s="134">
        <f t="shared" si="38"/>
        <v>1.46</v>
      </c>
      <c r="AB141" s="134">
        <f t="shared" si="38"/>
        <v>1.46</v>
      </c>
      <c r="AC141" s="134">
        <f t="shared" si="38"/>
        <v>1.46</v>
      </c>
      <c r="AD141" s="134">
        <f t="shared" si="38"/>
        <v>1.46</v>
      </c>
      <c r="AE141" s="134">
        <f t="shared" si="38"/>
        <v>1.46</v>
      </c>
      <c r="AF141" s="134">
        <f t="shared" si="38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7"/>
        <v>3</v>
      </c>
      <c r="D142" s="134">
        <f t="shared" si="37"/>
        <v>3</v>
      </c>
      <c r="E142" s="134">
        <f t="shared" si="37"/>
        <v>3</v>
      </c>
      <c r="F142" s="134">
        <f t="shared" si="37"/>
        <v>3</v>
      </c>
      <c r="G142" s="134">
        <f t="shared" si="37"/>
        <v>3</v>
      </c>
      <c r="H142" s="134">
        <f t="shared" si="37"/>
        <v>3</v>
      </c>
      <c r="I142" s="134">
        <f t="shared" si="37"/>
        <v>3</v>
      </c>
      <c r="J142" s="134">
        <f t="shared" si="37"/>
        <v>3</v>
      </c>
      <c r="K142" s="134">
        <f t="shared" si="37"/>
        <v>3</v>
      </c>
      <c r="L142" s="134">
        <f t="shared" si="37"/>
        <v>3</v>
      </c>
      <c r="M142" s="134">
        <f t="shared" si="37"/>
        <v>3</v>
      </c>
      <c r="N142" s="134">
        <f t="shared" si="37"/>
        <v>3</v>
      </c>
      <c r="O142" s="134">
        <f t="shared" si="37"/>
        <v>3</v>
      </c>
      <c r="P142" s="134">
        <f t="shared" si="37"/>
        <v>3</v>
      </c>
      <c r="Q142" s="134">
        <f t="shared" si="37"/>
        <v>3</v>
      </c>
      <c r="R142" s="134">
        <f t="shared" si="37"/>
        <v>3</v>
      </c>
      <c r="S142" s="134">
        <f t="shared" si="38"/>
        <v>3</v>
      </c>
      <c r="T142" s="134">
        <f t="shared" si="38"/>
        <v>3</v>
      </c>
      <c r="U142" s="134">
        <f t="shared" si="38"/>
        <v>3</v>
      </c>
      <c r="V142" s="134">
        <f t="shared" si="38"/>
        <v>3</v>
      </c>
      <c r="W142" s="134">
        <f t="shared" si="38"/>
        <v>3</v>
      </c>
      <c r="X142" s="134">
        <f t="shared" si="38"/>
        <v>3</v>
      </c>
      <c r="Y142" s="134">
        <f t="shared" si="38"/>
        <v>3</v>
      </c>
      <c r="Z142" s="134">
        <f t="shared" si="38"/>
        <v>3</v>
      </c>
      <c r="AA142" s="134">
        <f t="shared" si="38"/>
        <v>3</v>
      </c>
      <c r="AB142" s="134">
        <f t="shared" si="38"/>
        <v>3</v>
      </c>
      <c r="AC142" s="134">
        <f t="shared" si="38"/>
        <v>3</v>
      </c>
      <c r="AD142" s="134">
        <f t="shared" si="38"/>
        <v>3</v>
      </c>
      <c r="AE142" s="134">
        <f t="shared" si="38"/>
        <v>3</v>
      </c>
      <c r="AF142" s="134">
        <f t="shared" si="38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7"/>
        <v>3.3</v>
      </c>
      <c r="D143" s="134">
        <f t="shared" si="37"/>
        <v>3.3</v>
      </c>
      <c r="E143" s="134">
        <f t="shared" si="37"/>
        <v>3.3</v>
      </c>
      <c r="F143" s="134">
        <f t="shared" si="37"/>
        <v>3.3</v>
      </c>
      <c r="G143" s="134">
        <f t="shared" si="37"/>
        <v>3.3</v>
      </c>
      <c r="H143" s="134">
        <f t="shared" si="37"/>
        <v>3.3</v>
      </c>
      <c r="I143" s="134">
        <f t="shared" si="37"/>
        <v>3.3</v>
      </c>
      <c r="J143" s="134">
        <f t="shared" si="37"/>
        <v>3.3</v>
      </c>
      <c r="K143" s="134">
        <f t="shared" si="37"/>
        <v>3.3</v>
      </c>
      <c r="L143" s="134">
        <f t="shared" si="37"/>
        <v>3.3</v>
      </c>
      <c r="M143" s="134">
        <f t="shared" si="37"/>
        <v>3.3</v>
      </c>
      <c r="N143" s="134">
        <f t="shared" si="37"/>
        <v>3.3</v>
      </c>
      <c r="O143" s="134">
        <f t="shared" si="37"/>
        <v>3.3</v>
      </c>
      <c r="P143" s="134">
        <f t="shared" si="37"/>
        <v>3.3</v>
      </c>
      <c r="Q143" s="134">
        <f t="shared" si="37"/>
        <v>3.3</v>
      </c>
      <c r="R143" s="134">
        <f t="shared" si="37"/>
        <v>3.3</v>
      </c>
      <c r="S143" s="134">
        <f t="shared" si="38"/>
        <v>3.3</v>
      </c>
      <c r="T143" s="134">
        <f t="shared" si="38"/>
        <v>3.3</v>
      </c>
      <c r="U143" s="134">
        <f t="shared" si="38"/>
        <v>3.3</v>
      </c>
      <c r="V143" s="134">
        <f t="shared" si="38"/>
        <v>3.3</v>
      </c>
      <c r="W143" s="134">
        <f t="shared" si="38"/>
        <v>3.3</v>
      </c>
      <c r="X143" s="134">
        <f t="shared" si="38"/>
        <v>3.3</v>
      </c>
      <c r="Y143" s="134">
        <f t="shared" si="38"/>
        <v>3.3</v>
      </c>
      <c r="Z143" s="134">
        <f t="shared" si="38"/>
        <v>3.3</v>
      </c>
      <c r="AA143" s="134">
        <f t="shared" si="38"/>
        <v>3.3</v>
      </c>
      <c r="AB143" s="134">
        <f t="shared" si="38"/>
        <v>3.3</v>
      </c>
      <c r="AC143" s="134">
        <f t="shared" si="38"/>
        <v>3.3</v>
      </c>
      <c r="AD143" s="134">
        <f t="shared" si="38"/>
        <v>3.3</v>
      </c>
      <c r="AE143" s="134">
        <f t="shared" si="38"/>
        <v>3.3</v>
      </c>
      <c r="AF143" s="134">
        <f t="shared" si="38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9">B145</f>
        <v>1.76</v>
      </c>
      <c r="D145" s="134">
        <f t="shared" si="39"/>
        <v>1.76</v>
      </c>
      <c r="E145" s="134">
        <f t="shared" si="39"/>
        <v>1.76</v>
      </c>
      <c r="F145" s="134">
        <f t="shared" si="39"/>
        <v>1.76</v>
      </c>
      <c r="G145" s="134">
        <f t="shared" si="39"/>
        <v>1.76</v>
      </c>
      <c r="H145" s="134">
        <f t="shared" si="39"/>
        <v>1.76</v>
      </c>
      <c r="I145" s="134">
        <f t="shared" si="39"/>
        <v>1.76</v>
      </c>
      <c r="J145" s="134">
        <f t="shared" si="39"/>
        <v>1.76</v>
      </c>
      <c r="K145" s="134">
        <f t="shared" si="39"/>
        <v>1.76</v>
      </c>
      <c r="L145" s="134">
        <f t="shared" si="39"/>
        <v>1.76</v>
      </c>
      <c r="M145" s="134">
        <f t="shared" si="39"/>
        <v>1.76</v>
      </c>
      <c r="N145" s="134">
        <f t="shared" si="39"/>
        <v>1.76</v>
      </c>
      <c r="O145" s="134">
        <f t="shared" si="39"/>
        <v>1.76</v>
      </c>
      <c r="P145" s="134">
        <f t="shared" si="39"/>
        <v>1.76</v>
      </c>
      <c r="Q145" s="134">
        <f t="shared" si="39"/>
        <v>1.76</v>
      </c>
      <c r="R145" s="134">
        <f t="shared" si="39"/>
        <v>1.76</v>
      </c>
      <c r="S145" s="134">
        <f t="shared" ref="S145:AF146" si="40">R145</f>
        <v>1.76</v>
      </c>
      <c r="T145" s="134">
        <f t="shared" si="40"/>
        <v>1.76</v>
      </c>
      <c r="U145" s="134">
        <f t="shared" si="40"/>
        <v>1.76</v>
      </c>
      <c r="V145" s="134">
        <f t="shared" si="40"/>
        <v>1.76</v>
      </c>
      <c r="W145" s="134">
        <f t="shared" si="40"/>
        <v>1.76</v>
      </c>
      <c r="X145" s="134">
        <f t="shared" si="40"/>
        <v>1.76</v>
      </c>
      <c r="Y145" s="134">
        <f t="shared" si="40"/>
        <v>1.76</v>
      </c>
      <c r="Z145" s="134">
        <f t="shared" si="40"/>
        <v>1.76</v>
      </c>
      <c r="AA145" s="134">
        <f t="shared" si="40"/>
        <v>1.76</v>
      </c>
      <c r="AB145" s="134">
        <f t="shared" si="40"/>
        <v>1.76</v>
      </c>
      <c r="AC145" s="134">
        <f t="shared" si="40"/>
        <v>1.76</v>
      </c>
      <c r="AD145" s="134">
        <f t="shared" si="40"/>
        <v>1.76</v>
      </c>
      <c r="AE145" s="134">
        <f t="shared" si="40"/>
        <v>1.76</v>
      </c>
      <c r="AF145" s="134">
        <f t="shared" si="40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9"/>
        <v>0</v>
      </c>
      <c r="D146" s="134">
        <f t="shared" si="39"/>
        <v>0</v>
      </c>
      <c r="E146" s="134">
        <f t="shared" si="39"/>
        <v>0</v>
      </c>
      <c r="F146" s="134">
        <f t="shared" si="39"/>
        <v>0</v>
      </c>
      <c r="G146" s="134">
        <f t="shared" si="39"/>
        <v>0</v>
      </c>
      <c r="H146" s="134">
        <f t="shared" si="39"/>
        <v>0</v>
      </c>
      <c r="I146" s="134">
        <f t="shared" si="39"/>
        <v>0</v>
      </c>
      <c r="J146" s="134">
        <f t="shared" si="39"/>
        <v>0</v>
      </c>
      <c r="K146" s="134">
        <f t="shared" si="39"/>
        <v>0</v>
      </c>
      <c r="L146" s="134">
        <f t="shared" si="39"/>
        <v>0</v>
      </c>
      <c r="M146" s="134">
        <f t="shared" si="39"/>
        <v>0</v>
      </c>
      <c r="N146" s="134">
        <f t="shared" si="39"/>
        <v>0</v>
      </c>
      <c r="O146" s="134">
        <f t="shared" si="39"/>
        <v>0</v>
      </c>
      <c r="P146" s="134">
        <f t="shared" si="39"/>
        <v>0</v>
      </c>
      <c r="Q146" s="134">
        <f t="shared" si="39"/>
        <v>0</v>
      </c>
      <c r="R146" s="134">
        <f t="shared" si="39"/>
        <v>0</v>
      </c>
      <c r="S146" s="134">
        <f t="shared" si="40"/>
        <v>0</v>
      </c>
      <c r="T146" s="134">
        <f t="shared" si="40"/>
        <v>0</v>
      </c>
      <c r="U146" s="134">
        <f t="shared" si="40"/>
        <v>0</v>
      </c>
      <c r="V146" s="134">
        <f t="shared" si="40"/>
        <v>0</v>
      </c>
      <c r="W146" s="134">
        <f t="shared" si="40"/>
        <v>0</v>
      </c>
      <c r="X146" s="134">
        <f t="shared" si="40"/>
        <v>0</v>
      </c>
      <c r="Y146" s="134">
        <f t="shared" si="40"/>
        <v>0</v>
      </c>
      <c r="Z146" s="134">
        <f t="shared" si="40"/>
        <v>0</v>
      </c>
      <c r="AA146" s="134">
        <f t="shared" si="40"/>
        <v>0</v>
      </c>
      <c r="AB146" s="134">
        <f t="shared" si="40"/>
        <v>0</v>
      </c>
      <c r="AC146" s="134">
        <f t="shared" si="40"/>
        <v>0</v>
      </c>
      <c r="AD146" s="134">
        <f t="shared" si="40"/>
        <v>0</v>
      </c>
      <c r="AE146" s="134">
        <f t="shared" si="40"/>
        <v>0</v>
      </c>
      <c r="AF146" s="134">
        <f t="shared" si="40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41">B148</f>
        <v>0.1</v>
      </c>
      <c r="D148" s="134">
        <f t="shared" si="41"/>
        <v>0.1</v>
      </c>
      <c r="E148" s="134">
        <f t="shared" si="41"/>
        <v>0.1</v>
      </c>
      <c r="F148" s="134">
        <f t="shared" si="41"/>
        <v>0.1</v>
      </c>
      <c r="G148" s="134">
        <f t="shared" si="41"/>
        <v>0.1</v>
      </c>
      <c r="H148" s="134">
        <f t="shared" si="41"/>
        <v>0.1</v>
      </c>
      <c r="I148" s="134">
        <f t="shared" si="41"/>
        <v>0.1</v>
      </c>
      <c r="J148" s="134">
        <f t="shared" si="41"/>
        <v>0.1</v>
      </c>
      <c r="K148" s="134">
        <f t="shared" si="41"/>
        <v>0.1</v>
      </c>
      <c r="L148" s="134">
        <f t="shared" si="41"/>
        <v>0.1</v>
      </c>
      <c r="M148" s="134">
        <f t="shared" si="41"/>
        <v>0.1</v>
      </c>
      <c r="N148" s="134">
        <f t="shared" si="41"/>
        <v>0.1</v>
      </c>
      <c r="O148" s="134">
        <f t="shared" si="41"/>
        <v>0.1</v>
      </c>
      <c r="P148" s="134">
        <f t="shared" si="41"/>
        <v>0.1</v>
      </c>
      <c r="Q148" s="134">
        <f t="shared" si="41"/>
        <v>0.1</v>
      </c>
      <c r="R148" s="134">
        <f t="shared" si="41"/>
        <v>0.1</v>
      </c>
      <c r="S148" s="134">
        <f t="shared" ref="S148:AF151" si="42">R148</f>
        <v>0.1</v>
      </c>
      <c r="T148" s="134">
        <f t="shared" si="42"/>
        <v>0.1</v>
      </c>
      <c r="U148" s="134">
        <f t="shared" si="42"/>
        <v>0.1</v>
      </c>
      <c r="V148" s="134">
        <f t="shared" si="42"/>
        <v>0.1</v>
      </c>
      <c r="W148" s="134">
        <f t="shared" si="42"/>
        <v>0.1</v>
      </c>
      <c r="X148" s="134">
        <f t="shared" si="42"/>
        <v>0.1</v>
      </c>
      <c r="Y148" s="134">
        <f t="shared" si="42"/>
        <v>0.1</v>
      </c>
      <c r="Z148" s="134">
        <f t="shared" si="42"/>
        <v>0.1</v>
      </c>
      <c r="AA148" s="134">
        <f t="shared" si="42"/>
        <v>0.1</v>
      </c>
      <c r="AB148" s="134">
        <f t="shared" si="42"/>
        <v>0.1</v>
      </c>
      <c r="AC148" s="134">
        <f t="shared" si="42"/>
        <v>0.1</v>
      </c>
      <c r="AD148" s="134">
        <f t="shared" si="42"/>
        <v>0.1</v>
      </c>
      <c r="AE148" s="134">
        <f t="shared" si="42"/>
        <v>0.1</v>
      </c>
      <c r="AF148" s="134">
        <f t="shared" si="42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41"/>
        <v>2.0499999999999998</v>
      </c>
      <c r="D149" s="134">
        <f t="shared" si="41"/>
        <v>2.0499999999999998</v>
      </c>
      <c r="E149" s="134">
        <f t="shared" si="41"/>
        <v>2.0499999999999998</v>
      </c>
      <c r="F149" s="134">
        <f t="shared" si="41"/>
        <v>2.0499999999999998</v>
      </c>
      <c r="G149" s="134">
        <f t="shared" si="41"/>
        <v>2.0499999999999998</v>
      </c>
      <c r="H149" s="134">
        <f t="shared" si="41"/>
        <v>2.0499999999999998</v>
      </c>
      <c r="I149" s="134">
        <f t="shared" si="41"/>
        <v>2.0499999999999998</v>
      </c>
      <c r="J149" s="134">
        <f t="shared" si="41"/>
        <v>2.0499999999999998</v>
      </c>
      <c r="K149" s="134">
        <f t="shared" si="41"/>
        <v>2.0499999999999998</v>
      </c>
      <c r="L149" s="134">
        <f t="shared" si="41"/>
        <v>2.0499999999999998</v>
      </c>
      <c r="M149" s="134">
        <f t="shared" si="41"/>
        <v>2.0499999999999998</v>
      </c>
      <c r="N149" s="134">
        <f t="shared" si="41"/>
        <v>2.0499999999999998</v>
      </c>
      <c r="O149" s="134">
        <f t="shared" si="41"/>
        <v>2.0499999999999998</v>
      </c>
      <c r="P149" s="134">
        <f t="shared" si="41"/>
        <v>2.0499999999999998</v>
      </c>
      <c r="Q149" s="134">
        <f t="shared" si="41"/>
        <v>2.0499999999999998</v>
      </c>
      <c r="R149" s="134">
        <f t="shared" si="41"/>
        <v>2.0499999999999998</v>
      </c>
      <c r="S149" s="134">
        <f t="shared" si="42"/>
        <v>2.0499999999999998</v>
      </c>
      <c r="T149" s="134">
        <f t="shared" si="42"/>
        <v>2.0499999999999998</v>
      </c>
      <c r="U149" s="134">
        <f t="shared" si="42"/>
        <v>2.0499999999999998</v>
      </c>
      <c r="V149" s="134">
        <f t="shared" si="42"/>
        <v>2.0499999999999998</v>
      </c>
      <c r="W149" s="134">
        <f t="shared" si="42"/>
        <v>2.0499999999999998</v>
      </c>
      <c r="X149" s="134">
        <f t="shared" si="42"/>
        <v>2.0499999999999998</v>
      </c>
      <c r="Y149" s="134">
        <f t="shared" si="42"/>
        <v>2.0499999999999998</v>
      </c>
      <c r="Z149" s="134">
        <f t="shared" si="42"/>
        <v>2.0499999999999998</v>
      </c>
      <c r="AA149" s="134">
        <f t="shared" si="42"/>
        <v>2.0499999999999998</v>
      </c>
      <c r="AB149" s="134">
        <f t="shared" si="42"/>
        <v>2.0499999999999998</v>
      </c>
      <c r="AC149" s="134">
        <f t="shared" si="42"/>
        <v>2.0499999999999998</v>
      </c>
      <c r="AD149" s="134">
        <f t="shared" si="42"/>
        <v>2.0499999999999998</v>
      </c>
      <c r="AE149" s="134">
        <f t="shared" si="42"/>
        <v>2.0499999999999998</v>
      </c>
      <c r="AF149" s="134">
        <f t="shared" si="42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41"/>
        <v>2.7</v>
      </c>
      <c r="D150" s="134">
        <f t="shared" si="41"/>
        <v>2.7</v>
      </c>
      <c r="E150" s="134">
        <f t="shared" si="41"/>
        <v>2.7</v>
      </c>
      <c r="F150" s="134">
        <f t="shared" si="41"/>
        <v>2.7</v>
      </c>
      <c r="G150" s="134">
        <f t="shared" si="41"/>
        <v>2.7</v>
      </c>
      <c r="H150" s="134">
        <f t="shared" si="41"/>
        <v>2.7</v>
      </c>
      <c r="I150" s="134">
        <f t="shared" si="41"/>
        <v>2.7</v>
      </c>
      <c r="J150" s="134">
        <f t="shared" si="41"/>
        <v>2.7</v>
      </c>
      <c r="K150" s="134">
        <f t="shared" si="41"/>
        <v>2.7</v>
      </c>
      <c r="L150" s="134">
        <f t="shared" si="41"/>
        <v>2.7</v>
      </c>
      <c r="M150" s="134">
        <f t="shared" si="41"/>
        <v>2.7</v>
      </c>
      <c r="N150" s="134">
        <f t="shared" si="41"/>
        <v>2.7</v>
      </c>
      <c r="O150" s="134">
        <f t="shared" si="41"/>
        <v>2.7</v>
      </c>
      <c r="P150" s="134">
        <f t="shared" si="41"/>
        <v>2.7</v>
      </c>
      <c r="Q150" s="134">
        <f t="shared" si="41"/>
        <v>2.7</v>
      </c>
      <c r="R150" s="134">
        <f t="shared" si="41"/>
        <v>2.7</v>
      </c>
      <c r="S150" s="134">
        <f t="shared" si="42"/>
        <v>2.7</v>
      </c>
      <c r="T150" s="134">
        <f t="shared" si="42"/>
        <v>2.7</v>
      </c>
      <c r="U150" s="134">
        <f t="shared" si="42"/>
        <v>2.7</v>
      </c>
      <c r="V150" s="134">
        <f t="shared" si="42"/>
        <v>2.7</v>
      </c>
      <c r="W150" s="134">
        <f t="shared" si="42"/>
        <v>2.7</v>
      </c>
      <c r="X150" s="134">
        <f t="shared" si="42"/>
        <v>2.7</v>
      </c>
      <c r="Y150" s="134">
        <f t="shared" si="42"/>
        <v>2.7</v>
      </c>
      <c r="Z150" s="134">
        <f t="shared" si="42"/>
        <v>2.7</v>
      </c>
      <c r="AA150" s="134">
        <f t="shared" si="42"/>
        <v>2.7</v>
      </c>
      <c r="AB150" s="134">
        <f t="shared" si="42"/>
        <v>2.7</v>
      </c>
      <c r="AC150" s="134">
        <f t="shared" si="42"/>
        <v>2.7</v>
      </c>
      <c r="AD150" s="134">
        <f t="shared" si="42"/>
        <v>2.7</v>
      </c>
      <c r="AE150" s="134">
        <f t="shared" si="42"/>
        <v>2.7</v>
      </c>
      <c r="AF150" s="134">
        <f t="shared" si="42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41"/>
        <v>2.15</v>
      </c>
      <c r="D151" s="134">
        <f t="shared" si="41"/>
        <v>2.15</v>
      </c>
      <c r="E151" s="134">
        <f t="shared" si="41"/>
        <v>2.15</v>
      </c>
      <c r="F151" s="134">
        <f t="shared" si="41"/>
        <v>2.15</v>
      </c>
      <c r="G151" s="134">
        <f t="shared" si="41"/>
        <v>2.15</v>
      </c>
      <c r="H151" s="134">
        <f t="shared" si="41"/>
        <v>2.15</v>
      </c>
      <c r="I151" s="134">
        <f t="shared" si="41"/>
        <v>2.15</v>
      </c>
      <c r="J151" s="134">
        <f t="shared" si="41"/>
        <v>2.15</v>
      </c>
      <c r="K151" s="134">
        <f t="shared" si="41"/>
        <v>2.15</v>
      </c>
      <c r="L151" s="134">
        <f t="shared" si="41"/>
        <v>2.15</v>
      </c>
      <c r="M151" s="134">
        <f t="shared" si="41"/>
        <v>2.15</v>
      </c>
      <c r="N151" s="134">
        <f t="shared" si="41"/>
        <v>2.15</v>
      </c>
      <c r="O151" s="134">
        <f t="shared" si="41"/>
        <v>2.15</v>
      </c>
      <c r="P151" s="134">
        <f t="shared" si="41"/>
        <v>2.15</v>
      </c>
      <c r="Q151" s="134">
        <f t="shared" si="41"/>
        <v>2.15</v>
      </c>
      <c r="R151" s="134">
        <f t="shared" si="41"/>
        <v>2.15</v>
      </c>
      <c r="S151" s="134">
        <f t="shared" si="42"/>
        <v>2.15</v>
      </c>
      <c r="T151" s="134">
        <f t="shared" si="42"/>
        <v>2.15</v>
      </c>
      <c r="U151" s="134">
        <f t="shared" si="42"/>
        <v>2.15</v>
      </c>
      <c r="V151" s="134">
        <f t="shared" si="42"/>
        <v>2.15</v>
      </c>
      <c r="W151" s="134">
        <f t="shared" si="42"/>
        <v>2.15</v>
      </c>
      <c r="X151" s="134">
        <f t="shared" si="42"/>
        <v>2.15</v>
      </c>
      <c r="Y151" s="134">
        <f t="shared" si="42"/>
        <v>2.15</v>
      </c>
      <c r="Z151" s="134">
        <f t="shared" si="42"/>
        <v>2.15</v>
      </c>
      <c r="AA151" s="134">
        <f t="shared" si="42"/>
        <v>2.15</v>
      </c>
      <c r="AB151" s="134">
        <f t="shared" si="42"/>
        <v>2.15</v>
      </c>
      <c r="AC151" s="134">
        <f t="shared" si="42"/>
        <v>2.15</v>
      </c>
      <c r="AD151" s="134">
        <f t="shared" si="42"/>
        <v>2.15</v>
      </c>
      <c r="AE151" s="134">
        <f t="shared" si="42"/>
        <v>2.15</v>
      </c>
      <c r="AF151" s="134">
        <f t="shared" si="42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3">B153</f>
        <v>0.9</v>
      </c>
      <c r="D153" s="134">
        <f t="shared" si="43"/>
        <v>0.9</v>
      </c>
      <c r="E153" s="134">
        <f t="shared" si="43"/>
        <v>0.9</v>
      </c>
      <c r="F153" s="134">
        <f t="shared" si="43"/>
        <v>0.9</v>
      </c>
      <c r="G153" s="134">
        <f t="shared" si="43"/>
        <v>0.9</v>
      </c>
      <c r="H153" s="134">
        <f t="shared" si="43"/>
        <v>0.9</v>
      </c>
      <c r="I153" s="134">
        <f t="shared" si="43"/>
        <v>0.9</v>
      </c>
      <c r="J153" s="134">
        <f t="shared" si="43"/>
        <v>0.9</v>
      </c>
      <c r="K153" s="134">
        <f t="shared" si="43"/>
        <v>0.9</v>
      </c>
      <c r="L153" s="134">
        <f t="shared" si="43"/>
        <v>0.9</v>
      </c>
      <c r="M153" s="134">
        <f t="shared" si="43"/>
        <v>0.9</v>
      </c>
      <c r="N153" s="134">
        <f t="shared" si="43"/>
        <v>0.9</v>
      </c>
      <c r="O153" s="134">
        <f t="shared" si="43"/>
        <v>0.9</v>
      </c>
      <c r="P153" s="134">
        <f t="shared" si="43"/>
        <v>0.9</v>
      </c>
      <c r="Q153" s="134">
        <f t="shared" si="43"/>
        <v>0.9</v>
      </c>
      <c r="R153" s="134">
        <f t="shared" si="43"/>
        <v>0.9</v>
      </c>
      <c r="S153" s="134">
        <f t="shared" ref="R153:AF165" si="44">R153</f>
        <v>0.9</v>
      </c>
      <c r="T153" s="134">
        <f t="shared" si="44"/>
        <v>0.9</v>
      </c>
      <c r="U153" s="134">
        <f t="shared" si="44"/>
        <v>0.9</v>
      </c>
      <c r="V153" s="134">
        <f t="shared" si="44"/>
        <v>0.9</v>
      </c>
      <c r="W153" s="134">
        <f t="shared" si="44"/>
        <v>0.9</v>
      </c>
      <c r="X153" s="134">
        <f t="shared" si="44"/>
        <v>0.9</v>
      </c>
      <c r="Y153" s="134">
        <f t="shared" si="44"/>
        <v>0.9</v>
      </c>
      <c r="Z153" s="134">
        <f t="shared" si="44"/>
        <v>0.9</v>
      </c>
      <c r="AA153" s="134">
        <f t="shared" si="44"/>
        <v>0.9</v>
      </c>
      <c r="AB153" s="134">
        <f t="shared" si="44"/>
        <v>0.9</v>
      </c>
      <c r="AC153" s="134">
        <f t="shared" si="44"/>
        <v>0.9</v>
      </c>
      <c r="AD153" s="134">
        <f t="shared" si="44"/>
        <v>0.9</v>
      </c>
      <c r="AE153" s="134">
        <f t="shared" si="44"/>
        <v>0.9</v>
      </c>
      <c r="AF153" s="134">
        <f t="shared" si="44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3"/>
        <v>1.08</v>
      </c>
      <c r="D154" s="134">
        <f t="shared" si="43"/>
        <v>1.08</v>
      </c>
      <c r="E154" s="134">
        <f t="shared" si="43"/>
        <v>1.08</v>
      </c>
      <c r="F154" s="134">
        <f t="shared" si="43"/>
        <v>1.08</v>
      </c>
      <c r="G154" s="134">
        <f t="shared" si="43"/>
        <v>1.08</v>
      </c>
      <c r="H154" s="134">
        <f t="shared" si="43"/>
        <v>1.08</v>
      </c>
      <c r="I154" s="134">
        <f t="shared" si="43"/>
        <v>1.08</v>
      </c>
      <c r="J154" s="134">
        <f t="shared" si="43"/>
        <v>1.08</v>
      </c>
      <c r="K154" s="134">
        <f t="shared" si="43"/>
        <v>1.08</v>
      </c>
      <c r="L154" s="134">
        <f t="shared" si="43"/>
        <v>1.08</v>
      </c>
      <c r="M154" s="134">
        <f t="shared" si="43"/>
        <v>1.08</v>
      </c>
      <c r="N154" s="134">
        <f t="shared" si="43"/>
        <v>1.08</v>
      </c>
      <c r="O154" s="134">
        <f t="shared" si="43"/>
        <v>1.08</v>
      </c>
      <c r="P154" s="134">
        <f t="shared" si="43"/>
        <v>1.08</v>
      </c>
      <c r="Q154" s="134">
        <f t="shared" si="43"/>
        <v>1.08</v>
      </c>
      <c r="R154" s="134">
        <f t="shared" si="43"/>
        <v>1.08</v>
      </c>
      <c r="S154" s="134">
        <f t="shared" si="44"/>
        <v>1.08</v>
      </c>
      <c r="T154" s="134">
        <f t="shared" si="44"/>
        <v>1.08</v>
      </c>
      <c r="U154" s="134">
        <f t="shared" si="44"/>
        <v>1.08</v>
      </c>
      <c r="V154" s="134">
        <f t="shared" si="44"/>
        <v>1.08</v>
      </c>
      <c r="W154" s="134">
        <f t="shared" si="44"/>
        <v>1.08</v>
      </c>
      <c r="X154" s="134">
        <f t="shared" si="44"/>
        <v>1.08</v>
      </c>
      <c r="Y154" s="134">
        <f t="shared" si="44"/>
        <v>1.08</v>
      </c>
      <c r="Z154" s="134">
        <f t="shared" si="44"/>
        <v>1.08</v>
      </c>
      <c r="AA154" s="134">
        <f t="shared" si="44"/>
        <v>1.08</v>
      </c>
      <c r="AB154" s="134">
        <f t="shared" si="44"/>
        <v>1.08</v>
      </c>
      <c r="AC154" s="134">
        <f t="shared" si="44"/>
        <v>1.08</v>
      </c>
      <c r="AD154" s="134">
        <f t="shared" si="44"/>
        <v>1.08</v>
      </c>
      <c r="AE154" s="134">
        <f t="shared" si="44"/>
        <v>1.08</v>
      </c>
      <c r="AF154" s="134">
        <f t="shared" si="44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3"/>
        <v>2.37</v>
      </c>
      <c r="D155" s="134">
        <f t="shared" si="43"/>
        <v>2.37</v>
      </c>
      <c r="E155" s="134">
        <f t="shared" si="43"/>
        <v>2.37</v>
      </c>
      <c r="F155" s="134">
        <f t="shared" si="43"/>
        <v>2.37</v>
      </c>
      <c r="G155" s="134">
        <f t="shared" si="43"/>
        <v>2.37</v>
      </c>
      <c r="H155" s="134">
        <f t="shared" si="43"/>
        <v>2.37</v>
      </c>
      <c r="I155" s="134">
        <f t="shared" si="43"/>
        <v>2.37</v>
      </c>
      <c r="J155" s="134">
        <f t="shared" si="43"/>
        <v>2.37</v>
      </c>
      <c r="K155" s="134">
        <f t="shared" si="43"/>
        <v>2.37</v>
      </c>
      <c r="L155" s="134">
        <f t="shared" si="43"/>
        <v>2.37</v>
      </c>
      <c r="M155" s="134">
        <f t="shared" si="43"/>
        <v>2.37</v>
      </c>
      <c r="N155" s="134">
        <f t="shared" si="43"/>
        <v>2.37</v>
      </c>
      <c r="O155" s="134">
        <f t="shared" si="43"/>
        <v>2.37</v>
      </c>
      <c r="P155" s="134">
        <f t="shared" si="43"/>
        <v>2.37</v>
      </c>
      <c r="Q155" s="134">
        <f t="shared" si="43"/>
        <v>2.37</v>
      </c>
      <c r="R155" s="134">
        <f t="shared" si="43"/>
        <v>2.37</v>
      </c>
      <c r="S155" s="134">
        <f t="shared" si="44"/>
        <v>2.37</v>
      </c>
      <c r="T155" s="134">
        <f t="shared" si="44"/>
        <v>2.37</v>
      </c>
      <c r="U155" s="134">
        <f t="shared" si="44"/>
        <v>2.37</v>
      </c>
      <c r="V155" s="134">
        <f t="shared" si="44"/>
        <v>2.37</v>
      </c>
      <c r="W155" s="134">
        <f t="shared" si="44"/>
        <v>2.37</v>
      </c>
      <c r="X155" s="134">
        <f t="shared" si="44"/>
        <v>2.37</v>
      </c>
      <c r="Y155" s="134">
        <f t="shared" si="44"/>
        <v>2.37</v>
      </c>
      <c r="Z155" s="134">
        <f t="shared" si="44"/>
        <v>2.37</v>
      </c>
      <c r="AA155" s="134">
        <f t="shared" si="44"/>
        <v>2.37</v>
      </c>
      <c r="AB155" s="134">
        <f t="shared" si="44"/>
        <v>2.37</v>
      </c>
      <c r="AC155" s="134">
        <f t="shared" si="44"/>
        <v>2.37</v>
      </c>
      <c r="AD155" s="134">
        <f t="shared" si="44"/>
        <v>2.37</v>
      </c>
      <c r="AE155" s="134">
        <f t="shared" si="44"/>
        <v>2.37</v>
      </c>
      <c r="AF155" s="134">
        <f t="shared" si="44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3"/>
        <v>1.81</v>
      </c>
      <c r="D156" s="134">
        <f t="shared" si="43"/>
        <v>1.81</v>
      </c>
      <c r="E156" s="134">
        <f t="shared" si="43"/>
        <v>1.81</v>
      </c>
      <c r="F156" s="134">
        <f t="shared" si="43"/>
        <v>1.81</v>
      </c>
      <c r="G156" s="134">
        <f t="shared" si="43"/>
        <v>1.81</v>
      </c>
      <c r="H156" s="134">
        <f t="shared" si="43"/>
        <v>1.81</v>
      </c>
      <c r="I156" s="134">
        <f t="shared" si="43"/>
        <v>1.81</v>
      </c>
      <c r="J156" s="134">
        <f t="shared" si="43"/>
        <v>1.81</v>
      </c>
      <c r="K156" s="134">
        <f t="shared" si="43"/>
        <v>1.81</v>
      </c>
      <c r="L156" s="134">
        <f t="shared" si="43"/>
        <v>1.81</v>
      </c>
      <c r="M156" s="134">
        <f t="shared" si="43"/>
        <v>1.81</v>
      </c>
      <c r="N156" s="134">
        <f t="shared" si="43"/>
        <v>1.81</v>
      </c>
      <c r="O156" s="134">
        <f t="shared" si="43"/>
        <v>1.81</v>
      </c>
      <c r="P156" s="134">
        <f t="shared" si="43"/>
        <v>1.81</v>
      </c>
      <c r="Q156" s="134">
        <f t="shared" si="43"/>
        <v>1.81</v>
      </c>
      <c r="R156" s="134">
        <f t="shared" si="43"/>
        <v>1.81</v>
      </c>
      <c r="S156" s="134">
        <f t="shared" si="44"/>
        <v>1.81</v>
      </c>
      <c r="T156" s="134">
        <f t="shared" si="44"/>
        <v>1.81</v>
      </c>
      <c r="U156" s="134">
        <f t="shared" si="44"/>
        <v>1.81</v>
      </c>
      <c r="V156" s="134">
        <f t="shared" si="44"/>
        <v>1.81</v>
      </c>
      <c r="W156" s="134">
        <f t="shared" si="44"/>
        <v>1.81</v>
      </c>
      <c r="X156" s="134">
        <f t="shared" si="44"/>
        <v>1.81</v>
      </c>
      <c r="Y156" s="134">
        <f t="shared" si="44"/>
        <v>1.81</v>
      </c>
      <c r="Z156" s="134">
        <f t="shared" si="44"/>
        <v>1.81</v>
      </c>
      <c r="AA156" s="134">
        <f t="shared" si="44"/>
        <v>1.81</v>
      </c>
      <c r="AB156" s="134">
        <f t="shared" si="44"/>
        <v>1.81</v>
      </c>
      <c r="AC156" s="134">
        <f t="shared" si="44"/>
        <v>1.81</v>
      </c>
      <c r="AD156" s="134">
        <f t="shared" si="44"/>
        <v>1.81</v>
      </c>
      <c r="AE156" s="134">
        <f t="shared" si="44"/>
        <v>1.81</v>
      </c>
      <c r="AF156" s="134">
        <f t="shared" si="44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3"/>
        <v>1.0900000000000001</v>
      </c>
      <c r="D157" s="134">
        <f t="shared" si="43"/>
        <v>1.0900000000000001</v>
      </c>
      <c r="E157" s="134">
        <f t="shared" si="43"/>
        <v>1.0900000000000001</v>
      </c>
      <c r="F157" s="134">
        <f t="shared" si="43"/>
        <v>1.0900000000000001</v>
      </c>
      <c r="G157" s="134">
        <f t="shared" si="43"/>
        <v>1.0900000000000001</v>
      </c>
      <c r="H157" s="134">
        <f t="shared" si="43"/>
        <v>1.0900000000000001</v>
      </c>
      <c r="I157" s="134">
        <f t="shared" si="43"/>
        <v>1.0900000000000001</v>
      </c>
      <c r="J157" s="134">
        <f t="shared" si="43"/>
        <v>1.0900000000000001</v>
      </c>
      <c r="K157" s="134">
        <f t="shared" si="43"/>
        <v>1.0900000000000001</v>
      </c>
      <c r="L157" s="134">
        <f t="shared" si="43"/>
        <v>1.0900000000000001</v>
      </c>
      <c r="M157" s="134">
        <f t="shared" si="43"/>
        <v>1.0900000000000001</v>
      </c>
      <c r="N157" s="134">
        <f t="shared" si="43"/>
        <v>1.0900000000000001</v>
      </c>
      <c r="O157" s="134">
        <f t="shared" si="43"/>
        <v>1.0900000000000001</v>
      </c>
      <c r="P157" s="134">
        <f t="shared" si="43"/>
        <v>1.0900000000000001</v>
      </c>
      <c r="Q157" s="134">
        <f t="shared" si="43"/>
        <v>1.0900000000000001</v>
      </c>
      <c r="R157" s="134">
        <f t="shared" si="43"/>
        <v>1.0900000000000001</v>
      </c>
      <c r="S157" s="134">
        <f t="shared" si="44"/>
        <v>1.0900000000000001</v>
      </c>
      <c r="T157" s="134">
        <f t="shared" si="44"/>
        <v>1.0900000000000001</v>
      </c>
      <c r="U157" s="134">
        <f t="shared" si="44"/>
        <v>1.0900000000000001</v>
      </c>
      <c r="V157" s="134">
        <f t="shared" si="44"/>
        <v>1.0900000000000001</v>
      </c>
      <c r="W157" s="134">
        <f t="shared" si="44"/>
        <v>1.0900000000000001</v>
      </c>
      <c r="X157" s="134">
        <f t="shared" si="44"/>
        <v>1.0900000000000001</v>
      </c>
      <c r="Y157" s="134">
        <f t="shared" si="44"/>
        <v>1.0900000000000001</v>
      </c>
      <c r="Z157" s="134">
        <f t="shared" si="44"/>
        <v>1.0900000000000001</v>
      </c>
      <c r="AA157" s="134">
        <f t="shared" si="44"/>
        <v>1.0900000000000001</v>
      </c>
      <c r="AB157" s="134">
        <f t="shared" si="44"/>
        <v>1.0900000000000001</v>
      </c>
      <c r="AC157" s="134">
        <f t="shared" si="44"/>
        <v>1.0900000000000001</v>
      </c>
      <c r="AD157" s="134">
        <f t="shared" si="44"/>
        <v>1.0900000000000001</v>
      </c>
      <c r="AE157" s="134">
        <f t="shared" si="44"/>
        <v>1.0900000000000001</v>
      </c>
      <c r="AF157" s="134">
        <f t="shared" si="44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3"/>
        <v>1.58</v>
      </c>
      <c r="D158" s="134">
        <f t="shared" si="43"/>
        <v>1.58</v>
      </c>
      <c r="E158" s="134">
        <f t="shared" si="43"/>
        <v>1.58</v>
      </c>
      <c r="F158" s="134">
        <f t="shared" si="43"/>
        <v>1.58</v>
      </c>
      <c r="G158" s="134">
        <f t="shared" si="43"/>
        <v>1.58</v>
      </c>
      <c r="H158" s="134">
        <f t="shared" si="43"/>
        <v>1.58</v>
      </c>
      <c r="I158" s="134">
        <f t="shared" si="43"/>
        <v>1.58</v>
      </c>
      <c r="J158" s="134">
        <f t="shared" si="43"/>
        <v>1.58</v>
      </c>
      <c r="K158" s="134">
        <f t="shared" si="43"/>
        <v>1.58</v>
      </c>
      <c r="L158" s="134">
        <f t="shared" si="43"/>
        <v>1.58</v>
      </c>
      <c r="M158" s="134">
        <f t="shared" si="43"/>
        <v>1.58</v>
      </c>
      <c r="N158" s="134">
        <f t="shared" si="43"/>
        <v>1.58</v>
      </c>
      <c r="O158" s="134">
        <f t="shared" si="43"/>
        <v>1.58</v>
      </c>
      <c r="P158" s="134">
        <f t="shared" si="43"/>
        <v>1.58</v>
      </c>
      <c r="Q158" s="134">
        <f t="shared" si="43"/>
        <v>1.58</v>
      </c>
      <c r="R158" s="134">
        <f t="shared" si="43"/>
        <v>1.58</v>
      </c>
      <c r="S158" s="134">
        <f t="shared" si="44"/>
        <v>1.58</v>
      </c>
      <c r="T158" s="134">
        <f t="shared" si="44"/>
        <v>1.58</v>
      </c>
      <c r="U158" s="134">
        <f t="shared" si="44"/>
        <v>1.58</v>
      </c>
      <c r="V158" s="134">
        <f t="shared" si="44"/>
        <v>1.58</v>
      </c>
      <c r="W158" s="134">
        <f t="shared" si="44"/>
        <v>1.58</v>
      </c>
      <c r="X158" s="134">
        <f t="shared" si="44"/>
        <v>1.58</v>
      </c>
      <c r="Y158" s="134">
        <f t="shared" si="44"/>
        <v>1.58</v>
      </c>
      <c r="Z158" s="134">
        <f t="shared" si="44"/>
        <v>1.58</v>
      </c>
      <c r="AA158" s="134">
        <f t="shared" si="44"/>
        <v>1.58</v>
      </c>
      <c r="AB158" s="134">
        <f t="shared" si="44"/>
        <v>1.58</v>
      </c>
      <c r="AC158" s="134">
        <f t="shared" si="44"/>
        <v>1.58</v>
      </c>
      <c r="AD158" s="134">
        <f t="shared" si="44"/>
        <v>1.58</v>
      </c>
      <c r="AE158" s="134">
        <f t="shared" si="44"/>
        <v>1.58</v>
      </c>
      <c r="AF158" s="134">
        <f t="shared" si="44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3"/>
        <v>2</v>
      </c>
      <c r="D159" s="134">
        <f t="shared" si="43"/>
        <v>2</v>
      </c>
      <c r="E159" s="134">
        <f t="shared" si="43"/>
        <v>2</v>
      </c>
      <c r="F159" s="134">
        <f t="shared" si="43"/>
        <v>2</v>
      </c>
      <c r="G159" s="134">
        <f t="shared" si="43"/>
        <v>2</v>
      </c>
      <c r="H159" s="134">
        <f t="shared" si="43"/>
        <v>2</v>
      </c>
      <c r="I159" s="134">
        <f t="shared" si="43"/>
        <v>2</v>
      </c>
      <c r="J159" s="134">
        <f t="shared" si="43"/>
        <v>2</v>
      </c>
      <c r="K159" s="134">
        <f t="shared" si="43"/>
        <v>2</v>
      </c>
      <c r="L159" s="134">
        <f t="shared" si="43"/>
        <v>2</v>
      </c>
      <c r="M159" s="134">
        <f t="shared" si="43"/>
        <v>2</v>
      </c>
      <c r="N159" s="134">
        <f t="shared" si="43"/>
        <v>2</v>
      </c>
      <c r="O159" s="134">
        <f t="shared" si="43"/>
        <v>2</v>
      </c>
      <c r="P159" s="134">
        <f t="shared" si="43"/>
        <v>2</v>
      </c>
      <c r="Q159" s="134">
        <f t="shared" si="43"/>
        <v>2</v>
      </c>
      <c r="R159" s="134">
        <f t="shared" si="43"/>
        <v>2</v>
      </c>
      <c r="S159" s="134">
        <f t="shared" si="44"/>
        <v>2</v>
      </c>
      <c r="T159" s="134">
        <f t="shared" si="44"/>
        <v>2</v>
      </c>
      <c r="U159" s="134">
        <f t="shared" si="44"/>
        <v>2</v>
      </c>
      <c r="V159" s="134">
        <f t="shared" si="44"/>
        <v>2</v>
      </c>
      <c r="W159" s="134">
        <f t="shared" si="44"/>
        <v>2</v>
      </c>
      <c r="X159" s="134">
        <f t="shared" si="44"/>
        <v>2</v>
      </c>
      <c r="Y159" s="134">
        <f t="shared" si="44"/>
        <v>2</v>
      </c>
      <c r="Z159" s="134">
        <f t="shared" si="44"/>
        <v>2</v>
      </c>
      <c r="AA159" s="134">
        <f t="shared" si="44"/>
        <v>2</v>
      </c>
      <c r="AB159" s="134">
        <f t="shared" si="44"/>
        <v>2</v>
      </c>
      <c r="AC159" s="134">
        <f t="shared" si="44"/>
        <v>2</v>
      </c>
      <c r="AD159" s="134">
        <f t="shared" si="44"/>
        <v>2</v>
      </c>
      <c r="AE159" s="134">
        <f t="shared" si="44"/>
        <v>2</v>
      </c>
      <c r="AF159" s="134">
        <f t="shared" si="44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3"/>
        <v>0.47</v>
      </c>
      <c r="D160" s="134">
        <f t="shared" si="43"/>
        <v>0.47</v>
      </c>
      <c r="E160" s="134">
        <f t="shared" si="43"/>
        <v>0.47</v>
      </c>
      <c r="F160" s="134">
        <f t="shared" si="43"/>
        <v>0.47</v>
      </c>
      <c r="G160" s="134">
        <f t="shared" si="43"/>
        <v>0.47</v>
      </c>
      <c r="H160" s="134">
        <f t="shared" si="43"/>
        <v>0.47</v>
      </c>
      <c r="I160" s="134">
        <f t="shared" si="43"/>
        <v>0.47</v>
      </c>
      <c r="J160" s="134">
        <f t="shared" si="43"/>
        <v>0.47</v>
      </c>
      <c r="K160" s="134">
        <f t="shared" si="43"/>
        <v>0.47</v>
      </c>
      <c r="L160" s="134">
        <f t="shared" si="43"/>
        <v>0.47</v>
      </c>
      <c r="M160" s="134">
        <f t="shared" si="43"/>
        <v>0.47</v>
      </c>
      <c r="N160" s="134">
        <f t="shared" si="43"/>
        <v>0.47</v>
      </c>
      <c r="O160" s="134">
        <f t="shared" si="43"/>
        <v>0.47</v>
      </c>
      <c r="P160" s="134">
        <f t="shared" si="43"/>
        <v>0.47</v>
      </c>
      <c r="Q160" s="134">
        <f t="shared" si="43"/>
        <v>0.47</v>
      </c>
      <c r="R160" s="134">
        <f t="shared" si="43"/>
        <v>0.47</v>
      </c>
      <c r="S160" s="134">
        <f t="shared" si="44"/>
        <v>0.47</v>
      </c>
      <c r="T160" s="134">
        <f t="shared" si="44"/>
        <v>0.47</v>
      </c>
      <c r="U160" s="134">
        <f t="shared" si="44"/>
        <v>0.47</v>
      </c>
      <c r="V160" s="134">
        <f t="shared" si="44"/>
        <v>0.47</v>
      </c>
      <c r="W160" s="134">
        <f t="shared" si="44"/>
        <v>0.47</v>
      </c>
      <c r="X160" s="134">
        <f t="shared" si="44"/>
        <v>0.47</v>
      </c>
      <c r="Y160" s="134">
        <f t="shared" si="44"/>
        <v>0.47</v>
      </c>
      <c r="Z160" s="134">
        <f t="shared" si="44"/>
        <v>0.47</v>
      </c>
      <c r="AA160" s="134">
        <f t="shared" si="44"/>
        <v>0.47</v>
      </c>
      <c r="AB160" s="134">
        <f t="shared" si="44"/>
        <v>0.47</v>
      </c>
      <c r="AC160" s="134">
        <f t="shared" si="44"/>
        <v>0.47</v>
      </c>
      <c r="AD160" s="134">
        <f t="shared" si="44"/>
        <v>0.47</v>
      </c>
      <c r="AE160" s="134">
        <f t="shared" si="44"/>
        <v>0.47</v>
      </c>
      <c r="AF160" s="134">
        <f t="shared" si="44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3"/>
        <v>0</v>
      </c>
      <c r="D161" s="134">
        <f t="shared" si="43"/>
        <v>0</v>
      </c>
      <c r="E161" s="134">
        <f t="shared" si="43"/>
        <v>0</v>
      </c>
      <c r="F161" s="134">
        <f t="shared" si="43"/>
        <v>0</v>
      </c>
      <c r="G161" s="134">
        <f t="shared" si="43"/>
        <v>0</v>
      </c>
      <c r="H161" s="134">
        <f t="shared" si="43"/>
        <v>0</v>
      </c>
      <c r="I161" s="134">
        <f t="shared" si="43"/>
        <v>0</v>
      </c>
      <c r="J161" s="134">
        <f t="shared" si="43"/>
        <v>0</v>
      </c>
      <c r="K161" s="134">
        <f t="shared" si="43"/>
        <v>0</v>
      </c>
      <c r="L161" s="134">
        <f t="shared" si="43"/>
        <v>0</v>
      </c>
      <c r="M161" s="134">
        <f t="shared" si="43"/>
        <v>0</v>
      </c>
      <c r="N161" s="134">
        <f t="shared" si="43"/>
        <v>0</v>
      </c>
      <c r="O161" s="134">
        <f t="shared" si="43"/>
        <v>0</v>
      </c>
      <c r="P161" s="134">
        <f t="shared" si="43"/>
        <v>0</v>
      </c>
      <c r="Q161" s="134">
        <f t="shared" si="43"/>
        <v>0</v>
      </c>
      <c r="R161" s="134">
        <f t="shared" si="43"/>
        <v>0</v>
      </c>
      <c r="S161" s="134">
        <f t="shared" si="44"/>
        <v>0</v>
      </c>
      <c r="T161" s="134">
        <f t="shared" si="44"/>
        <v>0</v>
      </c>
      <c r="U161" s="134">
        <f t="shared" si="44"/>
        <v>0</v>
      </c>
      <c r="V161" s="134">
        <f t="shared" si="44"/>
        <v>0</v>
      </c>
      <c r="W161" s="134">
        <f t="shared" si="44"/>
        <v>0</v>
      </c>
      <c r="X161" s="134">
        <f t="shared" si="44"/>
        <v>0</v>
      </c>
      <c r="Y161" s="134">
        <f t="shared" si="44"/>
        <v>0</v>
      </c>
      <c r="Z161" s="134">
        <f t="shared" si="44"/>
        <v>0</v>
      </c>
      <c r="AA161" s="134">
        <f t="shared" si="44"/>
        <v>0</v>
      </c>
      <c r="AB161" s="134">
        <f t="shared" si="44"/>
        <v>0</v>
      </c>
      <c r="AC161" s="134">
        <f t="shared" si="44"/>
        <v>0</v>
      </c>
      <c r="AD161" s="134">
        <f t="shared" si="44"/>
        <v>0</v>
      </c>
      <c r="AE161" s="134">
        <f t="shared" si="44"/>
        <v>0</v>
      </c>
      <c r="AF161" s="134">
        <f t="shared" si="44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3"/>
        <v>0</v>
      </c>
      <c r="D162" s="134">
        <f t="shared" si="43"/>
        <v>0</v>
      </c>
      <c r="E162" s="134">
        <f t="shared" si="43"/>
        <v>0</v>
      </c>
      <c r="F162" s="134">
        <f t="shared" si="43"/>
        <v>0</v>
      </c>
      <c r="G162" s="134">
        <f t="shared" si="43"/>
        <v>0</v>
      </c>
      <c r="H162" s="134">
        <f t="shared" si="43"/>
        <v>0</v>
      </c>
      <c r="I162" s="134">
        <f t="shared" si="43"/>
        <v>0</v>
      </c>
      <c r="J162" s="134">
        <f t="shared" si="43"/>
        <v>0</v>
      </c>
      <c r="K162" s="134">
        <f t="shared" si="43"/>
        <v>0</v>
      </c>
      <c r="L162" s="134">
        <f t="shared" si="43"/>
        <v>0</v>
      </c>
      <c r="M162" s="134">
        <f t="shared" si="43"/>
        <v>0</v>
      </c>
      <c r="N162" s="134">
        <f t="shared" si="43"/>
        <v>0</v>
      </c>
      <c r="O162" s="134">
        <f t="shared" si="43"/>
        <v>0</v>
      </c>
      <c r="P162" s="134">
        <f t="shared" si="43"/>
        <v>0</v>
      </c>
      <c r="Q162" s="134">
        <f t="shared" si="43"/>
        <v>0</v>
      </c>
      <c r="R162" s="134">
        <f t="shared" si="44"/>
        <v>0</v>
      </c>
      <c r="S162" s="134">
        <f t="shared" si="44"/>
        <v>0</v>
      </c>
      <c r="T162" s="134">
        <f t="shared" si="44"/>
        <v>0</v>
      </c>
      <c r="U162" s="134">
        <f t="shared" si="44"/>
        <v>0</v>
      </c>
      <c r="V162" s="134">
        <f t="shared" si="44"/>
        <v>0</v>
      </c>
      <c r="W162" s="134">
        <f t="shared" si="44"/>
        <v>0</v>
      </c>
      <c r="X162" s="134">
        <f t="shared" si="44"/>
        <v>0</v>
      </c>
      <c r="Y162" s="134">
        <f t="shared" si="44"/>
        <v>0</v>
      </c>
      <c r="Z162" s="134">
        <f t="shared" si="44"/>
        <v>0</v>
      </c>
      <c r="AA162" s="134">
        <f t="shared" si="44"/>
        <v>0</v>
      </c>
      <c r="AB162" s="134">
        <f t="shared" si="44"/>
        <v>0</v>
      </c>
      <c r="AC162" s="134">
        <f t="shared" si="44"/>
        <v>0</v>
      </c>
      <c r="AD162" s="134">
        <f t="shared" si="44"/>
        <v>0</v>
      </c>
      <c r="AE162" s="134">
        <f t="shared" si="44"/>
        <v>0</v>
      </c>
      <c r="AF162" s="134">
        <f t="shared" si="44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3"/>
        <v>0.8</v>
      </c>
      <c r="D163" s="134">
        <f t="shared" si="43"/>
        <v>0.8</v>
      </c>
      <c r="E163" s="134">
        <f t="shared" si="43"/>
        <v>0.8</v>
      </c>
      <c r="F163" s="134">
        <f t="shared" si="43"/>
        <v>0.8</v>
      </c>
      <c r="G163" s="134">
        <f t="shared" si="43"/>
        <v>0.8</v>
      </c>
      <c r="H163" s="134">
        <f t="shared" si="43"/>
        <v>0.8</v>
      </c>
      <c r="I163" s="134">
        <f t="shared" si="43"/>
        <v>0.8</v>
      </c>
      <c r="J163" s="134">
        <f t="shared" si="43"/>
        <v>0.8</v>
      </c>
      <c r="K163" s="134">
        <f t="shared" si="43"/>
        <v>0.8</v>
      </c>
      <c r="L163" s="134">
        <f t="shared" si="43"/>
        <v>0.8</v>
      </c>
      <c r="M163" s="134">
        <f t="shared" si="43"/>
        <v>0.8</v>
      </c>
      <c r="N163" s="134">
        <f t="shared" si="43"/>
        <v>0.8</v>
      </c>
      <c r="O163" s="134">
        <f t="shared" si="43"/>
        <v>0.8</v>
      </c>
      <c r="P163" s="134">
        <f t="shared" si="43"/>
        <v>0.8</v>
      </c>
      <c r="Q163" s="134">
        <f t="shared" si="43"/>
        <v>0.8</v>
      </c>
      <c r="R163" s="134">
        <f t="shared" si="44"/>
        <v>0.8</v>
      </c>
      <c r="S163" s="134">
        <f t="shared" si="44"/>
        <v>0.8</v>
      </c>
      <c r="T163" s="134">
        <f t="shared" si="44"/>
        <v>0.8</v>
      </c>
      <c r="U163" s="134">
        <f t="shared" si="44"/>
        <v>0.8</v>
      </c>
      <c r="V163" s="134">
        <f t="shared" si="44"/>
        <v>0.8</v>
      </c>
      <c r="W163" s="134">
        <f t="shared" si="44"/>
        <v>0.8</v>
      </c>
      <c r="X163" s="134">
        <f t="shared" si="44"/>
        <v>0.8</v>
      </c>
      <c r="Y163" s="134">
        <f t="shared" si="44"/>
        <v>0.8</v>
      </c>
      <c r="Z163" s="134">
        <f t="shared" si="44"/>
        <v>0.8</v>
      </c>
      <c r="AA163" s="134">
        <f t="shared" si="44"/>
        <v>0.8</v>
      </c>
      <c r="AB163" s="134">
        <f t="shared" si="44"/>
        <v>0.8</v>
      </c>
      <c r="AC163" s="134">
        <f t="shared" si="44"/>
        <v>0.8</v>
      </c>
      <c r="AD163" s="134">
        <f t="shared" si="44"/>
        <v>0.8</v>
      </c>
      <c r="AE163" s="134">
        <f t="shared" si="44"/>
        <v>0.8</v>
      </c>
      <c r="AF163" s="134">
        <f t="shared" si="44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3"/>
        <v>1.5</v>
      </c>
      <c r="D164" s="134">
        <f t="shared" si="43"/>
        <v>1.5</v>
      </c>
      <c r="E164" s="134">
        <f t="shared" si="43"/>
        <v>1.5</v>
      </c>
      <c r="F164" s="134">
        <f t="shared" si="43"/>
        <v>1.5</v>
      </c>
      <c r="G164" s="134">
        <f t="shared" si="43"/>
        <v>1.5</v>
      </c>
      <c r="H164" s="134">
        <f t="shared" si="43"/>
        <v>1.5</v>
      </c>
      <c r="I164" s="134">
        <f t="shared" si="43"/>
        <v>1.5</v>
      </c>
      <c r="J164" s="134">
        <f t="shared" si="43"/>
        <v>1.5</v>
      </c>
      <c r="K164" s="134">
        <f t="shared" si="43"/>
        <v>1.5</v>
      </c>
      <c r="L164" s="134">
        <f t="shared" si="43"/>
        <v>1.5</v>
      </c>
      <c r="M164" s="134">
        <f t="shared" si="43"/>
        <v>1.5</v>
      </c>
      <c r="N164" s="134">
        <f t="shared" si="43"/>
        <v>1.5</v>
      </c>
      <c r="O164" s="134">
        <f t="shared" si="43"/>
        <v>1.5</v>
      </c>
      <c r="P164" s="134">
        <f t="shared" si="43"/>
        <v>1.5</v>
      </c>
      <c r="Q164" s="134">
        <f t="shared" si="43"/>
        <v>1.5</v>
      </c>
      <c r="R164" s="134">
        <f t="shared" si="44"/>
        <v>1.5</v>
      </c>
      <c r="S164" s="134">
        <f t="shared" si="44"/>
        <v>1.5</v>
      </c>
      <c r="T164" s="134">
        <f t="shared" si="44"/>
        <v>1.5</v>
      </c>
      <c r="U164" s="134">
        <f t="shared" si="44"/>
        <v>1.5</v>
      </c>
      <c r="V164" s="134">
        <f t="shared" si="44"/>
        <v>1.5</v>
      </c>
      <c r="W164" s="134">
        <f t="shared" si="44"/>
        <v>1.5</v>
      </c>
      <c r="X164" s="134">
        <f t="shared" si="44"/>
        <v>1.5</v>
      </c>
      <c r="Y164" s="134">
        <f t="shared" si="44"/>
        <v>1.5</v>
      </c>
      <c r="Z164" s="134">
        <f t="shared" si="44"/>
        <v>1.5</v>
      </c>
      <c r="AA164" s="134">
        <f t="shared" si="44"/>
        <v>1.5</v>
      </c>
      <c r="AB164" s="134">
        <f t="shared" si="44"/>
        <v>1.5</v>
      </c>
      <c r="AC164" s="134">
        <f t="shared" si="44"/>
        <v>1.5</v>
      </c>
      <c r="AD164" s="134">
        <f t="shared" si="44"/>
        <v>1.5</v>
      </c>
      <c r="AE164" s="134">
        <f t="shared" si="44"/>
        <v>1.5</v>
      </c>
      <c r="AF164" s="134">
        <f t="shared" si="44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3"/>
        <v>1</v>
      </c>
      <c r="D165" s="134">
        <f t="shared" si="43"/>
        <v>1</v>
      </c>
      <c r="E165" s="134">
        <f t="shared" si="43"/>
        <v>1</v>
      </c>
      <c r="F165" s="134">
        <f t="shared" si="43"/>
        <v>1</v>
      </c>
      <c r="G165" s="134">
        <f t="shared" si="43"/>
        <v>1</v>
      </c>
      <c r="H165" s="134">
        <f t="shared" si="43"/>
        <v>1</v>
      </c>
      <c r="I165" s="134">
        <f t="shared" si="43"/>
        <v>1</v>
      </c>
      <c r="J165" s="134">
        <f t="shared" si="43"/>
        <v>1</v>
      </c>
      <c r="K165" s="134">
        <f t="shared" si="43"/>
        <v>1</v>
      </c>
      <c r="L165" s="134">
        <f t="shared" si="43"/>
        <v>1</v>
      </c>
      <c r="M165" s="134">
        <f t="shared" si="43"/>
        <v>1</v>
      </c>
      <c r="N165" s="134">
        <f t="shared" si="43"/>
        <v>1</v>
      </c>
      <c r="O165" s="134">
        <f t="shared" si="43"/>
        <v>1</v>
      </c>
      <c r="P165" s="134">
        <f t="shared" si="43"/>
        <v>1</v>
      </c>
      <c r="Q165" s="134">
        <f t="shared" si="43"/>
        <v>1</v>
      </c>
      <c r="R165" s="134">
        <f t="shared" si="44"/>
        <v>1</v>
      </c>
      <c r="S165" s="134">
        <f t="shared" si="44"/>
        <v>1</v>
      </c>
      <c r="T165" s="134">
        <f t="shared" si="44"/>
        <v>1</v>
      </c>
      <c r="U165" s="134">
        <f t="shared" si="44"/>
        <v>1</v>
      </c>
      <c r="V165" s="134">
        <f t="shared" si="44"/>
        <v>1</v>
      </c>
      <c r="W165" s="134">
        <f t="shared" si="44"/>
        <v>1</v>
      </c>
      <c r="X165" s="134">
        <f t="shared" si="44"/>
        <v>1</v>
      </c>
      <c r="Y165" s="134">
        <f t="shared" si="44"/>
        <v>1</v>
      </c>
      <c r="Z165" s="134">
        <f t="shared" si="44"/>
        <v>1</v>
      </c>
      <c r="AA165" s="134">
        <f t="shared" si="44"/>
        <v>1</v>
      </c>
      <c r="AB165" s="134">
        <f t="shared" si="44"/>
        <v>1</v>
      </c>
      <c r="AC165" s="134">
        <f t="shared" si="44"/>
        <v>1</v>
      </c>
      <c r="AD165" s="134">
        <f t="shared" si="44"/>
        <v>1</v>
      </c>
      <c r="AE165" s="134">
        <f t="shared" si="44"/>
        <v>1</v>
      </c>
      <c r="AF165" s="134">
        <f t="shared" si="44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5">B167</f>
        <v>1</v>
      </c>
      <c r="D167" s="134">
        <f t="shared" si="45"/>
        <v>1</v>
      </c>
      <c r="E167" s="134">
        <f t="shared" si="45"/>
        <v>1</v>
      </c>
      <c r="F167" s="134">
        <f t="shared" si="45"/>
        <v>1</v>
      </c>
      <c r="G167" s="134">
        <f t="shared" si="45"/>
        <v>1</v>
      </c>
      <c r="H167" s="134">
        <f t="shared" si="45"/>
        <v>1</v>
      </c>
      <c r="I167" s="134">
        <f t="shared" si="45"/>
        <v>1</v>
      </c>
      <c r="J167" s="134">
        <f t="shared" si="45"/>
        <v>1</v>
      </c>
      <c r="K167" s="134">
        <f t="shared" si="45"/>
        <v>1</v>
      </c>
      <c r="L167" s="134">
        <f t="shared" si="45"/>
        <v>1</v>
      </c>
      <c r="M167" s="134">
        <f t="shared" si="45"/>
        <v>1</v>
      </c>
      <c r="N167" s="134">
        <f t="shared" si="45"/>
        <v>1</v>
      </c>
      <c r="O167" s="134">
        <f t="shared" si="45"/>
        <v>1</v>
      </c>
      <c r="P167" s="134">
        <f t="shared" si="45"/>
        <v>1</v>
      </c>
      <c r="Q167" s="134">
        <f t="shared" si="45"/>
        <v>1</v>
      </c>
      <c r="R167" s="134">
        <f t="shared" si="45"/>
        <v>1</v>
      </c>
      <c r="S167" s="134">
        <f t="shared" ref="R167:AF174" si="46">R167</f>
        <v>1</v>
      </c>
      <c r="T167" s="134">
        <f t="shared" si="46"/>
        <v>1</v>
      </c>
      <c r="U167" s="134">
        <f t="shared" si="46"/>
        <v>1</v>
      </c>
      <c r="V167" s="134">
        <f t="shared" si="46"/>
        <v>1</v>
      </c>
      <c r="W167" s="134">
        <f t="shared" si="46"/>
        <v>1</v>
      </c>
      <c r="X167" s="134">
        <f t="shared" si="46"/>
        <v>1</v>
      </c>
      <c r="Y167" s="134">
        <f t="shared" si="46"/>
        <v>1</v>
      </c>
      <c r="Z167" s="134">
        <f t="shared" si="46"/>
        <v>1</v>
      </c>
      <c r="AA167" s="134">
        <f t="shared" si="46"/>
        <v>1</v>
      </c>
      <c r="AB167" s="134">
        <f t="shared" si="46"/>
        <v>1</v>
      </c>
      <c r="AC167" s="134">
        <f t="shared" si="46"/>
        <v>1</v>
      </c>
      <c r="AD167" s="134">
        <f t="shared" si="46"/>
        <v>1</v>
      </c>
      <c r="AE167" s="134">
        <f t="shared" si="46"/>
        <v>1</v>
      </c>
      <c r="AF167" s="134">
        <f t="shared" si="46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5"/>
        <v>0.42</v>
      </c>
      <c r="D168" s="134">
        <f t="shared" si="45"/>
        <v>0.42</v>
      </c>
      <c r="E168" s="134">
        <f t="shared" si="45"/>
        <v>0.42</v>
      </c>
      <c r="F168" s="134">
        <f t="shared" si="45"/>
        <v>0.42</v>
      </c>
      <c r="G168" s="134">
        <f t="shared" si="45"/>
        <v>0.42</v>
      </c>
      <c r="H168" s="134">
        <f t="shared" si="45"/>
        <v>0.42</v>
      </c>
      <c r="I168" s="134">
        <f t="shared" si="45"/>
        <v>0.42</v>
      </c>
      <c r="J168" s="134">
        <f t="shared" si="45"/>
        <v>0.42</v>
      </c>
      <c r="K168" s="134">
        <f t="shared" si="45"/>
        <v>0.42</v>
      </c>
      <c r="L168" s="134">
        <f t="shared" si="45"/>
        <v>0.42</v>
      </c>
      <c r="M168" s="134">
        <f t="shared" si="45"/>
        <v>0.42</v>
      </c>
      <c r="N168" s="134">
        <f t="shared" si="45"/>
        <v>0.42</v>
      </c>
      <c r="O168" s="134">
        <f t="shared" si="45"/>
        <v>0.42</v>
      </c>
      <c r="P168" s="134">
        <f t="shared" si="45"/>
        <v>0.42</v>
      </c>
      <c r="Q168" s="134">
        <f t="shared" si="45"/>
        <v>0.42</v>
      </c>
      <c r="R168" s="134">
        <f t="shared" si="46"/>
        <v>0.42</v>
      </c>
      <c r="S168" s="134">
        <f t="shared" si="46"/>
        <v>0.42</v>
      </c>
      <c r="T168" s="134">
        <f t="shared" si="46"/>
        <v>0.42</v>
      </c>
      <c r="U168" s="134">
        <f t="shared" si="46"/>
        <v>0.42</v>
      </c>
      <c r="V168" s="134">
        <f t="shared" si="46"/>
        <v>0.42</v>
      </c>
      <c r="W168" s="134">
        <f t="shared" si="46"/>
        <v>0.42</v>
      </c>
      <c r="X168" s="134">
        <f t="shared" si="46"/>
        <v>0.42</v>
      </c>
      <c r="Y168" s="134">
        <f t="shared" si="46"/>
        <v>0.42</v>
      </c>
      <c r="Z168" s="134">
        <f t="shared" si="46"/>
        <v>0.42</v>
      </c>
      <c r="AA168" s="134">
        <f t="shared" si="46"/>
        <v>0.42</v>
      </c>
      <c r="AB168" s="134">
        <f t="shared" si="46"/>
        <v>0.42</v>
      </c>
      <c r="AC168" s="134">
        <f t="shared" si="46"/>
        <v>0.42</v>
      </c>
      <c r="AD168" s="134">
        <f t="shared" si="46"/>
        <v>0.42</v>
      </c>
      <c r="AE168" s="134">
        <f t="shared" si="46"/>
        <v>0.42</v>
      </c>
      <c r="AF168" s="134">
        <f t="shared" si="46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5"/>
        <v>0.46</v>
      </c>
      <c r="D169" s="134">
        <f t="shared" si="45"/>
        <v>0.46</v>
      </c>
      <c r="E169" s="134">
        <f t="shared" si="45"/>
        <v>0.46</v>
      </c>
      <c r="F169" s="134">
        <f t="shared" si="45"/>
        <v>0.46</v>
      </c>
      <c r="G169" s="134">
        <f t="shared" si="45"/>
        <v>0.46</v>
      </c>
      <c r="H169" s="134">
        <f t="shared" si="45"/>
        <v>0.46</v>
      </c>
      <c r="I169" s="134">
        <f t="shared" si="45"/>
        <v>0.46</v>
      </c>
      <c r="J169" s="134">
        <f t="shared" si="45"/>
        <v>0.46</v>
      </c>
      <c r="K169" s="134">
        <f t="shared" si="45"/>
        <v>0.46</v>
      </c>
      <c r="L169" s="134">
        <f t="shared" si="45"/>
        <v>0.46</v>
      </c>
      <c r="M169" s="134">
        <f t="shared" si="45"/>
        <v>0.46</v>
      </c>
      <c r="N169" s="134">
        <f t="shared" si="45"/>
        <v>0.46</v>
      </c>
      <c r="O169" s="134">
        <f t="shared" si="45"/>
        <v>0.46</v>
      </c>
      <c r="P169" s="134">
        <f t="shared" si="45"/>
        <v>0.46</v>
      </c>
      <c r="Q169" s="134">
        <f t="shared" si="45"/>
        <v>0.46</v>
      </c>
      <c r="R169" s="134">
        <f t="shared" si="46"/>
        <v>0.46</v>
      </c>
      <c r="S169" s="134">
        <f t="shared" si="46"/>
        <v>0.46</v>
      </c>
      <c r="T169" s="134">
        <f t="shared" si="46"/>
        <v>0.46</v>
      </c>
      <c r="U169" s="134">
        <f t="shared" si="46"/>
        <v>0.46</v>
      </c>
      <c r="V169" s="134">
        <f t="shared" si="46"/>
        <v>0.46</v>
      </c>
      <c r="W169" s="134">
        <f t="shared" si="46"/>
        <v>0.46</v>
      </c>
      <c r="X169" s="134">
        <f t="shared" si="46"/>
        <v>0.46</v>
      </c>
      <c r="Y169" s="134">
        <f t="shared" si="46"/>
        <v>0.46</v>
      </c>
      <c r="Z169" s="134">
        <f t="shared" si="46"/>
        <v>0.46</v>
      </c>
      <c r="AA169" s="134">
        <f t="shared" si="46"/>
        <v>0.46</v>
      </c>
      <c r="AB169" s="134">
        <f t="shared" si="46"/>
        <v>0.46</v>
      </c>
      <c r="AC169" s="134">
        <f t="shared" si="46"/>
        <v>0.46</v>
      </c>
      <c r="AD169" s="134">
        <f t="shared" si="46"/>
        <v>0.46</v>
      </c>
      <c r="AE169" s="134">
        <f t="shared" si="46"/>
        <v>0.46</v>
      </c>
      <c r="AF169" s="134">
        <f t="shared" si="46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5"/>
        <v>0.85</v>
      </c>
      <c r="D170" s="134">
        <f t="shared" si="45"/>
        <v>0.85</v>
      </c>
      <c r="E170" s="134">
        <f t="shared" si="45"/>
        <v>0.85</v>
      </c>
      <c r="F170" s="134">
        <f t="shared" si="45"/>
        <v>0.85</v>
      </c>
      <c r="G170" s="134">
        <f t="shared" si="45"/>
        <v>0.85</v>
      </c>
      <c r="H170" s="134">
        <f t="shared" si="45"/>
        <v>0.85</v>
      </c>
      <c r="I170" s="134">
        <f t="shared" si="45"/>
        <v>0.85</v>
      </c>
      <c r="J170" s="134">
        <f t="shared" si="45"/>
        <v>0.85</v>
      </c>
      <c r="K170" s="134">
        <f t="shared" si="45"/>
        <v>0.85</v>
      </c>
      <c r="L170" s="134">
        <f t="shared" si="45"/>
        <v>0.85</v>
      </c>
      <c r="M170" s="134">
        <f t="shared" si="45"/>
        <v>0.85</v>
      </c>
      <c r="N170" s="134">
        <f t="shared" si="45"/>
        <v>0.85</v>
      </c>
      <c r="O170" s="134">
        <f t="shared" si="45"/>
        <v>0.85</v>
      </c>
      <c r="P170" s="134">
        <f t="shared" si="45"/>
        <v>0.85</v>
      </c>
      <c r="Q170" s="134">
        <f t="shared" si="45"/>
        <v>0.85</v>
      </c>
      <c r="R170" s="134">
        <f t="shared" si="46"/>
        <v>0.85</v>
      </c>
      <c r="S170" s="134">
        <f t="shared" si="46"/>
        <v>0.85</v>
      </c>
      <c r="T170" s="134">
        <f t="shared" si="46"/>
        <v>0.85</v>
      </c>
      <c r="U170" s="134">
        <f t="shared" si="46"/>
        <v>0.85</v>
      </c>
      <c r="V170" s="134">
        <f t="shared" si="46"/>
        <v>0.85</v>
      </c>
      <c r="W170" s="134">
        <f t="shared" si="46"/>
        <v>0.85</v>
      </c>
      <c r="X170" s="134">
        <f t="shared" si="46"/>
        <v>0.85</v>
      </c>
      <c r="Y170" s="134">
        <f t="shared" si="46"/>
        <v>0.85</v>
      </c>
      <c r="Z170" s="134">
        <f t="shared" si="46"/>
        <v>0.85</v>
      </c>
      <c r="AA170" s="134">
        <f t="shared" si="46"/>
        <v>0.85</v>
      </c>
      <c r="AB170" s="134">
        <f t="shared" si="46"/>
        <v>0.85</v>
      </c>
      <c r="AC170" s="134">
        <f t="shared" si="46"/>
        <v>0.85</v>
      </c>
      <c r="AD170" s="134">
        <f t="shared" si="46"/>
        <v>0.85</v>
      </c>
      <c r="AE170" s="134">
        <f t="shared" si="46"/>
        <v>0.85</v>
      </c>
      <c r="AF170" s="134">
        <f t="shared" si="46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5"/>
        <v>0.9</v>
      </c>
      <c r="D171" s="134">
        <f t="shared" si="45"/>
        <v>0.9</v>
      </c>
      <c r="E171" s="134">
        <f t="shared" si="45"/>
        <v>0.9</v>
      </c>
      <c r="F171" s="134">
        <f t="shared" si="45"/>
        <v>0.9</v>
      </c>
      <c r="G171" s="134">
        <f t="shared" si="45"/>
        <v>0.9</v>
      </c>
      <c r="H171" s="134">
        <f t="shared" si="45"/>
        <v>0.9</v>
      </c>
      <c r="I171" s="134">
        <f t="shared" si="45"/>
        <v>0.9</v>
      </c>
      <c r="J171" s="134">
        <f t="shared" si="45"/>
        <v>0.9</v>
      </c>
      <c r="K171" s="134">
        <f t="shared" si="45"/>
        <v>0.9</v>
      </c>
      <c r="L171" s="134">
        <f t="shared" si="45"/>
        <v>0.9</v>
      </c>
      <c r="M171" s="134">
        <f t="shared" si="45"/>
        <v>0.9</v>
      </c>
      <c r="N171" s="134">
        <f t="shared" si="45"/>
        <v>0.9</v>
      </c>
      <c r="O171" s="134">
        <f t="shared" si="45"/>
        <v>0.9</v>
      </c>
      <c r="P171" s="134">
        <f t="shared" si="45"/>
        <v>0.9</v>
      </c>
      <c r="Q171" s="134">
        <f t="shared" si="45"/>
        <v>0.9</v>
      </c>
      <c r="R171" s="134">
        <f t="shared" si="46"/>
        <v>0.9</v>
      </c>
      <c r="S171" s="134">
        <f t="shared" si="46"/>
        <v>0.9</v>
      </c>
      <c r="T171" s="134">
        <f t="shared" si="46"/>
        <v>0.9</v>
      </c>
      <c r="U171" s="134">
        <f t="shared" si="46"/>
        <v>0.9</v>
      </c>
      <c r="V171" s="134">
        <f t="shared" si="46"/>
        <v>0.9</v>
      </c>
      <c r="W171" s="134">
        <f t="shared" si="46"/>
        <v>0.9</v>
      </c>
      <c r="X171" s="134">
        <f t="shared" si="46"/>
        <v>0.9</v>
      </c>
      <c r="Y171" s="134">
        <f t="shared" si="46"/>
        <v>0.9</v>
      </c>
      <c r="Z171" s="134">
        <f t="shared" si="46"/>
        <v>0.9</v>
      </c>
      <c r="AA171" s="134">
        <f t="shared" si="46"/>
        <v>0.9</v>
      </c>
      <c r="AB171" s="134">
        <f t="shared" si="46"/>
        <v>0.9</v>
      </c>
      <c r="AC171" s="134">
        <f t="shared" si="46"/>
        <v>0.9</v>
      </c>
      <c r="AD171" s="134">
        <f t="shared" si="46"/>
        <v>0.9</v>
      </c>
      <c r="AE171" s="134">
        <f t="shared" si="46"/>
        <v>0.9</v>
      </c>
      <c r="AF171" s="134">
        <f t="shared" si="46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5"/>
        <v>0.44</v>
      </c>
      <c r="D172" s="134">
        <f t="shared" si="45"/>
        <v>0.44</v>
      </c>
      <c r="E172" s="134">
        <f t="shared" si="45"/>
        <v>0.44</v>
      </c>
      <c r="F172" s="134">
        <f t="shared" si="45"/>
        <v>0.44</v>
      </c>
      <c r="G172" s="134">
        <f t="shared" si="45"/>
        <v>0.44</v>
      </c>
      <c r="H172" s="134">
        <f t="shared" si="45"/>
        <v>0.44</v>
      </c>
      <c r="I172" s="134">
        <f t="shared" si="45"/>
        <v>0.44</v>
      </c>
      <c r="J172" s="134">
        <f t="shared" si="45"/>
        <v>0.44</v>
      </c>
      <c r="K172" s="134">
        <f t="shared" si="45"/>
        <v>0.44</v>
      </c>
      <c r="L172" s="134">
        <f t="shared" si="45"/>
        <v>0.44</v>
      </c>
      <c r="M172" s="134">
        <f t="shared" si="45"/>
        <v>0.44</v>
      </c>
      <c r="N172" s="134">
        <f t="shared" si="45"/>
        <v>0.44</v>
      </c>
      <c r="O172" s="134">
        <f t="shared" si="45"/>
        <v>0.44</v>
      </c>
      <c r="P172" s="134">
        <f t="shared" si="45"/>
        <v>0.44</v>
      </c>
      <c r="Q172" s="134">
        <f t="shared" si="45"/>
        <v>0.44</v>
      </c>
      <c r="R172" s="134">
        <f t="shared" si="46"/>
        <v>0.44</v>
      </c>
      <c r="S172" s="134">
        <f t="shared" si="46"/>
        <v>0.44</v>
      </c>
      <c r="T172" s="134">
        <f t="shared" si="46"/>
        <v>0.44</v>
      </c>
      <c r="U172" s="134">
        <f t="shared" si="46"/>
        <v>0.44</v>
      </c>
      <c r="V172" s="134">
        <f t="shared" si="46"/>
        <v>0.44</v>
      </c>
      <c r="W172" s="134">
        <f t="shared" si="46"/>
        <v>0.44</v>
      </c>
      <c r="X172" s="134">
        <f t="shared" si="46"/>
        <v>0.44</v>
      </c>
      <c r="Y172" s="134">
        <f t="shared" si="46"/>
        <v>0.44</v>
      </c>
      <c r="Z172" s="134">
        <f t="shared" si="46"/>
        <v>0.44</v>
      </c>
      <c r="AA172" s="134">
        <f t="shared" si="46"/>
        <v>0.44</v>
      </c>
      <c r="AB172" s="134">
        <f t="shared" si="46"/>
        <v>0.44</v>
      </c>
      <c r="AC172" s="134">
        <f t="shared" si="46"/>
        <v>0.44</v>
      </c>
      <c r="AD172" s="134">
        <f t="shared" si="46"/>
        <v>0.44</v>
      </c>
      <c r="AE172" s="134">
        <f t="shared" si="46"/>
        <v>0.44</v>
      </c>
      <c r="AF172" s="134">
        <f t="shared" si="46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5"/>
        <v>2.1</v>
      </c>
      <c r="D173" s="134">
        <f t="shared" si="45"/>
        <v>2.1</v>
      </c>
      <c r="E173" s="134">
        <f t="shared" si="45"/>
        <v>2.1</v>
      </c>
      <c r="F173" s="134">
        <f t="shared" si="45"/>
        <v>2.1</v>
      </c>
      <c r="G173" s="134">
        <f t="shared" si="45"/>
        <v>2.1</v>
      </c>
      <c r="H173" s="134">
        <f t="shared" si="45"/>
        <v>2.1</v>
      </c>
      <c r="I173" s="134">
        <f t="shared" si="45"/>
        <v>2.1</v>
      </c>
      <c r="J173" s="134">
        <f t="shared" si="45"/>
        <v>2.1</v>
      </c>
      <c r="K173" s="134">
        <f t="shared" si="45"/>
        <v>2.1</v>
      </c>
      <c r="L173" s="134">
        <f t="shared" si="45"/>
        <v>2.1</v>
      </c>
      <c r="M173" s="134">
        <f t="shared" si="45"/>
        <v>2.1</v>
      </c>
      <c r="N173" s="134">
        <f t="shared" si="45"/>
        <v>2.1</v>
      </c>
      <c r="O173" s="134">
        <f t="shared" si="45"/>
        <v>2.1</v>
      </c>
      <c r="P173" s="134">
        <f t="shared" si="45"/>
        <v>2.1</v>
      </c>
      <c r="Q173" s="134">
        <f t="shared" si="45"/>
        <v>2.1</v>
      </c>
      <c r="R173" s="134">
        <f t="shared" si="46"/>
        <v>2.1</v>
      </c>
      <c r="S173" s="134">
        <f t="shared" si="46"/>
        <v>2.1</v>
      </c>
      <c r="T173" s="134">
        <f t="shared" si="46"/>
        <v>2.1</v>
      </c>
      <c r="U173" s="134">
        <f t="shared" si="46"/>
        <v>2.1</v>
      </c>
      <c r="V173" s="134">
        <f t="shared" si="46"/>
        <v>2.1</v>
      </c>
      <c r="W173" s="134">
        <f t="shared" si="46"/>
        <v>2.1</v>
      </c>
      <c r="X173" s="134">
        <f t="shared" si="46"/>
        <v>2.1</v>
      </c>
      <c r="Y173" s="134">
        <f t="shared" si="46"/>
        <v>2.1</v>
      </c>
      <c r="Z173" s="134">
        <f t="shared" si="46"/>
        <v>2.1</v>
      </c>
      <c r="AA173" s="134">
        <f t="shared" si="46"/>
        <v>2.1</v>
      </c>
      <c r="AB173" s="134">
        <f t="shared" si="46"/>
        <v>2.1</v>
      </c>
      <c r="AC173" s="134">
        <f t="shared" si="46"/>
        <v>2.1</v>
      </c>
      <c r="AD173" s="134">
        <f t="shared" si="46"/>
        <v>2.1</v>
      </c>
      <c r="AE173" s="134">
        <f t="shared" si="46"/>
        <v>2.1</v>
      </c>
      <c r="AF173" s="134">
        <f t="shared" si="46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5"/>
        <v>0.9</v>
      </c>
      <c r="D174" s="134">
        <f t="shared" si="45"/>
        <v>0.9</v>
      </c>
      <c r="E174" s="134">
        <f t="shared" si="45"/>
        <v>0.9</v>
      </c>
      <c r="F174" s="134">
        <f t="shared" si="45"/>
        <v>0.9</v>
      </c>
      <c r="G174" s="134">
        <f t="shared" si="45"/>
        <v>0.9</v>
      </c>
      <c r="H174" s="134">
        <f t="shared" si="45"/>
        <v>0.9</v>
      </c>
      <c r="I174" s="134">
        <f t="shared" si="45"/>
        <v>0.9</v>
      </c>
      <c r="J174" s="134">
        <f t="shared" si="45"/>
        <v>0.9</v>
      </c>
      <c r="K174" s="134">
        <f t="shared" si="45"/>
        <v>0.9</v>
      </c>
      <c r="L174" s="134">
        <f t="shared" si="45"/>
        <v>0.9</v>
      </c>
      <c r="M174" s="134">
        <f t="shared" si="45"/>
        <v>0.9</v>
      </c>
      <c r="N174" s="134">
        <f t="shared" si="45"/>
        <v>0.9</v>
      </c>
      <c r="O174" s="134">
        <f t="shared" si="45"/>
        <v>0.9</v>
      </c>
      <c r="P174" s="134">
        <f t="shared" si="45"/>
        <v>0.9</v>
      </c>
      <c r="Q174" s="134">
        <f t="shared" si="45"/>
        <v>0.9</v>
      </c>
      <c r="R174" s="134">
        <f t="shared" si="46"/>
        <v>0.9</v>
      </c>
      <c r="S174" s="134">
        <f t="shared" si="46"/>
        <v>0.9</v>
      </c>
      <c r="T174" s="134">
        <f t="shared" si="46"/>
        <v>0.9</v>
      </c>
      <c r="U174" s="134">
        <f t="shared" si="46"/>
        <v>0.9</v>
      </c>
      <c r="V174" s="134">
        <f t="shared" si="46"/>
        <v>0.9</v>
      </c>
      <c r="W174" s="134">
        <f t="shared" si="46"/>
        <v>0.9</v>
      </c>
      <c r="X174" s="134">
        <f t="shared" si="46"/>
        <v>0.9</v>
      </c>
      <c r="Y174" s="134">
        <f t="shared" si="46"/>
        <v>0.9</v>
      </c>
      <c r="Z174" s="134">
        <f t="shared" si="46"/>
        <v>0.9</v>
      </c>
      <c r="AA174" s="134">
        <f t="shared" si="46"/>
        <v>0.9</v>
      </c>
      <c r="AB174" s="134">
        <f t="shared" si="46"/>
        <v>0.9</v>
      </c>
      <c r="AC174" s="134">
        <f t="shared" si="46"/>
        <v>0.9</v>
      </c>
      <c r="AD174" s="134">
        <f t="shared" si="46"/>
        <v>0.9</v>
      </c>
      <c r="AE174" s="134">
        <f t="shared" si="46"/>
        <v>0.9</v>
      </c>
      <c r="AF174" s="134">
        <f t="shared" si="46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7">B176</f>
        <v>0.57999999999999996</v>
      </c>
      <c r="D176" s="134">
        <f t="shared" si="47"/>
        <v>0.57999999999999996</v>
      </c>
      <c r="E176" s="134">
        <f t="shared" si="47"/>
        <v>0.57999999999999996</v>
      </c>
      <c r="F176" s="134">
        <f t="shared" si="47"/>
        <v>0.57999999999999996</v>
      </c>
      <c r="G176" s="134">
        <f t="shared" si="47"/>
        <v>0.57999999999999996</v>
      </c>
      <c r="H176" s="134">
        <f t="shared" si="47"/>
        <v>0.57999999999999996</v>
      </c>
      <c r="I176" s="134">
        <f t="shared" si="47"/>
        <v>0.57999999999999996</v>
      </c>
      <c r="J176" s="134">
        <f t="shared" si="47"/>
        <v>0.57999999999999996</v>
      </c>
      <c r="K176" s="134">
        <f t="shared" si="47"/>
        <v>0.57999999999999996</v>
      </c>
      <c r="L176" s="134">
        <f t="shared" si="47"/>
        <v>0.57999999999999996</v>
      </c>
      <c r="M176" s="134">
        <f t="shared" si="47"/>
        <v>0.57999999999999996</v>
      </c>
      <c r="N176" s="134">
        <f t="shared" si="47"/>
        <v>0.57999999999999996</v>
      </c>
      <c r="O176" s="134">
        <f t="shared" si="47"/>
        <v>0.57999999999999996</v>
      </c>
      <c r="P176" s="134">
        <f t="shared" si="47"/>
        <v>0.57999999999999996</v>
      </c>
      <c r="Q176" s="134">
        <f t="shared" si="47"/>
        <v>0.57999999999999996</v>
      </c>
      <c r="R176" s="134">
        <f t="shared" si="47"/>
        <v>0.57999999999999996</v>
      </c>
      <c r="S176" s="134">
        <f t="shared" ref="R176:AF188" si="48">R176</f>
        <v>0.57999999999999996</v>
      </c>
      <c r="T176" s="134">
        <f t="shared" si="48"/>
        <v>0.57999999999999996</v>
      </c>
      <c r="U176" s="134">
        <f t="shared" si="48"/>
        <v>0.57999999999999996</v>
      </c>
      <c r="V176" s="134">
        <f t="shared" si="48"/>
        <v>0.57999999999999996</v>
      </c>
      <c r="W176" s="134">
        <f t="shared" si="48"/>
        <v>0.57999999999999996</v>
      </c>
      <c r="X176" s="134">
        <f t="shared" si="48"/>
        <v>0.57999999999999996</v>
      </c>
      <c r="Y176" s="134">
        <f t="shared" si="48"/>
        <v>0.57999999999999996</v>
      </c>
      <c r="Z176" s="134">
        <f t="shared" si="48"/>
        <v>0.57999999999999996</v>
      </c>
      <c r="AA176" s="134">
        <f t="shared" si="48"/>
        <v>0.57999999999999996</v>
      </c>
      <c r="AB176" s="134">
        <f t="shared" si="48"/>
        <v>0.57999999999999996</v>
      </c>
      <c r="AC176" s="134">
        <f t="shared" si="48"/>
        <v>0.57999999999999996</v>
      </c>
      <c r="AD176" s="134">
        <f t="shared" si="48"/>
        <v>0.57999999999999996</v>
      </c>
      <c r="AE176" s="134">
        <f t="shared" si="48"/>
        <v>0.57999999999999996</v>
      </c>
      <c r="AF176" s="134">
        <f t="shared" si="48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7"/>
        <v>0.8</v>
      </c>
      <c r="D177" s="134">
        <f t="shared" si="47"/>
        <v>0.8</v>
      </c>
      <c r="E177" s="134">
        <f t="shared" si="47"/>
        <v>0.8</v>
      </c>
      <c r="F177" s="134">
        <f t="shared" si="47"/>
        <v>0.8</v>
      </c>
      <c r="G177" s="134">
        <f t="shared" si="47"/>
        <v>0.8</v>
      </c>
      <c r="H177" s="134">
        <f t="shared" si="47"/>
        <v>0.8</v>
      </c>
      <c r="I177" s="134">
        <f t="shared" si="47"/>
        <v>0.8</v>
      </c>
      <c r="J177" s="134">
        <f t="shared" si="47"/>
        <v>0.8</v>
      </c>
      <c r="K177" s="134">
        <f t="shared" si="47"/>
        <v>0.8</v>
      </c>
      <c r="L177" s="134">
        <f t="shared" si="47"/>
        <v>0.8</v>
      </c>
      <c r="M177" s="134">
        <f t="shared" si="47"/>
        <v>0.8</v>
      </c>
      <c r="N177" s="134">
        <f t="shared" si="47"/>
        <v>0.8</v>
      </c>
      <c r="O177" s="134">
        <f t="shared" si="47"/>
        <v>0.8</v>
      </c>
      <c r="P177" s="134">
        <f t="shared" si="47"/>
        <v>0.8</v>
      </c>
      <c r="Q177" s="134">
        <f t="shared" si="47"/>
        <v>0.8</v>
      </c>
      <c r="R177" s="134">
        <f t="shared" si="47"/>
        <v>0.8</v>
      </c>
      <c r="S177" s="134">
        <f t="shared" si="48"/>
        <v>0.8</v>
      </c>
      <c r="T177" s="134">
        <f t="shared" si="48"/>
        <v>0.8</v>
      </c>
      <c r="U177" s="134">
        <f t="shared" si="48"/>
        <v>0.8</v>
      </c>
      <c r="V177" s="134">
        <f t="shared" si="48"/>
        <v>0.8</v>
      </c>
      <c r="W177" s="134">
        <f t="shared" si="48"/>
        <v>0.8</v>
      </c>
      <c r="X177" s="134">
        <f t="shared" si="48"/>
        <v>0.8</v>
      </c>
      <c r="Y177" s="134">
        <f t="shared" si="48"/>
        <v>0.8</v>
      </c>
      <c r="Z177" s="134">
        <f t="shared" si="48"/>
        <v>0.8</v>
      </c>
      <c r="AA177" s="134">
        <f t="shared" si="48"/>
        <v>0.8</v>
      </c>
      <c r="AB177" s="134">
        <f t="shared" si="48"/>
        <v>0.8</v>
      </c>
      <c r="AC177" s="134">
        <f t="shared" si="48"/>
        <v>0.8</v>
      </c>
      <c r="AD177" s="134">
        <f t="shared" si="48"/>
        <v>0.8</v>
      </c>
      <c r="AE177" s="134">
        <f t="shared" si="48"/>
        <v>0.8</v>
      </c>
      <c r="AF177" s="134">
        <f t="shared" si="48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7"/>
        <v>0</v>
      </c>
      <c r="D178" s="134">
        <f t="shared" si="47"/>
        <v>0</v>
      </c>
      <c r="E178" s="134">
        <f t="shared" si="47"/>
        <v>0</v>
      </c>
      <c r="F178" s="134">
        <f t="shared" si="47"/>
        <v>0</v>
      </c>
      <c r="G178" s="134">
        <f t="shared" si="47"/>
        <v>0</v>
      </c>
      <c r="H178" s="134">
        <f t="shared" si="47"/>
        <v>0</v>
      </c>
      <c r="I178" s="134">
        <f t="shared" si="47"/>
        <v>0</v>
      </c>
      <c r="J178" s="134">
        <f t="shared" si="47"/>
        <v>0</v>
      </c>
      <c r="K178" s="134">
        <f t="shared" si="47"/>
        <v>0</v>
      </c>
      <c r="L178" s="134">
        <f t="shared" si="47"/>
        <v>0</v>
      </c>
      <c r="M178" s="134">
        <f t="shared" si="47"/>
        <v>0</v>
      </c>
      <c r="N178" s="134">
        <f t="shared" si="47"/>
        <v>0</v>
      </c>
      <c r="O178" s="134">
        <f t="shared" si="47"/>
        <v>0</v>
      </c>
      <c r="P178" s="134">
        <f t="shared" si="47"/>
        <v>0</v>
      </c>
      <c r="Q178" s="134">
        <f t="shared" si="47"/>
        <v>0</v>
      </c>
      <c r="R178" s="134">
        <f t="shared" si="47"/>
        <v>0</v>
      </c>
      <c r="S178" s="134">
        <f t="shared" si="48"/>
        <v>0</v>
      </c>
      <c r="T178" s="134">
        <f t="shared" si="48"/>
        <v>0</v>
      </c>
      <c r="U178" s="134">
        <f t="shared" si="48"/>
        <v>0</v>
      </c>
      <c r="V178" s="134">
        <f t="shared" si="48"/>
        <v>0</v>
      </c>
      <c r="W178" s="134">
        <f t="shared" si="48"/>
        <v>0</v>
      </c>
      <c r="X178" s="134">
        <f t="shared" si="48"/>
        <v>0</v>
      </c>
      <c r="Y178" s="134">
        <f t="shared" si="48"/>
        <v>0</v>
      </c>
      <c r="Z178" s="134">
        <f t="shared" si="48"/>
        <v>0</v>
      </c>
      <c r="AA178" s="134">
        <f t="shared" si="48"/>
        <v>0</v>
      </c>
      <c r="AB178" s="134">
        <f t="shared" si="48"/>
        <v>0</v>
      </c>
      <c r="AC178" s="134">
        <f t="shared" si="48"/>
        <v>0</v>
      </c>
      <c r="AD178" s="134">
        <f t="shared" si="48"/>
        <v>0</v>
      </c>
      <c r="AE178" s="134">
        <f t="shared" si="48"/>
        <v>0</v>
      </c>
      <c r="AF178" s="134">
        <f t="shared" si="48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7"/>
        <v>0.6</v>
      </c>
      <c r="D179" s="134">
        <f t="shared" si="47"/>
        <v>0.6</v>
      </c>
      <c r="E179" s="134">
        <f t="shared" si="47"/>
        <v>0.6</v>
      </c>
      <c r="F179" s="134">
        <f t="shared" si="47"/>
        <v>0.6</v>
      </c>
      <c r="G179" s="134">
        <f t="shared" si="47"/>
        <v>0.6</v>
      </c>
      <c r="H179" s="134">
        <f t="shared" si="47"/>
        <v>0.6</v>
      </c>
      <c r="I179" s="134">
        <f t="shared" si="47"/>
        <v>0.6</v>
      </c>
      <c r="J179" s="134">
        <f t="shared" si="47"/>
        <v>0.6</v>
      </c>
      <c r="K179" s="134">
        <f t="shared" si="47"/>
        <v>0.6</v>
      </c>
      <c r="L179" s="134">
        <f t="shared" si="47"/>
        <v>0.6</v>
      </c>
      <c r="M179" s="134">
        <f t="shared" si="47"/>
        <v>0.6</v>
      </c>
      <c r="N179" s="134">
        <f t="shared" si="47"/>
        <v>0.6</v>
      </c>
      <c r="O179" s="134">
        <f t="shared" si="47"/>
        <v>0.6</v>
      </c>
      <c r="P179" s="134">
        <f t="shared" si="47"/>
        <v>0.6</v>
      </c>
      <c r="Q179" s="134">
        <f t="shared" si="47"/>
        <v>0.6</v>
      </c>
      <c r="R179" s="134">
        <f t="shared" si="47"/>
        <v>0.6</v>
      </c>
      <c r="S179" s="134">
        <f t="shared" si="48"/>
        <v>0.6</v>
      </c>
      <c r="T179" s="134">
        <f t="shared" si="48"/>
        <v>0.6</v>
      </c>
      <c r="U179" s="134">
        <f t="shared" si="48"/>
        <v>0.6</v>
      </c>
      <c r="V179" s="134">
        <f t="shared" si="48"/>
        <v>0.6</v>
      </c>
      <c r="W179" s="134">
        <f t="shared" si="48"/>
        <v>0.6</v>
      </c>
      <c r="X179" s="134">
        <f t="shared" si="48"/>
        <v>0.6</v>
      </c>
      <c r="Y179" s="134">
        <f t="shared" si="48"/>
        <v>0.6</v>
      </c>
      <c r="Z179" s="134">
        <f t="shared" si="48"/>
        <v>0.6</v>
      </c>
      <c r="AA179" s="134">
        <f t="shared" si="48"/>
        <v>0.6</v>
      </c>
      <c r="AB179" s="134">
        <f t="shared" si="48"/>
        <v>0.6</v>
      </c>
      <c r="AC179" s="134">
        <f t="shared" si="48"/>
        <v>0.6</v>
      </c>
      <c r="AD179" s="134">
        <f t="shared" si="48"/>
        <v>0.6</v>
      </c>
      <c r="AE179" s="134">
        <f t="shared" si="48"/>
        <v>0.6</v>
      </c>
      <c r="AF179" s="134">
        <f t="shared" si="48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7"/>
        <v>0.6</v>
      </c>
      <c r="D180" s="134">
        <f t="shared" si="47"/>
        <v>0.6</v>
      </c>
      <c r="E180" s="134">
        <f t="shared" si="47"/>
        <v>0.6</v>
      </c>
      <c r="F180" s="134">
        <f t="shared" si="47"/>
        <v>0.6</v>
      </c>
      <c r="G180" s="134">
        <f t="shared" si="47"/>
        <v>0.6</v>
      </c>
      <c r="H180" s="134">
        <f t="shared" si="47"/>
        <v>0.6</v>
      </c>
      <c r="I180" s="134">
        <f t="shared" si="47"/>
        <v>0.6</v>
      </c>
      <c r="J180" s="134">
        <f t="shared" si="47"/>
        <v>0.6</v>
      </c>
      <c r="K180" s="134">
        <f t="shared" si="47"/>
        <v>0.6</v>
      </c>
      <c r="L180" s="134">
        <f t="shared" si="47"/>
        <v>0.6</v>
      </c>
      <c r="M180" s="134">
        <f t="shared" si="47"/>
        <v>0.6</v>
      </c>
      <c r="N180" s="134">
        <f t="shared" si="47"/>
        <v>0.6</v>
      </c>
      <c r="O180" s="134">
        <f t="shared" si="47"/>
        <v>0.6</v>
      </c>
      <c r="P180" s="134">
        <f t="shared" si="47"/>
        <v>0.6</v>
      </c>
      <c r="Q180" s="134">
        <f t="shared" si="47"/>
        <v>0.6</v>
      </c>
      <c r="R180" s="134">
        <f t="shared" si="47"/>
        <v>0.6</v>
      </c>
      <c r="S180" s="134">
        <f t="shared" si="48"/>
        <v>0.6</v>
      </c>
      <c r="T180" s="134">
        <f t="shared" si="48"/>
        <v>0.6</v>
      </c>
      <c r="U180" s="134">
        <f t="shared" si="48"/>
        <v>0.6</v>
      </c>
      <c r="V180" s="134">
        <f t="shared" si="48"/>
        <v>0.6</v>
      </c>
      <c r="W180" s="134">
        <f t="shared" si="48"/>
        <v>0.6</v>
      </c>
      <c r="X180" s="134">
        <f t="shared" si="48"/>
        <v>0.6</v>
      </c>
      <c r="Y180" s="134">
        <f t="shared" si="48"/>
        <v>0.6</v>
      </c>
      <c r="Z180" s="134">
        <f t="shared" si="48"/>
        <v>0.6</v>
      </c>
      <c r="AA180" s="134">
        <f t="shared" si="48"/>
        <v>0.6</v>
      </c>
      <c r="AB180" s="134">
        <f t="shared" si="48"/>
        <v>0.6</v>
      </c>
      <c r="AC180" s="134">
        <f t="shared" si="48"/>
        <v>0.6</v>
      </c>
      <c r="AD180" s="134">
        <f t="shared" si="48"/>
        <v>0.6</v>
      </c>
      <c r="AE180" s="134">
        <f t="shared" si="48"/>
        <v>0.6</v>
      </c>
      <c r="AF180" s="134">
        <f t="shared" si="48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7"/>
        <v>0.35</v>
      </c>
      <c r="D181" s="134">
        <f t="shared" si="47"/>
        <v>0.35</v>
      </c>
      <c r="E181" s="134">
        <f t="shared" si="47"/>
        <v>0.35</v>
      </c>
      <c r="F181" s="134">
        <f t="shared" si="47"/>
        <v>0.35</v>
      </c>
      <c r="G181" s="134">
        <f t="shared" si="47"/>
        <v>0.35</v>
      </c>
      <c r="H181" s="134">
        <f t="shared" si="47"/>
        <v>0.35</v>
      </c>
      <c r="I181" s="134">
        <f t="shared" si="47"/>
        <v>0.35</v>
      </c>
      <c r="J181" s="134">
        <f t="shared" si="47"/>
        <v>0.35</v>
      </c>
      <c r="K181" s="134">
        <f t="shared" si="47"/>
        <v>0.35</v>
      </c>
      <c r="L181" s="134">
        <f t="shared" si="47"/>
        <v>0.35</v>
      </c>
      <c r="M181" s="134">
        <f t="shared" si="47"/>
        <v>0.35</v>
      </c>
      <c r="N181" s="134">
        <f t="shared" si="47"/>
        <v>0.35</v>
      </c>
      <c r="O181" s="134">
        <f t="shared" si="47"/>
        <v>0.35</v>
      </c>
      <c r="P181" s="134">
        <f t="shared" si="47"/>
        <v>0.35</v>
      </c>
      <c r="Q181" s="134">
        <f t="shared" si="47"/>
        <v>0.35</v>
      </c>
      <c r="R181" s="134">
        <f t="shared" si="47"/>
        <v>0.35</v>
      </c>
      <c r="S181" s="134">
        <f t="shared" si="48"/>
        <v>0.35</v>
      </c>
      <c r="T181" s="134">
        <f t="shared" si="48"/>
        <v>0.35</v>
      </c>
      <c r="U181" s="134">
        <f t="shared" si="48"/>
        <v>0.35</v>
      </c>
      <c r="V181" s="134">
        <f t="shared" si="48"/>
        <v>0.35</v>
      </c>
      <c r="W181" s="134">
        <f t="shared" si="48"/>
        <v>0.35</v>
      </c>
      <c r="X181" s="134">
        <f t="shared" si="48"/>
        <v>0.35</v>
      </c>
      <c r="Y181" s="134">
        <f t="shared" si="48"/>
        <v>0.35</v>
      </c>
      <c r="Z181" s="134">
        <f t="shared" si="48"/>
        <v>0.35</v>
      </c>
      <c r="AA181" s="134">
        <f t="shared" si="48"/>
        <v>0.35</v>
      </c>
      <c r="AB181" s="134">
        <f t="shared" si="48"/>
        <v>0.35</v>
      </c>
      <c r="AC181" s="134">
        <f t="shared" si="48"/>
        <v>0.35</v>
      </c>
      <c r="AD181" s="134">
        <f t="shared" si="48"/>
        <v>0.35</v>
      </c>
      <c r="AE181" s="134">
        <f t="shared" si="48"/>
        <v>0.35</v>
      </c>
      <c r="AF181" s="134">
        <f t="shared" si="48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7"/>
        <v>0.28999999999999998</v>
      </c>
      <c r="D182" s="134">
        <f t="shared" si="47"/>
        <v>0.28999999999999998</v>
      </c>
      <c r="E182" s="134">
        <f t="shared" si="47"/>
        <v>0.28999999999999998</v>
      </c>
      <c r="F182" s="134">
        <f t="shared" si="47"/>
        <v>0.28999999999999998</v>
      </c>
      <c r="G182" s="134">
        <f t="shared" si="47"/>
        <v>0.28999999999999998</v>
      </c>
      <c r="H182" s="134">
        <f t="shared" si="47"/>
        <v>0.28999999999999998</v>
      </c>
      <c r="I182" s="134">
        <f t="shared" si="47"/>
        <v>0.28999999999999998</v>
      </c>
      <c r="J182" s="134">
        <f t="shared" si="47"/>
        <v>0.28999999999999998</v>
      </c>
      <c r="K182" s="134">
        <f t="shared" si="47"/>
        <v>0.28999999999999998</v>
      </c>
      <c r="L182" s="134">
        <f t="shared" si="47"/>
        <v>0.28999999999999998</v>
      </c>
      <c r="M182" s="134">
        <f t="shared" si="47"/>
        <v>0.28999999999999998</v>
      </c>
      <c r="N182" s="134">
        <f t="shared" si="47"/>
        <v>0.28999999999999998</v>
      </c>
      <c r="O182" s="134">
        <f t="shared" si="47"/>
        <v>0.28999999999999998</v>
      </c>
      <c r="P182" s="134">
        <f t="shared" si="47"/>
        <v>0.28999999999999998</v>
      </c>
      <c r="Q182" s="134">
        <f t="shared" si="47"/>
        <v>0.28999999999999998</v>
      </c>
      <c r="R182" s="134">
        <f t="shared" si="47"/>
        <v>0.28999999999999998</v>
      </c>
      <c r="S182" s="134">
        <f t="shared" si="48"/>
        <v>0.28999999999999998</v>
      </c>
      <c r="T182" s="134">
        <f t="shared" si="48"/>
        <v>0.28999999999999998</v>
      </c>
      <c r="U182" s="134">
        <f t="shared" si="48"/>
        <v>0.28999999999999998</v>
      </c>
      <c r="V182" s="134">
        <f t="shared" si="48"/>
        <v>0.28999999999999998</v>
      </c>
      <c r="W182" s="134">
        <f t="shared" si="48"/>
        <v>0.28999999999999998</v>
      </c>
      <c r="X182" s="134">
        <f t="shared" si="48"/>
        <v>0.28999999999999998</v>
      </c>
      <c r="Y182" s="134">
        <f t="shared" si="48"/>
        <v>0.28999999999999998</v>
      </c>
      <c r="Z182" s="134">
        <f t="shared" si="48"/>
        <v>0.28999999999999998</v>
      </c>
      <c r="AA182" s="134">
        <f t="shared" si="48"/>
        <v>0.28999999999999998</v>
      </c>
      <c r="AB182" s="134">
        <f t="shared" si="48"/>
        <v>0.28999999999999998</v>
      </c>
      <c r="AC182" s="134">
        <f t="shared" si="48"/>
        <v>0.28999999999999998</v>
      </c>
      <c r="AD182" s="134">
        <f t="shared" si="48"/>
        <v>0.28999999999999998</v>
      </c>
      <c r="AE182" s="134">
        <f t="shared" si="48"/>
        <v>0.28999999999999998</v>
      </c>
      <c r="AF182" s="134">
        <f t="shared" si="48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7"/>
        <v>0.06</v>
      </c>
      <c r="D183" s="134">
        <f t="shared" si="47"/>
        <v>0.06</v>
      </c>
      <c r="E183" s="134">
        <f t="shared" si="47"/>
        <v>0.06</v>
      </c>
      <c r="F183" s="134">
        <f t="shared" si="47"/>
        <v>0.06</v>
      </c>
      <c r="G183" s="134">
        <f t="shared" si="47"/>
        <v>0.06</v>
      </c>
      <c r="H183" s="134">
        <f t="shared" si="47"/>
        <v>0.06</v>
      </c>
      <c r="I183" s="134">
        <f t="shared" si="47"/>
        <v>0.06</v>
      </c>
      <c r="J183" s="134">
        <f t="shared" si="47"/>
        <v>0.06</v>
      </c>
      <c r="K183" s="134">
        <f t="shared" si="47"/>
        <v>0.06</v>
      </c>
      <c r="L183" s="134">
        <f t="shared" si="47"/>
        <v>0.06</v>
      </c>
      <c r="M183" s="134">
        <f t="shared" si="47"/>
        <v>0.06</v>
      </c>
      <c r="N183" s="134">
        <f t="shared" si="47"/>
        <v>0.06</v>
      </c>
      <c r="O183" s="134">
        <f t="shared" si="47"/>
        <v>0.06</v>
      </c>
      <c r="P183" s="134">
        <f t="shared" si="47"/>
        <v>0.06</v>
      </c>
      <c r="Q183" s="134">
        <f t="shared" si="47"/>
        <v>0.06</v>
      </c>
      <c r="R183" s="134">
        <f t="shared" si="47"/>
        <v>0.06</v>
      </c>
      <c r="S183" s="134">
        <f t="shared" si="48"/>
        <v>0.06</v>
      </c>
      <c r="T183" s="134">
        <f t="shared" si="48"/>
        <v>0.06</v>
      </c>
      <c r="U183" s="134">
        <f t="shared" si="48"/>
        <v>0.06</v>
      </c>
      <c r="V183" s="134">
        <f t="shared" si="48"/>
        <v>0.06</v>
      </c>
      <c r="W183" s="134">
        <f t="shared" si="48"/>
        <v>0.06</v>
      </c>
      <c r="X183" s="134">
        <f t="shared" si="48"/>
        <v>0.06</v>
      </c>
      <c r="Y183" s="134">
        <f t="shared" si="48"/>
        <v>0.06</v>
      </c>
      <c r="Z183" s="134">
        <f t="shared" si="48"/>
        <v>0.06</v>
      </c>
      <c r="AA183" s="134">
        <f t="shared" si="48"/>
        <v>0.06</v>
      </c>
      <c r="AB183" s="134">
        <f t="shared" si="48"/>
        <v>0.06</v>
      </c>
      <c r="AC183" s="134">
        <f t="shared" si="48"/>
        <v>0.06</v>
      </c>
      <c r="AD183" s="134">
        <f t="shared" si="48"/>
        <v>0.06</v>
      </c>
      <c r="AE183" s="134">
        <f t="shared" si="48"/>
        <v>0.06</v>
      </c>
      <c r="AF183" s="134">
        <f t="shared" si="48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7"/>
        <v>0.11</v>
      </c>
      <c r="D184" s="134">
        <f t="shared" si="47"/>
        <v>0.11</v>
      </c>
      <c r="E184" s="134">
        <f t="shared" si="47"/>
        <v>0.11</v>
      </c>
      <c r="F184" s="134">
        <f t="shared" si="47"/>
        <v>0.11</v>
      </c>
      <c r="G184" s="134">
        <f t="shared" si="47"/>
        <v>0.11</v>
      </c>
      <c r="H184" s="134">
        <f t="shared" si="47"/>
        <v>0.11</v>
      </c>
      <c r="I184" s="134">
        <f t="shared" si="47"/>
        <v>0.11</v>
      </c>
      <c r="J184" s="134">
        <f t="shared" si="47"/>
        <v>0.11</v>
      </c>
      <c r="K184" s="134">
        <f t="shared" si="47"/>
        <v>0.11</v>
      </c>
      <c r="L184" s="134">
        <f t="shared" si="47"/>
        <v>0.11</v>
      </c>
      <c r="M184" s="134">
        <f t="shared" si="47"/>
        <v>0.11</v>
      </c>
      <c r="N184" s="134">
        <f t="shared" si="47"/>
        <v>0.11</v>
      </c>
      <c r="O184" s="134">
        <f t="shared" si="47"/>
        <v>0.11</v>
      </c>
      <c r="P184" s="134">
        <f t="shared" si="47"/>
        <v>0.11</v>
      </c>
      <c r="Q184" s="134">
        <f t="shared" si="47"/>
        <v>0.11</v>
      </c>
      <c r="R184" s="134">
        <f t="shared" si="47"/>
        <v>0.11</v>
      </c>
      <c r="S184" s="134">
        <f t="shared" si="48"/>
        <v>0.11</v>
      </c>
      <c r="T184" s="134">
        <f t="shared" si="48"/>
        <v>0.11</v>
      </c>
      <c r="U184" s="134">
        <f t="shared" si="48"/>
        <v>0.11</v>
      </c>
      <c r="V184" s="134">
        <f t="shared" si="48"/>
        <v>0.11</v>
      </c>
      <c r="W184" s="134">
        <f t="shared" si="48"/>
        <v>0.11</v>
      </c>
      <c r="X184" s="134">
        <f t="shared" si="48"/>
        <v>0.11</v>
      </c>
      <c r="Y184" s="134">
        <f t="shared" si="48"/>
        <v>0.11</v>
      </c>
      <c r="Z184" s="134">
        <f t="shared" si="48"/>
        <v>0.11</v>
      </c>
      <c r="AA184" s="134">
        <f t="shared" si="48"/>
        <v>0.11</v>
      </c>
      <c r="AB184" s="134">
        <f t="shared" si="48"/>
        <v>0.11</v>
      </c>
      <c r="AC184" s="134">
        <f t="shared" si="48"/>
        <v>0.11</v>
      </c>
      <c r="AD184" s="134">
        <f t="shared" si="48"/>
        <v>0.11</v>
      </c>
      <c r="AE184" s="134">
        <f t="shared" si="48"/>
        <v>0.11</v>
      </c>
      <c r="AF184" s="134">
        <f t="shared" si="48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7"/>
        <v>0.1</v>
      </c>
      <c r="D185" s="134">
        <f t="shared" si="47"/>
        <v>0.1</v>
      </c>
      <c r="E185" s="134">
        <f t="shared" si="47"/>
        <v>0.1</v>
      </c>
      <c r="F185" s="134">
        <f t="shared" si="47"/>
        <v>0.1</v>
      </c>
      <c r="G185" s="134">
        <f t="shared" si="47"/>
        <v>0.1</v>
      </c>
      <c r="H185" s="134">
        <f t="shared" si="47"/>
        <v>0.1</v>
      </c>
      <c r="I185" s="134">
        <f t="shared" si="47"/>
        <v>0.1</v>
      </c>
      <c r="J185" s="134">
        <f t="shared" si="47"/>
        <v>0.1</v>
      </c>
      <c r="K185" s="134">
        <f t="shared" si="47"/>
        <v>0.1</v>
      </c>
      <c r="L185" s="134">
        <f t="shared" si="47"/>
        <v>0.1</v>
      </c>
      <c r="M185" s="134">
        <f t="shared" si="47"/>
        <v>0.1</v>
      </c>
      <c r="N185" s="134">
        <f t="shared" si="47"/>
        <v>0.1</v>
      </c>
      <c r="O185" s="134">
        <f t="shared" si="47"/>
        <v>0.1</v>
      </c>
      <c r="P185" s="134">
        <f t="shared" si="47"/>
        <v>0.1</v>
      </c>
      <c r="Q185" s="134">
        <f t="shared" si="47"/>
        <v>0.1</v>
      </c>
      <c r="R185" s="134">
        <f t="shared" si="48"/>
        <v>0.1</v>
      </c>
      <c r="S185" s="134">
        <f t="shared" si="48"/>
        <v>0.1</v>
      </c>
      <c r="T185" s="134">
        <f t="shared" si="48"/>
        <v>0.1</v>
      </c>
      <c r="U185" s="134">
        <f t="shared" si="48"/>
        <v>0.1</v>
      </c>
      <c r="V185" s="134">
        <f t="shared" si="48"/>
        <v>0.1</v>
      </c>
      <c r="W185" s="134">
        <f t="shared" si="48"/>
        <v>0.1</v>
      </c>
      <c r="X185" s="134">
        <f t="shared" si="48"/>
        <v>0.1</v>
      </c>
      <c r="Y185" s="134">
        <f t="shared" si="48"/>
        <v>0.1</v>
      </c>
      <c r="Z185" s="134">
        <f t="shared" si="48"/>
        <v>0.1</v>
      </c>
      <c r="AA185" s="134">
        <f t="shared" si="48"/>
        <v>0.1</v>
      </c>
      <c r="AB185" s="134">
        <f t="shared" si="48"/>
        <v>0.1</v>
      </c>
      <c r="AC185" s="134">
        <f t="shared" si="48"/>
        <v>0.1</v>
      </c>
      <c r="AD185" s="134">
        <f t="shared" si="48"/>
        <v>0.1</v>
      </c>
      <c r="AE185" s="134">
        <f t="shared" si="48"/>
        <v>0.1</v>
      </c>
      <c r="AF185" s="134">
        <f t="shared" si="48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7"/>
        <v>0.09</v>
      </c>
      <c r="D186" s="134">
        <f t="shared" si="47"/>
        <v>0.09</v>
      </c>
      <c r="E186" s="134">
        <f t="shared" si="47"/>
        <v>0.09</v>
      </c>
      <c r="F186" s="134">
        <f t="shared" si="47"/>
        <v>0.09</v>
      </c>
      <c r="G186" s="134">
        <f t="shared" si="47"/>
        <v>0.09</v>
      </c>
      <c r="H186" s="134">
        <f t="shared" si="47"/>
        <v>0.09</v>
      </c>
      <c r="I186" s="134">
        <f t="shared" si="47"/>
        <v>0.09</v>
      </c>
      <c r="J186" s="134">
        <f t="shared" si="47"/>
        <v>0.09</v>
      </c>
      <c r="K186" s="134">
        <f t="shared" si="47"/>
        <v>0.09</v>
      </c>
      <c r="L186" s="134">
        <f t="shared" si="47"/>
        <v>0.09</v>
      </c>
      <c r="M186" s="134">
        <f t="shared" si="47"/>
        <v>0.09</v>
      </c>
      <c r="N186" s="134">
        <f t="shared" si="47"/>
        <v>0.09</v>
      </c>
      <c r="O186" s="134">
        <f t="shared" si="47"/>
        <v>0.09</v>
      </c>
      <c r="P186" s="134">
        <f t="shared" si="47"/>
        <v>0.09</v>
      </c>
      <c r="Q186" s="134">
        <f t="shared" si="47"/>
        <v>0.09</v>
      </c>
      <c r="R186" s="134">
        <f t="shared" si="48"/>
        <v>0.09</v>
      </c>
      <c r="S186" s="134">
        <f t="shared" si="48"/>
        <v>0.09</v>
      </c>
      <c r="T186" s="134">
        <f t="shared" si="48"/>
        <v>0.09</v>
      </c>
      <c r="U186" s="134">
        <f t="shared" si="48"/>
        <v>0.09</v>
      </c>
      <c r="V186" s="134">
        <f t="shared" si="48"/>
        <v>0.09</v>
      </c>
      <c r="W186" s="134">
        <f t="shared" si="48"/>
        <v>0.09</v>
      </c>
      <c r="X186" s="134">
        <f t="shared" si="48"/>
        <v>0.09</v>
      </c>
      <c r="Y186" s="134">
        <f t="shared" si="48"/>
        <v>0.09</v>
      </c>
      <c r="Z186" s="134">
        <f t="shared" si="48"/>
        <v>0.09</v>
      </c>
      <c r="AA186" s="134">
        <f t="shared" si="48"/>
        <v>0.09</v>
      </c>
      <c r="AB186" s="134">
        <f t="shared" si="48"/>
        <v>0.09</v>
      </c>
      <c r="AC186" s="134">
        <f t="shared" si="48"/>
        <v>0.09</v>
      </c>
      <c r="AD186" s="134">
        <f t="shared" si="48"/>
        <v>0.09</v>
      </c>
      <c r="AE186" s="134">
        <f t="shared" si="48"/>
        <v>0.09</v>
      </c>
      <c r="AF186" s="134">
        <f t="shared" si="48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7"/>
        <v>0.04</v>
      </c>
      <c r="D187" s="134">
        <f t="shared" si="47"/>
        <v>0.04</v>
      </c>
      <c r="E187" s="134">
        <f t="shared" si="47"/>
        <v>0.04</v>
      </c>
      <c r="F187" s="134">
        <f t="shared" si="47"/>
        <v>0.04</v>
      </c>
      <c r="G187" s="134">
        <f t="shared" si="47"/>
        <v>0.04</v>
      </c>
      <c r="H187" s="134">
        <f t="shared" si="47"/>
        <v>0.04</v>
      </c>
      <c r="I187" s="134">
        <f t="shared" si="47"/>
        <v>0.04</v>
      </c>
      <c r="J187" s="134">
        <f t="shared" si="47"/>
        <v>0.04</v>
      </c>
      <c r="K187" s="134">
        <f t="shared" si="47"/>
        <v>0.04</v>
      </c>
      <c r="L187" s="134">
        <f t="shared" si="47"/>
        <v>0.04</v>
      </c>
      <c r="M187" s="134">
        <f t="shared" si="47"/>
        <v>0.04</v>
      </c>
      <c r="N187" s="134">
        <f t="shared" si="47"/>
        <v>0.04</v>
      </c>
      <c r="O187" s="134">
        <f t="shared" si="47"/>
        <v>0.04</v>
      </c>
      <c r="P187" s="134">
        <f t="shared" si="47"/>
        <v>0.04</v>
      </c>
      <c r="Q187" s="134">
        <f t="shared" si="47"/>
        <v>0.04</v>
      </c>
      <c r="R187" s="134">
        <f t="shared" si="48"/>
        <v>0.04</v>
      </c>
      <c r="S187" s="134">
        <f t="shared" si="48"/>
        <v>0.04</v>
      </c>
      <c r="T187" s="134">
        <f t="shared" si="48"/>
        <v>0.04</v>
      </c>
      <c r="U187" s="134">
        <f t="shared" si="48"/>
        <v>0.04</v>
      </c>
      <c r="V187" s="134">
        <f t="shared" si="48"/>
        <v>0.04</v>
      </c>
      <c r="W187" s="134">
        <f t="shared" si="48"/>
        <v>0.04</v>
      </c>
      <c r="X187" s="134">
        <f t="shared" si="48"/>
        <v>0.04</v>
      </c>
      <c r="Y187" s="134">
        <f t="shared" si="48"/>
        <v>0.04</v>
      </c>
      <c r="Z187" s="134">
        <f t="shared" si="48"/>
        <v>0.04</v>
      </c>
      <c r="AA187" s="134">
        <f t="shared" si="48"/>
        <v>0.04</v>
      </c>
      <c r="AB187" s="134">
        <f t="shared" si="48"/>
        <v>0.04</v>
      </c>
      <c r="AC187" s="134">
        <f t="shared" si="48"/>
        <v>0.04</v>
      </c>
      <c r="AD187" s="134">
        <f t="shared" si="48"/>
        <v>0.04</v>
      </c>
      <c r="AE187" s="134">
        <f t="shared" si="48"/>
        <v>0.04</v>
      </c>
      <c r="AF187" s="134">
        <f t="shared" si="48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7"/>
        <v>2.3E-2</v>
      </c>
      <c r="E188" s="134">
        <f t="shared" si="47"/>
        <v>2.3E-2</v>
      </c>
      <c r="F188" s="134">
        <f t="shared" si="47"/>
        <v>2.3E-2</v>
      </c>
      <c r="G188" s="134">
        <f t="shared" si="47"/>
        <v>2.3E-2</v>
      </c>
      <c r="H188" s="134">
        <f t="shared" si="47"/>
        <v>2.3E-2</v>
      </c>
      <c r="I188" s="134">
        <f t="shared" si="47"/>
        <v>2.3E-2</v>
      </c>
      <c r="J188" s="134">
        <f t="shared" si="47"/>
        <v>2.3E-2</v>
      </c>
      <c r="K188" s="134">
        <f t="shared" si="47"/>
        <v>2.3E-2</v>
      </c>
      <c r="L188" s="134">
        <f t="shared" si="47"/>
        <v>2.3E-2</v>
      </c>
      <c r="M188" s="134">
        <f t="shared" si="47"/>
        <v>2.3E-2</v>
      </c>
      <c r="N188" s="134">
        <f t="shared" si="47"/>
        <v>2.3E-2</v>
      </c>
      <c r="O188" s="134">
        <f t="shared" si="47"/>
        <v>2.3E-2</v>
      </c>
      <c r="P188" s="134">
        <f t="shared" si="47"/>
        <v>2.3E-2</v>
      </c>
      <c r="Q188" s="134">
        <f t="shared" si="47"/>
        <v>2.3E-2</v>
      </c>
      <c r="R188" s="134">
        <f t="shared" si="48"/>
        <v>2.3E-2</v>
      </c>
      <c r="S188" s="134">
        <f t="shared" si="48"/>
        <v>2.3E-2</v>
      </c>
      <c r="T188" s="134">
        <f t="shared" si="48"/>
        <v>2.3E-2</v>
      </c>
      <c r="U188" s="134">
        <f t="shared" si="48"/>
        <v>2.3E-2</v>
      </c>
      <c r="V188" s="134">
        <f t="shared" si="48"/>
        <v>2.3E-2</v>
      </c>
      <c r="W188" s="134">
        <f t="shared" si="48"/>
        <v>2.3E-2</v>
      </c>
      <c r="X188" s="134">
        <f t="shared" si="48"/>
        <v>2.3E-2</v>
      </c>
      <c r="Y188" s="134">
        <f t="shared" si="48"/>
        <v>2.3E-2</v>
      </c>
      <c r="Z188" s="134">
        <f t="shared" si="48"/>
        <v>2.3E-2</v>
      </c>
      <c r="AA188" s="134">
        <f t="shared" si="48"/>
        <v>2.3E-2</v>
      </c>
      <c r="AB188" s="134">
        <f t="shared" si="48"/>
        <v>2.3E-2</v>
      </c>
      <c r="AC188" s="134">
        <f t="shared" si="48"/>
        <v>2.3E-2</v>
      </c>
      <c r="AD188" s="134">
        <f t="shared" si="48"/>
        <v>2.3E-2</v>
      </c>
      <c r="AE188" s="134">
        <f t="shared" si="48"/>
        <v>2.3E-2</v>
      </c>
      <c r="AF188" s="134">
        <f t="shared" si="48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9">SUM(B99:B188)</f>
        <v>194.70600000000002</v>
      </c>
      <c r="C189" s="138">
        <f t="shared" si="49"/>
        <v>194.70600000000002</v>
      </c>
      <c r="D189" s="138">
        <f t="shared" si="49"/>
        <v>194.70600000000002</v>
      </c>
      <c r="E189" s="138">
        <f t="shared" si="49"/>
        <v>194.70600000000002</v>
      </c>
      <c r="F189" s="138">
        <f t="shared" si="49"/>
        <v>194.70600000000002</v>
      </c>
      <c r="G189" s="138">
        <f t="shared" si="49"/>
        <v>194.70600000000002</v>
      </c>
      <c r="H189" s="138">
        <f t="shared" si="49"/>
        <v>194.70600000000002</v>
      </c>
      <c r="I189" s="138">
        <f t="shared" si="49"/>
        <v>192.10600000000005</v>
      </c>
      <c r="J189" s="138">
        <f t="shared" si="49"/>
        <v>192.10600000000005</v>
      </c>
      <c r="K189" s="138">
        <f t="shared" si="49"/>
        <v>192.10600000000005</v>
      </c>
      <c r="L189" s="138">
        <f t="shared" si="49"/>
        <v>192.10600000000005</v>
      </c>
      <c r="M189" s="138">
        <f t="shared" si="49"/>
        <v>192.10600000000005</v>
      </c>
      <c r="N189" s="138">
        <f t="shared" si="49"/>
        <v>192.10600000000005</v>
      </c>
      <c r="O189" s="138">
        <f t="shared" si="49"/>
        <v>192.10600000000005</v>
      </c>
      <c r="P189" s="138">
        <f t="shared" si="49"/>
        <v>192.10600000000005</v>
      </c>
      <c r="Q189" s="138">
        <f t="shared" si="49"/>
        <v>192.10600000000005</v>
      </c>
      <c r="R189" s="138">
        <f t="shared" si="49"/>
        <v>192.10600000000005</v>
      </c>
      <c r="S189" s="138">
        <f t="shared" si="49"/>
        <v>192.10600000000005</v>
      </c>
      <c r="T189" s="138">
        <f t="shared" si="49"/>
        <v>192.10600000000005</v>
      </c>
      <c r="U189" s="138">
        <f t="shared" si="49"/>
        <v>192.10600000000005</v>
      </c>
      <c r="V189" s="138">
        <f t="shared" si="49"/>
        <v>192.10600000000005</v>
      </c>
      <c r="W189" s="138">
        <f t="shared" si="49"/>
        <v>192.10600000000005</v>
      </c>
      <c r="X189" s="138">
        <f t="shared" si="49"/>
        <v>192.10600000000005</v>
      </c>
      <c r="Y189" s="138">
        <f t="shared" si="49"/>
        <v>192.10600000000005</v>
      </c>
      <c r="Z189" s="138">
        <f t="shared" si="49"/>
        <v>192.10600000000005</v>
      </c>
      <c r="AA189" s="138">
        <f t="shared" si="49"/>
        <v>192.10600000000005</v>
      </c>
      <c r="AB189" s="138">
        <f t="shared" si="49"/>
        <v>192.10600000000005</v>
      </c>
      <c r="AC189" s="138">
        <f t="shared" si="49"/>
        <v>192.10600000000005</v>
      </c>
      <c r="AD189" s="138">
        <f t="shared" si="49"/>
        <v>192.10600000000005</v>
      </c>
      <c r="AE189" s="138">
        <f t="shared" si="49"/>
        <v>192.10600000000005</v>
      </c>
      <c r="AF189" s="138">
        <f t="shared" si="49"/>
        <v>192.10600000000005</v>
      </c>
      <c r="AG189" s="139">
        <f t="shared" si="49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50">B191</f>
        <v>0.3</v>
      </c>
      <c r="D191" s="140">
        <f t="shared" si="50"/>
        <v>0.3</v>
      </c>
      <c r="E191" s="140">
        <f t="shared" si="50"/>
        <v>0.3</v>
      </c>
      <c r="F191" s="140">
        <f t="shared" si="50"/>
        <v>0.3</v>
      </c>
      <c r="G191" s="140">
        <f t="shared" si="50"/>
        <v>0.3</v>
      </c>
      <c r="H191" s="140">
        <f t="shared" si="50"/>
        <v>0.3</v>
      </c>
      <c r="I191" s="140">
        <f t="shared" si="50"/>
        <v>0.3</v>
      </c>
      <c r="J191" s="140">
        <f t="shared" si="50"/>
        <v>0.3</v>
      </c>
      <c r="K191" s="140">
        <f t="shared" si="50"/>
        <v>0.3</v>
      </c>
      <c r="L191" s="140">
        <f t="shared" si="50"/>
        <v>0.3</v>
      </c>
      <c r="M191" s="140">
        <f t="shared" si="50"/>
        <v>0.3</v>
      </c>
      <c r="N191" s="140">
        <f t="shared" si="50"/>
        <v>0.3</v>
      </c>
      <c r="O191" s="140">
        <f t="shared" si="50"/>
        <v>0.3</v>
      </c>
      <c r="P191" s="140">
        <f t="shared" si="50"/>
        <v>0.3</v>
      </c>
      <c r="Q191" s="140">
        <f t="shared" si="50"/>
        <v>0.3</v>
      </c>
      <c r="R191" s="140">
        <f t="shared" si="50"/>
        <v>0.3</v>
      </c>
      <c r="S191" s="140">
        <f t="shared" ref="S191:AF196" si="51">R191</f>
        <v>0.3</v>
      </c>
      <c r="T191" s="140">
        <f t="shared" si="51"/>
        <v>0.3</v>
      </c>
      <c r="U191" s="140">
        <f t="shared" si="51"/>
        <v>0.3</v>
      </c>
      <c r="V191" s="140">
        <f t="shared" si="51"/>
        <v>0.3</v>
      </c>
      <c r="W191" s="140">
        <f t="shared" si="51"/>
        <v>0.3</v>
      </c>
      <c r="X191" s="140">
        <f t="shared" si="51"/>
        <v>0.3</v>
      </c>
      <c r="Y191" s="140">
        <f t="shared" si="51"/>
        <v>0.3</v>
      </c>
      <c r="Z191" s="140">
        <f t="shared" si="51"/>
        <v>0.3</v>
      </c>
      <c r="AA191" s="140">
        <f t="shared" si="51"/>
        <v>0.3</v>
      </c>
      <c r="AB191" s="140">
        <f t="shared" si="51"/>
        <v>0.3</v>
      </c>
      <c r="AC191" s="140">
        <f t="shared" si="51"/>
        <v>0.3</v>
      </c>
      <c r="AD191" s="140">
        <f t="shared" si="51"/>
        <v>0.3</v>
      </c>
      <c r="AE191" s="140">
        <f t="shared" si="51"/>
        <v>0.3</v>
      </c>
      <c r="AF191" s="140">
        <f t="shared" si="51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50"/>
        <v>0.4</v>
      </c>
      <c r="D192" s="134">
        <f t="shared" si="50"/>
        <v>0.4</v>
      </c>
      <c r="E192" s="134">
        <f t="shared" si="50"/>
        <v>0.4</v>
      </c>
      <c r="F192" s="134">
        <f t="shared" si="50"/>
        <v>0.4</v>
      </c>
      <c r="G192" s="134">
        <f t="shared" si="50"/>
        <v>0.4</v>
      </c>
      <c r="H192" s="134">
        <f t="shared" si="50"/>
        <v>0.4</v>
      </c>
      <c r="I192" s="134">
        <f t="shared" si="50"/>
        <v>0.4</v>
      </c>
      <c r="J192" s="134">
        <f t="shared" si="50"/>
        <v>0.4</v>
      </c>
      <c r="K192" s="134">
        <f t="shared" si="50"/>
        <v>0.4</v>
      </c>
      <c r="L192" s="134">
        <f t="shared" si="50"/>
        <v>0.4</v>
      </c>
      <c r="M192" s="134">
        <f t="shared" si="50"/>
        <v>0.4</v>
      </c>
      <c r="N192" s="134">
        <f t="shared" si="50"/>
        <v>0.4</v>
      </c>
      <c r="O192" s="134">
        <f t="shared" si="50"/>
        <v>0.4</v>
      </c>
      <c r="P192" s="134">
        <f t="shared" si="50"/>
        <v>0.4</v>
      </c>
      <c r="Q192" s="134">
        <f t="shared" si="50"/>
        <v>0.4</v>
      </c>
      <c r="R192" s="134">
        <f t="shared" si="50"/>
        <v>0.4</v>
      </c>
      <c r="S192" s="134">
        <f t="shared" si="51"/>
        <v>0.4</v>
      </c>
      <c r="T192" s="134">
        <f t="shared" si="51"/>
        <v>0.4</v>
      </c>
      <c r="U192" s="134">
        <f t="shared" si="51"/>
        <v>0.4</v>
      </c>
      <c r="V192" s="134">
        <f>U192</f>
        <v>0.4</v>
      </c>
      <c r="W192" s="134">
        <f>V192</f>
        <v>0.4</v>
      </c>
      <c r="X192" s="134">
        <f t="shared" si="51"/>
        <v>0.4</v>
      </c>
      <c r="Y192" s="134">
        <f t="shared" si="51"/>
        <v>0.4</v>
      </c>
      <c r="Z192" s="134">
        <f t="shared" si="51"/>
        <v>0.4</v>
      </c>
      <c r="AA192" s="134">
        <f t="shared" si="51"/>
        <v>0.4</v>
      </c>
      <c r="AB192" s="134">
        <f t="shared" si="51"/>
        <v>0.4</v>
      </c>
      <c r="AC192" s="134">
        <f t="shared" si="51"/>
        <v>0.4</v>
      </c>
      <c r="AD192" s="134">
        <f t="shared" si="51"/>
        <v>0.4</v>
      </c>
      <c r="AE192" s="134">
        <f t="shared" si="51"/>
        <v>0.4</v>
      </c>
      <c r="AF192" s="134">
        <f t="shared" si="51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50"/>
        <v>1.5</v>
      </c>
      <c r="D193" s="134">
        <f t="shared" si="50"/>
        <v>1.5</v>
      </c>
      <c r="E193" s="134">
        <f t="shared" si="50"/>
        <v>1.5</v>
      </c>
      <c r="F193" s="134">
        <f t="shared" si="50"/>
        <v>1.5</v>
      </c>
      <c r="G193" s="134">
        <f t="shared" si="50"/>
        <v>1.5</v>
      </c>
      <c r="H193" s="134">
        <f t="shared" si="50"/>
        <v>1.5</v>
      </c>
      <c r="I193" s="134">
        <f t="shared" si="50"/>
        <v>1.5</v>
      </c>
      <c r="J193" s="134">
        <f t="shared" si="50"/>
        <v>1.5</v>
      </c>
      <c r="K193" s="134">
        <f t="shared" si="50"/>
        <v>1.5</v>
      </c>
      <c r="L193" s="134">
        <f t="shared" si="50"/>
        <v>1.5</v>
      </c>
      <c r="M193" s="134">
        <f t="shared" si="50"/>
        <v>1.5</v>
      </c>
      <c r="N193" s="134">
        <f t="shared" si="50"/>
        <v>1.5</v>
      </c>
      <c r="O193" s="134">
        <f t="shared" si="50"/>
        <v>1.5</v>
      </c>
      <c r="P193" s="134">
        <f t="shared" si="50"/>
        <v>1.5</v>
      </c>
      <c r="Q193" s="134">
        <f t="shared" si="50"/>
        <v>1.5</v>
      </c>
      <c r="R193" s="134">
        <f t="shared" si="50"/>
        <v>1.5</v>
      </c>
      <c r="S193" s="134">
        <f t="shared" si="51"/>
        <v>1.5</v>
      </c>
      <c r="T193" s="134">
        <f t="shared" si="51"/>
        <v>1.5</v>
      </c>
      <c r="U193" s="134">
        <f t="shared" si="51"/>
        <v>1.5</v>
      </c>
      <c r="V193" s="134">
        <f t="shared" si="51"/>
        <v>1.5</v>
      </c>
      <c r="W193" s="134">
        <f t="shared" si="51"/>
        <v>1.5</v>
      </c>
      <c r="X193" s="134">
        <f t="shared" si="51"/>
        <v>1.5</v>
      </c>
      <c r="Y193" s="134">
        <f t="shared" si="51"/>
        <v>1.5</v>
      </c>
      <c r="Z193" s="134">
        <f t="shared" si="51"/>
        <v>1.5</v>
      </c>
      <c r="AA193" s="134">
        <f t="shared" si="51"/>
        <v>1.5</v>
      </c>
      <c r="AB193" s="134">
        <f t="shared" si="51"/>
        <v>1.5</v>
      </c>
      <c r="AC193" s="134">
        <f t="shared" si="51"/>
        <v>1.5</v>
      </c>
      <c r="AD193" s="134">
        <f t="shared" si="51"/>
        <v>1.5</v>
      </c>
      <c r="AE193" s="134">
        <f t="shared" si="51"/>
        <v>1.5</v>
      </c>
      <c r="AF193" s="134">
        <f t="shared" si="51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50"/>
        <v>0.3</v>
      </c>
      <c r="D194" s="134">
        <f t="shared" si="50"/>
        <v>0.3</v>
      </c>
      <c r="E194" s="134">
        <f t="shared" si="50"/>
        <v>0.3</v>
      </c>
      <c r="F194" s="134">
        <f t="shared" si="50"/>
        <v>0.3</v>
      </c>
      <c r="G194" s="134">
        <f t="shared" si="50"/>
        <v>0.3</v>
      </c>
      <c r="H194" s="134">
        <f t="shared" si="50"/>
        <v>0.3</v>
      </c>
      <c r="I194" s="134">
        <f t="shared" si="50"/>
        <v>0.3</v>
      </c>
      <c r="J194" s="134">
        <f t="shared" si="50"/>
        <v>0.3</v>
      </c>
      <c r="K194" s="134">
        <f t="shared" si="50"/>
        <v>0.3</v>
      </c>
      <c r="L194" s="134">
        <f t="shared" si="50"/>
        <v>0.3</v>
      </c>
      <c r="M194" s="134">
        <f t="shared" si="50"/>
        <v>0.3</v>
      </c>
      <c r="N194" s="134">
        <f t="shared" si="50"/>
        <v>0.3</v>
      </c>
      <c r="O194" s="134">
        <f t="shared" si="50"/>
        <v>0.3</v>
      </c>
      <c r="P194" s="134">
        <f t="shared" si="50"/>
        <v>0.3</v>
      </c>
      <c r="Q194" s="134">
        <f t="shared" si="50"/>
        <v>0.3</v>
      </c>
      <c r="R194" s="134">
        <f t="shared" si="50"/>
        <v>0.3</v>
      </c>
      <c r="S194" s="134">
        <f t="shared" si="51"/>
        <v>0.3</v>
      </c>
      <c r="T194" s="134">
        <f t="shared" si="51"/>
        <v>0.3</v>
      </c>
      <c r="U194" s="134">
        <f t="shared" si="51"/>
        <v>0.3</v>
      </c>
      <c r="V194" s="134">
        <f t="shared" si="51"/>
        <v>0.3</v>
      </c>
      <c r="W194" s="134">
        <f t="shared" si="51"/>
        <v>0.3</v>
      </c>
      <c r="X194" s="134">
        <f t="shared" si="51"/>
        <v>0.3</v>
      </c>
      <c r="Y194" s="134">
        <f t="shared" si="51"/>
        <v>0.3</v>
      </c>
      <c r="Z194" s="134">
        <f t="shared" si="51"/>
        <v>0.3</v>
      </c>
      <c r="AA194" s="134">
        <f t="shared" si="51"/>
        <v>0.3</v>
      </c>
      <c r="AB194" s="134">
        <f t="shared" si="51"/>
        <v>0.3</v>
      </c>
      <c r="AC194" s="134">
        <f t="shared" si="51"/>
        <v>0.3</v>
      </c>
      <c r="AD194" s="134">
        <f t="shared" si="51"/>
        <v>0.3</v>
      </c>
      <c r="AE194" s="134">
        <f t="shared" si="51"/>
        <v>0.3</v>
      </c>
      <c r="AF194" s="134">
        <f t="shared" si="51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50"/>
        <v>0.4</v>
      </c>
      <c r="D195" s="134">
        <f t="shared" si="50"/>
        <v>0.4</v>
      </c>
      <c r="E195" s="134">
        <f t="shared" si="50"/>
        <v>0.4</v>
      </c>
      <c r="F195" s="134">
        <f t="shared" si="50"/>
        <v>0.4</v>
      </c>
      <c r="G195" s="134">
        <f t="shared" si="50"/>
        <v>0.4</v>
      </c>
      <c r="H195" s="134">
        <f t="shared" si="50"/>
        <v>0.4</v>
      </c>
      <c r="I195" s="134">
        <f t="shared" si="50"/>
        <v>0.4</v>
      </c>
      <c r="J195" s="134">
        <f t="shared" si="50"/>
        <v>0.4</v>
      </c>
      <c r="K195" s="134">
        <f t="shared" si="50"/>
        <v>0.4</v>
      </c>
      <c r="L195" s="134">
        <f t="shared" si="50"/>
        <v>0.4</v>
      </c>
      <c r="M195" s="134">
        <f t="shared" si="50"/>
        <v>0.4</v>
      </c>
      <c r="N195" s="134">
        <f t="shared" si="50"/>
        <v>0.4</v>
      </c>
      <c r="O195" s="134">
        <f t="shared" si="50"/>
        <v>0.4</v>
      </c>
      <c r="P195" s="134">
        <f t="shared" si="50"/>
        <v>0.4</v>
      </c>
      <c r="Q195" s="134">
        <f t="shared" si="50"/>
        <v>0.4</v>
      </c>
      <c r="R195" s="134">
        <f t="shared" si="50"/>
        <v>0.4</v>
      </c>
      <c r="S195" s="134">
        <f t="shared" si="51"/>
        <v>0.4</v>
      </c>
      <c r="T195" s="134">
        <f t="shared" si="51"/>
        <v>0.4</v>
      </c>
      <c r="U195" s="134">
        <f t="shared" si="51"/>
        <v>0.4</v>
      </c>
      <c r="V195" s="134">
        <f t="shared" si="51"/>
        <v>0.4</v>
      </c>
      <c r="W195" s="134">
        <f t="shared" si="51"/>
        <v>0.4</v>
      </c>
      <c r="X195" s="134">
        <f t="shared" si="51"/>
        <v>0.4</v>
      </c>
      <c r="Y195" s="134">
        <f t="shared" si="51"/>
        <v>0.4</v>
      </c>
      <c r="Z195" s="134">
        <f t="shared" si="51"/>
        <v>0.4</v>
      </c>
      <c r="AA195" s="134">
        <f t="shared" si="51"/>
        <v>0.4</v>
      </c>
      <c r="AB195" s="134">
        <f t="shared" si="51"/>
        <v>0.4</v>
      </c>
      <c r="AC195" s="134">
        <f t="shared" si="51"/>
        <v>0.4</v>
      </c>
      <c r="AD195" s="134">
        <f t="shared" si="51"/>
        <v>0.4</v>
      </c>
      <c r="AE195" s="134">
        <f t="shared" si="51"/>
        <v>0.4</v>
      </c>
      <c r="AF195" s="134">
        <f t="shared" si="51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50"/>
        <v>0.64</v>
      </c>
      <c r="D196" s="143">
        <f t="shared" si="50"/>
        <v>0.64</v>
      </c>
      <c r="E196" s="143">
        <f t="shared" si="50"/>
        <v>0.64</v>
      </c>
      <c r="F196" s="143">
        <f t="shared" si="50"/>
        <v>0.64</v>
      </c>
      <c r="G196" s="143">
        <f t="shared" si="50"/>
        <v>0.64</v>
      </c>
      <c r="H196" s="143">
        <f t="shared" si="50"/>
        <v>0.64</v>
      </c>
      <c r="I196" s="143">
        <f t="shared" si="50"/>
        <v>0.64</v>
      </c>
      <c r="J196" s="143">
        <f t="shared" si="50"/>
        <v>0.64</v>
      </c>
      <c r="K196" s="143">
        <f t="shared" si="50"/>
        <v>0.64</v>
      </c>
      <c r="L196" s="143">
        <f t="shared" si="50"/>
        <v>0.64</v>
      </c>
      <c r="M196" s="143">
        <f t="shared" si="50"/>
        <v>0.64</v>
      </c>
      <c r="N196" s="143">
        <f t="shared" si="50"/>
        <v>0.64</v>
      </c>
      <c r="O196" s="143">
        <f t="shared" si="50"/>
        <v>0.64</v>
      </c>
      <c r="P196" s="143">
        <f t="shared" si="50"/>
        <v>0.64</v>
      </c>
      <c r="Q196" s="143">
        <f t="shared" si="50"/>
        <v>0.64</v>
      </c>
      <c r="R196" s="143">
        <f t="shared" si="50"/>
        <v>0.64</v>
      </c>
      <c r="S196" s="143">
        <f t="shared" si="51"/>
        <v>0.64</v>
      </c>
      <c r="T196" s="143">
        <f t="shared" si="51"/>
        <v>0.64</v>
      </c>
      <c r="U196" s="143">
        <f t="shared" si="51"/>
        <v>0.64</v>
      </c>
      <c r="V196" s="143">
        <f t="shared" si="51"/>
        <v>0.64</v>
      </c>
      <c r="W196" s="143">
        <f t="shared" si="51"/>
        <v>0.64</v>
      </c>
      <c r="X196" s="143">
        <f t="shared" si="51"/>
        <v>0.64</v>
      </c>
      <c r="Y196" s="143">
        <f t="shared" si="51"/>
        <v>0.64</v>
      </c>
      <c r="Z196" s="143">
        <f t="shared" si="51"/>
        <v>0.64</v>
      </c>
      <c r="AA196" s="143">
        <f t="shared" si="51"/>
        <v>0.64</v>
      </c>
      <c r="AB196" s="143">
        <f t="shared" si="51"/>
        <v>0.64</v>
      </c>
      <c r="AC196" s="143">
        <f t="shared" si="51"/>
        <v>0.64</v>
      </c>
      <c r="AD196" s="143">
        <f t="shared" si="51"/>
        <v>0.64</v>
      </c>
      <c r="AE196" s="143">
        <f t="shared" si="51"/>
        <v>0.64</v>
      </c>
      <c r="AF196" s="143">
        <f t="shared" si="51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52">SUM(C191:C196)</f>
        <v>3.54</v>
      </c>
      <c r="D197" s="146">
        <f t="shared" si="52"/>
        <v>3.54</v>
      </c>
      <c r="E197" s="146">
        <f t="shared" si="52"/>
        <v>3.54</v>
      </c>
      <c r="F197" s="146">
        <f t="shared" si="52"/>
        <v>3.54</v>
      </c>
      <c r="G197" s="146">
        <f t="shared" si="52"/>
        <v>3.54</v>
      </c>
      <c r="H197" s="146">
        <f t="shared" si="52"/>
        <v>3.54</v>
      </c>
      <c r="I197" s="146">
        <f t="shared" si="52"/>
        <v>3.54</v>
      </c>
      <c r="J197" s="146">
        <f t="shared" si="52"/>
        <v>3.54</v>
      </c>
      <c r="K197" s="146">
        <f t="shared" si="52"/>
        <v>3.54</v>
      </c>
      <c r="L197" s="146">
        <f>SUM(L191:L196)</f>
        <v>3.54</v>
      </c>
      <c r="M197" s="146">
        <f t="shared" ref="M197:R197" si="53">SUM(M191:M196)</f>
        <v>3.54</v>
      </c>
      <c r="N197" s="146">
        <f t="shared" si="53"/>
        <v>3.54</v>
      </c>
      <c r="O197" s="146">
        <f t="shared" si="53"/>
        <v>3.54</v>
      </c>
      <c r="P197" s="146">
        <f t="shared" si="53"/>
        <v>3.54</v>
      </c>
      <c r="Q197" s="146">
        <f t="shared" si="53"/>
        <v>3.54</v>
      </c>
      <c r="R197" s="146">
        <f t="shared" si="53"/>
        <v>3.54</v>
      </c>
      <c r="S197" s="146">
        <f>SUM(S191:S196)</f>
        <v>3.54</v>
      </c>
      <c r="T197" s="146">
        <f t="shared" ref="T197:AG197" si="54">SUM(T191:T196)</f>
        <v>3.54</v>
      </c>
      <c r="U197" s="146">
        <f t="shared" si="54"/>
        <v>3.54</v>
      </c>
      <c r="V197" s="146">
        <f t="shared" si="54"/>
        <v>3.54</v>
      </c>
      <c r="W197" s="146">
        <f t="shared" si="54"/>
        <v>3.54</v>
      </c>
      <c r="X197" s="146">
        <f t="shared" si="54"/>
        <v>3.54</v>
      </c>
      <c r="Y197" s="146">
        <f t="shared" si="54"/>
        <v>3.54</v>
      </c>
      <c r="Z197" s="146">
        <f t="shared" si="54"/>
        <v>3.54</v>
      </c>
      <c r="AA197" s="146">
        <f t="shared" si="54"/>
        <v>3.54</v>
      </c>
      <c r="AB197" s="146">
        <f t="shared" si="54"/>
        <v>3.54</v>
      </c>
      <c r="AC197" s="146">
        <f t="shared" si="54"/>
        <v>3.54</v>
      </c>
      <c r="AD197" s="146">
        <f t="shared" si="54"/>
        <v>3.54</v>
      </c>
      <c r="AE197" s="146">
        <f t="shared" si="54"/>
        <v>3.54</v>
      </c>
      <c r="AF197" s="146">
        <f t="shared" si="54"/>
        <v>3.54</v>
      </c>
      <c r="AG197" s="147">
        <f t="shared" si="54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1253.24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4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2078/04/4)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2078/04/4)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5">B73</f>
        <v>1235.54</v>
      </c>
      <c r="U211" s="170">
        <f t="shared" si="55"/>
        <v>1162.8399999999999</v>
      </c>
      <c r="V211" s="170">
        <f t="shared" si="55"/>
        <v>1101.54</v>
      </c>
      <c r="W211" s="170">
        <f t="shared" si="55"/>
        <v>1108.44</v>
      </c>
      <c r="X211" s="170">
        <f t="shared" si="55"/>
        <v>1118.94</v>
      </c>
      <c r="Y211" s="170">
        <f t="shared" si="55"/>
        <v>1121.6399999999999</v>
      </c>
      <c r="Z211" s="170">
        <f t="shared" si="55"/>
        <v>1136.54</v>
      </c>
      <c r="AA211" s="170">
        <f t="shared" si="55"/>
        <v>1137.1399999999999</v>
      </c>
      <c r="AB211" s="170">
        <f t="shared" si="55"/>
        <v>1156.74</v>
      </c>
      <c r="AC211" s="170">
        <f t="shared" si="55"/>
        <v>1203.74</v>
      </c>
      <c r="AD211" s="170">
        <f t="shared" si="55"/>
        <v>1253.24</v>
      </c>
      <c r="AE211" s="170">
        <f t="shared" si="55"/>
        <v>1250.6400000000001</v>
      </c>
      <c r="AF211" s="170">
        <f t="shared" si="55"/>
        <v>1279.3400000000001</v>
      </c>
      <c r="AG211" s="170">
        <f t="shared" si="55"/>
        <v>1297.24</v>
      </c>
      <c r="AH211" s="170">
        <f t="shared" si="55"/>
        <v>1316.74</v>
      </c>
      <c r="AI211" s="170">
        <f t="shared" si="55"/>
        <v>1224.8400000000001</v>
      </c>
      <c r="AJ211" s="170">
        <f t="shared" si="55"/>
        <v>1269.44</v>
      </c>
      <c r="AK211" s="170">
        <f t="shared" si="55"/>
        <v>1299.44</v>
      </c>
      <c r="AL211" s="170">
        <f t="shared" si="55"/>
        <v>1274.6400000000001</v>
      </c>
      <c r="AM211" s="170">
        <f t="shared" si="55"/>
        <v>1290.74</v>
      </c>
      <c r="AN211" s="170">
        <f t="shared" si="55"/>
        <v>1097.6399999999999</v>
      </c>
      <c r="AO211" s="170">
        <f t="shared" si="55"/>
        <v>1405.64</v>
      </c>
      <c r="AP211" s="170">
        <f t="shared" si="55"/>
        <v>1422.44</v>
      </c>
      <c r="AQ211" s="170">
        <f t="shared" si="55"/>
        <v>1537.1</v>
      </c>
      <c r="AR211" s="170">
        <f t="shared" si="55"/>
        <v>1495.8400000000001</v>
      </c>
      <c r="AS211" s="170">
        <f t="shared" si="55"/>
        <v>1451.54</v>
      </c>
      <c r="AT211" s="170">
        <f t="shared" si="55"/>
        <v>1380.44</v>
      </c>
      <c r="AU211" s="170">
        <f t="shared" si="55"/>
        <v>1356.44</v>
      </c>
      <c r="AV211" s="170">
        <f t="shared" si="55"/>
        <v>1250.54</v>
      </c>
      <c r="AW211" s="170">
        <f t="shared" si="55"/>
        <v>1214.54</v>
      </c>
      <c r="AX211" s="170">
        <f t="shared" si="55"/>
        <v>1232.54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6">B196</f>
        <v>0.64</v>
      </c>
      <c r="C232" s="173">
        <f t="shared" si="56"/>
        <v>0.64</v>
      </c>
      <c r="D232" s="173">
        <f t="shared" si="56"/>
        <v>0.64</v>
      </c>
      <c r="E232" s="173">
        <f t="shared" si="56"/>
        <v>0.64</v>
      </c>
      <c r="F232" s="173">
        <f t="shared" si="56"/>
        <v>0.64</v>
      </c>
      <c r="G232" s="173">
        <f t="shared" si="56"/>
        <v>0.64</v>
      </c>
      <c r="H232" s="173">
        <f t="shared" si="56"/>
        <v>0.64</v>
      </c>
      <c r="I232" s="173">
        <f t="shared" si="56"/>
        <v>0.64</v>
      </c>
      <c r="J232" s="173">
        <f t="shared" si="56"/>
        <v>0.64</v>
      </c>
      <c r="K232" s="173">
        <f t="shared" si="56"/>
        <v>0.64</v>
      </c>
      <c r="L232" s="173">
        <f t="shared" si="56"/>
        <v>0.64</v>
      </c>
      <c r="M232" s="173">
        <f t="shared" si="56"/>
        <v>0.64</v>
      </c>
      <c r="N232" s="173">
        <f t="shared" si="56"/>
        <v>0.64</v>
      </c>
      <c r="O232" s="173">
        <f t="shared" si="56"/>
        <v>0.64</v>
      </c>
      <c r="P232" s="173">
        <f t="shared" si="56"/>
        <v>0.64</v>
      </c>
      <c r="Q232" s="173">
        <f t="shared" si="56"/>
        <v>0.64</v>
      </c>
      <c r="R232" s="173">
        <f t="shared" si="56"/>
        <v>0.64</v>
      </c>
      <c r="S232" s="173">
        <f t="shared" si="56"/>
        <v>0.64</v>
      </c>
      <c r="T232" s="173">
        <f t="shared" si="56"/>
        <v>0.64</v>
      </c>
      <c r="U232" s="173">
        <f t="shared" si="56"/>
        <v>0.64</v>
      </c>
      <c r="V232" s="173">
        <f t="shared" si="56"/>
        <v>0.64</v>
      </c>
      <c r="W232" s="173">
        <f t="shared" si="56"/>
        <v>0.64</v>
      </c>
      <c r="X232" s="173">
        <f t="shared" si="56"/>
        <v>0.64</v>
      </c>
      <c r="Y232" s="173">
        <f t="shared" si="56"/>
        <v>0.64</v>
      </c>
      <c r="Z232" s="173">
        <f t="shared" si="56"/>
        <v>0.64</v>
      </c>
      <c r="AA232" s="173">
        <f t="shared" si="56"/>
        <v>0.64</v>
      </c>
      <c r="AB232" s="173">
        <f t="shared" si="56"/>
        <v>0.64</v>
      </c>
      <c r="AC232" s="173">
        <f t="shared" si="56"/>
        <v>0.64</v>
      </c>
      <c r="AD232" s="173">
        <f t="shared" si="56"/>
        <v>0.64</v>
      </c>
      <c r="AE232" s="173">
        <f t="shared" si="56"/>
        <v>0.64</v>
      </c>
      <c r="AF232" s="173">
        <f t="shared" si="56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7">IF(C200&lt;100,"",C200-520)</f>
        <v/>
      </c>
      <c r="D233" s="117" t="str">
        <f t="shared" si="57"/>
        <v/>
      </c>
      <c r="E233" s="117" t="str">
        <f t="shared" si="57"/>
        <v/>
      </c>
      <c r="F233" s="117" t="str">
        <f t="shared" si="57"/>
        <v/>
      </c>
      <c r="G233" s="117" t="str">
        <f t="shared" si="57"/>
        <v/>
      </c>
      <c r="H233" s="117" t="str">
        <f t="shared" si="57"/>
        <v/>
      </c>
      <c r="I233" s="117" t="str">
        <f t="shared" si="57"/>
        <v/>
      </c>
      <c r="J233" s="117" t="str">
        <f t="shared" si="57"/>
        <v/>
      </c>
      <c r="K233" s="117" t="str">
        <f t="shared" si="57"/>
        <v/>
      </c>
      <c r="L233" s="117" t="str">
        <f t="shared" si="57"/>
        <v/>
      </c>
      <c r="M233" s="117" t="str">
        <f t="shared" si="57"/>
        <v/>
      </c>
      <c r="N233" s="117" t="str">
        <f t="shared" si="57"/>
        <v/>
      </c>
      <c r="O233" s="117" t="str">
        <f t="shared" si="57"/>
        <v/>
      </c>
      <c r="P233" s="117" t="str">
        <f t="shared" si="57"/>
        <v/>
      </c>
      <c r="Q233" s="117" t="str">
        <f t="shared" si="57"/>
        <v/>
      </c>
      <c r="R233" s="117" t="str">
        <f t="shared" si="57"/>
        <v/>
      </c>
      <c r="S233" s="117" t="str">
        <f t="shared" si="57"/>
        <v/>
      </c>
      <c r="T233" s="117" t="str">
        <f t="shared" si="57"/>
        <v/>
      </c>
      <c r="U233" s="117" t="str">
        <f t="shared" si="57"/>
        <v/>
      </c>
      <c r="V233" s="117" t="str">
        <f t="shared" si="57"/>
        <v/>
      </c>
      <c r="W233" s="117" t="str">
        <f t="shared" si="57"/>
        <v/>
      </c>
      <c r="X233" s="117" t="str">
        <f t="shared" si="57"/>
        <v/>
      </c>
      <c r="Y233" s="117" t="str">
        <f t="shared" si="57"/>
        <v/>
      </c>
      <c r="Z233" s="117" t="str">
        <f t="shared" si="57"/>
        <v/>
      </c>
      <c r="AA233" s="117" t="str">
        <f t="shared" si="57"/>
        <v/>
      </c>
      <c r="AB233" s="117" t="str">
        <f t="shared" si="57"/>
        <v/>
      </c>
      <c r="AC233" s="117" t="str">
        <f t="shared" si="57"/>
        <v/>
      </c>
      <c r="AD233" s="117" t="str">
        <f t="shared" si="57"/>
        <v/>
      </c>
      <c r="AE233" s="117" t="str">
        <f t="shared" si="57"/>
        <v/>
      </c>
      <c r="AF233" s="117" t="str">
        <f t="shared" si="57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8">IF(B201&lt;100,"",B201-620)</f>
        <v/>
      </c>
      <c r="C234" s="117" t="str">
        <f t="shared" si="58"/>
        <v/>
      </c>
      <c r="D234" s="117" t="str">
        <f t="shared" si="58"/>
        <v/>
      </c>
      <c r="E234" s="117" t="str">
        <f t="shared" si="58"/>
        <v/>
      </c>
      <c r="F234" s="117" t="str">
        <f t="shared" si="58"/>
        <v/>
      </c>
      <c r="G234" s="117" t="str">
        <f t="shared" si="58"/>
        <v/>
      </c>
      <c r="H234" s="117" t="str">
        <f t="shared" si="58"/>
        <v/>
      </c>
      <c r="I234" s="117" t="str">
        <f t="shared" si="58"/>
        <v/>
      </c>
      <c r="J234" s="117" t="str">
        <f t="shared" si="58"/>
        <v/>
      </c>
      <c r="K234" s="117" t="str">
        <f t="shared" si="58"/>
        <v/>
      </c>
      <c r="L234" s="117" t="str">
        <f t="shared" si="58"/>
        <v/>
      </c>
      <c r="M234" s="117" t="str">
        <f t="shared" si="58"/>
        <v/>
      </c>
      <c r="N234" s="117" t="str">
        <f t="shared" si="58"/>
        <v/>
      </c>
      <c r="O234" s="117" t="str">
        <f t="shared" si="58"/>
        <v/>
      </c>
      <c r="P234" s="117" t="str">
        <f t="shared" si="58"/>
        <v/>
      </c>
      <c r="Q234" s="117" t="str">
        <f t="shared" si="58"/>
        <v/>
      </c>
      <c r="R234" s="117" t="str">
        <f t="shared" si="58"/>
        <v/>
      </c>
      <c r="S234" s="117" t="str">
        <f t="shared" si="58"/>
        <v/>
      </c>
      <c r="T234" s="117" t="str">
        <f t="shared" si="58"/>
        <v/>
      </c>
      <c r="U234" s="117" t="str">
        <f t="shared" si="58"/>
        <v/>
      </c>
      <c r="V234" s="117" t="str">
        <f t="shared" si="58"/>
        <v/>
      </c>
      <c r="W234" s="117" t="str">
        <f t="shared" si="58"/>
        <v/>
      </c>
      <c r="X234" s="117" t="str">
        <f t="shared" si="58"/>
        <v/>
      </c>
      <c r="Y234" s="117" t="str">
        <f t="shared" si="58"/>
        <v/>
      </c>
      <c r="Z234" s="117" t="str">
        <f t="shared" si="58"/>
        <v/>
      </c>
      <c r="AA234" s="117" t="str">
        <f t="shared" si="58"/>
        <v/>
      </c>
      <c r="AB234" s="117" t="str">
        <f t="shared" si="58"/>
        <v/>
      </c>
      <c r="AC234" s="117" t="str">
        <f t="shared" si="58"/>
        <v/>
      </c>
      <c r="AD234" s="117" t="str">
        <f t="shared" si="58"/>
        <v/>
      </c>
      <c r="AE234" s="117" t="str">
        <f t="shared" si="58"/>
        <v/>
      </c>
      <c r="AF234" s="117" t="str">
        <f t="shared" si="58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9">IF(B202&lt;100,"",B202-330)</f>
        <v/>
      </c>
      <c r="C235" s="117" t="str">
        <f t="shared" si="59"/>
        <v/>
      </c>
      <c r="D235" s="117" t="str">
        <f t="shared" si="59"/>
        <v/>
      </c>
      <c r="E235" s="117" t="str">
        <f t="shared" si="59"/>
        <v/>
      </c>
      <c r="F235" s="117" t="str">
        <f t="shared" si="59"/>
        <v/>
      </c>
      <c r="G235" s="117" t="str">
        <f t="shared" si="59"/>
        <v/>
      </c>
      <c r="H235" s="117" t="str">
        <f t="shared" si="59"/>
        <v/>
      </c>
      <c r="I235" s="117" t="str">
        <f t="shared" si="59"/>
        <v/>
      </c>
      <c r="J235" s="117" t="str">
        <f t="shared" si="59"/>
        <v/>
      </c>
      <c r="K235" s="117" t="str">
        <f t="shared" si="59"/>
        <v/>
      </c>
      <c r="L235" s="117" t="str">
        <f t="shared" si="59"/>
        <v/>
      </c>
      <c r="M235" s="117" t="str">
        <f t="shared" si="59"/>
        <v/>
      </c>
      <c r="N235" s="117" t="str">
        <f t="shared" si="59"/>
        <v/>
      </c>
      <c r="O235" s="117" t="str">
        <f t="shared" si="59"/>
        <v/>
      </c>
      <c r="P235" s="117" t="str">
        <f t="shared" si="59"/>
        <v/>
      </c>
      <c r="Q235" s="117" t="str">
        <f t="shared" si="59"/>
        <v/>
      </c>
      <c r="R235" s="117" t="str">
        <f t="shared" si="59"/>
        <v/>
      </c>
      <c r="S235" s="117" t="str">
        <f t="shared" si="59"/>
        <v/>
      </c>
      <c r="T235" s="117" t="str">
        <f t="shared" si="59"/>
        <v/>
      </c>
      <c r="U235" s="117" t="str">
        <f t="shared" si="59"/>
        <v/>
      </c>
      <c r="V235" s="117" t="str">
        <f t="shared" si="59"/>
        <v/>
      </c>
      <c r="W235" s="117" t="str">
        <f t="shared" si="59"/>
        <v/>
      </c>
      <c r="X235" s="117" t="str">
        <f t="shared" si="59"/>
        <v/>
      </c>
      <c r="Y235" s="117" t="str">
        <f t="shared" si="59"/>
        <v/>
      </c>
      <c r="Z235" s="117" t="str">
        <f t="shared" si="59"/>
        <v/>
      </c>
      <c r="AA235" s="117" t="str">
        <f t="shared" si="59"/>
        <v/>
      </c>
      <c r="AB235" s="117" t="str">
        <f t="shared" si="59"/>
        <v/>
      </c>
      <c r="AC235" s="117" t="str">
        <f t="shared" si="59"/>
        <v/>
      </c>
      <c r="AD235" s="117" t="str">
        <f t="shared" si="59"/>
        <v/>
      </c>
      <c r="AE235" s="117" t="str">
        <f t="shared" si="59"/>
        <v/>
      </c>
      <c r="AF235" s="117" t="str">
        <f t="shared" si="59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60">IF(C203&lt;100,"",C203-1500)</f>
        <v/>
      </c>
      <c r="D236" s="117" t="str">
        <f t="shared" si="60"/>
        <v/>
      </c>
      <c r="E236" s="117" t="str">
        <f t="shared" si="60"/>
        <v/>
      </c>
      <c r="F236" s="117" t="str">
        <f t="shared" si="60"/>
        <v/>
      </c>
      <c r="G236" s="117" t="str">
        <f t="shared" si="60"/>
        <v/>
      </c>
      <c r="H236" s="117" t="str">
        <f t="shared" si="60"/>
        <v/>
      </c>
      <c r="I236" s="117" t="str">
        <f t="shared" si="60"/>
        <v/>
      </c>
      <c r="J236" s="117" t="str">
        <f t="shared" si="60"/>
        <v/>
      </c>
      <c r="K236" s="117" t="str">
        <f t="shared" si="60"/>
        <v/>
      </c>
      <c r="L236" s="117" t="str">
        <f t="shared" si="60"/>
        <v/>
      </c>
      <c r="M236" s="117" t="str">
        <f t="shared" si="60"/>
        <v/>
      </c>
      <c r="N236" s="117" t="str">
        <f t="shared" si="60"/>
        <v/>
      </c>
      <c r="O236" s="117" t="str">
        <f t="shared" si="60"/>
        <v/>
      </c>
      <c r="P236" s="117" t="str">
        <f t="shared" si="60"/>
        <v/>
      </c>
      <c r="Q236" s="117" t="str">
        <f t="shared" si="60"/>
        <v/>
      </c>
      <c r="R236" s="117" t="str">
        <f t="shared" si="60"/>
        <v/>
      </c>
      <c r="S236" s="117" t="str">
        <f t="shared" si="60"/>
        <v/>
      </c>
      <c r="T236" s="117" t="str">
        <f t="shared" si="60"/>
        <v/>
      </c>
      <c r="U236" s="117" t="str">
        <f t="shared" si="60"/>
        <v/>
      </c>
      <c r="V236" s="117" t="str">
        <f t="shared" si="60"/>
        <v/>
      </c>
      <c r="W236" s="117" t="str">
        <f t="shared" si="60"/>
        <v/>
      </c>
      <c r="X236" s="117" t="str">
        <f t="shared" si="60"/>
        <v/>
      </c>
      <c r="Y236" s="117" t="str">
        <f t="shared" si="60"/>
        <v/>
      </c>
      <c r="Z236" s="117" t="str">
        <f t="shared" si="60"/>
        <v/>
      </c>
      <c r="AA236" s="117" t="str">
        <f t="shared" si="60"/>
        <v/>
      </c>
      <c r="AB236" s="117" t="str">
        <f t="shared" si="60"/>
        <v/>
      </c>
      <c r="AC236" s="117" t="str">
        <f t="shared" si="60"/>
        <v/>
      </c>
      <c r="AD236" s="117" t="str">
        <f t="shared" si="60"/>
        <v/>
      </c>
      <c r="AE236" s="117" t="str">
        <f t="shared" si="60"/>
        <v/>
      </c>
      <c r="AF236" s="117" t="str">
        <f t="shared" si="60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787" priority="430">
      <formula>S$9&gt;=20/24</formula>
    </cfRule>
    <cfRule type="expression" dxfId="9786" priority="431">
      <formula>AND(S$9&gt;=14/24,S$9&lt;20/24)</formula>
    </cfRule>
    <cfRule type="expression" dxfId="9785" priority="432">
      <formula>AND(S$9&gt;=8/24,S$9&lt;14/24)</formula>
    </cfRule>
    <cfRule type="expression" dxfId="9784" priority="433">
      <formula>S$9&lt;8/24</formula>
    </cfRule>
  </conditionalFormatting>
  <conditionalFormatting sqref="B8:AF10 AA79:AF79 B79:Q79 B54:AF54 B80:AF80 C191:AF197 L35:Q35 AA55:AF58 B61:B65 B66:AF70 M60:O65 T210:AX210 B72:AF74 T56:T57 W83:Z89 C78:AF78 C75:AF76 B75:B78 L56:O59 B55:K59 Q40:Q41 Q37 L15:U16 L37:O40 M43:O46 L17:O19 Q17:Q19 Q43:Q46 Q58:Q65 Q56:R57 Q21 L21:O31 R17:U29 Q38:Z39 L51:AF53 U83:V84 V15:X29 L11:Z13 S40:X40 AA34:AF34 Y35:Z35 Y15:Z30 Y40:Z41 AA82:AF89">
    <cfRule type="expression" dxfId="9783" priority="426">
      <formula>B$9&gt;=20/24</formula>
    </cfRule>
    <cfRule type="expression" dxfId="9782" priority="427">
      <formula>AND(B$9&gt;=14/24,B$9&lt;20/24)</formula>
    </cfRule>
    <cfRule type="expression" dxfId="9781" priority="428">
      <formula>AND(B$9&gt;=8/24,B$9&lt;14/24)</formula>
    </cfRule>
    <cfRule type="expression" dxfId="9780" priority="429">
      <formula>B$9&lt;8/24</formula>
    </cfRule>
  </conditionalFormatting>
  <conditionalFormatting sqref="B189:AF189">
    <cfRule type="expression" dxfId="9779" priority="422">
      <formula>B$9&gt;=20/24</formula>
    </cfRule>
    <cfRule type="expression" dxfId="9778" priority="423">
      <formula>AND(B$9&gt;=14/24,B$9&lt;20/24)</formula>
    </cfRule>
    <cfRule type="expression" dxfId="9777" priority="424">
      <formula>AND(B$9&gt;=8/24,B$9&lt;14/24)</formula>
    </cfRule>
    <cfRule type="expression" dxfId="9776" priority="425">
      <formula>B$9&lt;8/24</formula>
    </cfRule>
  </conditionalFormatting>
  <conditionalFormatting sqref="AL4:AL6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L55:O55 Q55">
    <cfRule type="expression" dxfId="9775" priority="417">
      <formula>L$9&gt;=20/24</formula>
    </cfRule>
    <cfRule type="expression" dxfId="9774" priority="418">
      <formula>AND(L$9&gt;=14/24,L$9&lt;20/24)</formula>
    </cfRule>
    <cfRule type="expression" dxfId="9773" priority="419">
      <formula>AND(L$9&gt;=8/24,L$9&lt;14/24)</formula>
    </cfRule>
    <cfRule type="expression" dxfId="9772" priority="420">
      <formula>L$9&lt;8/24</formula>
    </cfRule>
  </conditionalFormatting>
  <conditionalFormatting sqref="L41:O41">
    <cfRule type="expression" dxfId="9771" priority="413">
      <formula>L$9&gt;=20/24</formula>
    </cfRule>
    <cfRule type="expression" dxfId="9770" priority="414">
      <formula>AND(L$9&gt;=14/24,L$9&lt;20/24)</formula>
    </cfRule>
    <cfRule type="expression" dxfId="9769" priority="415">
      <formula>AND(L$9&gt;=8/24,L$9&lt;14/24)</formula>
    </cfRule>
    <cfRule type="expression" dxfId="9768" priority="416">
      <formula>L$9&lt;8/24</formula>
    </cfRule>
  </conditionalFormatting>
  <conditionalFormatting sqref="Y31:Z31">
    <cfRule type="expression" dxfId="9767" priority="409">
      <formula>Y$9&gt;=20/24</formula>
    </cfRule>
    <cfRule type="expression" dxfId="9766" priority="410">
      <formula>AND(Y$9&gt;=14/24,Y$9&lt;20/24)</formula>
    </cfRule>
    <cfRule type="expression" dxfId="9765" priority="411">
      <formula>AND(Y$9&gt;=8/24,Y$9&lt;14/24)</formula>
    </cfRule>
    <cfRule type="expression" dxfId="9764" priority="412">
      <formula>Y$9&lt;8/24</formula>
    </cfRule>
  </conditionalFormatting>
  <conditionalFormatting sqref="R37:Z37">
    <cfRule type="expression" dxfId="9763" priority="405">
      <formula>R$9&gt;=20/24</formula>
    </cfRule>
    <cfRule type="expression" dxfId="9762" priority="406">
      <formula>AND(R$9&gt;=14/24,R$9&lt;20/24)</formula>
    </cfRule>
    <cfRule type="expression" dxfId="9761" priority="407">
      <formula>AND(R$9&gt;=8/24,R$9&lt;14/24)</formula>
    </cfRule>
    <cfRule type="expression" dxfId="9760" priority="408">
      <formula>R$9&lt;8/24</formula>
    </cfRule>
  </conditionalFormatting>
  <conditionalFormatting sqref="R55 T55:Z55">
    <cfRule type="expression" dxfId="9759" priority="401">
      <formula>R$9&gt;=20/24</formula>
    </cfRule>
    <cfRule type="expression" dxfId="9758" priority="402">
      <formula>AND(R$9&gt;=14/24,R$9&lt;20/24)</formula>
    </cfRule>
    <cfRule type="expression" dxfId="9757" priority="403">
      <formula>AND(R$9&gt;=8/24,R$9&lt;14/24)</formula>
    </cfRule>
    <cfRule type="expression" dxfId="9756" priority="404">
      <formula>R$9&lt;8/24</formula>
    </cfRule>
  </conditionalFormatting>
  <conditionalFormatting sqref="R79:Z79">
    <cfRule type="expression" dxfId="9755" priority="397">
      <formula>R$9&gt;=20/24</formula>
    </cfRule>
    <cfRule type="expression" dxfId="9754" priority="398">
      <formula>AND(R$9&gt;=14/24,R$9&lt;20/24)</formula>
    </cfRule>
    <cfRule type="expression" dxfId="9753" priority="399">
      <formula>AND(R$9&gt;=8/24,R$9&lt;14/24)</formula>
    </cfRule>
    <cfRule type="expression" dxfId="9752" priority="400">
      <formula>R$9&lt;8/24</formula>
    </cfRule>
  </conditionalFormatting>
  <conditionalFormatting sqref="T82:Z82">
    <cfRule type="expression" dxfId="9751" priority="393">
      <formula>T$9&gt;=20/24</formula>
    </cfRule>
    <cfRule type="expression" dxfId="9750" priority="394">
      <formula>AND(T$9&gt;=14/24,T$9&lt;20/24)</formula>
    </cfRule>
    <cfRule type="expression" dxfId="9749" priority="395">
      <formula>AND(T$9&gt;=8/24,T$9&lt;14/24)</formula>
    </cfRule>
    <cfRule type="expression" dxfId="9748" priority="396">
      <formula>T$9&lt;8/24</formula>
    </cfRule>
  </conditionalFormatting>
  <conditionalFormatting sqref="L33:O33">
    <cfRule type="expression" dxfId="9747" priority="389">
      <formula>L$9&gt;=20/24</formula>
    </cfRule>
    <cfRule type="expression" dxfId="9746" priority="390">
      <formula>AND(L$9&gt;=14/24,L$9&lt;20/24)</formula>
    </cfRule>
    <cfRule type="expression" dxfId="9745" priority="391">
      <formula>AND(L$9&gt;=8/24,L$9&lt;14/24)</formula>
    </cfRule>
    <cfRule type="expression" dxfId="9744" priority="392">
      <formula>L$9&lt;8/24</formula>
    </cfRule>
  </conditionalFormatting>
  <conditionalFormatting sqref="L47:O47 Q47">
    <cfRule type="expression" dxfId="9743" priority="385">
      <formula>L$9&gt;=20/24</formula>
    </cfRule>
    <cfRule type="expression" dxfId="9742" priority="386">
      <formula>AND(L$9&gt;=14/24,L$9&lt;20/24)</formula>
    </cfRule>
    <cfRule type="expression" dxfId="9741" priority="387">
      <formula>AND(L$9&gt;=8/24,L$9&lt;14/24)</formula>
    </cfRule>
    <cfRule type="expression" dxfId="9740" priority="388">
      <formula>L$9&lt;8/24</formula>
    </cfRule>
  </conditionalFormatting>
  <conditionalFormatting sqref="L48:O48 Q48">
    <cfRule type="expression" dxfId="9739" priority="381">
      <formula>L$9&gt;=20/24</formula>
    </cfRule>
    <cfRule type="expression" dxfId="9738" priority="382">
      <formula>AND(L$9&gt;=14/24,L$9&lt;20/24)</formula>
    </cfRule>
    <cfRule type="expression" dxfId="9737" priority="383">
      <formula>AND(L$9&gt;=8/24,L$9&lt;14/24)</formula>
    </cfRule>
    <cfRule type="expression" dxfId="9736" priority="384">
      <formula>L$9&lt;8/24</formula>
    </cfRule>
  </conditionalFormatting>
  <conditionalFormatting sqref="L43:L46">
    <cfRule type="expression" dxfId="9735" priority="377">
      <formula>L$9&gt;=20/24</formula>
    </cfRule>
    <cfRule type="expression" dxfId="9734" priority="378">
      <formula>AND(L$9&gt;=14/24,L$9&lt;20/24)</formula>
    </cfRule>
    <cfRule type="expression" dxfId="9733" priority="379">
      <formula>AND(L$9&gt;=8/24,L$9&lt;14/24)</formula>
    </cfRule>
    <cfRule type="expression" dxfId="9732" priority="380">
      <formula>L$9&lt;8/24</formula>
    </cfRule>
  </conditionalFormatting>
  <conditionalFormatting sqref="R35:X35 AA35:AD35">
    <cfRule type="expression" dxfId="9731" priority="373">
      <formula>R$9&gt;=20/24</formula>
    </cfRule>
    <cfRule type="expression" dxfId="9730" priority="374">
      <formula>AND(R$9&gt;=14/24,R$9&lt;20/24)</formula>
    </cfRule>
    <cfRule type="expression" dxfId="9729" priority="375">
      <formula>AND(R$9&gt;=8/24,R$9&lt;14/24)</formula>
    </cfRule>
    <cfRule type="expression" dxfId="9728" priority="376">
      <formula>R$9&lt;8/24</formula>
    </cfRule>
  </conditionalFormatting>
  <conditionalFormatting sqref="R30:X31 R33:Z33">
    <cfRule type="expression" dxfId="9727" priority="369">
      <formula>R$9&gt;=20/24</formula>
    </cfRule>
    <cfRule type="expression" dxfId="9726" priority="370">
      <formula>AND(R$9&gt;=14/24,R$9&lt;20/24)</formula>
    </cfRule>
    <cfRule type="expression" dxfId="9725" priority="371">
      <formula>AND(R$9&gt;=8/24,R$9&lt;14/24)</formula>
    </cfRule>
    <cfRule type="expression" dxfId="9724" priority="372">
      <formula>R$9&lt;8/24</formula>
    </cfRule>
  </conditionalFormatting>
  <conditionalFormatting sqref="R40:R41 S41:X41 R43:Z46">
    <cfRule type="expression" dxfId="9723" priority="365">
      <formula>R$9&gt;=20/24</formula>
    </cfRule>
    <cfRule type="expression" dxfId="9722" priority="366">
      <formula>AND(R$9&gt;=14/24,R$9&lt;20/24)</formula>
    </cfRule>
    <cfRule type="expression" dxfId="9721" priority="367">
      <formula>AND(R$9&gt;=8/24,R$9&lt;14/24)</formula>
    </cfRule>
    <cfRule type="expression" dxfId="9720" priority="368">
      <formula>R$9&lt;8/24</formula>
    </cfRule>
  </conditionalFormatting>
  <conditionalFormatting sqref="R47:Z47">
    <cfRule type="expression" dxfId="9719" priority="361">
      <formula>R$9&gt;=20/24</formula>
    </cfRule>
    <cfRule type="expression" dxfId="9718" priority="362">
      <formula>AND(R$9&gt;=14/24,R$9&lt;20/24)</formula>
    </cfRule>
    <cfRule type="expression" dxfId="9717" priority="363">
      <formula>AND(R$9&gt;=8/24,R$9&lt;14/24)</formula>
    </cfRule>
    <cfRule type="expression" dxfId="9716" priority="364">
      <formula>R$9&lt;8/24</formula>
    </cfRule>
  </conditionalFormatting>
  <conditionalFormatting sqref="R48:Z48">
    <cfRule type="expression" dxfId="9715" priority="357">
      <formula>R$9&gt;=20/24</formula>
    </cfRule>
    <cfRule type="expression" dxfId="9714" priority="358">
      <formula>AND(R$9&gt;=14/24,R$9&lt;20/24)</formula>
    </cfRule>
    <cfRule type="expression" dxfId="9713" priority="359">
      <formula>AND(R$9&gt;=8/24,R$9&lt;14/24)</formula>
    </cfRule>
    <cfRule type="expression" dxfId="9712" priority="360">
      <formula>R$9&lt;8/24</formula>
    </cfRule>
  </conditionalFormatting>
  <conditionalFormatting sqref="R58:R65 U58:Z65 AA59:AF65">
    <cfRule type="expression" dxfId="9711" priority="353">
      <formula>R$9&gt;=20/24</formula>
    </cfRule>
    <cfRule type="expression" dxfId="9710" priority="354">
      <formula>AND(R$9&gt;=14/24,R$9&lt;20/24)</formula>
    </cfRule>
    <cfRule type="expression" dxfId="9709" priority="355">
      <formula>AND(R$9&gt;=8/24,R$9&lt;14/24)</formula>
    </cfRule>
    <cfRule type="expression" dxfId="9708" priority="356">
      <formula>R$9&lt;8/24</formula>
    </cfRule>
  </conditionalFormatting>
  <conditionalFormatting sqref="AA92:AF95">
    <cfRule type="expression" dxfId="9707" priority="349">
      <formula>AA$9&gt;=20/24</formula>
    </cfRule>
    <cfRule type="expression" dxfId="9706" priority="350">
      <formula>AND(AA$9&gt;=14/24,AA$9&lt;20/24)</formula>
    </cfRule>
    <cfRule type="expression" dxfId="9705" priority="351">
      <formula>AND(AA$9&gt;=8/24,AA$9&lt;14/24)</formula>
    </cfRule>
    <cfRule type="expression" dxfId="9704" priority="352">
      <formula>AA$9&lt;8/24</formula>
    </cfRule>
  </conditionalFormatting>
  <conditionalFormatting sqref="B60:K60">
    <cfRule type="expression" dxfId="9703" priority="345">
      <formula>B$9&gt;=20/24</formula>
    </cfRule>
    <cfRule type="expression" dxfId="9702" priority="346">
      <formula>AND(B$9&gt;=14/24,B$9&lt;20/24)</formula>
    </cfRule>
    <cfRule type="expression" dxfId="9701" priority="347">
      <formula>AND(B$9&gt;=8/24,B$9&lt;14/24)</formula>
    </cfRule>
    <cfRule type="expression" dxfId="9700" priority="348">
      <formula>B$9&lt;8/24</formula>
    </cfRule>
  </conditionalFormatting>
  <conditionalFormatting sqref="T92:Z95">
    <cfRule type="expression" dxfId="9699" priority="341">
      <formula>T$9&gt;=20/24</formula>
    </cfRule>
    <cfRule type="expression" dxfId="9698" priority="342">
      <formula>AND(T$9&gt;=14/24,T$9&lt;20/24)</formula>
    </cfRule>
    <cfRule type="expression" dxfId="9697" priority="343">
      <formula>AND(T$9&gt;=8/24,T$9&lt;14/24)</formula>
    </cfRule>
    <cfRule type="expression" dxfId="9696" priority="344">
      <formula>T$9&lt;8/24</formula>
    </cfRule>
  </conditionalFormatting>
  <conditionalFormatting sqref="AG49 C34:O34 B15:K19 C37:K39 L33:O33 L43:O48 L37:O41 L17:O19 Q17:T19 R22:T31 Q21:T21 L21:O31 B21:K25 B20:T20 B49:AF54 L15:AA16 B35:X35 AA34:AF35 U17:AA31 B36:AF36 C11:AF11 R33:AF33 L12:AF13 Q43:AF48 Q37:AF41 AB15:AF31">
    <cfRule type="expression" dxfId="9695" priority="340">
      <formula>B11&gt;$AG11</formula>
    </cfRule>
  </conditionalFormatting>
  <conditionalFormatting sqref="A98:A154 A82:A95 A11:A13 A15:A31 A43:A70 A78:A80 A72:A76 A33:A41 A167:A198">
    <cfRule type="expression" dxfId="9694" priority="339">
      <formula>$AH11=0</formula>
    </cfRule>
  </conditionalFormatting>
  <conditionalFormatting sqref="AA96:AF96">
    <cfRule type="expression" dxfId="9693" priority="335">
      <formula>AA$9&gt;=20/24</formula>
    </cfRule>
    <cfRule type="expression" dxfId="9692" priority="336">
      <formula>AND(AA$9&gt;=14/24,AA$9&lt;20/24)</formula>
    </cfRule>
    <cfRule type="expression" dxfId="9691" priority="337">
      <formula>AND(AA$9&gt;=8/24,AA$9&lt;14/24)</formula>
    </cfRule>
    <cfRule type="expression" dxfId="9690" priority="338">
      <formula>AA$9&lt;8/24</formula>
    </cfRule>
  </conditionalFormatting>
  <conditionalFormatting sqref="T96:Z96">
    <cfRule type="expression" dxfId="9689" priority="331">
      <formula>T$9&gt;=20/24</formula>
    </cfRule>
    <cfRule type="expression" dxfId="9688" priority="332">
      <formula>AND(T$9&gt;=14/24,T$9&lt;20/24)</formula>
    </cfRule>
    <cfRule type="expression" dxfId="9687" priority="333">
      <formula>AND(T$9&gt;=8/24,T$9&lt;14/24)</formula>
    </cfRule>
    <cfRule type="expression" dxfId="9686" priority="334">
      <formula>T$9&lt;8/24</formula>
    </cfRule>
  </conditionalFormatting>
  <conditionalFormatting sqref="A96">
    <cfRule type="expression" dxfId="9685" priority="330">
      <formula>$AH96=0</formula>
    </cfRule>
  </conditionalFormatting>
  <conditionalFormatting sqref="C34:O34">
    <cfRule type="expression" dxfId="9684" priority="326">
      <formula>C$9&gt;=20/24</formula>
    </cfRule>
    <cfRule type="expression" dxfId="9683" priority="327">
      <formula>AND(C$9&gt;=14/24,C$9&lt;20/24)</formula>
    </cfRule>
    <cfRule type="expression" dxfId="9682" priority="328">
      <formula>AND(C$9&gt;=8/24,C$9&lt;14/24)</formula>
    </cfRule>
    <cfRule type="expression" dxfId="9681" priority="329">
      <formula>C$9&lt;8/24</formula>
    </cfRule>
  </conditionalFormatting>
  <conditionalFormatting sqref="C61:K65">
    <cfRule type="expression" dxfId="9680" priority="314">
      <formula>C$9&gt;=20/24</formula>
    </cfRule>
    <cfRule type="expression" dxfId="9679" priority="315">
      <formula>AND(C$9&gt;=14/24,C$9&lt;20/24)</formula>
    </cfRule>
    <cfRule type="expression" dxfId="9678" priority="316">
      <formula>AND(C$9&gt;=8/24,C$9&lt;14/24)</formula>
    </cfRule>
    <cfRule type="expression" dxfId="9677" priority="317">
      <formula>C$9&lt;8/24</formula>
    </cfRule>
  </conditionalFormatting>
  <conditionalFormatting sqref="L60:L65">
    <cfRule type="expression" dxfId="9676" priority="310">
      <formula>L$9&gt;=20/24</formula>
    </cfRule>
    <cfRule type="expression" dxfId="9675" priority="311">
      <formula>AND(L$9&gt;=14/24,L$9&lt;20/24)</formula>
    </cfRule>
    <cfRule type="expression" dxfId="9674" priority="312">
      <formula>AND(L$9&gt;=8/24,L$9&lt;14/24)</formula>
    </cfRule>
    <cfRule type="expression" dxfId="9673" priority="313">
      <formula>L$9&lt;8/24</formula>
    </cfRule>
  </conditionalFormatting>
  <conditionalFormatting sqref="AL31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Y32:Z32">
    <cfRule type="expression" dxfId="9672" priority="305">
      <formula>Y$9&gt;=20/24</formula>
    </cfRule>
    <cfRule type="expression" dxfId="9671" priority="306">
      <formula>AND(Y$9&gt;=14/24,Y$9&lt;20/24)</formula>
    </cfRule>
    <cfRule type="expression" dxfId="9670" priority="307">
      <formula>AND(Y$9&gt;=8/24,Y$9&lt;14/24)</formula>
    </cfRule>
    <cfRule type="expression" dxfId="9669" priority="308">
      <formula>Y$9&lt;8/24</formula>
    </cfRule>
  </conditionalFormatting>
  <conditionalFormatting sqref="L32:O32">
    <cfRule type="expression" dxfId="9668" priority="301">
      <formula>L$9&gt;=20/24</formula>
    </cfRule>
    <cfRule type="expression" dxfId="9667" priority="302">
      <formula>AND(L$9&gt;=14/24,L$9&lt;20/24)</formula>
    </cfRule>
    <cfRule type="expression" dxfId="9666" priority="303">
      <formula>AND(L$9&gt;=8/24,L$9&lt;14/24)</formula>
    </cfRule>
    <cfRule type="expression" dxfId="9665" priority="304">
      <formula>L$9&lt;8/24</formula>
    </cfRule>
  </conditionalFormatting>
  <conditionalFormatting sqref="R32:X32">
    <cfRule type="expression" dxfId="9664" priority="297">
      <formula>R$9&gt;=20/24</formula>
    </cfRule>
    <cfRule type="expression" dxfId="9663" priority="298">
      <formula>AND(R$9&gt;=14/24,R$9&lt;20/24)</formula>
    </cfRule>
    <cfRule type="expression" dxfId="9662" priority="299">
      <formula>AND(R$9&gt;=8/24,R$9&lt;14/24)</formula>
    </cfRule>
    <cfRule type="expression" dxfId="9661" priority="300">
      <formula>R$9&lt;8/24</formula>
    </cfRule>
  </conditionalFormatting>
  <conditionalFormatting sqref="L32:O32 R32:AF32">
    <cfRule type="expression" dxfId="9660" priority="296">
      <formula>L32&gt;$AG32</formula>
    </cfRule>
  </conditionalFormatting>
  <conditionalFormatting sqref="A32">
    <cfRule type="expression" dxfId="9659" priority="295">
      <formula>$AH32=0</formula>
    </cfRule>
  </conditionalFormatting>
  <conditionalFormatting sqref="B81:AF81">
    <cfRule type="expression" dxfId="9658" priority="291">
      <formula>B$9&gt;=20/24</formula>
    </cfRule>
    <cfRule type="expression" dxfId="9657" priority="292">
      <formula>AND(B$9&gt;=14/24,B$9&lt;20/24)</formula>
    </cfRule>
    <cfRule type="expression" dxfId="9656" priority="293">
      <formula>AND(B$9&gt;=8/24,B$9&lt;14/24)</formula>
    </cfRule>
    <cfRule type="expression" dxfId="9655" priority="294">
      <formula>B$9&lt;8/24</formula>
    </cfRule>
  </conditionalFormatting>
  <conditionalFormatting sqref="A81">
    <cfRule type="expression" dxfId="9654" priority="290">
      <formula>$AH81=0</formula>
    </cfRule>
  </conditionalFormatting>
  <conditionalFormatting sqref="Y14:Z14">
    <cfRule type="expression" dxfId="9653" priority="286">
      <formula>Y$9&gt;=20/24</formula>
    </cfRule>
    <cfRule type="expression" dxfId="9652" priority="287">
      <formula>AND(Y$9&gt;=14/24,Y$9&lt;20/24)</formula>
    </cfRule>
    <cfRule type="expression" dxfId="9651" priority="288">
      <formula>AND(Y$9&gt;=8/24,Y$9&lt;14/24)</formula>
    </cfRule>
    <cfRule type="expression" dxfId="9650" priority="289">
      <formula>Y$9&lt;8/24</formula>
    </cfRule>
  </conditionalFormatting>
  <conditionalFormatting sqref="L14:Q14">
    <cfRule type="expression" dxfId="9649" priority="282">
      <formula>L$9&gt;=20/24</formula>
    </cfRule>
    <cfRule type="expression" dxfId="9648" priority="283">
      <formula>AND(L$9&gt;=14/24,L$9&lt;20/24)</formula>
    </cfRule>
    <cfRule type="expression" dxfId="9647" priority="284">
      <formula>AND(L$9&gt;=8/24,L$9&lt;14/24)</formula>
    </cfRule>
    <cfRule type="expression" dxfId="9646" priority="285">
      <formula>L$9&lt;8/24</formula>
    </cfRule>
  </conditionalFormatting>
  <conditionalFormatting sqref="R14:X14">
    <cfRule type="expression" dxfId="9645" priority="278">
      <formula>R$9&gt;=20/24</formula>
    </cfRule>
    <cfRule type="expression" dxfId="9644" priority="279">
      <formula>AND(R$9&gt;=14/24,R$9&lt;20/24)</formula>
    </cfRule>
    <cfRule type="expression" dxfId="9643" priority="280">
      <formula>AND(R$9&gt;=8/24,R$9&lt;14/24)</formula>
    </cfRule>
    <cfRule type="expression" dxfId="9642" priority="281">
      <formula>R$9&lt;8/24</formula>
    </cfRule>
  </conditionalFormatting>
  <conditionalFormatting sqref="L14:AF14">
    <cfRule type="expression" dxfId="9641" priority="277">
      <formula>L14&gt;$AG14</formula>
    </cfRule>
  </conditionalFormatting>
  <conditionalFormatting sqref="A14">
    <cfRule type="expression" dxfId="9640" priority="276">
      <formula>$AH14=0</formula>
    </cfRule>
  </conditionalFormatting>
  <conditionalFormatting sqref="A161:A166">
    <cfRule type="expression" dxfId="9639" priority="275">
      <formula>$AH161=0</formula>
    </cfRule>
  </conditionalFormatting>
  <conditionalFormatting sqref="A155:A160">
    <cfRule type="expression" dxfId="9638" priority="274">
      <formula>$AH155=0</formula>
    </cfRule>
  </conditionalFormatting>
  <conditionalFormatting sqref="Q42 Y42:Z42">
    <cfRule type="expression" dxfId="9637" priority="270">
      <formula>Q$9&gt;=20/24</formula>
    </cfRule>
    <cfRule type="expression" dxfId="9636" priority="271">
      <formula>AND(Q$9&gt;=14/24,Q$9&lt;20/24)</formula>
    </cfRule>
    <cfRule type="expression" dxfId="9635" priority="272">
      <formula>AND(Q$9&gt;=8/24,Q$9&lt;14/24)</formula>
    </cfRule>
    <cfRule type="expression" dxfId="9634" priority="273">
      <formula>Q$9&lt;8/24</formula>
    </cfRule>
  </conditionalFormatting>
  <conditionalFormatting sqref="L42:O42">
    <cfRule type="expression" dxfId="9633" priority="266">
      <formula>L$9&gt;=20/24</formula>
    </cfRule>
    <cfRule type="expression" dxfId="9632" priority="267">
      <formula>AND(L$9&gt;=14/24,L$9&lt;20/24)</formula>
    </cfRule>
    <cfRule type="expression" dxfId="9631" priority="268">
      <formula>AND(L$9&gt;=8/24,L$9&lt;14/24)</formula>
    </cfRule>
    <cfRule type="expression" dxfId="9630" priority="269">
      <formula>L$9&lt;8/24</formula>
    </cfRule>
  </conditionalFormatting>
  <conditionalFormatting sqref="R42:X42">
    <cfRule type="expression" dxfId="9629" priority="262">
      <formula>R$9&gt;=20/24</formula>
    </cfRule>
    <cfRule type="expression" dxfId="9628" priority="263">
      <formula>AND(R$9&gt;=14/24,R$9&lt;20/24)</formula>
    </cfRule>
    <cfRule type="expression" dxfId="9627" priority="264">
      <formula>AND(R$9&gt;=8/24,R$9&lt;14/24)</formula>
    </cfRule>
    <cfRule type="expression" dxfId="9626" priority="265">
      <formula>R$9&lt;8/24</formula>
    </cfRule>
  </conditionalFormatting>
  <conditionalFormatting sqref="L42:O42 Q42:AF42">
    <cfRule type="expression" dxfId="9625" priority="261">
      <formula>L42&gt;$AG42</formula>
    </cfRule>
  </conditionalFormatting>
  <conditionalFormatting sqref="A42">
    <cfRule type="expression" dxfId="9624" priority="260">
      <formula>$AH42=0</formula>
    </cfRule>
  </conditionalFormatting>
  <conditionalFormatting sqref="C77:AF77">
    <cfRule type="expression" dxfId="9623" priority="256">
      <formula>C$9&gt;=20/24</formula>
    </cfRule>
    <cfRule type="expression" dxfId="9622" priority="257">
      <formula>AND(C$9&gt;=14/24,C$9&lt;20/24)</formula>
    </cfRule>
    <cfRule type="expression" dxfId="9621" priority="258">
      <formula>AND(C$9&gt;=8/24,C$9&lt;14/24)</formula>
    </cfRule>
    <cfRule type="expression" dxfId="9620" priority="259">
      <formula>C$9&lt;8/24</formula>
    </cfRule>
  </conditionalFormatting>
  <conditionalFormatting sqref="A77">
    <cfRule type="expression" dxfId="9619" priority="255">
      <formula>$AH77=0</formula>
    </cfRule>
  </conditionalFormatting>
  <conditionalFormatting sqref="B71:AG71">
    <cfRule type="expression" dxfId="9618" priority="251">
      <formula>B$9&gt;=20/24</formula>
    </cfRule>
    <cfRule type="expression" dxfId="9617" priority="252">
      <formula>AND(B$9&gt;=14/24,B$9&lt;20/24)</formula>
    </cfRule>
    <cfRule type="expression" dxfId="9616" priority="253">
      <formula>AND(B$9&gt;=8/24,B$9&lt;14/24)</formula>
    </cfRule>
    <cfRule type="expression" dxfId="9615" priority="254">
      <formula>B$9&lt;8/24</formula>
    </cfRule>
  </conditionalFormatting>
  <conditionalFormatting sqref="A71">
    <cfRule type="expression" dxfId="9614" priority="250">
      <formula>$AH71=0</formula>
    </cfRule>
  </conditionalFormatting>
  <conditionalFormatting sqref="AL32:AL33 AL7:AL30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S56:S57">
    <cfRule type="expression" dxfId="9613" priority="246">
      <formula>S$9&gt;=20/24</formula>
    </cfRule>
    <cfRule type="expression" dxfId="9612" priority="247">
      <formula>AND(S$9&gt;=14/24,S$9&lt;20/24)</formula>
    </cfRule>
    <cfRule type="expression" dxfId="9611" priority="248">
      <formula>AND(S$9&gt;=8/24,S$9&lt;14/24)</formula>
    </cfRule>
    <cfRule type="expression" dxfId="9610" priority="249">
      <formula>S$9&lt;8/24</formula>
    </cfRule>
  </conditionalFormatting>
  <conditionalFormatting sqref="S55">
    <cfRule type="expression" dxfId="9609" priority="242">
      <formula>S$9&gt;=20/24</formula>
    </cfRule>
    <cfRule type="expression" dxfId="9608" priority="243">
      <formula>AND(S$9&gt;=14/24,S$9&lt;20/24)</formula>
    </cfRule>
    <cfRule type="expression" dxfId="9607" priority="244">
      <formula>AND(S$9&gt;=8/24,S$9&lt;14/24)</formula>
    </cfRule>
    <cfRule type="expression" dxfId="9606" priority="245">
      <formula>S$9&lt;8/24</formula>
    </cfRule>
  </conditionalFormatting>
  <conditionalFormatting sqref="S58:T65">
    <cfRule type="expression" dxfId="9605" priority="238">
      <formula>S$9&gt;=20/24</formula>
    </cfRule>
    <cfRule type="expression" dxfId="9604" priority="239">
      <formula>AND(S$9&gt;=14/24,S$9&lt;20/24)</formula>
    </cfRule>
    <cfRule type="expression" dxfId="9603" priority="240">
      <formula>AND(S$9&gt;=8/24,S$9&lt;14/24)</formula>
    </cfRule>
    <cfRule type="expression" dxfId="9602" priority="241">
      <formula>S$9&lt;8/24</formula>
    </cfRule>
  </conditionalFormatting>
  <conditionalFormatting sqref="S83:T89 U85:V89">
    <cfRule type="expression" dxfId="9601" priority="234">
      <formula>S$9&gt;=20/24</formula>
    </cfRule>
    <cfRule type="expression" dxfId="9600" priority="235">
      <formula>AND(S$9&gt;=14/24,S$9&lt;20/24)</formula>
    </cfRule>
    <cfRule type="expression" dxfId="9599" priority="236">
      <formula>AND(S$9&gt;=8/24,S$9&lt;14/24)</formula>
    </cfRule>
    <cfRule type="expression" dxfId="9598" priority="237">
      <formula>S$9&lt;8/24</formula>
    </cfRule>
  </conditionalFormatting>
  <conditionalFormatting sqref="S82">
    <cfRule type="expression" dxfId="9597" priority="230">
      <formula>S$9&gt;=20/24</formula>
    </cfRule>
    <cfRule type="expression" dxfId="9596" priority="231">
      <formula>AND(S$9&gt;=14/24,S$9&lt;20/24)</formula>
    </cfRule>
    <cfRule type="expression" dxfId="9595" priority="232">
      <formula>AND(S$9&gt;=8/24,S$9&lt;14/24)</formula>
    </cfRule>
    <cfRule type="expression" dxfId="9594" priority="233">
      <formula>S$9&lt;8/24</formula>
    </cfRule>
  </conditionalFormatting>
  <conditionalFormatting sqref="R83:R89 B82:Q89">
    <cfRule type="expression" dxfId="9593" priority="226">
      <formula>B$9&gt;=20/24</formula>
    </cfRule>
    <cfRule type="expression" dxfId="9592" priority="227">
      <formula>AND(B$9&gt;=14/24,B$9&lt;20/24)</formula>
    </cfRule>
    <cfRule type="expression" dxfId="9591" priority="228">
      <formula>AND(B$9&gt;=8/24,B$9&lt;14/24)</formula>
    </cfRule>
    <cfRule type="expression" dxfId="9590" priority="229">
      <formula>B$9&lt;8/24</formula>
    </cfRule>
  </conditionalFormatting>
  <conditionalFormatting sqref="R82">
    <cfRule type="expression" dxfId="9589" priority="222">
      <formula>R$9&gt;=20/24</formula>
    </cfRule>
    <cfRule type="expression" dxfId="9588" priority="223">
      <formula>AND(R$9&gt;=14/24,R$9&lt;20/24)</formula>
    </cfRule>
    <cfRule type="expression" dxfId="9587" priority="224">
      <formula>AND(R$9&gt;=8/24,R$9&lt;14/24)</formula>
    </cfRule>
    <cfRule type="expression" dxfId="9586" priority="225">
      <formula>R$9&lt;8/24</formula>
    </cfRule>
  </conditionalFormatting>
  <conditionalFormatting sqref="S92:S95">
    <cfRule type="expression" dxfId="9585" priority="218">
      <formula>S$9&gt;=20/24</formula>
    </cfRule>
    <cfRule type="expression" dxfId="9584" priority="219">
      <formula>AND(S$9&gt;=14/24,S$9&lt;20/24)</formula>
    </cfRule>
    <cfRule type="expression" dxfId="9583" priority="220">
      <formula>AND(S$9&gt;=8/24,S$9&lt;14/24)</formula>
    </cfRule>
    <cfRule type="expression" dxfId="9582" priority="221">
      <formula>S$9&lt;8/24</formula>
    </cfRule>
  </conditionalFormatting>
  <conditionalFormatting sqref="S96">
    <cfRule type="expression" dxfId="9581" priority="214">
      <formula>S$9&gt;=20/24</formula>
    </cfRule>
    <cfRule type="expression" dxfId="9580" priority="215">
      <formula>AND(S$9&gt;=14/24,S$9&lt;20/24)</formula>
    </cfRule>
    <cfRule type="expression" dxfId="9579" priority="216">
      <formula>AND(S$9&gt;=8/24,S$9&lt;14/24)</formula>
    </cfRule>
    <cfRule type="expression" dxfId="9578" priority="217">
      <formula>S$9&lt;8/24</formula>
    </cfRule>
  </conditionalFormatting>
  <conditionalFormatting sqref="L93:L95 B92:K95">
    <cfRule type="expression" dxfId="9577" priority="210">
      <formula>B$9&gt;=20/24</formula>
    </cfRule>
    <cfRule type="expression" dxfId="9576" priority="211">
      <formula>AND(B$9&gt;=14/24,B$9&lt;20/24)</formula>
    </cfRule>
    <cfRule type="expression" dxfId="9575" priority="212">
      <formula>AND(B$9&gt;=8/24,B$9&lt;14/24)</formula>
    </cfRule>
    <cfRule type="expression" dxfId="9574" priority="213">
      <formula>B$9&lt;8/24</formula>
    </cfRule>
  </conditionalFormatting>
  <conditionalFormatting sqref="Q92:Q95 M93:O95">
    <cfRule type="expression" dxfId="9573" priority="206">
      <formula>M$9&gt;=20/24</formula>
    </cfRule>
    <cfRule type="expression" dxfId="9572" priority="207">
      <formula>AND(M$9&gt;=14/24,M$9&lt;20/24)</formula>
    </cfRule>
    <cfRule type="expression" dxfId="9571" priority="208">
      <formula>AND(M$9&gt;=8/24,M$9&lt;14/24)</formula>
    </cfRule>
    <cfRule type="expression" dxfId="9570" priority="209">
      <formula>M$9&lt;8/24</formula>
    </cfRule>
  </conditionalFormatting>
  <conditionalFormatting sqref="R92:R95">
    <cfRule type="expression" dxfId="9569" priority="202">
      <formula>R$9&gt;=20/24</formula>
    </cfRule>
    <cfRule type="expression" dxfId="9568" priority="203">
      <formula>AND(R$9&gt;=14/24,R$9&lt;20/24)</formula>
    </cfRule>
    <cfRule type="expression" dxfId="9567" priority="204">
      <formula>AND(R$9&gt;=8/24,R$9&lt;14/24)</formula>
    </cfRule>
    <cfRule type="expression" dxfId="9566" priority="205">
      <formula>R$9&lt;8/24</formula>
    </cfRule>
  </conditionalFormatting>
  <conditionalFormatting sqref="B96:L96">
    <cfRule type="expression" dxfId="9565" priority="198">
      <formula>B$9&gt;=20/24</formula>
    </cfRule>
    <cfRule type="expression" dxfId="9564" priority="199">
      <formula>AND(B$9&gt;=14/24,B$9&lt;20/24)</formula>
    </cfRule>
    <cfRule type="expression" dxfId="9563" priority="200">
      <formula>AND(B$9&gt;=8/24,B$9&lt;14/24)</formula>
    </cfRule>
    <cfRule type="expression" dxfId="9562" priority="201">
      <formula>B$9&lt;8/24</formula>
    </cfRule>
  </conditionalFormatting>
  <conditionalFormatting sqref="M96:O96 Q96">
    <cfRule type="expression" dxfId="9561" priority="194">
      <formula>M$9&gt;=20/24</formula>
    </cfRule>
    <cfRule type="expression" dxfId="9560" priority="195">
      <formula>AND(M$9&gt;=14/24,M$9&lt;20/24)</formula>
    </cfRule>
    <cfRule type="expression" dxfId="9559" priority="196">
      <formula>AND(M$9&gt;=8/24,M$9&lt;14/24)</formula>
    </cfRule>
    <cfRule type="expression" dxfId="9558" priority="197">
      <formula>M$9&lt;8/24</formula>
    </cfRule>
  </conditionalFormatting>
  <conditionalFormatting sqref="R96">
    <cfRule type="expression" dxfId="9557" priority="190">
      <formula>R$9&gt;=20/24</formula>
    </cfRule>
    <cfRule type="expression" dxfId="9556" priority="191">
      <formula>AND(R$9&gt;=14/24,R$9&lt;20/24)</formula>
    </cfRule>
    <cfRule type="expression" dxfId="9555" priority="192">
      <formula>AND(R$9&gt;=8/24,R$9&lt;14/24)</formula>
    </cfRule>
    <cfRule type="expression" dxfId="9554" priority="193">
      <formula>R$9&lt;8/24</formula>
    </cfRule>
  </conditionalFormatting>
  <conditionalFormatting sqref="L92:O92">
    <cfRule type="expression" dxfId="9553" priority="186">
      <formula>L$9&gt;=20/24</formula>
    </cfRule>
    <cfRule type="expression" dxfId="9552" priority="187">
      <formula>AND(L$9&gt;=14/24,L$9&lt;20/24)</formula>
    </cfRule>
    <cfRule type="expression" dxfId="9551" priority="188">
      <formula>AND(L$9&gt;=8/24,L$9&lt;14/24)</formula>
    </cfRule>
    <cfRule type="expression" dxfId="9550" priority="189">
      <formula>L$9&lt;8/24</formula>
    </cfRule>
  </conditionalFormatting>
  <conditionalFormatting sqref="S92:T92">
    <cfRule type="expression" dxfId="9549" priority="178">
      <formula>S$9&gt;=20/24</formula>
    </cfRule>
    <cfRule type="expression" dxfId="9548" priority="179">
      <formula>AND(S$9&gt;=14/24,S$9&lt;20/24)</formula>
    </cfRule>
    <cfRule type="expression" dxfId="9547" priority="180">
      <formula>AND(S$9&gt;=8/24,S$9&lt;14/24)</formula>
    </cfRule>
    <cfRule type="expression" dxfId="9546" priority="181">
      <formula>S$9&lt;8/24</formula>
    </cfRule>
  </conditionalFormatting>
  <conditionalFormatting sqref="M92:O92 Q92:R92">
    <cfRule type="expression" dxfId="9545" priority="174">
      <formula>M$9&gt;=20/24</formula>
    </cfRule>
    <cfRule type="expression" dxfId="9544" priority="175">
      <formula>AND(M$9&gt;=14/24,M$9&lt;20/24)</formula>
    </cfRule>
    <cfRule type="expression" dxfId="9543" priority="176">
      <formula>AND(M$9&gt;=8/24,M$9&lt;14/24)</formula>
    </cfRule>
    <cfRule type="expression" dxfId="9542" priority="177">
      <formula>M$9&lt;8/24</formula>
    </cfRule>
  </conditionalFormatting>
  <conditionalFormatting sqref="B12:K13 B15:K19 B21:K25 B20:Q20">
    <cfRule type="expression" dxfId="9541" priority="170">
      <formula>B$9&gt;=20/24</formula>
    </cfRule>
    <cfRule type="expression" dxfId="9540" priority="171">
      <formula>AND(B$9&gt;=14/24,B$9&lt;20/24)</formula>
    </cfRule>
    <cfRule type="expression" dxfId="9539" priority="172">
      <formula>AND(B$9&gt;=8/24,B$9&lt;14/24)</formula>
    </cfRule>
    <cfRule type="expression" dxfId="9538" priority="173">
      <formula>B$9&lt;8/24</formula>
    </cfRule>
  </conditionalFormatting>
  <conditionalFormatting sqref="B48:K48">
    <cfRule type="expression" dxfId="9537" priority="120">
      <formula>B$9&gt;=20/24</formula>
    </cfRule>
    <cfRule type="expression" dxfId="9536" priority="121">
      <formula>AND(B$9&gt;=14/24,B$9&lt;20/24)</formula>
    </cfRule>
    <cfRule type="expression" dxfId="9535" priority="122">
      <formula>AND(B$9&gt;=8/24,B$9&lt;14/24)</formula>
    </cfRule>
    <cfRule type="expression" dxfId="9534" priority="123">
      <formula>B$9&lt;8/24</formula>
    </cfRule>
  </conditionalFormatting>
  <conditionalFormatting sqref="B11:B13 C12:K13">
    <cfRule type="expression" dxfId="9533" priority="157">
      <formula>B11&gt;$AG11</formula>
    </cfRule>
  </conditionalFormatting>
  <conditionalFormatting sqref="B14:K14">
    <cfRule type="expression" dxfId="9532" priority="140">
      <formula>B$9&gt;=20/24</formula>
    </cfRule>
    <cfRule type="expression" dxfId="9531" priority="141">
      <formula>AND(B$9&gt;=14/24,B$9&lt;20/24)</formula>
    </cfRule>
    <cfRule type="expression" dxfId="9530" priority="142">
      <formula>AND(B$9&gt;=8/24,B$9&lt;14/24)</formula>
    </cfRule>
    <cfRule type="expression" dxfId="9529" priority="143">
      <formula>B$9&lt;8/24</formula>
    </cfRule>
  </conditionalFormatting>
  <conditionalFormatting sqref="B14:K14">
    <cfRule type="expression" dxfId="9528" priority="139">
      <formula>B14&gt;$AG14</formula>
    </cfRule>
  </conditionalFormatting>
  <conditionalFormatting sqref="B33:K33 B26:K31">
    <cfRule type="expression" dxfId="9527" priority="138">
      <formula>B26&gt;$AG26</formula>
    </cfRule>
  </conditionalFormatting>
  <conditionalFormatting sqref="B32:K32">
    <cfRule type="expression" dxfId="9526" priority="137">
      <formula>B32&gt;$AG32</formula>
    </cfRule>
  </conditionalFormatting>
  <conditionalFormatting sqref="B34">
    <cfRule type="expression" dxfId="9525" priority="136">
      <formula>B34&gt;$AG34</formula>
    </cfRule>
  </conditionalFormatting>
  <conditionalFormatting sqref="B34">
    <cfRule type="expression" dxfId="9524" priority="132">
      <formula>B$9&gt;=20/24</formula>
    </cfRule>
    <cfRule type="expression" dxfId="9523" priority="133">
      <formula>AND(B$9&gt;=14/24,B$9&lt;20/24)</formula>
    </cfRule>
    <cfRule type="expression" dxfId="9522" priority="134">
      <formula>AND(B$9&gt;=8/24,B$9&lt;14/24)</formula>
    </cfRule>
    <cfRule type="expression" dxfId="9521" priority="135">
      <formula>B$9&lt;8/24</formula>
    </cfRule>
  </conditionalFormatting>
  <conditionalFormatting sqref="B43:K46">
    <cfRule type="expression" dxfId="9520" priority="128">
      <formula>B$9&gt;=20/24</formula>
    </cfRule>
    <cfRule type="expression" dxfId="9519" priority="129">
      <formula>AND(B$9&gt;=14/24,B$9&lt;20/24)</formula>
    </cfRule>
    <cfRule type="expression" dxfId="9518" priority="130">
      <formula>AND(B$9&gt;=8/24,B$9&lt;14/24)</formula>
    </cfRule>
    <cfRule type="expression" dxfId="9517" priority="131">
      <formula>B$9&lt;8/24</formula>
    </cfRule>
  </conditionalFormatting>
  <conditionalFormatting sqref="B47:K47">
    <cfRule type="expression" dxfId="9516" priority="124">
      <formula>B$9&gt;=20/24</formula>
    </cfRule>
    <cfRule type="expression" dxfId="9515" priority="125">
      <formula>AND(B$9&gt;=14/24,B$9&lt;20/24)</formula>
    </cfRule>
    <cfRule type="expression" dxfId="9514" priority="126">
      <formula>AND(B$9&gt;=8/24,B$9&lt;14/24)</formula>
    </cfRule>
    <cfRule type="expression" dxfId="9513" priority="127">
      <formula>B$9&lt;8/24</formula>
    </cfRule>
  </conditionalFormatting>
  <conditionalFormatting sqref="B37:B39 B43:K48">
    <cfRule type="expression" dxfId="9512" priority="119">
      <formula>B37&gt;$AG37</formula>
    </cfRule>
  </conditionalFormatting>
  <conditionalFormatting sqref="B42:K42">
    <cfRule type="expression" dxfId="9511" priority="115">
      <formula>B$9&gt;=20/24</formula>
    </cfRule>
    <cfRule type="expression" dxfId="9510" priority="116">
      <formula>AND(B$9&gt;=14/24,B$9&lt;20/24)</formula>
    </cfRule>
    <cfRule type="expression" dxfId="9509" priority="117">
      <formula>AND(B$9&gt;=8/24,B$9&lt;14/24)</formula>
    </cfRule>
    <cfRule type="expression" dxfId="9508" priority="118">
      <formula>B$9&lt;8/24</formula>
    </cfRule>
  </conditionalFormatting>
  <conditionalFormatting sqref="B42:K42">
    <cfRule type="expression" dxfId="9507" priority="114">
      <formula>B42&gt;$AG42</formula>
    </cfRule>
  </conditionalFormatting>
  <conditionalFormatting sqref="B40:K41">
    <cfRule type="expression" dxfId="9506" priority="92">
      <formula>B40&gt;$AG40</formula>
    </cfRule>
  </conditionalFormatting>
  <conditionalFormatting sqref="P17:P19 P21:P31">
    <cfRule type="expression" dxfId="9505" priority="88">
      <formula>P$9&gt;=20/24</formula>
    </cfRule>
    <cfRule type="expression" dxfId="9504" priority="89">
      <formula>AND(P$9&gt;=14/24,P$9&lt;20/24)</formula>
    </cfRule>
    <cfRule type="expression" dxfId="9503" priority="90">
      <formula>AND(P$9&gt;=8/24,P$9&lt;14/24)</formula>
    </cfRule>
    <cfRule type="expression" dxfId="9502" priority="91">
      <formula>P$9&lt;8/24</formula>
    </cfRule>
  </conditionalFormatting>
  <conditionalFormatting sqref="P33">
    <cfRule type="expression" dxfId="9501" priority="84">
      <formula>P$9&gt;=20/24</formula>
    </cfRule>
    <cfRule type="expression" dxfId="9500" priority="85">
      <formula>AND(P$9&gt;=14/24,P$9&lt;20/24)</formula>
    </cfRule>
    <cfRule type="expression" dxfId="9499" priority="86">
      <formula>AND(P$9&gt;=8/24,P$9&lt;14/24)</formula>
    </cfRule>
    <cfRule type="expression" dxfId="9498" priority="87">
      <formula>P$9&lt;8/24</formula>
    </cfRule>
  </conditionalFormatting>
  <conditionalFormatting sqref="P33:P34 P17:P19 P21:P31">
    <cfRule type="expression" dxfId="9497" priority="83">
      <formula>P17&gt;$AG17</formula>
    </cfRule>
  </conditionalFormatting>
  <conditionalFormatting sqref="P34">
    <cfRule type="expression" dxfId="9496" priority="79">
      <formula>P$9&gt;=20/24</formula>
    </cfRule>
    <cfRule type="expression" dxfId="9495" priority="80">
      <formula>AND(P$9&gt;=14/24,P$9&lt;20/24)</formula>
    </cfRule>
    <cfRule type="expression" dxfId="9494" priority="81">
      <formula>AND(P$9&gt;=8/24,P$9&lt;14/24)</formula>
    </cfRule>
    <cfRule type="expression" dxfId="9493" priority="82">
      <formula>P$9&lt;8/24</formula>
    </cfRule>
  </conditionalFormatting>
  <conditionalFormatting sqref="P32">
    <cfRule type="expression" dxfId="9492" priority="75">
      <formula>P$9&gt;=20/24</formula>
    </cfRule>
    <cfRule type="expression" dxfId="9491" priority="76">
      <formula>AND(P$9&gt;=14/24,P$9&lt;20/24)</formula>
    </cfRule>
    <cfRule type="expression" dxfId="9490" priority="77">
      <formula>AND(P$9&gt;=8/24,P$9&lt;14/24)</formula>
    </cfRule>
    <cfRule type="expression" dxfId="9489" priority="78">
      <formula>P$9&lt;8/24</formula>
    </cfRule>
  </conditionalFormatting>
  <conditionalFormatting sqref="P32">
    <cfRule type="expression" dxfId="9488" priority="74">
      <formula>P32&gt;$AG32</formula>
    </cfRule>
  </conditionalFormatting>
  <conditionalFormatting sqref="P37:P40 P43:P46">
    <cfRule type="expression" dxfId="9487" priority="70">
      <formula>P$9&gt;=20/24</formula>
    </cfRule>
    <cfRule type="expression" dxfId="9486" priority="71">
      <formula>AND(P$9&gt;=14/24,P$9&lt;20/24)</formula>
    </cfRule>
    <cfRule type="expression" dxfId="9485" priority="72">
      <formula>AND(P$9&gt;=8/24,P$9&lt;14/24)</formula>
    </cfRule>
    <cfRule type="expression" dxfId="9484" priority="73">
      <formula>P$9&lt;8/24</formula>
    </cfRule>
  </conditionalFormatting>
  <conditionalFormatting sqref="P41">
    <cfRule type="expression" dxfId="9483" priority="66">
      <formula>P$9&gt;=20/24</formula>
    </cfRule>
    <cfRule type="expression" dxfId="9482" priority="67">
      <formula>AND(P$9&gt;=14/24,P$9&lt;20/24)</formula>
    </cfRule>
    <cfRule type="expression" dxfId="9481" priority="68">
      <formula>AND(P$9&gt;=8/24,P$9&lt;14/24)</formula>
    </cfRule>
    <cfRule type="expression" dxfId="9480" priority="69">
      <formula>P$9&lt;8/24</formula>
    </cfRule>
  </conditionalFormatting>
  <conditionalFormatting sqref="P47">
    <cfRule type="expression" dxfId="9479" priority="62">
      <formula>P$9&gt;=20/24</formula>
    </cfRule>
    <cfRule type="expression" dxfId="9478" priority="63">
      <formula>AND(P$9&gt;=14/24,P$9&lt;20/24)</formula>
    </cfRule>
    <cfRule type="expression" dxfId="9477" priority="64">
      <formula>AND(P$9&gt;=8/24,P$9&lt;14/24)</formula>
    </cfRule>
    <cfRule type="expression" dxfId="9476" priority="65">
      <formula>P$9&lt;8/24</formula>
    </cfRule>
  </conditionalFormatting>
  <conditionalFormatting sqref="P48">
    <cfRule type="expression" dxfId="9475" priority="58">
      <formula>P$9&gt;=20/24</formula>
    </cfRule>
    <cfRule type="expression" dxfId="9474" priority="59">
      <formula>AND(P$9&gt;=14/24,P$9&lt;20/24)</formula>
    </cfRule>
    <cfRule type="expression" dxfId="9473" priority="60">
      <formula>AND(P$9&gt;=8/24,P$9&lt;14/24)</formula>
    </cfRule>
    <cfRule type="expression" dxfId="9472" priority="61">
      <formula>P$9&lt;8/24</formula>
    </cfRule>
  </conditionalFormatting>
  <conditionalFormatting sqref="P43:P48 P37:P41">
    <cfRule type="expression" dxfId="9471" priority="57">
      <formula>P37&gt;$AG37</formula>
    </cfRule>
  </conditionalFormatting>
  <conditionalFormatting sqref="P42">
    <cfRule type="expression" dxfId="9470" priority="53">
      <formula>P$9&gt;=20/24</formula>
    </cfRule>
    <cfRule type="expression" dxfId="9469" priority="54">
      <formula>AND(P$9&gt;=14/24,P$9&lt;20/24)</formula>
    </cfRule>
    <cfRule type="expression" dxfId="9468" priority="55">
      <formula>AND(P$9&gt;=8/24,P$9&lt;14/24)</formula>
    </cfRule>
    <cfRule type="expression" dxfId="9467" priority="56">
      <formula>P$9&lt;8/24</formula>
    </cfRule>
  </conditionalFormatting>
  <conditionalFormatting sqref="P42">
    <cfRule type="expression" dxfId="9466" priority="52">
      <formula>P42&gt;$AG42</formula>
    </cfRule>
  </conditionalFormatting>
  <conditionalFormatting sqref="P56:P65">
    <cfRule type="expression" dxfId="9465" priority="48">
      <formula>P$9&gt;=20/24</formula>
    </cfRule>
    <cfRule type="expression" dxfId="9464" priority="49">
      <formula>AND(P$9&gt;=14/24,P$9&lt;20/24)</formula>
    </cfRule>
    <cfRule type="expression" dxfId="9463" priority="50">
      <formula>AND(P$9&gt;=8/24,P$9&lt;14/24)</formula>
    </cfRule>
    <cfRule type="expression" dxfId="9462" priority="51">
      <formula>P$9&lt;8/24</formula>
    </cfRule>
  </conditionalFormatting>
  <conditionalFormatting sqref="P55">
    <cfRule type="expression" dxfId="9461" priority="44">
      <formula>P$9&gt;=20/24</formula>
    </cfRule>
    <cfRule type="expression" dxfId="9460" priority="45">
      <formula>AND(P$9&gt;=14/24,P$9&lt;20/24)</formula>
    </cfRule>
    <cfRule type="expression" dxfId="9459" priority="46">
      <formula>AND(P$9&gt;=8/24,P$9&lt;14/24)</formula>
    </cfRule>
    <cfRule type="expression" dxfId="9458" priority="47">
      <formula>P$9&lt;8/24</formula>
    </cfRule>
  </conditionalFormatting>
  <conditionalFormatting sqref="P93:P95">
    <cfRule type="expression" dxfId="9457" priority="40">
      <formula>P$9&gt;=20/24</formula>
    </cfRule>
    <cfRule type="expression" dxfId="9456" priority="41">
      <formula>AND(P$9&gt;=14/24,P$9&lt;20/24)</formula>
    </cfRule>
    <cfRule type="expression" dxfId="9455" priority="42">
      <formula>AND(P$9&gt;=8/24,P$9&lt;14/24)</formula>
    </cfRule>
    <cfRule type="expression" dxfId="9454" priority="43">
      <formula>P$9&lt;8/24</formula>
    </cfRule>
  </conditionalFormatting>
  <conditionalFormatting sqref="P96">
    <cfRule type="expression" dxfId="9453" priority="36">
      <formula>P$9&gt;=20/24</formula>
    </cfRule>
    <cfRule type="expression" dxfId="9452" priority="37">
      <formula>AND(P$9&gt;=14/24,P$9&lt;20/24)</formula>
    </cfRule>
    <cfRule type="expression" dxfId="9451" priority="38">
      <formula>AND(P$9&gt;=8/24,P$9&lt;14/24)</formula>
    </cfRule>
    <cfRule type="expression" dxfId="9450" priority="39">
      <formula>P$9&lt;8/24</formula>
    </cfRule>
  </conditionalFormatting>
  <conditionalFormatting sqref="P92">
    <cfRule type="expression" dxfId="9449" priority="32">
      <formula>P$9&gt;=20/24</formula>
    </cfRule>
    <cfRule type="expression" dxfId="9448" priority="33">
      <formula>AND(P$9&gt;=14/24,P$9&lt;20/24)</formula>
    </cfRule>
    <cfRule type="expression" dxfId="9447" priority="34">
      <formula>AND(P$9&gt;=8/24,P$9&lt;14/24)</formula>
    </cfRule>
    <cfRule type="expression" dxfId="9446" priority="35">
      <formula>P$9&lt;8/24</formula>
    </cfRule>
  </conditionalFormatting>
  <conditionalFormatting sqref="P92">
    <cfRule type="expression" dxfId="9445" priority="28">
      <formula>P$9&gt;=20/24</formula>
    </cfRule>
    <cfRule type="expression" dxfId="9444" priority="29">
      <formula>AND(P$9&gt;=14/24,P$9&lt;20/24)</formula>
    </cfRule>
    <cfRule type="expression" dxfId="9443" priority="30">
      <formula>AND(P$9&gt;=8/24,P$9&lt;14/24)</formula>
    </cfRule>
    <cfRule type="expression" dxfId="9442" priority="31">
      <formula>P$9&lt;8/24</formula>
    </cfRule>
  </conditionalFormatting>
  <conditionalFormatting sqref="Q22:Q31">
    <cfRule type="expression" dxfId="9441" priority="20">
      <formula>Q$9&gt;=20/24</formula>
    </cfRule>
    <cfRule type="expression" dxfId="9440" priority="21">
      <formula>AND(Q$9&gt;=14/24,Q$9&lt;20/24)</formula>
    </cfRule>
    <cfRule type="expression" dxfId="9439" priority="22">
      <formula>AND(Q$9&gt;=8/24,Q$9&lt;14/24)</formula>
    </cfRule>
    <cfRule type="expression" dxfId="9438" priority="23">
      <formula>Q$9&lt;8/24</formula>
    </cfRule>
  </conditionalFormatting>
  <conditionalFormatting sqref="Q33">
    <cfRule type="expression" dxfId="9437" priority="16">
      <formula>Q$9&gt;=20/24</formula>
    </cfRule>
    <cfRule type="expression" dxfId="9436" priority="17">
      <formula>AND(Q$9&gt;=14/24,Q$9&lt;20/24)</formula>
    </cfRule>
    <cfRule type="expression" dxfId="9435" priority="18">
      <formula>AND(Q$9&gt;=8/24,Q$9&lt;14/24)</formula>
    </cfRule>
    <cfRule type="expression" dxfId="9434" priority="19">
      <formula>Q$9&lt;8/24</formula>
    </cfRule>
  </conditionalFormatting>
  <conditionalFormatting sqref="Q33:Q34 Q22:Q31">
    <cfRule type="expression" dxfId="9433" priority="15">
      <formula>Q22&gt;$AG22</formula>
    </cfRule>
  </conditionalFormatting>
  <conditionalFormatting sqref="Q34">
    <cfRule type="expression" dxfId="9432" priority="11">
      <formula>Q$9&gt;=20/24</formula>
    </cfRule>
    <cfRule type="expression" dxfId="9431" priority="12">
      <formula>AND(Q$9&gt;=14/24,Q$9&lt;20/24)</formula>
    </cfRule>
    <cfRule type="expression" dxfId="9430" priority="13">
      <formula>AND(Q$9&gt;=8/24,Q$9&lt;14/24)</formula>
    </cfRule>
    <cfRule type="expression" dxfId="9429" priority="14">
      <formula>Q$9&lt;8/24</formula>
    </cfRule>
  </conditionalFormatting>
  <conditionalFormatting sqref="Q32">
    <cfRule type="expression" dxfId="9428" priority="7">
      <formula>Q$9&gt;=20/24</formula>
    </cfRule>
    <cfRule type="expression" dxfId="9427" priority="8">
      <formula>AND(Q$9&gt;=14/24,Q$9&lt;20/24)</formula>
    </cfRule>
    <cfRule type="expression" dxfId="9426" priority="9">
      <formula>AND(Q$9&gt;=8/24,Q$9&lt;14/24)</formula>
    </cfRule>
    <cfRule type="expression" dxfId="9425" priority="10">
      <formula>Q$9&lt;8/24</formula>
    </cfRule>
  </conditionalFormatting>
  <conditionalFormatting sqref="Q32">
    <cfRule type="expression" dxfId="9424" priority="6">
      <formula>Q32&gt;$AG32</formula>
    </cfRule>
  </conditionalFormatting>
  <conditionalFormatting sqref="Y35:Z35">
    <cfRule type="expression" dxfId="9423" priority="469">
      <formula>Y35&gt;$AG34</formula>
    </cfRule>
  </conditionalFormatting>
  <conditionalFormatting sqref="R34:Z34">
    <cfRule type="expression" dxfId="9422" priority="2">
      <formula>R$9&gt;=20/24</formula>
    </cfRule>
    <cfRule type="expression" dxfId="9421" priority="3">
      <formula>AND(R$9&gt;=14/24,R$9&lt;20/24)</formula>
    </cfRule>
    <cfRule type="expression" dxfId="9420" priority="4">
      <formula>AND(R$9&gt;=8/24,R$9&lt;14/24)</formula>
    </cfRule>
    <cfRule type="expression" dxfId="9419" priority="5">
      <formula>R$9&lt;8/24</formula>
    </cfRule>
  </conditionalFormatting>
  <conditionalFormatting sqref="R34:Z34">
    <cfRule type="expression" dxfId="9418" priority="1">
      <formula>R34&gt;$AG34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0" id="{159A8E07-B21A-4BEA-B9FC-D02925773533}">
            <xm:f>'3'!B$9&gt;=20/24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1" id="{F417007B-D335-43B9-9351-5C5F18DB88A5}">
            <xm:f>AND('3'!B$9&gt;=14/24,'3'!B$9&lt;20/24)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2" id="{D554A1D1-53C7-41B4-909C-5B14653F4E6C}">
            <xm:f>AND('3'!B$9&gt;=8/24,'3'!B$9&lt;14/24)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3" id="{02E76E53-BD70-42AF-9EE4-27E54614EE3E}">
            <xm:f>'3'!B$9&lt;8/24</xm:f>
            <x14:dxf>
              <fill>
                <patternFill>
                  <bgColor rgb="FFFFFF66"/>
                </patternFill>
              </fill>
            </x14:dxf>
          </x14:cfRule>
          <xm:sqref>B97:AF97</xm:sqref>
        </x14:conditionalFormatting>
        <x14:conditionalFormatting xmlns:xm="http://schemas.microsoft.com/office/excel/2006/main">
          <x14:cfRule type="expression" priority="105" id="{0F502B25-F84B-484E-B77B-F20663CF2A1A}">
            <xm:f>'3'!$AH97=0</xm:f>
            <x14:dxf>
              <fill>
                <patternFill>
                  <bgColor rgb="FF51E2F1"/>
                </patternFill>
              </fill>
            </x14:dxf>
          </x14:cfRule>
          <xm:sqref>A97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D16" sqref="AD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" bestFit="1" customWidth="1"/>
    <col min="12" max="12" width="8.42578125" customWidth="1"/>
    <col min="13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2078/04/5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-160</v>
      </c>
      <c r="C5" s="32">
        <f t="shared" ref="C5:AF5" si="0">C66</f>
        <v>-149</v>
      </c>
      <c r="D5" s="32">
        <f t="shared" si="0"/>
        <v>-160.80000000000001</v>
      </c>
      <c r="E5" s="32">
        <f t="shared" si="0"/>
        <v>-197.7</v>
      </c>
      <c r="F5" s="32">
        <f t="shared" si="0"/>
        <v>-171.20000000000002</v>
      </c>
      <c r="G5" s="32">
        <f t="shared" si="0"/>
        <v>-176.6</v>
      </c>
      <c r="H5" s="32">
        <f t="shared" si="0"/>
        <v>-183.9</v>
      </c>
      <c r="I5" s="32">
        <f t="shared" si="0"/>
        <v>-123.7</v>
      </c>
      <c r="J5" s="32">
        <f t="shared" si="0"/>
        <v>-111</v>
      </c>
      <c r="K5" s="32">
        <f t="shared" si="0"/>
        <v>-79.599999999999994</v>
      </c>
      <c r="L5" s="32">
        <f t="shared" si="0"/>
        <v>-115.39999999999999</v>
      </c>
      <c r="M5" s="32">
        <f t="shared" si="0"/>
        <v>-126.6</v>
      </c>
      <c r="N5" s="32">
        <f t="shared" si="0"/>
        <v>-63.7</v>
      </c>
      <c r="O5" s="32">
        <f t="shared" si="0"/>
        <v>-19.7</v>
      </c>
      <c r="P5" s="32">
        <f t="shared" si="0"/>
        <v>-13.2</v>
      </c>
      <c r="Q5" s="32">
        <f t="shared" si="0"/>
        <v>-35</v>
      </c>
      <c r="R5" s="32">
        <f t="shared" si="0"/>
        <v>-23.3</v>
      </c>
      <c r="S5" s="32">
        <f t="shared" si="0"/>
        <v>-36.5</v>
      </c>
      <c r="T5" s="32">
        <f t="shared" si="0"/>
        <v>-31.4</v>
      </c>
      <c r="U5" s="32">
        <f t="shared" si="0"/>
        <v>-82</v>
      </c>
      <c r="V5" s="32">
        <f t="shared" si="0"/>
        <v>-17.100000000000001</v>
      </c>
      <c r="W5" s="32">
        <f t="shared" si="0"/>
        <v>-22.7</v>
      </c>
      <c r="X5" s="32">
        <f t="shared" si="0"/>
        <v>66</v>
      </c>
      <c r="Y5" s="32">
        <f t="shared" si="0"/>
        <v>-69.8</v>
      </c>
      <c r="Z5" s="32">
        <f t="shared" si="0"/>
        <v>-112.4</v>
      </c>
      <c r="AA5" s="32">
        <f t="shared" si="0"/>
        <v>-137.29999999999998</v>
      </c>
      <c r="AB5" s="32">
        <f t="shared" si="0"/>
        <v>-50.800000000000004</v>
      </c>
      <c r="AC5" s="32">
        <f t="shared" si="0"/>
        <v>22.9</v>
      </c>
      <c r="AD5" s="32">
        <f t="shared" si="0"/>
        <v>-78.400000000000006</v>
      </c>
      <c r="AE5" s="32">
        <f t="shared" si="0"/>
        <v>-54.7</v>
      </c>
      <c r="AF5" s="32">
        <f t="shared" si="0"/>
        <v>-86.1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1236MW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Load=1066</v>
      </c>
      <c r="B7" s="37">
        <f t="shared" ref="B7:AF7" si="1">B73</f>
        <v>1226.3400000000001</v>
      </c>
      <c r="C7" s="37">
        <f t="shared" si="1"/>
        <v>1177.1400000000001</v>
      </c>
      <c r="D7" s="37">
        <f t="shared" si="1"/>
        <v>1165.74</v>
      </c>
      <c r="E7" s="37">
        <f t="shared" si="1"/>
        <v>1128.24</v>
      </c>
      <c r="F7" s="37">
        <f t="shared" si="1"/>
        <v>1131.3399999999999</v>
      </c>
      <c r="G7" s="37">
        <f t="shared" si="1"/>
        <v>1126.54</v>
      </c>
      <c r="H7" s="37">
        <f t="shared" si="1"/>
        <v>1119.9399999999998</v>
      </c>
      <c r="I7" s="37">
        <f t="shared" si="1"/>
        <v>1180.1399999999999</v>
      </c>
      <c r="J7" s="37">
        <f t="shared" si="1"/>
        <v>1163.1399999999999</v>
      </c>
      <c r="K7" s="37">
        <f t="shared" si="1"/>
        <v>1236.2400000000002</v>
      </c>
      <c r="L7" s="37">
        <f>L73</f>
        <v>1203.2400000000002</v>
      </c>
      <c r="M7" s="37">
        <f t="shared" si="1"/>
        <v>1194.44</v>
      </c>
      <c r="N7" s="37">
        <f t="shared" si="1"/>
        <v>1267.6400000000001</v>
      </c>
      <c r="O7" s="37">
        <f t="shared" si="1"/>
        <v>1291.8400000000001</v>
      </c>
      <c r="P7" s="37">
        <f t="shared" si="1"/>
        <v>1294.6400000000001</v>
      </c>
      <c r="Q7" s="37">
        <f t="shared" si="1"/>
        <v>1308.3399999999999</v>
      </c>
      <c r="R7" s="37">
        <f t="shared" si="1"/>
        <v>1312.14</v>
      </c>
      <c r="S7" s="37">
        <f t="shared" si="1"/>
        <v>1277.1399999999999</v>
      </c>
      <c r="T7" s="37">
        <f t="shared" si="1"/>
        <v>1213.44</v>
      </c>
      <c r="U7" s="37">
        <f t="shared" si="1"/>
        <v>1197.44</v>
      </c>
      <c r="V7" s="37">
        <f t="shared" si="1"/>
        <v>1090.44</v>
      </c>
      <c r="W7" s="37">
        <f t="shared" si="1"/>
        <v>1271.1399999999999</v>
      </c>
      <c r="X7" s="37">
        <f t="shared" si="1"/>
        <v>1553.94</v>
      </c>
      <c r="Y7" s="37">
        <f t="shared" si="1"/>
        <v>1432.3400000000001</v>
      </c>
      <c r="Z7" s="37">
        <f t="shared" si="1"/>
        <v>1376.3400000000001</v>
      </c>
      <c r="AA7" s="37">
        <f t="shared" si="1"/>
        <v>1329.54</v>
      </c>
      <c r="AB7" s="37">
        <f t="shared" si="1"/>
        <v>1360.64</v>
      </c>
      <c r="AC7" s="37">
        <f t="shared" si="1"/>
        <v>1356.44</v>
      </c>
      <c r="AD7" s="37">
        <f t="shared" si="1"/>
        <v>1143.8399999999999</v>
      </c>
      <c r="AE7" s="37">
        <f t="shared" si="1"/>
        <v>1107.04</v>
      </c>
      <c r="AF7" s="37">
        <f t="shared" si="1"/>
        <v>1065.54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350</v>
      </c>
      <c r="C11" s="49">
        <v>300</v>
      </c>
      <c r="D11" s="49">
        <v>300</v>
      </c>
      <c r="E11" s="49">
        <v>300</v>
      </c>
      <c r="F11" s="49">
        <v>280</v>
      </c>
      <c r="G11" s="49">
        <v>280</v>
      </c>
      <c r="H11" s="49">
        <v>280</v>
      </c>
      <c r="I11" s="49">
        <v>280</v>
      </c>
      <c r="J11" s="49">
        <v>250</v>
      </c>
      <c r="K11" s="49">
        <v>300</v>
      </c>
      <c r="L11" s="50">
        <v>300</v>
      </c>
      <c r="M11" s="50">
        <v>300</v>
      </c>
      <c r="N11" s="50">
        <v>310</v>
      </c>
      <c r="O11" s="50">
        <v>300</v>
      </c>
      <c r="P11" s="50">
        <v>300</v>
      </c>
      <c r="Q11" s="51">
        <v>336</v>
      </c>
      <c r="R11" s="52">
        <v>333</v>
      </c>
      <c r="S11" s="52">
        <v>292</v>
      </c>
      <c r="T11" s="52">
        <v>260.2</v>
      </c>
      <c r="U11" s="52">
        <v>266</v>
      </c>
      <c r="V11" s="52">
        <v>300</v>
      </c>
      <c r="W11" s="52">
        <v>270</v>
      </c>
      <c r="X11" s="52">
        <v>380</v>
      </c>
      <c r="Y11" s="53">
        <v>380</v>
      </c>
      <c r="Z11" s="53">
        <v>380</v>
      </c>
      <c r="AA11" s="115">
        <v>378</v>
      </c>
      <c r="AB11" s="115">
        <v>348</v>
      </c>
      <c r="AC11" s="115">
        <v>289</v>
      </c>
      <c r="AD11" s="115">
        <v>198</v>
      </c>
      <c r="AE11" s="49">
        <v>230</v>
      </c>
      <c r="AF11" s="49">
        <v>170</v>
      </c>
      <c r="AG11" s="54">
        <v>456</v>
      </c>
      <c r="AH11" s="55">
        <f>MAX(B11:AF11)</f>
        <v>380</v>
      </c>
      <c r="AI11" s="56">
        <f>MIN(B11:AF11)</f>
        <v>170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50</v>
      </c>
      <c r="AF12" s="49">
        <v>50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46</v>
      </c>
      <c r="C14" s="62">
        <v>46</v>
      </c>
      <c r="D14" s="62">
        <v>45.7</v>
      </c>
      <c r="E14" s="62">
        <v>45.5</v>
      </c>
      <c r="F14" s="62">
        <v>45.5</v>
      </c>
      <c r="G14" s="62">
        <v>45.5</v>
      </c>
      <c r="H14" s="62">
        <v>45.5</v>
      </c>
      <c r="I14" s="62">
        <v>45.5</v>
      </c>
      <c r="J14" s="62">
        <v>45.5</v>
      </c>
      <c r="K14" s="62">
        <v>45.5</v>
      </c>
      <c r="L14" s="50">
        <v>45.6</v>
      </c>
      <c r="M14" s="50">
        <v>45.6</v>
      </c>
      <c r="N14" s="50">
        <v>45.8</v>
      </c>
      <c r="O14" s="50">
        <v>45.6</v>
      </c>
      <c r="P14" s="50">
        <v>45.6</v>
      </c>
      <c r="Q14" s="50">
        <v>45.6</v>
      </c>
      <c r="R14" s="61">
        <v>45.6</v>
      </c>
      <c r="S14" s="61">
        <v>45.6</v>
      </c>
      <c r="T14" s="61">
        <v>45.6</v>
      </c>
      <c r="U14" s="61">
        <v>45.6</v>
      </c>
      <c r="V14" s="61">
        <v>45.6</v>
      </c>
      <c r="W14" s="61">
        <v>45.6</v>
      </c>
      <c r="X14" s="61">
        <v>45.6</v>
      </c>
      <c r="Y14" s="50">
        <v>45.6</v>
      </c>
      <c r="Z14" s="50">
        <v>45.6</v>
      </c>
      <c r="AA14" s="50">
        <v>45.6</v>
      </c>
      <c r="AB14" s="50">
        <v>45.6</v>
      </c>
      <c r="AC14" s="50">
        <v>45.6</v>
      </c>
      <c r="AD14" s="50">
        <v>45.6</v>
      </c>
      <c r="AE14" s="62">
        <v>35</v>
      </c>
      <c r="AF14" s="62">
        <v>35</v>
      </c>
      <c r="AG14" s="63">
        <v>50</v>
      </c>
      <c r="AH14" s="55">
        <f t="shared" si="2"/>
        <v>46</v>
      </c>
      <c r="AI14" s="56">
        <f t="shared" si="3"/>
        <v>35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0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49">
        <v>23</v>
      </c>
      <c r="AF16" s="49">
        <v>23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20</v>
      </c>
      <c r="AF17" s="49">
        <v>20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24.9</v>
      </c>
      <c r="C18" s="49">
        <v>24.9</v>
      </c>
      <c r="D18" s="49">
        <v>25.1</v>
      </c>
      <c r="E18" s="49">
        <v>25.1</v>
      </c>
      <c r="F18" s="49">
        <v>25.1</v>
      </c>
      <c r="G18" s="49">
        <v>25.1</v>
      </c>
      <c r="H18" s="49">
        <v>25.1</v>
      </c>
      <c r="I18" s="49">
        <v>25.1</v>
      </c>
      <c r="J18" s="49">
        <v>25.1</v>
      </c>
      <c r="K18" s="49">
        <v>25.1</v>
      </c>
      <c r="L18" s="50">
        <v>25.1</v>
      </c>
      <c r="M18" s="50">
        <v>25.1</v>
      </c>
      <c r="N18" s="50">
        <v>25.2</v>
      </c>
      <c r="O18" s="50">
        <v>25.2</v>
      </c>
      <c r="P18" s="50">
        <v>25.3</v>
      </c>
      <c r="Q18" s="50">
        <v>25.3</v>
      </c>
      <c r="R18" s="50">
        <v>25.2</v>
      </c>
      <c r="S18" s="50">
        <v>25.2</v>
      </c>
      <c r="T18" s="50">
        <v>25.2</v>
      </c>
      <c r="U18" s="50">
        <v>25.2</v>
      </c>
      <c r="V18" s="50">
        <v>25.2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50">
        <v>25.2</v>
      </c>
      <c r="AF18" s="50">
        <v>25.2</v>
      </c>
      <c r="AG18" s="60">
        <v>30</v>
      </c>
      <c r="AH18" s="55">
        <f t="shared" si="2"/>
        <v>25.3</v>
      </c>
      <c r="AI18" s="56">
        <f t="shared" si="3"/>
        <v>24.9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8</v>
      </c>
      <c r="AF20" s="49">
        <v>8</v>
      </c>
      <c r="AG20" s="60">
        <v>25</v>
      </c>
      <c r="AH20" s="55">
        <f t="shared" si="2"/>
        <v>11</v>
      </c>
      <c r="AI20" s="56">
        <f t="shared" si="3"/>
        <v>8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0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20</v>
      </c>
      <c r="AD22" s="50">
        <v>20</v>
      </c>
      <c r="AE22" s="50">
        <v>20</v>
      </c>
      <c r="AF22" s="50">
        <v>20</v>
      </c>
      <c r="AG22" s="60">
        <v>25</v>
      </c>
      <c r="AH22" s="55">
        <f t="shared" si="2"/>
        <v>22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20</v>
      </c>
      <c r="G23" s="49">
        <v>20</v>
      </c>
      <c r="H23" s="49">
        <v>20</v>
      </c>
      <c r="I23" s="49">
        <v>20</v>
      </c>
      <c r="J23" s="49">
        <v>20</v>
      </c>
      <c r="K23" s="49">
        <v>20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20</v>
      </c>
      <c r="AB23" s="50">
        <v>20</v>
      </c>
      <c r="AC23" s="50">
        <v>20</v>
      </c>
      <c r="AD23" s="50">
        <v>20</v>
      </c>
      <c r="AE23" s="50">
        <v>20</v>
      </c>
      <c r="AF23" s="50">
        <v>20</v>
      </c>
      <c r="AG23" s="60">
        <v>25</v>
      </c>
      <c r="AH23" s="55">
        <f t="shared" si="2"/>
        <v>22</v>
      </c>
      <c r="AI23" s="56">
        <f t="shared" si="3"/>
        <v>20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0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20</v>
      </c>
      <c r="AD24" s="50">
        <v>20</v>
      </c>
      <c r="AE24" s="50">
        <v>20</v>
      </c>
      <c r="AF24" s="50">
        <v>20</v>
      </c>
      <c r="AG24" s="60">
        <v>24.2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15</v>
      </c>
      <c r="C25" s="49">
        <v>15</v>
      </c>
      <c r="D25" s="49">
        <v>15</v>
      </c>
      <c r="E25" s="49">
        <v>15</v>
      </c>
      <c r="F25" s="49">
        <v>15</v>
      </c>
      <c r="G25" s="49">
        <v>15</v>
      </c>
      <c r="H25" s="49">
        <v>15</v>
      </c>
      <c r="I25" s="49">
        <v>15</v>
      </c>
      <c r="J25" s="49">
        <v>15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14</v>
      </c>
      <c r="Z25" s="50">
        <v>14</v>
      </c>
      <c r="AA25" s="50">
        <v>14</v>
      </c>
      <c r="AB25" s="50">
        <v>14</v>
      </c>
      <c r="AC25" s="50">
        <v>14</v>
      </c>
      <c r="AD25" s="50">
        <v>10</v>
      </c>
      <c r="AE25" s="50">
        <v>10</v>
      </c>
      <c r="AF25" s="50">
        <v>10</v>
      </c>
      <c r="AG25" s="60"/>
      <c r="AH25" s="55">
        <f t="shared" si="2"/>
        <v>15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0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</v>
      </c>
      <c r="C28" s="49">
        <v>12</v>
      </c>
      <c r="D28" s="49">
        <v>12.5</v>
      </c>
      <c r="E28" s="49">
        <v>12.5</v>
      </c>
      <c r="F28" s="49">
        <v>12.5</v>
      </c>
      <c r="G28" s="49">
        <v>12.5</v>
      </c>
      <c r="H28" s="49">
        <v>12.5</v>
      </c>
      <c r="I28" s="49">
        <v>12.5</v>
      </c>
      <c r="J28" s="49">
        <v>12.5</v>
      </c>
      <c r="K28" s="49">
        <v>12.5</v>
      </c>
      <c r="L28" s="50">
        <v>12.5</v>
      </c>
      <c r="M28" s="50">
        <v>12.5</v>
      </c>
      <c r="N28" s="50">
        <v>12.4</v>
      </c>
      <c r="O28" s="50">
        <v>12.4</v>
      </c>
      <c r="P28" s="50">
        <v>12.4</v>
      </c>
      <c r="Q28" s="50">
        <v>12.4</v>
      </c>
      <c r="R28" s="50">
        <v>12.3</v>
      </c>
      <c r="S28" s="50">
        <v>12.3</v>
      </c>
      <c r="T28" s="50">
        <v>12.3</v>
      </c>
      <c r="U28" s="50">
        <v>12.3</v>
      </c>
      <c r="V28" s="50">
        <v>12.3</v>
      </c>
      <c r="W28" s="50">
        <v>12.3</v>
      </c>
      <c r="X28" s="50">
        <v>12.3</v>
      </c>
      <c r="Y28" s="50">
        <v>12.3</v>
      </c>
      <c r="Z28" s="50">
        <v>12.3</v>
      </c>
      <c r="AA28" s="50">
        <v>12.3</v>
      </c>
      <c r="AB28" s="50">
        <v>12.3</v>
      </c>
      <c r="AC28" s="50">
        <v>12.3</v>
      </c>
      <c r="AD28" s="50">
        <v>12.3</v>
      </c>
      <c r="AE28" s="50">
        <v>12.3</v>
      </c>
      <c r="AF28" s="50">
        <v>12.3</v>
      </c>
      <c r="AG28" s="60">
        <v>22.1</v>
      </c>
      <c r="AH28" s="55">
        <f t="shared" si="2"/>
        <v>12.5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8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0">
        <v>22.1</v>
      </c>
      <c r="AH29" s="55">
        <f t="shared" si="2"/>
        <v>8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0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15</v>
      </c>
      <c r="AD30" s="50">
        <v>15</v>
      </c>
      <c r="AE30" s="50">
        <v>15</v>
      </c>
      <c r="AF30" s="50">
        <v>15</v>
      </c>
      <c r="AG30" s="63">
        <v>22</v>
      </c>
      <c r="AH30" s="55">
        <f t="shared" si="2"/>
        <v>15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110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110</v>
      </c>
      <c r="AK34" s="57"/>
    </row>
    <row r="35" spans="1:88" ht="15.75" thickBot="1" x14ac:dyDescent="0.3">
      <c r="A35" s="69" t="s">
        <v>42</v>
      </c>
      <c r="B35" s="62">
        <v>170</v>
      </c>
      <c r="C35" s="62">
        <v>170</v>
      </c>
      <c r="D35" s="62">
        <f>96.6+75.2</f>
        <v>171.8</v>
      </c>
      <c r="E35" s="62">
        <f>96.5+75.2</f>
        <v>171.7</v>
      </c>
      <c r="F35" s="62">
        <f>91.1+75.2</f>
        <v>166.3</v>
      </c>
      <c r="G35" s="62">
        <f>91.2+75.1</f>
        <v>166.3</v>
      </c>
      <c r="H35" s="62">
        <f>90.8+75.4</f>
        <v>166.2</v>
      </c>
      <c r="I35" s="62">
        <f>89.6+74.6</f>
        <v>164.2</v>
      </c>
      <c r="J35" s="62">
        <f>90.6+74.7</f>
        <v>165.3</v>
      </c>
      <c r="K35" s="62">
        <f>89.6+74.3</f>
        <v>163.89999999999998</v>
      </c>
      <c r="L35" s="70">
        <f>74+90.9</f>
        <v>164.9</v>
      </c>
      <c r="M35" s="70">
        <f>73.4+95.2</f>
        <v>168.60000000000002</v>
      </c>
      <c r="N35" s="70">
        <f>74.1+95.8</f>
        <v>169.89999999999998</v>
      </c>
      <c r="O35" s="70">
        <f>96.9+74.4</f>
        <v>171.3</v>
      </c>
      <c r="P35" s="70">
        <f>74.6+96.7</f>
        <v>171.3</v>
      </c>
      <c r="Q35" s="70">
        <f>74.7+95.9</f>
        <v>170.60000000000002</v>
      </c>
      <c r="R35" s="70">
        <f>74.9+97.7</f>
        <v>172.60000000000002</v>
      </c>
      <c r="S35" s="70">
        <v>170.6</v>
      </c>
      <c r="T35" s="70">
        <v>171.3</v>
      </c>
      <c r="U35" s="70">
        <v>165.4</v>
      </c>
      <c r="V35" s="70">
        <v>5.2</v>
      </c>
      <c r="W35" s="70">
        <v>139.69999999999999</v>
      </c>
      <c r="X35" s="70">
        <v>159.6</v>
      </c>
      <c r="Y35" s="70">
        <v>158.69999999999999</v>
      </c>
      <c r="Z35" s="70">
        <v>158.69999999999999</v>
      </c>
      <c r="AA35" s="70">
        <f>91.6+74.3</f>
        <v>165.89999999999998</v>
      </c>
      <c r="AB35" s="70">
        <f>92+74.8</f>
        <v>166.8</v>
      </c>
      <c r="AC35" s="70">
        <f>85+73.3</f>
        <v>158.30000000000001</v>
      </c>
      <c r="AD35" s="70">
        <f>85+73.3</f>
        <v>158.30000000000001</v>
      </c>
      <c r="AE35" s="62">
        <f>90.8+71.8</f>
        <v>162.6</v>
      </c>
      <c r="AF35" s="62">
        <f>91.5+71.8</f>
        <v>163.30000000000001</v>
      </c>
      <c r="AG35" s="67">
        <v>240</v>
      </c>
      <c r="AH35" s="55">
        <f t="shared" si="2"/>
        <v>172.60000000000002</v>
      </c>
      <c r="AI35" s="56">
        <f t="shared" si="3"/>
        <v>5.2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954</v>
      </c>
      <c r="C36" s="72">
        <f t="shared" si="4"/>
        <v>896</v>
      </c>
      <c r="D36" s="72">
        <f t="shared" si="4"/>
        <v>896.4</v>
      </c>
      <c r="E36" s="72">
        <f t="shared" si="4"/>
        <v>896.2</v>
      </c>
      <c r="F36" s="72">
        <f t="shared" si="4"/>
        <v>874.19999999999993</v>
      </c>
      <c r="G36" s="72">
        <f t="shared" si="4"/>
        <v>874.19999999999993</v>
      </c>
      <c r="H36" s="72">
        <f t="shared" si="4"/>
        <v>874.19999999999993</v>
      </c>
      <c r="I36" s="72">
        <f t="shared" si="4"/>
        <v>874.19999999999993</v>
      </c>
      <c r="J36" s="72">
        <f t="shared" si="4"/>
        <v>844.19999999999993</v>
      </c>
      <c r="K36" s="72">
        <f t="shared" si="4"/>
        <v>889.2</v>
      </c>
      <c r="L36" s="72">
        <f t="shared" si="4"/>
        <v>889.30000000000007</v>
      </c>
      <c r="M36" s="72">
        <f t="shared" si="4"/>
        <v>889.30000000000007</v>
      </c>
      <c r="N36" s="72">
        <f t="shared" si="4"/>
        <v>899.5</v>
      </c>
      <c r="O36" s="72">
        <f t="shared" si="4"/>
        <v>889.3</v>
      </c>
      <c r="P36" s="72">
        <f t="shared" si="4"/>
        <v>889.4</v>
      </c>
      <c r="Q36" s="72">
        <f t="shared" si="4"/>
        <v>925.4</v>
      </c>
      <c r="R36" s="72">
        <f t="shared" si="4"/>
        <v>922.2</v>
      </c>
      <c r="S36" s="72">
        <f t="shared" si="4"/>
        <v>881.19999999999993</v>
      </c>
      <c r="T36" s="72">
        <f t="shared" si="4"/>
        <v>849.4</v>
      </c>
      <c r="U36" s="72">
        <f t="shared" si="4"/>
        <v>855.19999999999993</v>
      </c>
      <c r="V36" s="72">
        <f t="shared" si="4"/>
        <v>683.3</v>
      </c>
      <c r="W36" s="72">
        <f t="shared" si="4"/>
        <v>859.19999999999993</v>
      </c>
      <c r="X36" s="72">
        <f t="shared" si="4"/>
        <v>969.2</v>
      </c>
      <c r="Y36" s="72">
        <f t="shared" si="4"/>
        <v>973.2</v>
      </c>
      <c r="Z36" s="72">
        <f t="shared" si="4"/>
        <v>973.2</v>
      </c>
      <c r="AA36" s="72">
        <f t="shared" si="4"/>
        <v>971.2</v>
      </c>
      <c r="AB36" s="72">
        <f t="shared" si="4"/>
        <v>941.2</v>
      </c>
      <c r="AC36" s="72">
        <f t="shared" si="4"/>
        <v>881.19999999999993</v>
      </c>
      <c r="AD36" s="72">
        <f t="shared" si="4"/>
        <v>786.19999999999993</v>
      </c>
      <c r="AE36" s="72">
        <f t="shared" si="4"/>
        <v>787.59999999999991</v>
      </c>
      <c r="AF36" s="72">
        <f t="shared" si="4"/>
        <v>727.59999999999991</v>
      </c>
      <c r="AG36" s="67">
        <f>SUM(AG11:AG35)</f>
        <v>1416.83</v>
      </c>
      <c r="AH36" s="55">
        <f t="shared" si="2"/>
        <v>973.2</v>
      </c>
      <c r="AI36" s="56">
        <f t="shared" si="3"/>
        <v>683.3</v>
      </c>
      <c r="AK36" s="57"/>
    </row>
    <row r="37" spans="1:88" x14ac:dyDescent="0.25">
      <c r="A37" s="58" t="s">
        <v>44</v>
      </c>
      <c r="B37" s="62">
        <v>143</v>
      </c>
      <c r="C37" s="62">
        <v>142.6</v>
      </c>
      <c r="D37" s="62">
        <v>142.1</v>
      </c>
      <c r="E37" s="62">
        <v>141.1</v>
      </c>
      <c r="F37" s="62">
        <v>140</v>
      </c>
      <c r="G37" s="62">
        <v>140.19999999999999</v>
      </c>
      <c r="H37" s="62">
        <v>140.69999999999999</v>
      </c>
      <c r="I37" s="62">
        <v>140.30000000000001</v>
      </c>
      <c r="J37" s="62">
        <v>140.4</v>
      </c>
      <c r="K37" s="62">
        <v>140.80000000000001</v>
      </c>
      <c r="L37" s="50">
        <v>141.4</v>
      </c>
      <c r="M37" s="50">
        <v>142.30000000000001</v>
      </c>
      <c r="N37" s="50">
        <v>142.19999999999999</v>
      </c>
      <c r="O37" s="50">
        <v>137.9</v>
      </c>
      <c r="P37" s="50">
        <v>141.30000000000001</v>
      </c>
      <c r="Q37" s="50">
        <v>141.69999999999999</v>
      </c>
      <c r="R37" s="50">
        <v>141.80000000000001</v>
      </c>
      <c r="S37" s="50">
        <v>142</v>
      </c>
      <c r="T37" s="50">
        <v>142</v>
      </c>
      <c r="U37" s="50">
        <v>142</v>
      </c>
      <c r="V37" s="50">
        <v>142</v>
      </c>
      <c r="W37" s="50">
        <v>142</v>
      </c>
      <c r="X37" s="50">
        <v>142</v>
      </c>
      <c r="Y37" s="50">
        <v>142</v>
      </c>
      <c r="Z37" s="50">
        <v>142</v>
      </c>
      <c r="AA37" s="50">
        <v>142.5</v>
      </c>
      <c r="AB37" s="50">
        <v>142.5</v>
      </c>
      <c r="AC37" s="50">
        <v>142.5</v>
      </c>
      <c r="AD37" s="50">
        <v>142.5</v>
      </c>
      <c r="AE37" s="49">
        <v>142.6</v>
      </c>
      <c r="AF37" s="49">
        <v>142.6</v>
      </c>
      <c r="AG37" s="63">
        <v>144</v>
      </c>
      <c r="AH37" s="55">
        <f t="shared" si="2"/>
        <v>143</v>
      </c>
      <c r="AI37" s="56">
        <f t="shared" si="3"/>
        <v>137.9</v>
      </c>
      <c r="AK37" s="57"/>
    </row>
    <row r="38" spans="1:88" x14ac:dyDescent="0.25">
      <c r="A38" s="66" t="s">
        <v>45</v>
      </c>
      <c r="B38" s="62">
        <v>70</v>
      </c>
      <c r="C38" s="62">
        <v>71</v>
      </c>
      <c r="D38" s="62">
        <v>70</v>
      </c>
      <c r="E38" s="62">
        <v>70.099999999999994</v>
      </c>
      <c r="F38" s="62">
        <v>70.400000000000006</v>
      </c>
      <c r="G38" s="62">
        <v>70.599999999999994</v>
      </c>
      <c r="H38" s="62">
        <v>70.5</v>
      </c>
      <c r="I38" s="62">
        <v>70.599999999999994</v>
      </c>
      <c r="J38" s="62">
        <v>70.900000000000006</v>
      </c>
      <c r="K38" s="62">
        <v>70.599999999999994</v>
      </c>
      <c r="L38" s="52">
        <v>69.8</v>
      </c>
      <c r="M38" s="52">
        <v>70.5</v>
      </c>
      <c r="N38" s="52">
        <v>69.2</v>
      </c>
      <c r="O38" s="52">
        <v>70.7</v>
      </c>
      <c r="P38" s="52">
        <v>35.700000000000003</v>
      </c>
      <c r="Q38" s="52">
        <v>34.6</v>
      </c>
      <c r="R38" s="52">
        <v>34.6</v>
      </c>
      <c r="S38" s="52">
        <v>69.400000000000006</v>
      </c>
      <c r="T38" s="52">
        <v>57.6</v>
      </c>
      <c r="U38" s="52">
        <v>69.2</v>
      </c>
      <c r="V38" s="52">
        <v>69.2</v>
      </c>
      <c r="W38" s="52">
        <v>70.099999999999994</v>
      </c>
      <c r="X38" s="52">
        <v>70.099999999999994</v>
      </c>
      <c r="Y38" s="52">
        <v>70.099999999999994</v>
      </c>
      <c r="Z38" s="52">
        <v>70.099999999999994</v>
      </c>
      <c r="AA38" s="52">
        <v>70</v>
      </c>
      <c r="AB38" s="52">
        <v>70.7</v>
      </c>
      <c r="AC38" s="52">
        <v>71</v>
      </c>
      <c r="AD38" s="52">
        <v>70.599999999999994</v>
      </c>
      <c r="AE38" s="62">
        <v>71.3</v>
      </c>
      <c r="AF38" s="62">
        <v>71.400000000000006</v>
      </c>
      <c r="AG38" s="67">
        <v>70</v>
      </c>
      <c r="AH38" s="55">
        <f t="shared" si="2"/>
        <v>71.400000000000006</v>
      </c>
      <c r="AI38" s="56">
        <f t="shared" si="3"/>
        <v>34.6</v>
      </c>
      <c r="AK38" s="57"/>
    </row>
    <row r="39" spans="1:88" x14ac:dyDescent="0.25">
      <c r="A39" s="66" t="s">
        <v>46</v>
      </c>
      <c r="B39" s="62">
        <v>67</v>
      </c>
      <c r="C39" s="62">
        <v>64.2</v>
      </c>
      <c r="D39" s="62">
        <v>64.8</v>
      </c>
      <c r="E39" s="62">
        <v>65.099999999999994</v>
      </c>
      <c r="F39" s="62">
        <v>64.3</v>
      </c>
      <c r="G39" s="62">
        <v>64.3</v>
      </c>
      <c r="H39" s="62">
        <v>64.599999999999994</v>
      </c>
      <c r="I39" s="62">
        <v>64.900000000000006</v>
      </c>
      <c r="J39" s="62">
        <v>65</v>
      </c>
      <c r="K39" s="62">
        <v>65.2</v>
      </c>
      <c r="L39" s="52">
        <v>64.900000000000006</v>
      </c>
      <c r="M39" s="52">
        <v>65.3</v>
      </c>
      <c r="N39" s="52">
        <v>65.3</v>
      </c>
      <c r="O39" s="52">
        <v>65.599999999999994</v>
      </c>
      <c r="P39" s="52">
        <v>65.400000000000006</v>
      </c>
      <c r="Q39" s="52">
        <v>65.599999999999994</v>
      </c>
      <c r="R39" s="52">
        <v>65.5</v>
      </c>
      <c r="S39" s="52">
        <v>65.5</v>
      </c>
      <c r="T39" s="52">
        <v>56.5</v>
      </c>
      <c r="U39" s="52">
        <v>56.5</v>
      </c>
      <c r="V39" s="52">
        <v>56.5</v>
      </c>
      <c r="W39" s="52">
        <v>66</v>
      </c>
      <c r="X39" s="52">
        <v>66</v>
      </c>
      <c r="Y39" s="52">
        <v>66</v>
      </c>
      <c r="Z39" s="52">
        <v>66</v>
      </c>
      <c r="AA39" s="52">
        <v>66.3</v>
      </c>
      <c r="AB39" s="52">
        <v>66.3</v>
      </c>
      <c r="AC39" s="52">
        <v>66.2</v>
      </c>
      <c r="AD39" s="52">
        <v>66.400000000000006</v>
      </c>
      <c r="AE39" s="62">
        <v>66.2</v>
      </c>
      <c r="AF39" s="62">
        <v>66</v>
      </c>
      <c r="AG39" s="67">
        <v>69</v>
      </c>
      <c r="AH39" s="55">
        <f t="shared" si="2"/>
        <v>67</v>
      </c>
      <c r="AI39" s="56">
        <f t="shared" si="3"/>
        <v>56.5</v>
      </c>
      <c r="AK39" s="57"/>
    </row>
    <row r="40" spans="1:88" x14ac:dyDescent="0.25">
      <c r="A40" s="66" t="s">
        <v>47</v>
      </c>
      <c r="B40" s="62">
        <v>60.5</v>
      </c>
      <c r="C40" s="62">
        <v>60.5</v>
      </c>
      <c r="D40" s="62">
        <v>61.2</v>
      </c>
      <c r="E40" s="62">
        <v>61.7</v>
      </c>
      <c r="F40" s="62">
        <v>61.7</v>
      </c>
      <c r="G40" s="62">
        <v>61.8</v>
      </c>
      <c r="H40" s="62">
        <v>61.7</v>
      </c>
      <c r="I40" s="62">
        <v>61.7</v>
      </c>
      <c r="J40" s="62">
        <v>61.7</v>
      </c>
      <c r="K40" s="62">
        <v>61.2</v>
      </c>
      <c r="L40" s="52">
        <v>61.2</v>
      </c>
      <c r="M40" s="52">
        <v>61.5</v>
      </c>
      <c r="N40" s="52">
        <v>61.2</v>
      </c>
      <c r="O40" s="52">
        <v>61.2</v>
      </c>
      <c r="P40" s="52">
        <v>61.2</v>
      </c>
      <c r="Q40" s="52">
        <v>61.2</v>
      </c>
      <c r="R40" s="52">
        <v>61.5</v>
      </c>
      <c r="S40" s="52">
        <v>61.5</v>
      </c>
      <c r="T40" s="52">
        <v>45.3</v>
      </c>
      <c r="U40" s="52">
        <v>62.5</v>
      </c>
      <c r="V40" s="52">
        <v>62.5</v>
      </c>
      <c r="W40" s="52">
        <v>62.5</v>
      </c>
      <c r="X40" s="52">
        <v>62.5</v>
      </c>
      <c r="Y40" s="52">
        <v>62.5</v>
      </c>
      <c r="Z40" s="52">
        <v>62.5</v>
      </c>
      <c r="AA40" s="52">
        <v>62.3</v>
      </c>
      <c r="AB40" s="52">
        <v>62.5</v>
      </c>
      <c r="AC40" s="52">
        <v>62.5</v>
      </c>
      <c r="AD40" s="52">
        <v>62.5</v>
      </c>
      <c r="AE40" s="62">
        <v>0</v>
      </c>
      <c r="AF40" s="62">
        <v>50</v>
      </c>
      <c r="AG40" s="67">
        <v>60</v>
      </c>
      <c r="AH40" s="55">
        <f t="shared" si="2"/>
        <v>62.5</v>
      </c>
      <c r="AI40" s="56">
        <f t="shared" si="3"/>
        <v>0</v>
      </c>
      <c r="AK40" s="57"/>
    </row>
    <row r="41" spans="1:88" x14ac:dyDescent="0.25">
      <c r="A41" s="66" t="s">
        <v>48</v>
      </c>
      <c r="B41" s="62">
        <v>29.6</v>
      </c>
      <c r="C41" s="62">
        <v>29.6</v>
      </c>
      <c r="D41" s="62">
        <v>29.8</v>
      </c>
      <c r="E41" s="62">
        <v>29.5</v>
      </c>
      <c r="F41" s="62">
        <v>29.7</v>
      </c>
      <c r="G41" s="62">
        <v>29.8</v>
      </c>
      <c r="H41" s="62">
        <v>29.9</v>
      </c>
      <c r="I41" s="62">
        <v>29.9</v>
      </c>
      <c r="J41" s="62">
        <v>29.7</v>
      </c>
      <c r="K41" s="62">
        <v>29.7</v>
      </c>
      <c r="L41" s="50">
        <v>29.8</v>
      </c>
      <c r="M41" s="50">
        <v>29.9</v>
      </c>
      <c r="N41" s="50">
        <v>29.8</v>
      </c>
      <c r="O41" s="50">
        <v>29.7</v>
      </c>
      <c r="P41" s="50">
        <v>29.7</v>
      </c>
      <c r="Q41" s="50">
        <v>29.8</v>
      </c>
      <c r="R41" s="50">
        <v>29.9</v>
      </c>
      <c r="S41" s="50">
        <v>29.9</v>
      </c>
      <c r="T41" s="50">
        <v>29.9</v>
      </c>
      <c r="U41" s="50">
        <v>29.9</v>
      </c>
      <c r="V41" s="50">
        <v>29.9</v>
      </c>
      <c r="W41" s="50">
        <v>29.9</v>
      </c>
      <c r="X41" s="50">
        <v>29.9</v>
      </c>
      <c r="Y41" s="52">
        <v>29.9</v>
      </c>
      <c r="Z41" s="52">
        <v>29.9</v>
      </c>
      <c r="AA41" s="52">
        <v>29.9</v>
      </c>
      <c r="AB41" s="52">
        <v>29.9</v>
      </c>
      <c r="AC41" s="52">
        <v>29.9</v>
      </c>
      <c r="AD41" s="52">
        <v>29.9</v>
      </c>
      <c r="AE41" s="52">
        <v>29.9</v>
      </c>
      <c r="AF41" s="52">
        <v>29.9</v>
      </c>
      <c r="AG41" s="67">
        <v>30</v>
      </c>
      <c r="AH41" s="55">
        <f t="shared" si="2"/>
        <v>29.9</v>
      </c>
      <c r="AI41" s="56">
        <f t="shared" si="3"/>
        <v>29.5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17</v>
      </c>
      <c r="C43" s="73">
        <v>17</v>
      </c>
      <c r="D43" s="73">
        <v>17</v>
      </c>
      <c r="E43" s="73">
        <v>17</v>
      </c>
      <c r="F43" s="73">
        <v>17</v>
      </c>
      <c r="G43" s="73">
        <v>17</v>
      </c>
      <c r="H43" s="73">
        <v>17</v>
      </c>
      <c r="I43" s="73">
        <v>17</v>
      </c>
      <c r="J43" s="73">
        <v>17</v>
      </c>
      <c r="K43" s="73">
        <v>16</v>
      </c>
      <c r="L43" s="50">
        <v>16</v>
      </c>
      <c r="M43" s="50">
        <v>16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50">
        <v>17</v>
      </c>
      <c r="AF43" s="50">
        <v>17</v>
      </c>
      <c r="AG43" s="67">
        <v>24</v>
      </c>
      <c r="AH43" s="55">
        <f t="shared" si="2"/>
        <v>17</v>
      </c>
      <c r="AI43" s="56">
        <f t="shared" si="3"/>
        <v>16</v>
      </c>
      <c r="AK43" s="57"/>
    </row>
    <row r="44" spans="1:88" x14ac:dyDescent="0.25">
      <c r="A44" s="66" t="s">
        <v>51</v>
      </c>
      <c r="B44" s="62">
        <v>2.5</v>
      </c>
      <c r="C44" s="62">
        <v>2.5</v>
      </c>
      <c r="D44" s="62">
        <v>2.5</v>
      </c>
      <c r="E44" s="62">
        <v>2.5</v>
      </c>
      <c r="F44" s="62">
        <v>2.5</v>
      </c>
      <c r="G44" s="62">
        <v>2.5</v>
      </c>
      <c r="H44" s="62">
        <v>2.5</v>
      </c>
      <c r="I44" s="62">
        <v>2.5</v>
      </c>
      <c r="J44" s="62">
        <v>2.5</v>
      </c>
      <c r="K44" s="62">
        <v>2.5</v>
      </c>
      <c r="L44" s="50">
        <v>2.5</v>
      </c>
      <c r="M44" s="50">
        <v>2.5</v>
      </c>
      <c r="N44" s="50">
        <v>2.5</v>
      </c>
      <c r="O44" s="50">
        <v>2.5</v>
      </c>
      <c r="P44" s="50">
        <v>2.5</v>
      </c>
      <c r="Q44" s="50">
        <v>2.5</v>
      </c>
      <c r="R44" s="50">
        <v>2.5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>
        <v>2.5</v>
      </c>
      <c r="Z44" s="50">
        <v>2.5</v>
      </c>
      <c r="AA44" s="50">
        <v>2.5</v>
      </c>
      <c r="AB44" s="50">
        <v>2.5</v>
      </c>
      <c r="AC44" s="50">
        <v>2.5</v>
      </c>
      <c r="AD44" s="50">
        <v>2.5</v>
      </c>
      <c r="AE44" s="50">
        <v>2.5</v>
      </c>
      <c r="AF44" s="50">
        <v>2.5</v>
      </c>
      <c r="AG44" s="67">
        <v>15</v>
      </c>
      <c r="AH44" s="55">
        <f t="shared" si="2"/>
        <v>2.5</v>
      </c>
      <c r="AI44" s="56">
        <f t="shared" si="3"/>
        <v>2.5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13.1</v>
      </c>
      <c r="C45" s="62">
        <v>13.1</v>
      </c>
      <c r="D45" s="62">
        <v>13.1</v>
      </c>
      <c r="E45" s="62">
        <v>13.1</v>
      </c>
      <c r="F45" s="62">
        <v>13.1</v>
      </c>
      <c r="G45" s="62">
        <v>13.1</v>
      </c>
      <c r="H45" s="62">
        <v>13.1</v>
      </c>
      <c r="I45" s="62">
        <v>13.1</v>
      </c>
      <c r="J45" s="62">
        <v>13.1</v>
      </c>
      <c r="K45" s="62">
        <v>11</v>
      </c>
      <c r="L45" s="50">
        <v>11.1</v>
      </c>
      <c r="M45" s="50">
        <v>11.1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13.1</v>
      </c>
      <c r="AI45" s="56">
        <f t="shared" si="3"/>
        <v>11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11</v>
      </c>
      <c r="C46" s="73">
        <v>11</v>
      </c>
      <c r="D46" s="73">
        <v>11</v>
      </c>
      <c r="E46" s="73">
        <v>11</v>
      </c>
      <c r="F46" s="73">
        <v>11</v>
      </c>
      <c r="G46" s="73">
        <v>11</v>
      </c>
      <c r="H46" s="73">
        <v>11</v>
      </c>
      <c r="I46" s="73">
        <v>11</v>
      </c>
      <c r="J46" s="73">
        <v>11</v>
      </c>
      <c r="K46" s="73">
        <v>11</v>
      </c>
      <c r="L46" s="50">
        <v>14</v>
      </c>
      <c r="M46" s="50">
        <v>14</v>
      </c>
      <c r="N46" s="50">
        <v>14</v>
      </c>
      <c r="O46" s="50">
        <v>7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7</v>
      </c>
      <c r="AK46" s="57"/>
    </row>
    <row r="47" spans="1:88" x14ac:dyDescent="0.25">
      <c r="A47" s="66" t="s">
        <v>54</v>
      </c>
      <c r="B47" s="62">
        <v>9.1</v>
      </c>
      <c r="C47" s="62">
        <v>9.1</v>
      </c>
      <c r="D47" s="62">
        <v>9.1</v>
      </c>
      <c r="E47" s="62">
        <v>9.1</v>
      </c>
      <c r="F47" s="62">
        <v>9.1</v>
      </c>
      <c r="G47" s="62">
        <v>9.1</v>
      </c>
      <c r="H47" s="62">
        <v>9.1</v>
      </c>
      <c r="I47" s="62">
        <v>9.1</v>
      </c>
      <c r="J47" s="62">
        <v>9.1</v>
      </c>
      <c r="K47" s="62">
        <v>9.1</v>
      </c>
      <c r="L47" s="62">
        <v>9.1</v>
      </c>
      <c r="M47" s="62">
        <v>9.1</v>
      </c>
      <c r="N47" s="50">
        <v>9.1</v>
      </c>
      <c r="O47" s="50">
        <v>9.1</v>
      </c>
      <c r="P47" s="50">
        <v>9.1</v>
      </c>
      <c r="Q47" s="50">
        <v>9.1</v>
      </c>
      <c r="R47" s="50">
        <v>9.1</v>
      </c>
      <c r="S47" s="50">
        <v>9.1</v>
      </c>
      <c r="T47" s="50">
        <v>9.1</v>
      </c>
      <c r="U47" s="50">
        <v>9.1</v>
      </c>
      <c r="V47" s="50">
        <v>9.1</v>
      </c>
      <c r="W47" s="50">
        <v>9.1</v>
      </c>
      <c r="X47" s="50">
        <v>9.1</v>
      </c>
      <c r="Y47" s="50">
        <v>9.1</v>
      </c>
      <c r="Z47" s="50">
        <v>9.1</v>
      </c>
      <c r="AA47" s="50">
        <v>9.1</v>
      </c>
      <c r="AB47" s="50">
        <v>9.1</v>
      </c>
      <c r="AC47" s="50">
        <v>9.1</v>
      </c>
      <c r="AD47" s="50">
        <v>9.1</v>
      </c>
      <c r="AE47" s="50">
        <v>9.1</v>
      </c>
      <c r="AF47" s="50">
        <v>9.1</v>
      </c>
      <c r="AG47" s="67">
        <v>10.050000000000001</v>
      </c>
      <c r="AH47" s="55">
        <f t="shared" si="2"/>
        <v>9.1</v>
      </c>
      <c r="AI47" s="56">
        <f t="shared" si="3"/>
        <v>9.1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432.34000000000009</v>
      </c>
      <c r="C50" s="72">
        <f t="shared" si="6"/>
        <v>430.1400000000001</v>
      </c>
      <c r="D50" s="72">
        <f t="shared" si="6"/>
        <v>430.14000000000004</v>
      </c>
      <c r="E50" s="72">
        <f t="shared" si="6"/>
        <v>429.74</v>
      </c>
      <c r="F50" s="72">
        <f t="shared" si="6"/>
        <v>428.34000000000003</v>
      </c>
      <c r="G50" s="72">
        <f t="shared" si="6"/>
        <v>428.94000000000005</v>
      </c>
      <c r="H50" s="72">
        <f t="shared" si="6"/>
        <v>429.64</v>
      </c>
      <c r="I50" s="72">
        <f t="shared" si="6"/>
        <v>429.64000000000004</v>
      </c>
      <c r="J50" s="72">
        <f t="shared" si="6"/>
        <v>429.94000000000005</v>
      </c>
      <c r="K50" s="72">
        <f t="shared" si="6"/>
        <v>426.64000000000004</v>
      </c>
      <c r="L50" s="72">
        <f t="shared" si="6"/>
        <v>429.34000000000009</v>
      </c>
      <c r="M50" s="72">
        <f t="shared" si="6"/>
        <v>431.74000000000007</v>
      </c>
      <c r="N50" s="72">
        <f t="shared" si="6"/>
        <v>431.84000000000003</v>
      </c>
      <c r="O50" s="72">
        <f t="shared" si="6"/>
        <v>422.24000000000007</v>
      </c>
      <c r="P50" s="72">
        <f t="shared" si="6"/>
        <v>397.44000000000005</v>
      </c>
      <c r="Q50" s="72">
        <f t="shared" si="6"/>
        <v>397.04</v>
      </c>
      <c r="R50" s="72">
        <f t="shared" si="6"/>
        <v>397.44</v>
      </c>
      <c r="S50" s="72">
        <f t="shared" si="6"/>
        <v>432.44</v>
      </c>
      <c r="T50" s="72">
        <f t="shared" si="6"/>
        <v>395.44000000000005</v>
      </c>
      <c r="U50" s="72">
        <f t="shared" si="6"/>
        <v>424.24</v>
      </c>
      <c r="V50" s="72">
        <f t="shared" si="6"/>
        <v>424.24</v>
      </c>
      <c r="W50" s="72">
        <f t="shared" si="6"/>
        <v>434.64000000000004</v>
      </c>
      <c r="X50" s="72">
        <f t="shared" si="6"/>
        <v>434.64000000000004</v>
      </c>
      <c r="Y50" s="72">
        <f t="shared" si="6"/>
        <v>434.64000000000004</v>
      </c>
      <c r="Z50" s="72">
        <f t="shared" si="6"/>
        <v>434.64000000000004</v>
      </c>
      <c r="AA50" s="72">
        <f t="shared" si="6"/>
        <v>435.14000000000004</v>
      </c>
      <c r="AB50" s="72">
        <f t="shared" si="6"/>
        <v>436.04</v>
      </c>
      <c r="AC50" s="72">
        <f t="shared" si="6"/>
        <v>436.24</v>
      </c>
      <c r="AD50" s="72">
        <f t="shared" si="6"/>
        <v>436.04</v>
      </c>
      <c r="AE50" s="72">
        <f t="shared" si="6"/>
        <v>374.14</v>
      </c>
      <c r="AF50" s="72">
        <f t="shared" si="6"/>
        <v>424.04</v>
      </c>
      <c r="AG50" s="77">
        <f>SUM(AG37:AG49)</f>
        <v>489.91</v>
      </c>
      <c r="AH50" s="55">
        <f t="shared" si="2"/>
        <v>436.24</v>
      </c>
      <c r="AI50" s="56">
        <f t="shared" si="3"/>
        <v>374.14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14.3</v>
      </c>
      <c r="Q51" s="50">
        <v>14.3</v>
      </c>
      <c r="R51" s="50">
        <v>10.5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59.3</v>
      </c>
      <c r="Y51" s="50">
        <v>59.3</v>
      </c>
      <c r="Z51" s="50">
        <v>49</v>
      </c>
      <c r="AA51" s="50">
        <v>40</v>
      </c>
      <c r="AB51" s="50">
        <v>20.5</v>
      </c>
      <c r="AC51" s="50">
        <v>10.8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59.3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4.9000000000000004</v>
      </c>
      <c r="Q52" s="52">
        <v>4.8</v>
      </c>
      <c r="R52" s="50">
        <v>3.9</v>
      </c>
      <c r="S52" s="50">
        <v>0</v>
      </c>
      <c r="T52" s="50">
        <v>0</v>
      </c>
      <c r="U52" s="52">
        <v>0</v>
      </c>
      <c r="V52" s="52">
        <v>0</v>
      </c>
      <c r="W52" s="52">
        <v>0</v>
      </c>
      <c r="X52" s="52">
        <v>18.2</v>
      </c>
      <c r="Y52" s="52">
        <v>25</v>
      </c>
      <c r="Z52" s="52">
        <v>23.4</v>
      </c>
      <c r="AA52" s="52">
        <v>15</v>
      </c>
      <c r="AB52" s="52">
        <v>10.1</v>
      </c>
      <c r="AC52" s="52">
        <v>3.9</v>
      </c>
      <c r="AD52" s="50">
        <v>0</v>
      </c>
      <c r="AE52" s="50">
        <v>0</v>
      </c>
      <c r="AF52" s="50">
        <v>0</v>
      </c>
      <c r="AG52" s="67">
        <v>32</v>
      </c>
      <c r="AH52" s="55">
        <f t="shared" si="2"/>
        <v>25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1.8</v>
      </c>
      <c r="Q53" s="78">
        <v>1.8</v>
      </c>
      <c r="R53" s="50">
        <v>1.4</v>
      </c>
      <c r="S53" s="50">
        <v>0</v>
      </c>
      <c r="T53" s="50">
        <v>0</v>
      </c>
      <c r="U53" s="78">
        <v>0</v>
      </c>
      <c r="V53" s="78">
        <v>0</v>
      </c>
      <c r="W53" s="78">
        <v>0</v>
      </c>
      <c r="X53" s="78">
        <v>6.6</v>
      </c>
      <c r="Y53" s="78">
        <v>10</v>
      </c>
      <c r="Z53" s="78">
        <v>8.5</v>
      </c>
      <c r="AA53" s="78">
        <v>5.5</v>
      </c>
      <c r="AB53" s="78">
        <v>3.6</v>
      </c>
      <c r="AC53" s="78">
        <v>1.4</v>
      </c>
      <c r="AD53" s="50">
        <v>0</v>
      </c>
      <c r="AE53" s="50">
        <v>0</v>
      </c>
      <c r="AF53" s="50">
        <v>0</v>
      </c>
      <c r="AG53" s="79">
        <v>14</v>
      </c>
      <c r="AH53" s="55">
        <f t="shared" si="2"/>
        <v>10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21.000000000000004</v>
      </c>
      <c r="Q54" s="72">
        <f t="shared" si="7"/>
        <v>20.900000000000002</v>
      </c>
      <c r="R54" s="72">
        <f t="shared" si="7"/>
        <v>15.8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84.1</v>
      </c>
      <c r="Y54" s="72">
        <f t="shared" si="7"/>
        <v>94.3</v>
      </c>
      <c r="Z54" s="72">
        <f t="shared" si="7"/>
        <v>80.900000000000006</v>
      </c>
      <c r="AA54" s="72">
        <f t="shared" si="7"/>
        <v>60.5</v>
      </c>
      <c r="AB54" s="72">
        <f t="shared" si="7"/>
        <v>34.200000000000003</v>
      </c>
      <c r="AC54" s="72">
        <f t="shared" si="7"/>
        <v>16.100000000000001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94.3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19.899999999999999</v>
      </c>
      <c r="Z55" s="50">
        <v>26.7</v>
      </c>
      <c r="AA55" s="50">
        <v>21.6</v>
      </c>
      <c r="AB55" s="50">
        <v>22</v>
      </c>
      <c r="AC55" s="50">
        <v>4.9000000000000004</v>
      </c>
      <c r="AD55" s="50">
        <v>-3.4</v>
      </c>
      <c r="AE55" s="50">
        <v>-5.7</v>
      </c>
      <c r="AF55" s="50">
        <v>-7.1</v>
      </c>
      <c r="AG55" s="63"/>
      <c r="AH55" s="55">
        <f t="shared" si="2"/>
        <v>26.7</v>
      </c>
      <c r="AI55" s="56">
        <f t="shared" si="3"/>
        <v>-7.1</v>
      </c>
      <c r="AK55" s="57"/>
    </row>
    <row r="56" spans="1:37" x14ac:dyDescent="0.25">
      <c r="A56" s="66" t="s">
        <v>63</v>
      </c>
      <c r="B56" s="52">
        <v>-84</v>
      </c>
      <c r="C56" s="52">
        <v>-84</v>
      </c>
      <c r="D56" s="52">
        <v>-84.6</v>
      </c>
      <c r="E56" s="52">
        <v>-81.2</v>
      </c>
      <c r="F56" s="52">
        <v>-79.400000000000006</v>
      </c>
      <c r="G56" s="52">
        <v>-75.2</v>
      </c>
      <c r="H56" s="52">
        <v>-56.9</v>
      </c>
      <c r="I56" s="52">
        <v>-46.7</v>
      </c>
      <c r="J56" s="52">
        <v>-45.4</v>
      </c>
      <c r="K56" s="52">
        <v>-44.3</v>
      </c>
      <c r="L56" s="50">
        <v>-38.700000000000003</v>
      </c>
      <c r="M56" s="50">
        <v>-47.9</v>
      </c>
      <c r="N56" s="50">
        <v>-8.1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73.099999999999994</v>
      </c>
      <c r="Y56" s="80">
        <v>-57.3</v>
      </c>
      <c r="Z56" s="80">
        <v>-49.2</v>
      </c>
      <c r="AA56" s="52">
        <v>-80.3</v>
      </c>
      <c r="AB56" s="52">
        <v>40.6</v>
      </c>
      <c r="AC56" s="52">
        <v>-14.1</v>
      </c>
      <c r="AD56" s="52">
        <v>0</v>
      </c>
      <c r="AE56" s="52">
        <v>0</v>
      </c>
      <c r="AF56" s="52">
        <v>0</v>
      </c>
      <c r="AG56" s="67"/>
      <c r="AH56" s="55">
        <f t="shared" si="2"/>
        <v>73.099999999999994</v>
      </c>
      <c r="AI56" s="56">
        <f t="shared" si="3"/>
        <v>-84.6</v>
      </c>
      <c r="AK56" s="57"/>
    </row>
    <row r="57" spans="1:37" x14ac:dyDescent="0.25">
      <c r="A57" s="66" t="s">
        <v>64</v>
      </c>
      <c r="B57" s="52">
        <v>-26</v>
      </c>
      <c r="C57" s="52">
        <v>-15</v>
      </c>
      <c r="D57" s="52">
        <v>-25.9</v>
      </c>
      <c r="E57" s="52">
        <v>-60</v>
      </c>
      <c r="F57" s="52">
        <v>-35.9</v>
      </c>
      <c r="G57" s="50">
        <v>-46.9</v>
      </c>
      <c r="H57" s="50">
        <v>-80</v>
      </c>
      <c r="I57" s="50">
        <v>-50</v>
      </c>
      <c r="J57" s="50">
        <v>-31.7</v>
      </c>
      <c r="K57" s="50">
        <v>-4</v>
      </c>
      <c r="L57" s="52">
        <v>-44.9</v>
      </c>
      <c r="M57" s="52">
        <v>-37.799999999999997</v>
      </c>
      <c r="N57" s="52">
        <v>-23.8</v>
      </c>
      <c r="O57" s="52">
        <v>-19.7</v>
      </c>
      <c r="P57" s="52">
        <v>-13.2</v>
      </c>
      <c r="Q57" s="52">
        <v>-35</v>
      </c>
      <c r="R57" s="52">
        <v>-23.3</v>
      </c>
      <c r="S57" s="52">
        <v>-36.5</v>
      </c>
      <c r="T57" s="52">
        <v>-31.4</v>
      </c>
      <c r="U57" s="52">
        <v>-82</v>
      </c>
      <c r="V57" s="52">
        <v>-17.100000000000001</v>
      </c>
      <c r="W57" s="81">
        <v>-22.7</v>
      </c>
      <c r="X57" s="81">
        <v>-7.1</v>
      </c>
      <c r="Y57" s="81">
        <v>8.5</v>
      </c>
      <c r="Z57" s="81">
        <v>-37.299999999999997</v>
      </c>
      <c r="AA57" s="52">
        <v>-21.7</v>
      </c>
      <c r="AB57" s="52">
        <v>-53.2</v>
      </c>
      <c r="AC57" s="52">
        <v>62</v>
      </c>
      <c r="AD57" s="52">
        <v>-84</v>
      </c>
      <c r="AE57" s="52">
        <v>-58</v>
      </c>
      <c r="AF57" s="52">
        <v>-88</v>
      </c>
      <c r="AG57" s="82"/>
      <c r="AH57" s="55">
        <f t="shared" si="2"/>
        <v>62</v>
      </c>
      <c r="AI57" s="56">
        <f t="shared" si="3"/>
        <v>-88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-60</v>
      </c>
      <c r="C59" s="59">
        <v>-60</v>
      </c>
      <c r="D59" s="59">
        <v>-58.3</v>
      </c>
      <c r="E59" s="59">
        <v>-56.5</v>
      </c>
      <c r="F59" s="59">
        <v>-55.9</v>
      </c>
      <c r="G59" s="59">
        <v>-54.5</v>
      </c>
      <c r="H59" s="59">
        <v>-47</v>
      </c>
      <c r="I59" s="59">
        <v>-27</v>
      </c>
      <c r="J59" s="59">
        <v>-33.9</v>
      </c>
      <c r="K59" s="59">
        <v>-31.3</v>
      </c>
      <c r="L59" s="50">
        <v>-31.8</v>
      </c>
      <c r="M59" s="50">
        <v>-40.9</v>
      </c>
      <c r="N59" s="50">
        <v>-31.8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-40.9</v>
      </c>
      <c r="Z59" s="50">
        <v>-52.6</v>
      </c>
      <c r="AA59" s="50">
        <v>-56.9</v>
      </c>
      <c r="AB59" s="50">
        <v>-60.2</v>
      </c>
      <c r="AC59" s="50">
        <v>-38.9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-60.2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50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50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10</v>
      </c>
      <c r="C62" s="59">
        <v>10</v>
      </c>
      <c r="D62" s="59">
        <v>8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0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61">
        <v>0</v>
      </c>
      <c r="AB62" s="61">
        <v>0</v>
      </c>
      <c r="AC62" s="61">
        <v>9</v>
      </c>
      <c r="AD62" s="61">
        <v>9</v>
      </c>
      <c r="AE62" s="61">
        <v>9</v>
      </c>
      <c r="AF62" s="61">
        <v>9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0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50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50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-160</v>
      </c>
      <c r="C66" s="72">
        <f t="shared" ref="C66:AF66" si="8">SUM(C55:C65)</f>
        <v>-149</v>
      </c>
      <c r="D66" s="72">
        <f t="shared" si="8"/>
        <v>-160.80000000000001</v>
      </c>
      <c r="E66" s="72">
        <f t="shared" si="8"/>
        <v>-197.7</v>
      </c>
      <c r="F66" s="72">
        <f t="shared" si="8"/>
        <v>-171.20000000000002</v>
      </c>
      <c r="G66" s="72">
        <f t="shared" si="8"/>
        <v>-176.6</v>
      </c>
      <c r="H66" s="72">
        <f t="shared" si="8"/>
        <v>-183.9</v>
      </c>
      <c r="I66" s="72">
        <f t="shared" si="8"/>
        <v>-123.7</v>
      </c>
      <c r="J66" s="72">
        <f t="shared" si="8"/>
        <v>-111</v>
      </c>
      <c r="K66" s="72">
        <f t="shared" si="8"/>
        <v>-79.599999999999994</v>
      </c>
      <c r="L66" s="72">
        <f t="shared" si="8"/>
        <v>-115.39999999999999</v>
      </c>
      <c r="M66" s="72">
        <f t="shared" si="8"/>
        <v>-126.6</v>
      </c>
      <c r="N66" s="72">
        <f t="shared" si="8"/>
        <v>-63.7</v>
      </c>
      <c r="O66" s="72">
        <f t="shared" si="8"/>
        <v>-19.7</v>
      </c>
      <c r="P66" s="72">
        <f t="shared" si="8"/>
        <v>-13.2</v>
      </c>
      <c r="Q66" s="72">
        <f t="shared" si="8"/>
        <v>-35</v>
      </c>
      <c r="R66" s="72">
        <f t="shared" si="8"/>
        <v>-23.3</v>
      </c>
      <c r="S66" s="72">
        <f t="shared" si="8"/>
        <v>-36.5</v>
      </c>
      <c r="T66" s="72">
        <f t="shared" si="8"/>
        <v>-31.4</v>
      </c>
      <c r="U66" s="72">
        <f t="shared" si="8"/>
        <v>-82</v>
      </c>
      <c r="V66" s="72">
        <f t="shared" si="8"/>
        <v>-17.100000000000001</v>
      </c>
      <c r="W66" s="72">
        <f t="shared" si="8"/>
        <v>-22.7</v>
      </c>
      <c r="X66" s="72">
        <f t="shared" si="8"/>
        <v>66</v>
      </c>
      <c r="Y66" s="72">
        <f t="shared" si="8"/>
        <v>-69.8</v>
      </c>
      <c r="Z66" s="72">
        <f t="shared" si="8"/>
        <v>-112.4</v>
      </c>
      <c r="AA66" s="72">
        <f t="shared" si="8"/>
        <v>-137.29999999999998</v>
      </c>
      <c r="AB66" s="72">
        <f t="shared" si="8"/>
        <v>-50.800000000000004</v>
      </c>
      <c r="AC66" s="72">
        <f t="shared" si="8"/>
        <v>22.9</v>
      </c>
      <c r="AD66" s="72">
        <f t="shared" si="8"/>
        <v>-78.400000000000006</v>
      </c>
      <c r="AE66" s="72">
        <f t="shared" si="8"/>
        <v>-54.7</v>
      </c>
      <c r="AF66" s="72">
        <f t="shared" si="8"/>
        <v>-86.1</v>
      </c>
      <c r="AG66" s="77">
        <f>SUM(AG55:AG65)</f>
        <v>0</v>
      </c>
      <c r="AH66" s="55">
        <f t="shared" si="2"/>
        <v>66</v>
      </c>
      <c r="AI66" s="56">
        <f t="shared" si="3"/>
        <v>-197.7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1226.3400000000001</v>
      </c>
      <c r="C71" s="87">
        <f t="shared" ref="C71:AG71" si="10">C66+C54+C50+C36+C70</f>
        <v>1177.1400000000001</v>
      </c>
      <c r="D71" s="87">
        <f t="shared" si="10"/>
        <v>1165.74</v>
      </c>
      <c r="E71" s="87">
        <f t="shared" si="10"/>
        <v>1128.24</v>
      </c>
      <c r="F71" s="87">
        <f t="shared" si="10"/>
        <v>1131.3399999999999</v>
      </c>
      <c r="G71" s="87">
        <f t="shared" si="10"/>
        <v>1126.54</v>
      </c>
      <c r="H71" s="87">
        <f t="shared" si="10"/>
        <v>1119.9399999999998</v>
      </c>
      <c r="I71" s="87">
        <f t="shared" si="10"/>
        <v>1180.1399999999999</v>
      </c>
      <c r="J71" s="87">
        <f t="shared" si="10"/>
        <v>1163.1399999999999</v>
      </c>
      <c r="K71" s="87">
        <f t="shared" si="10"/>
        <v>1236.2400000000002</v>
      </c>
      <c r="L71" s="87">
        <f t="shared" si="10"/>
        <v>1203.2400000000002</v>
      </c>
      <c r="M71" s="87">
        <f t="shared" si="10"/>
        <v>1194.44</v>
      </c>
      <c r="N71" s="87">
        <f t="shared" si="10"/>
        <v>1267.6400000000001</v>
      </c>
      <c r="O71" s="87">
        <f t="shared" si="10"/>
        <v>1291.8400000000001</v>
      </c>
      <c r="P71" s="87">
        <f t="shared" si="10"/>
        <v>1294.6400000000001</v>
      </c>
      <c r="Q71" s="87">
        <f t="shared" si="10"/>
        <v>1308.3399999999999</v>
      </c>
      <c r="R71" s="87">
        <f t="shared" si="10"/>
        <v>1312.14</v>
      </c>
      <c r="S71" s="87">
        <f t="shared" si="10"/>
        <v>1277.1399999999999</v>
      </c>
      <c r="T71" s="87">
        <f t="shared" si="10"/>
        <v>1213.44</v>
      </c>
      <c r="U71" s="87">
        <f t="shared" si="10"/>
        <v>1197.44</v>
      </c>
      <c r="V71" s="87">
        <f t="shared" si="10"/>
        <v>1090.44</v>
      </c>
      <c r="W71" s="87">
        <f t="shared" si="10"/>
        <v>1271.1399999999999</v>
      </c>
      <c r="X71" s="87">
        <f t="shared" si="10"/>
        <v>1553.94</v>
      </c>
      <c r="Y71" s="87">
        <f t="shared" si="10"/>
        <v>1432.3400000000001</v>
      </c>
      <c r="Z71" s="87">
        <f t="shared" si="10"/>
        <v>1376.3400000000001</v>
      </c>
      <c r="AA71" s="87">
        <f t="shared" si="10"/>
        <v>1329.54</v>
      </c>
      <c r="AB71" s="87">
        <f t="shared" si="10"/>
        <v>1360.64</v>
      </c>
      <c r="AC71" s="87">
        <f t="shared" si="10"/>
        <v>1356.44</v>
      </c>
      <c r="AD71" s="87">
        <f t="shared" si="10"/>
        <v>1143.8399999999999</v>
      </c>
      <c r="AE71" s="87">
        <f t="shared" si="10"/>
        <v>1107.04</v>
      </c>
      <c r="AF71" s="87">
        <f t="shared" si="10"/>
        <v>1065.54</v>
      </c>
      <c r="AG71" s="87">
        <f t="shared" si="10"/>
        <v>2068.14</v>
      </c>
      <c r="AH71" s="55">
        <f t="shared" si="2"/>
        <v>1553.94</v>
      </c>
      <c r="AI71" s="56">
        <f t="shared" si="3"/>
        <v>1065.54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1226.3400000000001</v>
      </c>
      <c r="C73" s="87">
        <f t="shared" ref="C73:AF73" si="11">C70+C66+C54+C50+C36+C72</f>
        <v>1177.1400000000001</v>
      </c>
      <c r="D73" s="87">
        <f t="shared" si="11"/>
        <v>1165.74</v>
      </c>
      <c r="E73" s="87">
        <f t="shared" si="11"/>
        <v>1128.24</v>
      </c>
      <c r="F73" s="87">
        <f t="shared" si="11"/>
        <v>1131.3399999999999</v>
      </c>
      <c r="G73" s="87">
        <f t="shared" si="11"/>
        <v>1126.54</v>
      </c>
      <c r="H73" s="87">
        <f t="shared" si="11"/>
        <v>1119.9399999999998</v>
      </c>
      <c r="I73" s="87">
        <f t="shared" si="11"/>
        <v>1180.1399999999999</v>
      </c>
      <c r="J73" s="87">
        <f t="shared" si="11"/>
        <v>1163.1399999999999</v>
      </c>
      <c r="K73" s="87">
        <f t="shared" si="11"/>
        <v>1236.2400000000002</v>
      </c>
      <c r="L73" s="87">
        <f t="shared" si="11"/>
        <v>1203.2400000000002</v>
      </c>
      <c r="M73" s="87">
        <f t="shared" si="11"/>
        <v>1194.44</v>
      </c>
      <c r="N73" s="87">
        <f t="shared" si="11"/>
        <v>1267.6400000000001</v>
      </c>
      <c r="O73" s="87">
        <f t="shared" si="11"/>
        <v>1291.8400000000001</v>
      </c>
      <c r="P73" s="87">
        <f t="shared" si="11"/>
        <v>1294.6400000000001</v>
      </c>
      <c r="Q73" s="87">
        <f t="shared" si="11"/>
        <v>1308.3399999999999</v>
      </c>
      <c r="R73" s="87">
        <f t="shared" si="11"/>
        <v>1312.14</v>
      </c>
      <c r="S73" s="87">
        <f t="shared" si="11"/>
        <v>1277.1399999999999</v>
      </c>
      <c r="T73" s="87">
        <f t="shared" si="11"/>
        <v>1213.44</v>
      </c>
      <c r="U73" s="87">
        <f t="shared" si="11"/>
        <v>1197.44</v>
      </c>
      <c r="V73" s="87">
        <f t="shared" si="11"/>
        <v>1090.44</v>
      </c>
      <c r="W73" s="87">
        <f t="shared" si="11"/>
        <v>1271.1399999999999</v>
      </c>
      <c r="X73" s="87">
        <f t="shared" si="11"/>
        <v>1553.94</v>
      </c>
      <c r="Y73" s="87">
        <f t="shared" si="11"/>
        <v>1432.3400000000001</v>
      </c>
      <c r="Z73" s="87">
        <f t="shared" si="11"/>
        <v>1376.3400000000001</v>
      </c>
      <c r="AA73" s="87">
        <f t="shared" si="11"/>
        <v>1329.54</v>
      </c>
      <c r="AB73" s="87">
        <f t="shared" si="11"/>
        <v>1360.64</v>
      </c>
      <c r="AC73" s="87">
        <f t="shared" si="11"/>
        <v>1356.44</v>
      </c>
      <c r="AD73" s="87">
        <f t="shared" si="11"/>
        <v>1143.8399999999999</v>
      </c>
      <c r="AE73" s="87">
        <f t="shared" si="11"/>
        <v>1107.04</v>
      </c>
      <c r="AF73" s="87">
        <f t="shared" si="11"/>
        <v>1065.54</v>
      </c>
      <c r="AG73" s="77">
        <f>AG70+AG66+AG54+AG50+AG36+AG72</f>
        <v>2068.14</v>
      </c>
      <c r="AH73" s="55">
        <f t="shared" si="2"/>
        <v>1553.94</v>
      </c>
      <c r="AI73" s="56">
        <f t="shared" si="3"/>
        <v>1065.54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84</v>
      </c>
      <c r="C75" s="59">
        <f t="shared" ref="C75:AF75" si="13">IF(C56&lt;0,C56*-1,0)</f>
        <v>84</v>
      </c>
      <c r="D75" s="59">
        <f t="shared" si="13"/>
        <v>84.6</v>
      </c>
      <c r="E75" s="59">
        <f t="shared" si="13"/>
        <v>81.2</v>
      </c>
      <c r="F75" s="59">
        <f t="shared" si="13"/>
        <v>79.400000000000006</v>
      </c>
      <c r="G75" s="59">
        <f t="shared" si="13"/>
        <v>75.2</v>
      </c>
      <c r="H75" s="59">
        <f t="shared" si="13"/>
        <v>56.9</v>
      </c>
      <c r="I75" s="59">
        <f t="shared" si="13"/>
        <v>46.7</v>
      </c>
      <c r="J75" s="59">
        <f t="shared" si="13"/>
        <v>45.4</v>
      </c>
      <c r="K75" s="59">
        <f t="shared" si="13"/>
        <v>44.3</v>
      </c>
      <c r="L75" s="59">
        <f t="shared" si="13"/>
        <v>38.700000000000003</v>
      </c>
      <c r="M75" s="59">
        <f t="shared" si="13"/>
        <v>47.9</v>
      </c>
      <c r="N75" s="59">
        <f t="shared" si="13"/>
        <v>8.1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57.3</v>
      </c>
      <c r="Z75" s="59">
        <f t="shared" si="13"/>
        <v>49.2</v>
      </c>
      <c r="AA75" s="59">
        <f t="shared" si="13"/>
        <v>80.3</v>
      </c>
      <c r="AB75" s="59">
        <f t="shared" si="13"/>
        <v>0</v>
      </c>
      <c r="AC75" s="59">
        <f t="shared" si="13"/>
        <v>14.1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84.6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60</v>
      </c>
      <c r="C76" s="59">
        <f t="shared" ref="C76:AF76" si="14">IF(C59&lt;0,C59*-1,0)</f>
        <v>60</v>
      </c>
      <c r="D76" s="59">
        <f t="shared" si="14"/>
        <v>58.3</v>
      </c>
      <c r="E76" s="59">
        <f t="shared" si="14"/>
        <v>56.5</v>
      </c>
      <c r="F76" s="59">
        <f t="shared" si="14"/>
        <v>55.9</v>
      </c>
      <c r="G76" s="59">
        <f t="shared" si="14"/>
        <v>54.5</v>
      </c>
      <c r="H76" s="59">
        <f t="shared" si="14"/>
        <v>47</v>
      </c>
      <c r="I76" s="59">
        <f t="shared" si="14"/>
        <v>27</v>
      </c>
      <c r="J76" s="59">
        <f t="shared" si="14"/>
        <v>33.9</v>
      </c>
      <c r="K76" s="59">
        <f t="shared" si="14"/>
        <v>31.3</v>
      </c>
      <c r="L76" s="59">
        <f t="shared" si="14"/>
        <v>31.8</v>
      </c>
      <c r="M76" s="59">
        <f t="shared" si="14"/>
        <v>40.9</v>
      </c>
      <c r="N76" s="59">
        <f t="shared" si="14"/>
        <v>31.8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40.9</v>
      </c>
      <c r="Z76" s="59">
        <f t="shared" si="14"/>
        <v>52.6</v>
      </c>
      <c r="AA76" s="59">
        <f t="shared" si="14"/>
        <v>56.9</v>
      </c>
      <c r="AB76" s="59">
        <f t="shared" si="14"/>
        <v>60.2</v>
      </c>
      <c r="AC76" s="59">
        <f t="shared" si="14"/>
        <v>38.9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60.2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26</v>
      </c>
      <c r="C77" s="59">
        <f t="shared" ref="C77:AF77" si="15">IF(C57&lt;0,C57*-1,0)</f>
        <v>15</v>
      </c>
      <c r="D77" s="59">
        <f t="shared" si="15"/>
        <v>25.9</v>
      </c>
      <c r="E77" s="59">
        <f t="shared" si="15"/>
        <v>60</v>
      </c>
      <c r="F77" s="59">
        <f t="shared" si="15"/>
        <v>35.9</v>
      </c>
      <c r="G77" s="59">
        <f t="shared" si="15"/>
        <v>46.9</v>
      </c>
      <c r="H77" s="59">
        <f t="shared" si="15"/>
        <v>80</v>
      </c>
      <c r="I77" s="59">
        <f t="shared" si="15"/>
        <v>50</v>
      </c>
      <c r="J77" s="59">
        <f t="shared" si="15"/>
        <v>31.7</v>
      </c>
      <c r="K77" s="59">
        <f t="shared" si="15"/>
        <v>4</v>
      </c>
      <c r="L77" s="59">
        <f t="shared" si="15"/>
        <v>44.9</v>
      </c>
      <c r="M77" s="59">
        <f t="shared" si="15"/>
        <v>37.799999999999997</v>
      </c>
      <c r="N77" s="59">
        <f t="shared" si="15"/>
        <v>23.8</v>
      </c>
      <c r="O77" s="59">
        <f t="shared" si="15"/>
        <v>19.7</v>
      </c>
      <c r="P77" s="59">
        <f t="shared" si="15"/>
        <v>13.2</v>
      </c>
      <c r="Q77" s="59">
        <f t="shared" si="15"/>
        <v>35</v>
      </c>
      <c r="R77" s="59">
        <f t="shared" si="15"/>
        <v>23.3</v>
      </c>
      <c r="S77" s="59">
        <f t="shared" si="15"/>
        <v>36.5</v>
      </c>
      <c r="T77" s="59">
        <f t="shared" si="15"/>
        <v>31.4</v>
      </c>
      <c r="U77" s="59">
        <f t="shared" si="15"/>
        <v>82</v>
      </c>
      <c r="V77" s="59">
        <f t="shared" si="15"/>
        <v>17.100000000000001</v>
      </c>
      <c r="W77" s="59">
        <f t="shared" si="15"/>
        <v>22.7</v>
      </c>
      <c r="X77" s="59">
        <f t="shared" si="15"/>
        <v>7.1</v>
      </c>
      <c r="Y77" s="59">
        <f t="shared" si="15"/>
        <v>0</v>
      </c>
      <c r="Z77" s="59">
        <f t="shared" si="15"/>
        <v>37.299999999999997</v>
      </c>
      <c r="AA77" s="59">
        <f t="shared" si="15"/>
        <v>21.7</v>
      </c>
      <c r="AB77" s="59">
        <f t="shared" si="15"/>
        <v>53.2</v>
      </c>
      <c r="AC77" s="59">
        <f t="shared" si="15"/>
        <v>0</v>
      </c>
      <c r="AD77" s="59">
        <f t="shared" si="15"/>
        <v>84</v>
      </c>
      <c r="AE77" s="59">
        <f t="shared" si="15"/>
        <v>58</v>
      </c>
      <c r="AF77" s="59">
        <f t="shared" si="15"/>
        <v>88</v>
      </c>
      <c r="AG77" s="90"/>
      <c r="AH77" s="55">
        <f t="shared" ref="AH77:AH89" si="16">MAX(B77:AF77)</f>
        <v>88</v>
      </c>
      <c r="AI77" s="56">
        <f t="shared" ref="AI77:AI97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3.4</v>
      </c>
      <c r="AE78" s="59">
        <f t="shared" si="18"/>
        <v>5.7</v>
      </c>
      <c r="AF78" s="59">
        <f t="shared" si="18"/>
        <v>7.1</v>
      </c>
      <c r="AG78" s="90"/>
      <c r="AH78" s="55">
        <f t="shared" si="16"/>
        <v>7.1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170</v>
      </c>
      <c r="C80" s="72">
        <f t="shared" si="19"/>
        <v>159</v>
      </c>
      <c r="D80" s="72">
        <f t="shared" si="19"/>
        <v>168.79999999999998</v>
      </c>
      <c r="E80" s="72">
        <f t="shared" si="19"/>
        <v>197.7</v>
      </c>
      <c r="F80" s="72">
        <f t="shared" si="19"/>
        <v>171.20000000000002</v>
      </c>
      <c r="G80" s="72">
        <f t="shared" si="19"/>
        <v>176.6</v>
      </c>
      <c r="H80" s="72">
        <f t="shared" si="19"/>
        <v>183.9</v>
      </c>
      <c r="I80" s="72">
        <f t="shared" si="19"/>
        <v>123.7</v>
      </c>
      <c r="J80" s="72">
        <f t="shared" si="19"/>
        <v>111</v>
      </c>
      <c r="K80" s="72">
        <f t="shared" si="19"/>
        <v>79.599999999999994</v>
      </c>
      <c r="L80" s="72">
        <f t="shared" si="19"/>
        <v>115.4</v>
      </c>
      <c r="M80" s="72">
        <f t="shared" si="19"/>
        <v>126.6</v>
      </c>
      <c r="N80" s="72">
        <f t="shared" si="19"/>
        <v>63.7</v>
      </c>
      <c r="O80" s="72">
        <f t="shared" si="19"/>
        <v>19.7</v>
      </c>
      <c r="P80" s="72">
        <f t="shared" si="19"/>
        <v>13.2</v>
      </c>
      <c r="Q80" s="72">
        <f t="shared" si="19"/>
        <v>35</v>
      </c>
      <c r="R80" s="72">
        <f t="shared" si="19"/>
        <v>23.3</v>
      </c>
      <c r="S80" s="72">
        <f t="shared" si="19"/>
        <v>36.5</v>
      </c>
      <c r="T80" s="72">
        <f t="shared" si="19"/>
        <v>31.4</v>
      </c>
      <c r="U80" s="72">
        <f t="shared" si="19"/>
        <v>82</v>
      </c>
      <c r="V80" s="72">
        <f t="shared" si="19"/>
        <v>17.100000000000001</v>
      </c>
      <c r="W80" s="72">
        <f t="shared" si="19"/>
        <v>22.7</v>
      </c>
      <c r="X80" s="72">
        <f t="shared" si="19"/>
        <v>7.1</v>
      </c>
      <c r="Y80" s="72">
        <f t="shared" si="19"/>
        <v>98.199999999999989</v>
      </c>
      <c r="Z80" s="72">
        <f t="shared" si="19"/>
        <v>139.10000000000002</v>
      </c>
      <c r="AA80" s="72">
        <f t="shared" si="19"/>
        <v>158.89999999999998</v>
      </c>
      <c r="AB80" s="72">
        <f t="shared" si="19"/>
        <v>113.4</v>
      </c>
      <c r="AC80" s="72">
        <f t="shared" si="19"/>
        <v>53</v>
      </c>
      <c r="AD80" s="72">
        <f t="shared" si="19"/>
        <v>87.4</v>
      </c>
      <c r="AE80" s="72">
        <f t="shared" si="19"/>
        <v>63.7</v>
      </c>
      <c r="AF80" s="72">
        <f t="shared" si="19"/>
        <v>95.1</v>
      </c>
      <c r="AG80" s="77">
        <f t="shared" si="19"/>
        <v>0</v>
      </c>
      <c r="AH80" s="55">
        <f t="shared" si="16"/>
        <v>197.7</v>
      </c>
      <c r="AI80" s="56">
        <f t="shared" si="17"/>
        <v>7.1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2792.6800000000003</v>
      </c>
      <c r="C81" s="72">
        <f t="shared" si="20"/>
        <v>2672.28</v>
      </c>
      <c r="D81" s="72">
        <f t="shared" si="20"/>
        <v>2669.0800000000004</v>
      </c>
      <c r="E81" s="72">
        <f t="shared" si="20"/>
        <v>2651.8799999999997</v>
      </c>
      <c r="F81" s="72">
        <f t="shared" si="20"/>
        <v>2605.08</v>
      </c>
      <c r="G81" s="72">
        <f t="shared" si="20"/>
        <v>2606.2799999999997</v>
      </c>
      <c r="H81" s="72">
        <f t="shared" si="20"/>
        <v>2607.6799999999998</v>
      </c>
      <c r="I81" s="72">
        <f t="shared" si="20"/>
        <v>2607.6799999999994</v>
      </c>
      <c r="J81" s="72">
        <f t="shared" si="20"/>
        <v>2548.2799999999997</v>
      </c>
      <c r="K81" s="72">
        <f t="shared" si="20"/>
        <v>2631.6800000000007</v>
      </c>
      <c r="L81" s="72">
        <f t="shared" si="20"/>
        <v>2637.2800000000007</v>
      </c>
      <c r="M81" s="72">
        <f t="shared" si="20"/>
        <v>2642.0800000000004</v>
      </c>
      <c r="N81" s="72">
        <f t="shared" si="20"/>
        <v>2662.6800000000003</v>
      </c>
      <c r="O81" s="72">
        <f t="shared" si="20"/>
        <v>2623.08</v>
      </c>
      <c r="P81" s="72">
        <f t="shared" si="20"/>
        <v>2615.6799999999998</v>
      </c>
      <c r="Q81" s="72">
        <f t="shared" si="20"/>
        <v>2686.68</v>
      </c>
      <c r="R81" s="72">
        <f t="shared" si="20"/>
        <v>2670.8800000000006</v>
      </c>
      <c r="S81" s="72">
        <f t="shared" si="20"/>
        <v>2627.2799999999997</v>
      </c>
      <c r="T81" s="72">
        <f t="shared" si="20"/>
        <v>2489.6800000000003</v>
      </c>
      <c r="U81" s="72">
        <f t="shared" si="20"/>
        <v>2558.88</v>
      </c>
      <c r="V81" s="72">
        <f t="shared" si="20"/>
        <v>2215.08</v>
      </c>
      <c r="W81" s="72">
        <f t="shared" si="20"/>
        <v>2587.6799999999994</v>
      </c>
      <c r="X81" s="72">
        <f t="shared" si="20"/>
        <v>3122.08</v>
      </c>
      <c r="Y81" s="72">
        <f t="shared" si="20"/>
        <v>3061.0800000000004</v>
      </c>
      <c r="Z81" s="72">
        <f t="shared" si="20"/>
        <v>3030.88</v>
      </c>
      <c r="AA81" s="72">
        <f t="shared" si="20"/>
        <v>2976.88</v>
      </c>
      <c r="AB81" s="72">
        <f t="shared" si="20"/>
        <v>2948.08</v>
      </c>
      <c r="AC81" s="72">
        <f t="shared" si="20"/>
        <v>2818.88</v>
      </c>
      <c r="AD81" s="72">
        <f t="shared" si="20"/>
        <v>2462.48</v>
      </c>
      <c r="AE81" s="72">
        <f t="shared" si="20"/>
        <v>2341.4799999999996</v>
      </c>
      <c r="AF81" s="72">
        <f t="shared" si="20"/>
        <v>2321.2799999999997</v>
      </c>
      <c r="AG81" s="77">
        <f t="shared" si="20"/>
        <v>4208.08</v>
      </c>
      <c r="AH81" s="55">
        <f t="shared" si="16"/>
        <v>3122.08</v>
      </c>
      <c r="AI81" s="56">
        <f t="shared" si="17"/>
        <v>2215.08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50.03</v>
      </c>
      <c r="C82" s="93">
        <v>50.03</v>
      </c>
      <c r="D82" s="93">
        <v>50.046999999999997</v>
      </c>
      <c r="E82" s="93">
        <v>50.084000000000003</v>
      </c>
      <c r="F82" s="93">
        <v>50.061999999999998</v>
      </c>
      <c r="G82" s="93">
        <v>50.018999999999998</v>
      </c>
      <c r="H82" s="93">
        <v>50.051000000000002</v>
      </c>
      <c r="I82" s="93">
        <v>50.033999999999999</v>
      </c>
      <c r="J82" s="93">
        <v>50.000999999999998</v>
      </c>
      <c r="K82" s="93">
        <v>50.031999999999996</v>
      </c>
      <c r="L82" s="93">
        <v>50.106999999999999</v>
      </c>
      <c r="M82" s="93">
        <v>50.036999999999999</v>
      </c>
      <c r="N82" s="93">
        <v>49.991999999999997</v>
      </c>
      <c r="O82" s="93">
        <v>50.036999999999999</v>
      </c>
      <c r="P82" s="93">
        <v>50.033999999999999</v>
      </c>
      <c r="Q82" s="93">
        <v>50.033000000000001</v>
      </c>
      <c r="R82" s="93">
        <v>50.034999999999997</v>
      </c>
      <c r="S82" s="93">
        <v>50.026000000000003</v>
      </c>
      <c r="T82" s="93">
        <v>50.054000000000002</v>
      </c>
      <c r="U82" s="93">
        <v>50.034999999999997</v>
      </c>
      <c r="V82" s="93">
        <v>50.033999999999999</v>
      </c>
      <c r="W82" s="93">
        <v>50.005000000000003</v>
      </c>
      <c r="X82" s="93">
        <v>50.06</v>
      </c>
      <c r="Y82" s="93">
        <v>50.076999999999998</v>
      </c>
      <c r="Z82" s="93">
        <v>50.052999999999997</v>
      </c>
      <c r="AA82" s="93">
        <v>50.085999999999999</v>
      </c>
      <c r="AB82" s="93">
        <v>50.054000000000002</v>
      </c>
      <c r="AC82" s="93">
        <v>50.042999999999999</v>
      </c>
      <c r="AD82" s="93">
        <v>50.110999999999997</v>
      </c>
      <c r="AE82" s="93">
        <v>50.006999999999998</v>
      </c>
      <c r="AF82" s="94">
        <v>49.978999999999999</v>
      </c>
      <c r="AG82" s="95"/>
      <c r="AH82" s="55">
        <f t="shared" si="16"/>
        <v>50.110999999999997</v>
      </c>
      <c r="AI82" s="56">
        <f t="shared" si="17"/>
        <v>49.978999999999999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124</v>
      </c>
      <c r="C83" s="52">
        <v>125</v>
      </c>
      <c r="D83" s="52">
        <v>125.7</v>
      </c>
      <c r="E83" s="52">
        <v>125.4</v>
      </c>
      <c r="F83" s="52">
        <v>125.4</v>
      </c>
      <c r="G83" s="52">
        <v>125.8</v>
      </c>
      <c r="H83" s="52">
        <v>125.6</v>
      </c>
      <c r="I83" s="52">
        <v>125.6</v>
      </c>
      <c r="J83" s="52">
        <v>124.2</v>
      </c>
      <c r="K83" s="52">
        <v>122.8</v>
      </c>
      <c r="L83" s="52">
        <v>125.8</v>
      </c>
      <c r="M83" s="52">
        <v>125.6</v>
      </c>
      <c r="N83" s="52">
        <v>123.8</v>
      </c>
      <c r="O83" s="52">
        <v>121.8</v>
      </c>
      <c r="P83" s="52">
        <v>123.7</v>
      </c>
      <c r="Q83" s="52">
        <v>123.7</v>
      </c>
      <c r="R83" s="52">
        <v>125.7</v>
      </c>
      <c r="S83" s="52">
        <v>123.8</v>
      </c>
      <c r="T83" s="97">
        <v>125.1</v>
      </c>
      <c r="U83" s="97">
        <v>126.4</v>
      </c>
      <c r="V83" s="97">
        <v>124.8</v>
      </c>
      <c r="W83" s="97">
        <v>125.5</v>
      </c>
      <c r="X83" s="97">
        <v>125.4</v>
      </c>
      <c r="Y83" s="97">
        <v>126.4</v>
      </c>
      <c r="Z83" s="97">
        <v>124.6</v>
      </c>
      <c r="AA83" s="52">
        <v>124.6</v>
      </c>
      <c r="AB83" s="52">
        <v>125.5</v>
      </c>
      <c r="AC83" s="52">
        <v>125.6</v>
      </c>
      <c r="AD83" s="52">
        <v>125.8</v>
      </c>
      <c r="AE83" s="52">
        <v>126.5</v>
      </c>
      <c r="AF83" s="98">
        <v>126.9</v>
      </c>
      <c r="AG83" s="99"/>
      <c r="AH83" s="55">
        <f t="shared" si="16"/>
        <v>126.9</v>
      </c>
      <c r="AI83" s="56">
        <f t="shared" si="17"/>
        <v>121.8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</v>
      </c>
      <c r="C84" s="52">
        <v>129</v>
      </c>
      <c r="D84" s="52">
        <v>130.19999999999999</v>
      </c>
      <c r="E84" s="52">
        <v>129.9</v>
      </c>
      <c r="F84" s="52">
        <v>129.80000000000001</v>
      </c>
      <c r="G84" s="52">
        <v>129.5</v>
      </c>
      <c r="H84" s="52">
        <v>128.80000000000001</v>
      </c>
      <c r="I84" s="52">
        <v>128.30000000000001</v>
      </c>
      <c r="J84" s="52">
        <v>127.1</v>
      </c>
      <c r="K84" s="52">
        <v>126.3</v>
      </c>
      <c r="L84" s="52">
        <v>128.69999999999999</v>
      </c>
      <c r="M84" s="52">
        <v>128.4</v>
      </c>
      <c r="N84" s="52">
        <v>127</v>
      </c>
      <c r="O84" s="52">
        <v>124.9</v>
      </c>
      <c r="P84" s="52">
        <v>126.8</v>
      </c>
      <c r="Q84" s="52">
        <v>126.5</v>
      </c>
      <c r="R84" s="52">
        <v>127.7</v>
      </c>
      <c r="S84" s="52">
        <v>126.2</v>
      </c>
      <c r="T84" s="97">
        <v>127.1</v>
      </c>
      <c r="U84" s="97">
        <v>128.1</v>
      </c>
      <c r="V84" s="97">
        <v>127.2</v>
      </c>
      <c r="W84" s="97">
        <v>128.19999999999999</v>
      </c>
      <c r="X84" s="97">
        <v>128.1</v>
      </c>
      <c r="Y84" s="97">
        <v>128.1</v>
      </c>
      <c r="Z84" s="97">
        <v>128.1</v>
      </c>
      <c r="AA84" s="52">
        <v>128.6</v>
      </c>
      <c r="AB84" s="52">
        <v>129.19999999999999</v>
      </c>
      <c r="AC84" s="52">
        <v>129.1</v>
      </c>
      <c r="AD84" s="52">
        <v>130</v>
      </c>
      <c r="AE84" s="52">
        <v>130.30000000000001</v>
      </c>
      <c r="AF84" s="98">
        <v>130.69999999999999</v>
      </c>
      <c r="AG84" s="99"/>
      <c r="AH84" s="55">
        <f t="shared" si="16"/>
        <v>130.69999999999999</v>
      </c>
      <c r="AI84" s="56">
        <f t="shared" si="17"/>
        <v>124.9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126</v>
      </c>
      <c r="C85" s="52">
        <v>126</v>
      </c>
      <c r="D85" s="52">
        <v>128.80000000000001</v>
      </c>
      <c r="E85" s="52">
        <v>126.7</v>
      </c>
      <c r="F85" s="52">
        <v>128</v>
      </c>
      <c r="G85" s="52">
        <v>128.9</v>
      </c>
      <c r="H85" s="52">
        <v>129.30000000000001</v>
      </c>
      <c r="I85" s="52">
        <v>127.6</v>
      </c>
      <c r="J85" s="52">
        <v>125.7</v>
      </c>
      <c r="K85" s="52">
        <v>126.8</v>
      </c>
      <c r="L85" s="52">
        <v>127.4</v>
      </c>
      <c r="M85" s="52">
        <v>127.3</v>
      </c>
      <c r="N85" s="52">
        <v>125.9</v>
      </c>
      <c r="O85" s="52">
        <v>124.4</v>
      </c>
      <c r="P85" s="52">
        <v>127.2</v>
      </c>
      <c r="Q85" s="52">
        <v>127.5</v>
      </c>
      <c r="R85" s="52">
        <v>126.6</v>
      </c>
      <c r="S85" s="52">
        <v>124.7</v>
      </c>
      <c r="T85" s="52">
        <v>126.4</v>
      </c>
      <c r="U85" s="52">
        <v>128.1</v>
      </c>
      <c r="V85" s="52">
        <v>131.6</v>
      </c>
      <c r="W85" s="97">
        <v>126.4</v>
      </c>
      <c r="X85" s="97">
        <v>126.6</v>
      </c>
      <c r="Y85" s="52">
        <v>128.1</v>
      </c>
      <c r="Z85" s="97">
        <v>128.19999999999999</v>
      </c>
      <c r="AA85" s="52">
        <v>126.3</v>
      </c>
      <c r="AB85" s="52">
        <v>129.19999999999999</v>
      </c>
      <c r="AC85" s="52">
        <v>130.80000000000001</v>
      </c>
      <c r="AD85" s="52">
        <v>127.5</v>
      </c>
      <c r="AE85" s="52">
        <v>125.7</v>
      </c>
      <c r="AF85" s="98">
        <v>127.4</v>
      </c>
      <c r="AG85" s="99"/>
      <c r="AH85" s="55">
        <f t="shared" si="16"/>
        <v>131.6</v>
      </c>
      <c r="AI85" s="56">
        <f t="shared" si="17"/>
        <v>124.4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130</v>
      </c>
      <c r="C86" s="52">
        <v>131</v>
      </c>
      <c r="D86" s="52">
        <v>133.30000000000001</v>
      </c>
      <c r="E86" s="52">
        <v>131.80000000000001</v>
      </c>
      <c r="F86" s="52">
        <v>133.19999999999999</v>
      </c>
      <c r="G86" s="52">
        <v>133.80000000000001</v>
      </c>
      <c r="H86" s="52">
        <v>132.30000000000001</v>
      </c>
      <c r="I86" s="52">
        <v>130.69999999999999</v>
      </c>
      <c r="J86" s="52">
        <v>128.4</v>
      </c>
      <c r="K86" s="52">
        <v>128.30000000000001</v>
      </c>
      <c r="L86" s="52">
        <v>129.19999999999999</v>
      </c>
      <c r="M86" s="52">
        <v>128.80000000000001</v>
      </c>
      <c r="N86" s="52">
        <v>127.5</v>
      </c>
      <c r="O86" s="52">
        <v>126.5</v>
      </c>
      <c r="P86" s="52">
        <v>128.80000000000001</v>
      </c>
      <c r="Q86" s="52">
        <v>130.4</v>
      </c>
      <c r="R86" s="52">
        <v>129.19999999999999</v>
      </c>
      <c r="S86" s="52">
        <v>127.3</v>
      </c>
      <c r="T86" s="52">
        <v>129.1</v>
      </c>
      <c r="U86" s="52">
        <v>132.9</v>
      </c>
      <c r="V86" s="52"/>
      <c r="W86" s="97">
        <v>129.1</v>
      </c>
      <c r="X86" s="97">
        <v>128.6</v>
      </c>
      <c r="Y86" s="52">
        <v>132.9</v>
      </c>
      <c r="Z86" s="97">
        <v>129.80000000000001</v>
      </c>
      <c r="AA86" s="52">
        <v>129.80000000000001</v>
      </c>
      <c r="AB86" s="52">
        <v>132.9</v>
      </c>
      <c r="AC86" s="52">
        <v>134</v>
      </c>
      <c r="AD86" s="52">
        <v>132.1</v>
      </c>
      <c r="AE86" s="52">
        <v>130.6</v>
      </c>
      <c r="AF86" s="98">
        <v>131</v>
      </c>
      <c r="AG86" s="99"/>
      <c r="AH86" s="55">
        <f t="shared" si="16"/>
        <v>134</v>
      </c>
      <c r="AI86" s="56">
        <f t="shared" si="17"/>
        <v>126.5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135</v>
      </c>
      <c r="C87" s="101">
        <v>133</v>
      </c>
      <c r="D87" s="101">
        <v>135.80000000000001</v>
      </c>
      <c r="E87" s="101">
        <v>132.6</v>
      </c>
      <c r="F87" s="101">
        <v>132.80000000000001</v>
      </c>
      <c r="G87" s="101">
        <v>132.4</v>
      </c>
      <c r="H87" s="101">
        <v>132.9</v>
      </c>
      <c r="I87" s="101">
        <v>132.4</v>
      </c>
      <c r="J87" s="101">
        <v>132.6</v>
      </c>
      <c r="K87" s="101">
        <v>131</v>
      </c>
      <c r="L87" s="101">
        <v>133</v>
      </c>
      <c r="M87" s="101">
        <v>133.19999999999999</v>
      </c>
      <c r="N87" s="101">
        <v>134.80000000000001</v>
      </c>
      <c r="O87" s="101">
        <v>131.9</v>
      </c>
      <c r="P87" s="101">
        <v>133.6</v>
      </c>
      <c r="Q87" s="101">
        <v>134.30000000000001</v>
      </c>
      <c r="R87" s="101">
        <v>133.1</v>
      </c>
      <c r="S87" s="101">
        <v>130.1</v>
      </c>
      <c r="T87" s="101">
        <v>135.1</v>
      </c>
      <c r="U87" s="101">
        <v>135.19999999999999</v>
      </c>
      <c r="V87" s="101">
        <v>134.9</v>
      </c>
      <c r="W87" s="97">
        <v>134</v>
      </c>
      <c r="X87" s="97">
        <v>133.80000000000001</v>
      </c>
      <c r="Y87" s="101">
        <v>135.19999999999999</v>
      </c>
      <c r="Z87" s="97">
        <v>130.69999999999999</v>
      </c>
      <c r="AA87" s="101">
        <v>136</v>
      </c>
      <c r="AB87" s="101">
        <v>135.69999999999999</v>
      </c>
      <c r="AC87" s="101">
        <v>132.19999999999999</v>
      </c>
      <c r="AD87" s="101">
        <v>133.30000000000001</v>
      </c>
      <c r="AE87" s="101">
        <v>132</v>
      </c>
      <c r="AF87" s="102">
        <v>135</v>
      </c>
      <c r="AG87" s="103"/>
      <c r="AH87" s="55">
        <f t="shared" si="16"/>
        <v>136</v>
      </c>
      <c r="AI87" s="56">
        <f t="shared" si="17"/>
        <v>130.1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</v>
      </c>
      <c r="C88" s="52">
        <v>133</v>
      </c>
      <c r="D88" s="52">
        <v>136.69999999999999</v>
      </c>
      <c r="E88" s="52">
        <v>136.80000000000001</v>
      </c>
      <c r="F88" s="52">
        <v>133.9</v>
      </c>
      <c r="G88" s="52">
        <v>130.80000000000001</v>
      </c>
      <c r="H88" s="52">
        <v>130.80000000000001</v>
      </c>
      <c r="I88" s="52">
        <v>129.4</v>
      </c>
      <c r="J88" s="52">
        <v>129.69999999999999</v>
      </c>
      <c r="K88" s="52">
        <v>127.9</v>
      </c>
      <c r="L88" s="52">
        <v>129.1</v>
      </c>
      <c r="M88" s="52">
        <v>127.9</v>
      </c>
      <c r="N88" s="52">
        <v>129.9</v>
      </c>
      <c r="O88" s="52">
        <v>132</v>
      </c>
      <c r="P88" s="52">
        <v>129.80000000000001</v>
      </c>
      <c r="Q88" s="52">
        <v>131.69999999999999</v>
      </c>
      <c r="R88" s="52">
        <v>128.5</v>
      </c>
      <c r="S88" s="52">
        <v>125.5</v>
      </c>
      <c r="T88" s="52">
        <v>132.4</v>
      </c>
      <c r="U88" s="52">
        <v>131.80000000000001</v>
      </c>
      <c r="V88" s="52">
        <v>133.1</v>
      </c>
      <c r="W88" s="97">
        <v>133.5</v>
      </c>
      <c r="X88" s="97">
        <v>132</v>
      </c>
      <c r="Y88" s="52">
        <v>131.80000000000001</v>
      </c>
      <c r="Z88" s="97">
        <v>123.4</v>
      </c>
      <c r="AA88" s="52">
        <v>130.69999999999999</v>
      </c>
      <c r="AB88" s="52">
        <v>132.80000000000001</v>
      </c>
      <c r="AC88" s="52">
        <v>129.9</v>
      </c>
      <c r="AD88" s="52">
        <v>130</v>
      </c>
      <c r="AE88" s="52">
        <v>129.69999999999999</v>
      </c>
      <c r="AF88" s="98">
        <v>136</v>
      </c>
      <c r="AG88" s="99"/>
      <c r="AH88" s="55">
        <f t="shared" si="16"/>
        <v>136.80000000000001</v>
      </c>
      <c r="AI88" s="56">
        <f t="shared" si="17"/>
        <v>123.4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65.7</v>
      </c>
      <c r="C89" s="104">
        <v>66</v>
      </c>
      <c r="D89" s="104">
        <v>66.3</v>
      </c>
      <c r="E89" s="104">
        <v>66.3</v>
      </c>
      <c r="F89" s="104">
        <v>66.2</v>
      </c>
      <c r="G89" s="104">
        <v>65.900000000000006</v>
      </c>
      <c r="H89" s="104">
        <v>65.5</v>
      </c>
      <c r="I89" s="104">
        <v>65.400000000000006</v>
      </c>
      <c r="J89" s="104">
        <v>64.599999999999994</v>
      </c>
      <c r="K89" s="104">
        <v>64.099999999999994</v>
      </c>
      <c r="L89" s="104">
        <v>65.400000000000006</v>
      </c>
      <c r="M89" s="104">
        <v>65.3</v>
      </c>
      <c r="N89" s="104">
        <v>64.400000000000006</v>
      </c>
      <c r="O89" s="104">
        <v>63.3</v>
      </c>
      <c r="P89" s="104">
        <v>64.400000000000006</v>
      </c>
      <c r="Q89" s="104">
        <v>64</v>
      </c>
      <c r="R89" s="104">
        <v>64.7</v>
      </c>
      <c r="S89" s="104">
        <v>64.099999999999994</v>
      </c>
      <c r="T89" s="104">
        <v>64.3</v>
      </c>
      <c r="U89" s="104">
        <v>64.900000000000006</v>
      </c>
      <c r="V89" s="104">
        <v>64.400000000000006</v>
      </c>
      <c r="W89" s="104">
        <v>65.099999999999994</v>
      </c>
      <c r="X89" s="104">
        <v>64.900000000000006</v>
      </c>
      <c r="Y89" s="104">
        <v>64.900000000000006</v>
      </c>
      <c r="Z89" s="104">
        <v>65.400000000000006</v>
      </c>
      <c r="AA89" s="104">
        <v>65.5</v>
      </c>
      <c r="AB89" s="104">
        <v>65.8</v>
      </c>
      <c r="AC89" s="104">
        <v>65.8</v>
      </c>
      <c r="AD89" s="104">
        <v>66</v>
      </c>
      <c r="AE89" s="104">
        <v>66.3</v>
      </c>
      <c r="AF89" s="105">
        <v>66.3</v>
      </c>
      <c r="AG89" s="106"/>
      <c r="AH89" s="55">
        <f t="shared" si="16"/>
        <v>66.3</v>
      </c>
      <c r="AI89" s="56">
        <f t="shared" si="17"/>
        <v>63.3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162.53999999999996</v>
      </c>
      <c r="C91" s="111">
        <f t="shared" ref="C91:AF91" si="21">SUM(C14,C17,C20:C21,C40,C42:C43,C45,C47,C92:C95,C100,C106,C112,C121,C123,C135,C142,C145:C146,C153,C155,C157,C161:C163,C165:C167,C172,C178:C179,C181:C183,C191,C196)</f>
        <v>155.53999999999996</v>
      </c>
      <c r="D91" s="111">
        <f t="shared" si="21"/>
        <v>165.63999999999996</v>
      </c>
      <c r="E91" s="111">
        <f t="shared" si="21"/>
        <v>156.33999999999995</v>
      </c>
      <c r="F91" s="111">
        <f t="shared" si="21"/>
        <v>171.13999999999996</v>
      </c>
      <c r="G91" s="111">
        <f t="shared" si="21"/>
        <v>188.23999999999998</v>
      </c>
      <c r="H91" s="111">
        <f t="shared" si="21"/>
        <v>213.73999999999995</v>
      </c>
      <c r="I91" s="111">
        <f t="shared" si="21"/>
        <v>251.83999999999995</v>
      </c>
      <c r="J91" s="111">
        <f t="shared" si="21"/>
        <v>251.83999999999995</v>
      </c>
      <c r="K91" s="111">
        <f t="shared" si="21"/>
        <v>295.54000000000002</v>
      </c>
      <c r="L91" s="111">
        <f t="shared" si="21"/>
        <v>298.64000000000004</v>
      </c>
      <c r="M91" s="111">
        <f t="shared" si="21"/>
        <v>282.94</v>
      </c>
      <c r="N91" s="111">
        <f t="shared" si="21"/>
        <v>290.44</v>
      </c>
      <c r="O91" s="111">
        <f t="shared" si="21"/>
        <v>297.94000000000005</v>
      </c>
      <c r="P91" s="111">
        <f t="shared" si="21"/>
        <v>298.24</v>
      </c>
      <c r="Q91" s="111">
        <f t="shared" si="21"/>
        <v>300.44000000000005</v>
      </c>
      <c r="R91" s="111">
        <f t="shared" si="21"/>
        <v>278.34000000000003</v>
      </c>
      <c r="S91" s="111">
        <f t="shared" si="21"/>
        <v>280.03999999999996</v>
      </c>
      <c r="T91" s="111">
        <f t="shared" si="21"/>
        <v>282.14</v>
      </c>
      <c r="U91" s="111">
        <f t="shared" si="21"/>
        <v>274.24</v>
      </c>
      <c r="V91" s="111">
        <f t="shared" si="21"/>
        <v>282.84000000000003</v>
      </c>
      <c r="W91" s="111">
        <f t="shared" si="21"/>
        <v>302.74</v>
      </c>
      <c r="X91" s="111">
        <f t="shared" si="21"/>
        <v>360.84000000000003</v>
      </c>
      <c r="Y91" s="111">
        <f t="shared" si="21"/>
        <v>352.14000000000004</v>
      </c>
      <c r="Z91" s="111">
        <f t="shared" si="21"/>
        <v>328.04</v>
      </c>
      <c r="AA91" s="111">
        <f t="shared" si="21"/>
        <v>297.94</v>
      </c>
      <c r="AB91" s="111">
        <f t="shared" si="21"/>
        <v>286.04000000000002</v>
      </c>
      <c r="AC91" s="111">
        <f t="shared" si="21"/>
        <v>242.03999999999996</v>
      </c>
      <c r="AD91" s="111">
        <f t="shared" si="21"/>
        <v>198.63999999999996</v>
      </c>
      <c r="AE91" s="111">
        <f t="shared" si="21"/>
        <v>136.63999999999999</v>
      </c>
      <c r="AF91" s="111">
        <f t="shared" si="21"/>
        <v>157.63999999999996</v>
      </c>
      <c r="AG91" s="112"/>
      <c r="AH91" s="55">
        <f>MAX(B91:AF91)</f>
        <v>360.84000000000003</v>
      </c>
      <c r="AI91" s="56">
        <f t="shared" si="17"/>
        <v>136.63999999999999</v>
      </c>
    </row>
    <row r="92" spans="1:88" x14ac:dyDescent="0.25">
      <c r="A92" s="113" t="s">
        <v>95</v>
      </c>
      <c r="B92" s="59">
        <v>24</v>
      </c>
      <c r="C92" s="59">
        <v>26</v>
      </c>
      <c r="D92" s="59">
        <v>28.2</v>
      </c>
      <c r="E92" s="59">
        <v>36.1</v>
      </c>
      <c r="F92" s="114">
        <v>36.799999999999997</v>
      </c>
      <c r="G92" s="114">
        <v>43.9</v>
      </c>
      <c r="H92" s="114">
        <v>47.6</v>
      </c>
      <c r="I92" s="114">
        <v>48.6</v>
      </c>
      <c r="J92" s="114">
        <v>45</v>
      </c>
      <c r="K92" s="114">
        <v>33</v>
      </c>
      <c r="L92" s="114">
        <v>47.5</v>
      </c>
      <c r="M92" s="114">
        <v>43.5</v>
      </c>
      <c r="N92" s="114">
        <v>39</v>
      </c>
      <c r="O92" s="114">
        <v>41.5</v>
      </c>
      <c r="P92" s="114">
        <v>24.9</v>
      </c>
      <c r="Q92" s="114">
        <v>13.1</v>
      </c>
      <c r="R92" s="114">
        <v>6.3</v>
      </c>
      <c r="S92" s="114">
        <v>23.7</v>
      </c>
      <c r="T92" s="115">
        <v>27.1</v>
      </c>
      <c r="U92" s="115">
        <v>25.1</v>
      </c>
      <c r="V92" s="115">
        <v>37.6</v>
      </c>
      <c r="W92" s="114">
        <v>38</v>
      </c>
      <c r="X92" s="114">
        <v>13.3</v>
      </c>
      <c r="Y92" s="114">
        <v>10.9</v>
      </c>
      <c r="Z92" s="114">
        <v>10.8</v>
      </c>
      <c r="AA92" s="115">
        <v>15.8</v>
      </c>
      <c r="AB92" s="115">
        <v>18.399999999999999</v>
      </c>
      <c r="AC92" s="115">
        <v>25.4</v>
      </c>
      <c r="AD92" s="115">
        <v>29.7</v>
      </c>
      <c r="AE92" s="115">
        <v>32.9</v>
      </c>
      <c r="AF92" s="116">
        <v>40.1</v>
      </c>
      <c r="AG92" s="117">
        <v>75</v>
      </c>
      <c r="AH92" s="55">
        <f t="shared" ref="AH92:AH97" si="22">IF(ABS(MAX(B92:AF92))&gt;ABS(MIN(B92:AF92)),MAX(B92:AF92),MIN(B92:AF92))</f>
        <v>48.6</v>
      </c>
      <c r="AI92" s="56">
        <f t="shared" si="17"/>
        <v>6.3</v>
      </c>
    </row>
    <row r="93" spans="1:88" x14ac:dyDescent="0.25">
      <c r="A93" s="119" t="s">
        <v>96</v>
      </c>
      <c r="B93" s="61">
        <v>-80</v>
      </c>
      <c r="C93" s="61">
        <v>-93</v>
      </c>
      <c r="D93" s="61">
        <v>-84</v>
      </c>
      <c r="E93" s="61">
        <v>-102</v>
      </c>
      <c r="F93" s="61">
        <v>-90</v>
      </c>
      <c r="G93" s="61">
        <v>-80</v>
      </c>
      <c r="H93" s="61">
        <v>-65</v>
      </c>
      <c r="I93" s="61">
        <v>-36</v>
      </c>
      <c r="J93" s="61">
        <v>-33</v>
      </c>
      <c r="K93" s="61">
        <v>-47</v>
      </c>
      <c r="L93" s="61">
        <v>-49.6</v>
      </c>
      <c r="M93" s="61">
        <v>-56.1</v>
      </c>
      <c r="N93" s="61">
        <v>-51.2</v>
      </c>
      <c r="O93" s="61">
        <v>-51.3</v>
      </c>
      <c r="P93" s="61">
        <v>-45.3</v>
      </c>
      <c r="Q93" s="61">
        <v>-43.1</v>
      </c>
      <c r="R93" s="61">
        <v>-46</v>
      </c>
      <c r="S93" s="61">
        <v>-49.4</v>
      </c>
      <c r="T93" s="61">
        <v>-37</v>
      </c>
      <c r="U93" s="61">
        <v>-49</v>
      </c>
      <c r="V93" s="61">
        <v>-49.8</v>
      </c>
      <c r="W93" s="61">
        <v>-39.9</v>
      </c>
      <c r="X93" s="61">
        <v>-18</v>
      </c>
      <c r="Y93" s="61">
        <v>-19.7</v>
      </c>
      <c r="Z93" s="61">
        <v>-38</v>
      </c>
      <c r="AA93" s="52">
        <v>-54</v>
      </c>
      <c r="AB93" s="52">
        <v>-56</v>
      </c>
      <c r="AC93" s="52">
        <v>-72</v>
      </c>
      <c r="AD93" s="52">
        <v>-78</v>
      </c>
      <c r="AE93" s="52">
        <v>-74</v>
      </c>
      <c r="AF93" s="120">
        <v>-92</v>
      </c>
      <c r="AG93" s="117">
        <v>240</v>
      </c>
      <c r="AH93" s="55">
        <f t="shared" si="22"/>
        <v>-102</v>
      </c>
      <c r="AI93" s="56">
        <f t="shared" si="17"/>
        <v>-102</v>
      </c>
    </row>
    <row r="94" spans="1:88" x14ac:dyDescent="0.25">
      <c r="A94" s="119" t="s">
        <v>97</v>
      </c>
      <c r="B94" s="61">
        <v>-20</v>
      </c>
      <c r="C94" s="61">
        <v>-16</v>
      </c>
      <c r="D94" s="61">
        <v>-17.5</v>
      </c>
      <c r="E94" s="61">
        <v>-17</v>
      </c>
      <c r="F94" s="61">
        <v>-14.9</v>
      </c>
      <c r="G94" s="61">
        <v>-15</v>
      </c>
      <c r="H94" s="61">
        <v>-8.1</v>
      </c>
      <c r="I94" s="61">
        <v>0</v>
      </c>
      <c r="J94" s="61">
        <v>0.6</v>
      </c>
      <c r="K94" s="61">
        <v>-2.4</v>
      </c>
      <c r="L94" s="61">
        <v>10.5</v>
      </c>
      <c r="M94" s="61">
        <v>10.199999999999999</v>
      </c>
      <c r="N94" s="61">
        <v>4.5999999999999996</v>
      </c>
      <c r="O94" s="61">
        <v>0.6</v>
      </c>
      <c r="P94" s="61">
        <v>6.3</v>
      </c>
      <c r="Q94" s="61">
        <v>8.6999999999999993</v>
      </c>
      <c r="R94" s="61">
        <v>23.3</v>
      </c>
      <c r="S94" s="61">
        <v>9.8000000000000007</v>
      </c>
      <c r="T94" s="61">
        <v>14.2</v>
      </c>
      <c r="U94" s="61">
        <v>7.3</v>
      </c>
      <c r="V94" s="61">
        <v>0.8</v>
      </c>
      <c r="W94" s="61">
        <v>3.3</v>
      </c>
      <c r="X94" s="61">
        <v>37.200000000000003</v>
      </c>
      <c r="Y94" s="61">
        <v>36.1</v>
      </c>
      <c r="Z94" s="61">
        <v>36.5</v>
      </c>
      <c r="AA94" s="52">
        <v>26.1</v>
      </c>
      <c r="AB94" s="52">
        <v>15.5</v>
      </c>
      <c r="AC94" s="52">
        <v>6.6</v>
      </c>
      <c r="AD94" s="52">
        <v>-7.6</v>
      </c>
      <c r="AE94" s="52">
        <v>-6.9</v>
      </c>
      <c r="AF94" s="120">
        <v>7.6</v>
      </c>
      <c r="AG94" s="117">
        <v>60</v>
      </c>
      <c r="AH94" s="55">
        <f t="shared" si="22"/>
        <v>37.200000000000003</v>
      </c>
      <c r="AI94" s="56">
        <f t="shared" si="17"/>
        <v>-20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76.3</v>
      </c>
      <c r="L95" s="84">
        <v>54.4</v>
      </c>
      <c r="M95" s="84">
        <v>49.2</v>
      </c>
      <c r="N95" s="84">
        <v>60.1</v>
      </c>
      <c r="O95" s="84">
        <v>69.400000000000006</v>
      </c>
      <c r="P95" s="84">
        <v>74.599999999999994</v>
      </c>
      <c r="Q95" s="84">
        <v>84</v>
      </c>
      <c r="R95" s="84">
        <v>56.7</v>
      </c>
      <c r="S95" s="84">
        <v>57.9</v>
      </c>
      <c r="T95" s="84">
        <v>56</v>
      </c>
      <c r="U95" s="84">
        <v>51.8</v>
      </c>
      <c r="V95" s="84">
        <v>55.2</v>
      </c>
      <c r="W95" s="84">
        <v>62.3</v>
      </c>
      <c r="X95" s="84">
        <v>89.3</v>
      </c>
      <c r="Y95" s="84">
        <v>85.8</v>
      </c>
      <c r="Z95" s="84">
        <v>79.7</v>
      </c>
      <c r="AA95" s="122">
        <v>71.2</v>
      </c>
      <c r="AB95" s="122">
        <v>69.099999999999994</v>
      </c>
      <c r="AC95" s="122">
        <v>43</v>
      </c>
      <c r="AD95" s="122">
        <v>15.5</v>
      </c>
      <c r="AE95" s="122">
        <v>26.7</v>
      </c>
      <c r="AF95" s="123">
        <v>-6</v>
      </c>
      <c r="AG95" s="124">
        <v>120</v>
      </c>
      <c r="AH95" s="55">
        <f t="shared" si="22"/>
        <v>89.3</v>
      </c>
      <c r="AI95" s="56">
        <f t="shared" si="17"/>
        <v>-6</v>
      </c>
    </row>
    <row r="96" spans="1:88" x14ac:dyDescent="0.25">
      <c r="A96" s="121" t="s">
        <v>99</v>
      </c>
      <c r="B96" s="84">
        <v>76</v>
      </c>
      <c r="C96" s="84">
        <v>58</v>
      </c>
      <c r="D96" s="84">
        <v>56.5</v>
      </c>
      <c r="E96" s="84">
        <v>39.200000000000003</v>
      </c>
      <c r="F96" s="84">
        <v>47.3</v>
      </c>
      <c r="G96" s="84">
        <v>49.6</v>
      </c>
      <c r="H96" s="84">
        <v>51.9</v>
      </c>
      <c r="I96" s="84">
        <v>53.4</v>
      </c>
      <c r="J96" s="84">
        <v>63.8</v>
      </c>
      <c r="K96" s="84">
        <v>66.7</v>
      </c>
      <c r="L96" s="84">
        <v>48.7</v>
      </c>
      <c r="M96" s="84">
        <v>43.3</v>
      </c>
      <c r="N96" s="84">
        <v>50.2</v>
      </c>
      <c r="O96" s="84">
        <v>64.3</v>
      </c>
      <c r="P96" s="84">
        <v>68.099999999999994</v>
      </c>
      <c r="Q96" s="84">
        <v>73</v>
      </c>
      <c r="R96" s="84">
        <v>51.6</v>
      </c>
      <c r="S96" s="84">
        <v>53.9</v>
      </c>
      <c r="T96" s="84">
        <v>53</v>
      </c>
      <c r="U96" s="84">
        <v>52.9</v>
      </c>
      <c r="V96" s="84">
        <v>47.4</v>
      </c>
      <c r="W96" s="84">
        <v>54.1</v>
      </c>
      <c r="X96" s="84">
        <v>60.9</v>
      </c>
      <c r="Y96" s="84">
        <v>66.2</v>
      </c>
      <c r="Z96" s="84">
        <v>66.8</v>
      </c>
      <c r="AA96" s="122">
        <v>60.8</v>
      </c>
      <c r="AB96" s="122">
        <v>64.3</v>
      </c>
      <c r="AC96" s="122">
        <v>47.2</v>
      </c>
      <c r="AD96" s="122">
        <v>25.9</v>
      </c>
      <c r="AE96" s="122">
        <v>35.799999999999997</v>
      </c>
      <c r="AF96" s="123">
        <v>10.9</v>
      </c>
      <c r="AG96" s="124"/>
      <c r="AH96" s="55">
        <f t="shared" si="22"/>
        <v>76</v>
      </c>
      <c r="AI96" s="56">
        <f t="shared" si="17"/>
        <v>10.9</v>
      </c>
    </row>
    <row r="97" spans="1:37" ht="15.75" thickBot="1" x14ac:dyDescent="0.3">
      <c r="A97" s="121" t="s">
        <v>100</v>
      </c>
      <c r="B97" s="84">
        <v>49</v>
      </c>
      <c r="C97" s="84">
        <v>46</v>
      </c>
      <c r="D97" s="84">
        <v>41</v>
      </c>
      <c r="E97" s="84">
        <v>18.3</v>
      </c>
      <c r="F97" s="84">
        <v>11.7</v>
      </c>
      <c r="G97" s="84">
        <v>6.5</v>
      </c>
      <c r="H97" s="84">
        <v>-2.1</v>
      </c>
      <c r="I97" s="84">
        <v>-2.5</v>
      </c>
      <c r="J97" s="84">
        <v>3.5</v>
      </c>
      <c r="K97" s="84">
        <v>12.4</v>
      </c>
      <c r="L97" s="84">
        <v>-15.5</v>
      </c>
      <c r="M97" s="84">
        <v>-7.7</v>
      </c>
      <c r="N97" s="84">
        <v>45.6</v>
      </c>
      <c r="O97" s="84">
        <v>46.8</v>
      </c>
      <c r="P97" s="84">
        <v>45</v>
      </c>
      <c r="Q97" s="84">
        <v>56.3</v>
      </c>
      <c r="R97" s="84">
        <v>62.1</v>
      </c>
      <c r="S97" s="84">
        <v>61.9</v>
      </c>
      <c r="T97" s="84">
        <v>44.7</v>
      </c>
      <c r="U97" s="84">
        <v>51.3</v>
      </c>
      <c r="V97" s="84">
        <v>47.9</v>
      </c>
      <c r="W97" s="84">
        <v>50.1</v>
      </c>
      <c r="X97" s="84">
        <v>72.3</v>
      </c>
      <c r="Y97" s="84"/>
      <c r="Z97" s="84">
        <v>61.5</v>
      </c>
      <c r="AA97" s="122">
        <v>76.7</v>
      </c>
      <c r="AB97" s="122">
        <v>74.2</v>
      </c>
      <c r="AC97" s="122">
        <v>71</v>
      </c>
      <c r="AD97" s="122">
        <v>70.099999999999994</v>
      </c>
      <c r="AE97" s="122">
        <v>70.099999999999994</v>
      </c>
      <c r="AF97" s="123">
        <v>61.4</v>
      </c>
      <c r="AG97" s="125"/>
      <c r="AH97" s="55">
        <f t="shared" si="22"/>
        <v>76.7</v>
      </c>
      <c r="AI97" s="56">
        <f t="shared" si="17"/>
        <v>-15.5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3">B99</f>
        <v>9.9</v>
      </c>
      <c r="D99" s="131">
        <f t="shared" si="23"/>
        <v>9.9</v>
      </c>
      <c r="E99" s="131">
        <f t="shared" si="23"/>
        <v>9.9</v>
      </c>
      <c r="F99" s="131">
        <f t="shared" si="23"/>
        <v>9.9</v>
      </c>
      <c r="G99" s="131">
        <f t="shared" si="23"/>
        <v>9.9</v>
      </c>
      <c r="H99" s="131">
        <f t="shared" si="23"/>
        <v>9.9</v>
      </c>
      <c r="I99" s="131">
        <f t="shared" si="23"/>
        <v>9.9</v>
      </c>
      <c r="J99" s="131">
        <f t="shared" si="23"/>
        <v>9.9</v>
      </c>
      <c r="K99" s="131">
        <f t="shared" si="23"/>
        <v>9.9</v>
      </c>
      <c r="L99" s="131">
        <f t="shared" si="23"/>
        <v>9.9</v>
      </c>
      <c r="M99" s="131">
        <f t="shared" si="23"/>
        <v>9.9</v>
      </c>
      <c r="N99" s="131">
        <f t="shared" si="23"/>
        <v>9.9</v>
      </c>
      <c r="O99" s="131">
        <f t="shared" si="23"/>
        <v>9.9</v>
      </c>
      <c r="P99" s="131">
        <f t="shared" si="23"/>
        <v>9.9</v>
      </c>
      <c r="Q99" s="131">
        <f t="shared" si="23"/>
        <v>9.9</v>
      </c>
      <c r="R99" s="131">
        <f t="shared" si="23"/>
        <v>9.9</v>
      </c>
      <c r="S99" s="131">
        <f t="shared" ref="S99:AF104" si="24">R99</f>
        <v>9.9</v>
      </c>
      <c r="T99" s="131">
        <f t="shared" si="24"/>
        <v>9.9</v>
      </c>
      <c r="U99" s="131">
        <f t="shared" si="24"/>
        <v>9.9</v>
      </c>
      <c r="V99" s="131">
        <f t="shared" si="24"/>
        <v>9.9</v>
      </c>
      <c r="W99" s="131">
        <f t="shared" si="24"/>
        <v>9.9</v>
      </c>
      <c r="X99" s="131">
        <f t="shared" si="24"/>
        <v>9.9</v>
      </c>
      <c r="Y99" s="131">
        <f t="shared" si="24"/>
        <v>9.9</v>
      </c>
      <c r="Z99" s="131">
        <f t="shared" si="24"/>
        <v>9.9</v>
      </c>
      <c r="AA99" s="131">
        <f t="shared" si="24"/>
        <v>9.9</v>
      </c>
      <c r="AB99" s="131">
        <f t="shared" si="24"/>
        <v>9.9</v>
      </c>
      <c r="AC99" s="131">
        <f t="shared" si="24"/>
        <v>9.9</v>
      </c>
      <c r="AD99" s="131">
        <f t="shared" si="24"/>
        <v>9.9</v>
      </c>
      <c r="AE99" s="131">
        <f t="shared" si="24"/>
        <v>9.9</v>
      </c>
      <c r="AF99" s="131">
        <f t="shared" si="24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3"/>
        <v>9.6</v>
      </c>
      <c r="D100" s="134">
        <f t="shared" si="23"/>
        <v>9.6</v>
      </c>
      <c r="E100" s="134">
        <f t="shared" si="23"/>
        <v>9.6</v>
      </c>
      <c r="F100" s="134">
        <f t="shared" si="23"/>
        <v>9.6</v>
      </c>
      <c r="G100" s="134">
        <f t="shared" si="23"/>
        <v>9.6</v>
      </c>
      <c r="H100" s="134">
        <f t="shared" si="23"/>
        <v>9.6</v>
      </c>
      <c r="I100" s="134">
        <f t="shared" si="23"/>
        <v>9.6</v>
      </c>
      <c r="J100" s="134">
        <f t="shared" si="23"/>
        <v>9.6</v>
      </c>
      <c r="K100" s="134">
        <f t="shared" si="23"/>
        <v>9.6</v>
      </c>
      <c r="L100" s="134">
        <f t="shared" si="23"/>
        <v>9.6</v>
      </c>
      <c r="M100" s="134">
        <f t="shared" si="23"/>
        <v>9.6</v>
      </c>
      <c r="N100" s="134">
        <f t="shared" si="23"/>
        <v>9.6</v>
      </c>
      <c r="O100" s="134">
        <f t="shared" si="23"/>
        <v>9.6</v>
      </c>
      <c r="P100" s="134">
        <f t="shared" si="23"/>
        <v>9.6</v>
      </c>
      <c r="Q100" s="134">
        <f t="shared" si="23"/>
        <v>9.6</v>
      </c>
      <c r="R100" s="134">
        <f t="shared" si="23"/>
        <v>9.6</v>
      </c>
      <c r="S100" s="134">
        <f t="shared" si="24"/>
        <v>9.6</v>
      </c>
      <c r="T100" s="134">
        <f t="shared" si="24"/>
        <v>9.6</v>
      </c>
      <c r="U100" s="134">
        <f t="shared" si="24"/>
        <v>9.6</v>
      </c>
      <c r="V100" s="134">
        <f t="shared" si="24"/>
        <v>9.6</v>
      </c>
      <c r="W100" s="134">
        <f t="shared" si="24"/>
        <v>9.6</v>
      </c>
      <c r="X100" s="134">
        <f t="shared" si="24"/>
        <v>9.6</v>
      </c>
      <c r="Y100" s="134">
        <f t="shared" si="24"/>
        <v>9.6</v>
      </c>
      <c r="Z100" s="134">
        <f t="shared" si="24"/>
        <v>9.6</v>
      </c>
      <c r="AA100" s="134">
        <f t="shared" si="24"/>
        <v>9.6</v>
      </c>
      <c r="AB100" s="134">
        <f t="shared" si="24"/>
        <v>9.6</v>
      </c>
      <c r="AC100" s="134">
        <f t="shared" si="24"/>
        <v>9.6</v>
      </c>
      <c r="AD100" s="134">
        <f t="shared" si="24"/>
        <v>9.6</v>
      </c>
      <c r="AE100" s="134">
        <f t="shared" si="24"/>
        <v>9.6</v>
      </c>
      <c r="AF100" s="134">
        <f t="shared" si="24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3"/>
        <v>9.98</v>
      </c>
      <c r="D101" s="134">
        <f t="shared" si="23"/>
        <v>9.98</v>
      </c>
      <c r="E101" s="134">
        <f t="shared" si="23"/>
        <v>9.98</v>
      </c>
      <c r="F101" s="134">
        <f t="shared" si="23"/>
        <v>9.98</v>
      </c>
      <c r="G101" s="134">
        <f t="shared" si="23"/>
        <v>9.98</v>
      </c>
      <c r="H101" s="134">
        <f t="shared" si="23"/>
        <v>9.98</v>
      </c>
      <c r="I101" s="134">
        <f t="shared" si="23"/>
        <v>9.98</v>
      </c>
      <c r="J101" s="134">
        <f t="shared" si="23"/>
        <v>9.98</v>
      </c>
      <c r="K101" s="134">
        <f t="shared" si="23"/>
        <v>9.98</v>
      </c>
      <c r="L101" s="134">
        <f t="shared" si="23"/>
        <v>9.98</v>
      </c>
      <c r="M101" s="134">
        <f t="shared" si="23"/>
        <v>9.98</v>
      </c>
      <c r="N101" s="134">
        <f t="shared" si="23"/>
        <v>9.98</v>
      </c>
      <c r="O101" s="134">
        <f t="shared" si="23"/>
        <v>9.98</v>
      </c>
      <c r="P101" s="134">
        <f t="shared" si="23"/>
        <v>9.98</v>
      </c>
      <c r="Q101" s="134">
        <f t="shared" si="23"/>
        <v>9.98</v>
      </c>
      <c r="R101" s="134">
        <f t="shared" si="23"/>
        <v>9.98</v>
      </c>
      <c r="S101" s="134">
        <f t="shared" si="24"/>
        <v>9.98</v>
      </c>
      <c r="T101" s="134">
        <f t="shared" si="24"/>
        <v>9.98</v>
      </c>
      <c r="U101" s="134">
        <f t="shared" si="24"/>
        <v>9.98</v>
      </c>
      <c r="V101" s="134">
        <f t="shared" si="24"/>
        <v>9.98</v>
      </c>
      <c r="W101" s="134">
        <f t="shared" si="24"/>
        <v>9.98</v>
      </c>
      <c r="X101" s="134">
        <f t="shared" si="24"/>
        <v>9.98</v>
      </c>
      <c r="Y101" s="134">
        <f t="shared" si="24"/>
        <v>9.98</v>
      </c>
      <c r="Z101" s="134">
        <f t="shared" si="24"/>
        <v>9.98</v>
      </c>
      <c r="AA101" s="134">
        <f t="shared" si="24"/>
        <v>9.98</v>
      </c>
      <c r="AB101" s="134">
        <f t="shared" si="24"/>
        <v>9.98</v>
      </c>
      <c r="AC101" s="134">
        <f t="shared" si="24"/>
        <v>9.98</v>
      </c>
      <c r="AD101" s="134">
        <f t="shared" si="24"/>
        <v>9.98</v>
      </c>
      <c r="AE101" s="134">
        <f t="shared" si="24"/>
        <v>9.98</v>
      </c>
      <c r="AF101" s="134">
        <f t="shared" si="24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3"/>
        <v>9.1</v>
      </c>
      <c r="D102" s="134">
        <f t="shared" si="23"/>
        <v>9.1</v>
      </c>
      <c r="E102" s="134">
        <f t="shared" si="23"/>
        <v>9.1</v>
      </c>
      <c r="F102" s="134">
        <f t="shared" si="23"/>
        <v>9.1</v>
      </c>
      <c r="G102" s="134">
        <f t="shared" si="23"/>
        <v>9.1</v>
      </c>
      <c r="H102" s="134">
        <f t="shared" si="23"/>
        <v>9.1</v>
      </c>
      <c r="I102" s="134">
        <f t="shared" si="23"/>
        <v>9.1</v>
      </c>
      <c r="J102" s="134">
        <f t="shared" si="23"/>
        <v>9.1</v>
      </c>
      <c r="K102" s="134">
        <f t="shared" si="23"/>
        <v>9.1</v>
      </c>
      <c r="L102" s="134">
        <f t="shared" si="23"/>
        <v>9.1</v>
      </c>
      <c r="M102" s="134">
        <f t="shared" si="23"/>
        <v>9.1</v>
      </c>
      <c r="N102" s="134">
        <f t="shared" si="23"/>
        <v>9.1</v>
      </c>
      <c r="O102" s="134">
        <f t="shared" si="23"/>
        <v>9.1</v>
      </c>
      <c r="P102" s="134">
        <f t="shared" si="23"/>
        <v>9.1</v>
      </c>
      <c r="Q102" s="134">
        <f t="shared" si="23"/>
        <v>9.1</v>
      </c>
      <c r="R102" s="134">
        <f t="shared" si="23"/>
        <v>9.1</v>
      </c>
      <c r="S102" s="134">
        <f t="shared" si="24"/>
        <v>9.1</v>
      </c>
      <c r="T102" s="134">
        <f t="shared" si="24"/>
        <v>9.1</v>
      </c>
      <c r="U102" s="134">
        <f t="shared" si="24"/>
        <v>9.1</v>
      </c>
      <c r="V102" s="134">
        <f t="shared" si="24"/>
        <v>9.1</v>
      </c>
      <c r="W102" s="134">
        <f t="shared" si="24"/>
        <v>9.1</v>
      </c>
      <c r="X102" s="134">
        <f t="shared" si="24"/>
        <v>9.1</v>
      </c>
      <c r="Y102" s="134">
        <f t="shared" si="24"/>
        <v>9.1</v>
      </c>
      <c r="Z102" s="134">
        <f t="shared" si="24"/>
        <v>9.1</v>
      </c>
      <c r="AA102" s="134">
        <f t="shared" si="24"/>
        <v>9.1</v>
      </c>
      <c r="AB102" s="134">
        <f t="shared" si="24"/>
        <v>9.1</v>
      </c>
      <c r="AC102" s="134">
        <f t="shared" si="24"/>
        <v>9.1</v>
      </c>
      <c r="AD102" s="134">
        <f t="shared" si="24"/>
        <v>9.1</v>
      </c>
      <c r="AE102" s="134">
        <f t="shared" si="24"/>
        <v>9.1</v>
      </c>
      <c r="AF102" s="134">
        <f t="shared" si="24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3"/>
        <v>9.18</v>
      </c>
      <c r="D103" s="134">
        <f t="shared" si="23"/>
        <v>9.18</v>
      </c>
      <c r="E103" s="134">
        <f t="shared" si="23"/>
        <v>9.18</v>
      </c>
      <c r="F103" s="134">
        <f t="shared" si="23"/>
        <v>9.18</v>
      </c>
      <c r="G103" s="134">
        <f t="shared" si="23"/>
        <v>9.18</v>
      </c>
      <c r="H103" s="134">
        <f t="shared" si="23"/>
        <v>9.18</v>
      </c>
      <c r="I103" s="134">
        <f t="shared" si="23"/>
        <v>9.18</v>
      </c>
      <c r="J103" s="134">
        <f t="shared" si="23"/>
        <v>9.18</v>
      </c>
      <c r="K103" s="134">
        <f t="shared" si="23"/>
        <v>9.18</v>
      </c>
      <c r="L103" s="134">
        <f t="shared" si="23"/>
        <v>9.18</v>
      </c>
      <c r="M103" s="134">
        <f t="shared" si="23"/>
        <v>9.18</v>
      </c>
      <c r="N103" s="134">
        <f t="shared" si="23"/>
        <v>9.18</v>
      </c>
      <c r="O103" s="134">
        <f t="shared" si="23"/>
        <v>9.18</v>
      </c>
      <c r="P103" s="134">
        <f t="shared" si="23"/>
        <v>9.18</v>
      </c>
      <c r="Q103" s="134">
        <f t="shared" si="23"/>
        <v>9.18</v>
      </c>
      <c r="R103" s="134">
        <f t="shared" si="23"/>
        <v>9.18</v>
      </c>
      <c r="S103" s="134">
        <f t="shared" si="24"/>
        <v>9.18</v>
      </c>
      <c r="T103" s="134">
        <f t="shared" si="24"/>
        <v>9.18</v>
      </c>
      <c r="U103" s="134">
        <f t="shared" si="24"/>
        <v>9.18</v>
      </c>
      <c r="V103" s="134">
        <f t="shared" si="24"/>
        <v>9.18</v>
      </c>
      <c r="W103" s="134">
        <f t="shared" si="24"/>
        <v>9.18</v>
      </c>
      <c r="X103" s="134">
        <f t="shared" si="24"/>
        <v>9.18</v>
      </c>
      <c r="Y103" s="134">
        <f t="shared" si="24"/>
        <v>9.18</v>
      </c>
      <c r="Z103" s="134">
        <f t="shared" si="24"/>
        <v>9.18</v>
      </c>
      <c r="AA103" s="134">
        <f t="shared" si="24"/>
        <v>9.18</v>
      </c>
      <c r="AB103" s="134">
        <f t="shared" si="24"/>
        <v>9.18</v>
      </c>
      <c r="AC103" s="134">
        <f t="shared" si="24"/>
        <v>9.18</v>
      </c>
      <c r="AD103" s="134">
        <f t="shared" si="24"/>
        <v>9.18</v>
      </c>
      <c r="AE103" s="134">
        <f t="shared" si="24"/>
        <v>9.18</v>
      </c>
      <c r="AF103" s="134">
        <f t="shared" si="24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3"/>
        <v>7</v>
      </c>
      <c r="D104" s="134">
        <f t="shared" si="23"/>
        <v>7</v>
      </c>
      <c r="E104" s="134">
        <f t="shared" si="23"/>
        <v>7</v>
      </c>
      <c r="F104" s="134">
        <f t="shared" si="23"/>
        <v>7</v>
      </c>
      <c r="G104" s="134">
        <f t="shared" si="23"/>
        <v>7</v>
      </c>
      <c r="H104" s="134">
        <f t="shared" si="23"/>
        <v>7</v>
      </c>
      <c r="I104" s="134">
        <f t="shared" si="23"/>
        <v>7</v>
      </c>
      <c r="J104" s="134">
        <f t="shared" si="23"/>
        <v>7</v>
      </c>
      <c r="K104" s="134">
        <f t="shared" si="23"/>
        <v>7</v>
      </c>
      <c r="L104" s="134">
        <f t="shared" si="23"/>
        <v>7</v>
      </c>
      <c r="M104" s="134">
        <f t="shared" si="23"/>
        <v>7</v>
      </c>
      <c r="N104" s="134">
        <f t="shared" si="23"/>
        <v>7</v>
      </c>
      <c r="O104" s="134">
        <f t="shared" si="23"/>
        <v>7</v>
      </c>
      <c r="P104" s="134">
        <f t="shared" si="23"/>
        <v>7</v>
      </c>
      <c r="Q104" s="134">
        <f t="shared" si="23"/>
        <v>7</v>
      </c>
      <c r="R104" s="134">
        <f t="shared" si="23"/>
        <v>7</v>
      </c>
      <c r="S104" s="134">
        <f t="shared" si="24"/>
        <v>7</v>
      </c>
      <c r="T104" s="134">
        <f t="shared" si="24"/>
        <v>7</v>
      </c>
      <c r="U104" s="134">
        <f t="shared" si="24"/>
        <v>7</v>
      </c>
      <c r="V104" s="134">
        <f t="shared" si="24"/>
        <v>7</v>
      </c>
      <c r="W104" s="134">
        <f t="shared" si="24"/>
        <v>7</v>
      </c>
      <c r="X104" s="134">
        <f t="shared" si="24"/>
        <v>7</v>
      </c>
      <c r="Y104" s="134">
        <f t="shared" si="24"/>
        <v>7</v>
      </c>
      <c r="Z104" s="134">
        <f t="shared" si="24"/>
        <v>7</v>
      </c>
      <c r="AA104" s="134">
        <f t="shared" si="24"/>
        <v>7</v>
      </c>
      <c r="AB104" s="134">
        <f t="shared" si="24"/>
        <v>7</v>
      </c>
      <c r="AC104" s="134">
        <f t="shared" si="24"/>
        <v>7</v>
      </c>
      <c r="AD104" s="134">
        <f t="shared" si="24"/>
        <v>7</v>
      </c>
      <c r="AE104" s="134">
        <f t="shared" si="24"/>
        <v>7</v>
      </c>
      <c r="AF104" s="134">
        <f t="shared" si="24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5">B106</f>
        <v>2.25</v>
      </c>
      <c r="D106" s="134">
        <f t="shared" si="25"/>
        <v>2.25</v>
      </c>
      <c r="E106" s="134">
        <f t="shared" si="25"/>
        <v>2.25</v>
      </c>
      <c r="F106" s="134">
        <f t="shared" si="25"/>
        <v>2.25</v>
      </c>
      <c r="G106" s="134">
        <f t="shared" si="25"/>
        <v>2.25</v>
      </c>
      <c r="H106" s="134">
        <f t="shared" si="25"/>
        <v>2.25</v>
      </c>
      <c r="I106" s="134">
        <f t="shared" si="25"/>
        <v>2.25</v>
      </c>
      <c r="J106" s="134">
        <f t="shared" si="25"/>
        <v>2.25</v>
      </c>
      <c r="K106" s="134">
        <f t="shared" si="25"/>
        <v>2.25</v>
      </c>
      <c r="L106" s="134">
        <f t="shared" si="25"/>
        <v>2.25</v>
      </c>
      <c r="M106" s="134">
        <f t="shared" si="25"/>
        <v>2.25</v>
      </c>
      <c r="N106" s="134">
        <f t="shared" si="25"/>
        <v>2.25</v>
      </c>
      <c r="O106" s="134">
        <f t="shared" si="25"/>
        <v>2.25</v>
      </c>
      <c r="P106" s="134">
        <f t="shared" si="25"/>
        <v>2.25</v>
      </c>
      <c r="Q106" s="134">
        <f t="shared" si="25"/>
        <v>2.25</v>
      </c>
      <c r="R106" s="134">
        <f t="shared" si="25"/>
        <v>2.25</v>
      </c>
      <c r="S106" s="134">
        <f t="shared" ref="S106:AF107" si="26">R106</f>
        <v>2.25</v>
      </c>
      <c r="T106" s="134">
        <f t="shared" si="26"/>
        <v>2.25</v>
      </c>
      <c r="U106" s="134">
        <f t="shared" si="26"/>
        <v>2.25</v>
      </c>
      <c r="V106" s="134">
        <f t="shared" si="26"/>
        <v>2.25</v>
      </c>
      <c r="W106" s="134">
        <f t="shared" si="26"/>
        <v>2.25</v>
      </c>
      <c r="X106" s="134">
        <f t="shared" si="26"/>
        <v>2.25</v>
      </c>
      <c r="Y106" s="134">
        <f t="shared" si="26"/>
        <v>2.25</v>
      </c>
      <c r="Z106" s="134">
        <f t="shared" si="26"/>
        <v>2.25</v>
      </c>
      <c r="AA106" s="134">
        <f t="shared" si="26"/>
        <v>2.25</v>
      </c>
      <c r="AB106" s="134">
        <f t="shared" si="26"/>
        <v>2.25</v>
      </c>
      <c r="AC106" s="134">
        <f t="shared" si="26"/>
        <v>2.25</v>
      </c>
      <c r="AD106" s="134">
        <f t="shared" si="26"/>
        <v>2.25</v>
      </c>
      <c r="AE106" s="134">
        <f t="shared" si="26"/>
        <v>2.25</v>
      </c>
      <c r="AF106" s="134">
        <f t="shared" si="26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5"/>
        <v>1.64</v>
      </c>
      <c r="D107" s="134">
        <f t="shared" si="25"/>
        <v>1.64</v>
      </c>
      <c r="E107" s="134">
        <f t="shared" si="25"/>
        <v>1.64</v>
      </c>
      <c r="F107" s="134">
        <f t="shared" si="25"/>
        <v>1.64</v>
      </c>
      <c r="G107" s="134">
        <f t="shared" si="25"/>
        <v>1.64</v>
      </c>
      <c r="H107" s="134">
        <f t="shared" si="25"/>
        <v>1.64</v>
      </c>
      <c r="I107" s="134">
        <f t="shared" si="25"/>
        <v>1.64</v>
      </c>
      <c r="J107" s="134">
        <f t="shared" si="25"/>
        <v>1.64</v>
      </c>
      <c r="K107" s="134">
        <f t="shared" si="25"/>
        <v>1.64</v>
      </c>
      <c r="L107" s="134">
        <f t="shared" si="25"/>
        <v>1.64</v>
      </c>
      <c r="M107" s="134">
        <f t="shared" si="25"/>
        <v>1.64</v>
      </c>
      <c r="N107" s="134">
        <f t="shared" si="25"/>
        <v>1.64</v>
      </c>
      <c r="O107" s="134">
        <f t="shared" si="25"/>
        <v>1.64</v>
      </c>
      <c r="P107" s="134">
        <f t="shared" si="25"/>
        <v>1.64</v>
      </c>
      <c r="Q107" s="134">
        <f t="shared" si="25"/>
        <v>1.64</v>
      </c>
      <c r="R107" s="134">
        <f t="shared" si="25"/>
        <v>1.64</v>
      </c>
      <c r="S107" s="134">
        <f t="shared" si="26"/>
        <v>1.64</v>
      </c>
      <c r="T107" s="134">
        <f t="shared" si="26"/>
        <v>1.64</v>
      </c>
      <c r="U107" s="134">
        <f t="shared" si="26"/>
        <v>1.64</v>
      </c>
      <c r="V107" s="134">
        <f t="shared" si="26"/>
        <v>1.64</v>
      </c>
      <c r="W107" s="134">
        <f t="shared" si="26"/>
        <v>1.64</v>
      </c>
      <c r="X107" s="134">
        <f t="shared" si="26"/>
        <v>1.64</v>
      </c>
      <c r="Y107" s="134">
        <f t="shared" si="26"/>
        <v>1.64</v>
      </c>
      <c r="Z107" s="134">
        <f t="shared" si="26"/>
        <v>1.64</v>
      </c>
      <c r="AA107" s="134">
        <f t="shared" si="26"/>
        <v>1.64</v>
      </c>
      <c r="AB107" s="134">
        <f t="shared" si="26"/>
        <v>1.64</v>
      </c>
      <c r="AC107" s="134">
        <f t="shared" si="26"/>
        <v>1.64</v>
      </c>
      <c r="AD107" s="134">
        <f t="shared" si="26"/>
        <v>1.64</v>
      </c>
      <c r="AE107" s="134">
        <f t="shared" si="26"/>
        <v>1.64</v>
      </c>
      <c r="AF107" s="134">
        <f t="shared" si="26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7">B109</f>
        <v>1.62</v>
      </c>
      <c r="D109" s="134">
        <f t="shared" si="27"/>
        <v>1.62</v>
      </c>
      <c r="E109" s="134">
        <f t="shared" si="27"/>
        <v>1.62</v>
      </c>
      <c r="F109" s="134">
        <f t="shared" si="27"/>
        <v>1.62</v>
      </c>
      <c r="G109" s="134">
        <f t="shared" si="27"/>
        <v>1.62</v>
      </c>
      <c r="H109" s="134">
        <f t="shared" si="27"/>
        <v>1.62</v>
      </c>
      <c r="I109" s="134">
        <f t="shared" si="27"/>
        <v>1.62</v>
      </c>
      <c r="J109" s="134">
        <f t="shared" si="27"/>
        <v>1.62</v>
      </c>
      <c r="K109" s="134">
        <f t="shared" si="27"/>
        <v>1.62</v>
      </c>
      <c r="L109" s="134">
        <f t="shared" si="27"/>
        <v>1.62</v>
      </c>
      <c r="M109" s="134">
        <f t="shared" si="27"/>
        <v>1.62</v>
      </c>
      <c r="N109" s="134">
        <f t="shared" si="27"/>
        <v>1.62</v>
      </c>
      <c r="O109" s="134">
        <f t="shared" si="27"/>
        <v>1.62</v>
      </c>
      <c r="P109" s="134">
        <f t="shared" si="27"/>
        <v>1.62</v>
      </c>
      <c r="Q109" s="134">
        <f t="shared" si="27"/>
        <v>1.62</v>
      </c>
      <c r="R109" s="134">
        <f t="shared" si="27"/>
        <v>1.62</v>
      </c>
      <c r="S109" s="134">
        <f t="shared" ref="S109:AF124" si="28">R109</f>
        <v>1.62</v>
      </c>
      <c r="T109" s="134">
        <f t="shared" si="28"/>
        <v>1.62</v>
      </c>
      <c r="U109" s="134">
        <f t="shared" si="28"/>
        <v>1.62</v>
      </c>
      <c r="V109" s="134">
        <f t="shared" si="28"/>
        <v>1.62</v>
      </c>
      <c r="W109" s="134">
        <f t="shared" si="28"/>
        <v>1.62</v>
      </c>
      <c r="X109" s="134">
        <f t="shared" si="28"/>
        <v>1.62</v>
      </c>
      <c r="Y109" s="134">
        <f t="shared" si="28"/>
        <v>1.62</v>
      </c>
      <c r="Z109" s="134">
        <f t="shared" si="28"/>
        <v>1.62</v>
      </c>
      <c r="AA109" s="134">
        <f t="shared" si="28"/>
        <v>1.62</v>
      </c>
      <c r="AB109" s="134">
        <f t="shared" si="28"/>
        <v>1.62</v>
      </c>
      <c r="AC109" s="134">
        <f t="shared" si="28"/>
        <v>1.62</v>
      </c>
      <c r="AD109" s="134">
        <f t="shared" si="28"/>
        <v>1.62</v>
      </c>
      <c r="AE109" s="134">
        <f t="shared" si="28"/>
        <v>1.62</v>
      </c>
      <c r="AF109" s="134">
        <f t="shared" si="28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7"/>
        <v>8.36</v>
      </c>
      <c r="D110" s="134">
        <f t="shared" si="27"/>
        <v>8.36</v>
      </c>
      <c r="E110" s="134">
        <f t="shared" si="27"/>
        <v>8.36</v>
      </c>
      <c r="F110" s="134">
        <f t="shared" si="27"/>
        <v>8.36</v>
      </c>
      <c r="G110" s="134">
        <f t="shared" si="27"/>
        <v>8.36</v>
      </c>
      <c r="H110" s="134">
        <f t="shared" si="27"/>
        <v>8.36</v>
      </c>
      <c r="I110" s="134">
        <f t="shared" si="27"/>
        <v>8.36</v>
      </c>
      <c r="J110" s="134">
        <f t="shared" si="27"/>
        <v>8.36</v>
      </c>
      <c r="K110" s="134">
        <f t="shared" si="27"/>
        <v>8.36</v>
      </c>
      <c r="L110" s="134">
        <f t="shared" si="27"/>
        <v>8.36</v>
      </c>
      <c r="M110" s="134">
        <f t="shared" si="27"/>
        <v>8.36</v>
      </c>
      <c r="N110" s="134">
        <f t="shared" si="27"/>
        <v>8.36</v>
      </c>
      <c r="O110" s="134">
        <f t="shared" si="27"/>
        <v>8.36</v>
      </c>
      <c r="P110" s="134">
        <f t="shared" si="27"/>
        <v>8.36</v>
      </c>
      <c r="Q110" s="134">
        <f t="shared" si="27"/>
        <v>8.36</v>
      </c>
      <c r="R110" s="134">
        <f t="shared" si="27"/>
        <v>8.36</v>
      </c>
      <c r="S110" s="134">
        <f t="shared" si="28"/>
        <v>8.36</v>
      </c>
      <c r="T110" s="134">
        <f t="shared" si="28"/>
        <v>8.36</v>
      </c>
      <c r="U110" s="134">
        <f t="shared" si="28"/>
        <v>8.36</v>
      </c>
      <c r="V110" s="134">
        <f t="shared" si="28"/>
        <v>8.36</v>
      </c>
      <c r="W110" s="134">
        <f t="shared" si="28"/>
        <v>8.36</v>
      </c>
      <c r="X110" s="134">
        <f t="shared" si="28"/>
        <v>8.36</v>
      </c>
      <c r="Y110" s="134">
        <f t="shared" si="28"/>
        <v>8.36</v>
      </c>
      <c r="Z110" s="134">
        <f t="shared" si="28"/>
        <v>8.36</v>
      </c>
      <c r="AA110" s="134">
        <f t="shared" si="28"/>
        <v>8.36</v>
      </c>
      <c r="AB110" s="134">
        <f t="shared" si="28"/>
        <v>8.36</v>
      </c>
      <c r="AC110" s="134">
        <f t="shared" si="28"/>
        <v>8.36</v>
      </c>
      <c r="AD110" s="134">
        <f t="shared" si="28"/>
        <v>8.36</v>
      </c>
      <c r="AE110" s="134">
        <f t="shared" si="28"/>
        <v>8.36</v>
      </c>
      <c r="AF110" s="134">
        <f t="shared" si="28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7"/>
        <v>8</v>
      </c>
      <c r="D111" s="134">
        <f t="shared" si="27"/>
        <v>8</v>
      </c>
      <c r="E111" s="134">
        <f t="shared" si="27"/>
        <v>8</v>
      </c>
      <c r="F111" s="134">
        <f t="shared" si="27"/>
        <v>8</v>
      </c>
      <c r="G111" s="134">
        <f t="shared" si="27"/>
        <v>8</v>
      </c>
      <c r="H111" s="134">
        <f t="shared" si="27"/>
        <v>8</v>
      </c>
      <c r="I111" s="134">
        <v>5.4</v>
      </c>
      <c r="J111" s="134">
        <f t="shared" si="27"/>
        <v>5.4</v>
      </c>
      <c r="K111" s="134">
        <f t="shared" si="27"/>
        <v>5.4</v>
      </c>
      <c r="L111" s="134">
        <f t="shared" si="27"/>
        <v>5.4</v>
      </c>
      <c r="M111" s="134">
        <f t="shared" si="27"/>
        <v>5.4</v>
      </c>
      <c r="N111" s="134">
        <f t="shared" si="27"/>
        <v>5.4</v>
      </c>
      <c r="O111" s="134">
        <f t="shared" si="27"/>
        <v>5.4</v>
      </c>
      <c r="P111" s="134">
        <f t="shared" si="27"/>
        <v>5.4</v>
      </c>
      <c r="Q111" s="134">
        <f t="shared" si="27"/>
        <v>5.4</v>
      </c>
      <c r="R111" s="134">
        <f t="shared" si="27"/>
        <v>5.4</v>
      </c>
      <c r="S111" s="134">
        <f t="shared" si="28"/>
        <v>5.4</v>
      </c>
      <c r="T111" s="134">
        <f t="shared" si="28"/>
        <v>5.4</v>
      </c>
      <c r="U111" s="134">
        <f t="shared" si="28"/>
        <v>5.4</v>
      </c>
      <c r="V111" s="134">
        <f t="shared" si="28"/>
        <v>5.4</v>
      </c>
      <c r="W111" s="134">
        <f t="shared" si="28"/>
        <v>5.4</v>
      </c>
      <c r="X111" s="134">
        <f t="shared" si="28"/>
        <v>5.4</v>
      </c>
      <c r="Y111" s="134">
        <f t="shared" si="28"/>
        <v>5.4</v>
      </c>
      <c r="Z111" s="134">
        <f t="shared" si="28"/>
        <v>5.4</v>
      </c>
      <c r="AA111" s="134">
        <f t="shared" si="28"/>
        <v>5.4</v>
      </c>
      <c r="AB111" s="134">
        <f t="shared" si="28"/>
        <v>5.4</v>
      </c>
      <c r="AC111" s="134">
        <f t="shared" si="28"/>
        <v>5.4</v>
      </c>
      <c r="AD111" s="134">
        <f t="shared" si="28"/>
        <v>5.4</v>
      </c>
      <c r="AE111" s="134">
        <f t="shared" si="28"/>
        <v>5.4</v>
      </c>
      <c r="AF111" s="134">
        <f t="shared" si="28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7"/>
        <v>6.57</v>
      </c>
      <c r="D112" s="134">
        <f t="shared" si="27"/>
        <v>6.57</v>
      </c>
      <c r="E112" s="134">
        <f t="shared" si="27"/>
        <v>6.57</v>
      </c>
      <c r="F112" s="134">
        <f t="shared" si="27"/>
        <v>6.57</v>
      </c>
      <c r="G112" s="134">
        <f t="shared" si="27"/>
        <v>6.57</v>
      </c>
      <c r="H112" s="134">
        <f t="shared" si="27"/>
        <v>6.57</v>
      </c>
      <c r="I112" s="134">
        <f t="shared" si="27"/>
        <v>6.57</v>
      </c>
      <c r="J112" s="134">
        <f t="shared" si="27"/>
        <v>6.57</v>
      </c>
      <c r="K112" s="134">
        <f t="shared" si="27"/>
        <v>6.57</v>
      </c>
      <c r="L112" s="134">
        <f t="shared" si="27"/>
        <v>6.57</v>
      </c>
      <c r="M112" s="134">
        <f t="shared" si="27"/>
        <v>6.57</v>
      </c>
      <c r="N112" s="134">
        <f t="shared" si="27"/>
        <v>6.57</v>
      </c>
      <c r="O112" s="134">
        <f t="shared" si="27"/>
        <v>6.57</v>
      </c>
      <c r="P112" s="134">
        <f t="shared" si="27"/>
        <v>6.57</v>
      </c>
      <c r="Q112" s="134">
        <f t="shared" si="27"/>
        <v>6.57</v>
      </c>
      <c r="R112" s="134">
        <f t="shared" si="27"/>
        <v>6.57</v>
      </c>
      <c r="S112" s="134">
        <f t="shared" si="28"/>
        <v>6.57</v>
      </c>
      <c r="T112" s="134">
        <f t="shared" si="28"/>
        <v>6.57</v>
      </c>
      <c r="U112" s="134">
        <f t="shared" si="28"/>
        <v>6.57</v>
      </c>
      <c r="V112" s="134">
        <f t="shared" si="28"/>
        <v>6.57</v>
      </c>
      <c r="W112" s="134">
        <f t="shared" si="28"/>
        <v>6.57</v>
      </c>
      <c r="X112" s="134">
        <f t="shared" si="28"/>
        <v>6.57</v>
      </c>
      <c r="Y112" s="134">
        <f t="shared" si="28"/>
        <v>6.57</v>
      </c>
      <c r="Z112" s="134">
        <f t="shared" si="28"/>
        <v>6.57</v>
      </c>
      <c r="AA112" s="134">
        <f t="shared" si="28"/>
        <v>6.57</v>
      </c>
      <c r="AB112" s="134">
        <f t="shared" si="28"/>
        <v>6.57</v>
      </c>
      <c r="AC112" s="134">
        <f t="shared" si="28"/>
        <v>6.57</v>
      </c>
      <c r="AD112" s="134">
        <f t="shared" si="28"/>
        <v>6.57</v>
      </c>
      <c r="AE112" s="134">
        <f t="shared" si="28"/>
        <v>6.57</v>
      </c>
      <c r="AF112" s="134">
        <f t="shared" si="28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7"/>
        <v>3.43</v>
      </c>
      <c r="D113" s="134">
        <f t="shared" si="27"/>
        <v>3.43</v>
      </c>
      <c r="E113" s="134">
        <f t="shared" si="27"/>
        <v>3.43</v>
      </c>
      <c r="F113" s="134">
        <f t="shared" si="27"/>
        <v>3.43</v>
      </c>
      <c r="G113" s="134">
        <f t="shared" si="27"/>
        <v>3.43</v>
      </c>
      <c r="H113" s="134">
        <f t="shared" si="27"/>
        <v>3.43</v>
      </c>
      <c r="I113" s="134">
        <f t="shared" si="27"/>
        <v>3.43</v>
      </c>
      <c r="J113" s="134">
        <f t="shared" si="27"/>
        <v>3.43</v>
      </c>
      <c r="K113" s="134">
        <f t="shared" si="27"/>
        <v>3.43</v>
      </c>
      <c r="L113" s="134">
        <f t="shared" si="27"/>
        <v>3.43</v>
      </c>
      <c r="M113" s="134">
        <f t="shared" si="27"/>
        <v>3.43</v>
      </c>
      <c r="N113" s="134">
        <f t="shared" si="27"/>
        <v>3.43</v>
      </c>
      <c r="O113" s="134">
        <f t="shared" si="27"/>
        <v>3.43</v>
      </c>
      <c r="P113" s="134">
        <f t="shared" si="27"/>
        <v>3.43</v>
      </c>
      <c r="Q113" s="134">
        <f t="shared" si="27"/>
        <v>3.43</v>
      </c>
      <c r="R113" s="134">
        <f t="shared" si="27"/>
        <v>3.43</v>
      </c>
      <c r="S113" s="134">
        <f t="shared" si="28"/>
        <v>3.43</v>
      </c>
      <c r="T113" s="134">
        <f t="shared" si="28"/>
        <v>3.43</v>
      </c>
      <c r="U113" s="134">
        <f t="shared" si="28"/>
        <v>3.43</v>
      </c>
      <c r="V113" s="134">
        <f t="shared" si="28"/>
        <v>3.43</v>
      </c>
      <c r="W113" s="134">
        <f t="shared" si="28"/>
        <v>3.43</v>
      </c>
      <c r="X113" s="134">
        <f t="shared" si="28"/>
        <v>3.43</v>
      </c>
      <c r="Y113" s="134">
        <f t="shared" si="28"/>
        <v>3.43</v>
      </c>
      <c r="Z113" s="134">
        <f t="shared" si="28"/>
        <v>3.43</v>
      </c>
      <c r="AA113" s="134">
        <f t="shared" si="28"/>
        <v>3.43</v>
      </c>
      <c r="AB113" s="134">
        <f t="shared" si="28"/>
        <v>3.43</v>
      </c>
      <c r="AC113" s="134">
        <f t="shared" si="28"/>
        <v>3.43</v>
      </c>
      <c r="AD113" s="134">
        <f t="shared" si="28"/>
        <v>3.43</v>
      </c>
      <c r="AE113" s="134">
        <f t="shared" si="28"/>
        <v>3.43</v>
      </c>
      <c r="AF113" s="134">
        <f t="shared" si="28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7"/>
        <v>2.96</v>
      </c>
      <c r="D114" s="134">
        <f t="shared" si="27"/>
        <v>2.96</v>
      </c>
      <c r="E114" s="134">
        <f t="shared" si="27"/>
        <v>2.96</v>
      </c>
      <c r="F114" s="134">
        <f t="shared" si="27"/>
        <v>2.96</v>
      </c>
      <c r="G114" s="134">
        <f t="shared" si="27"/>
        <v>2.96</v>
      </c>
      <c r="H114" s="134">
        <f t="shared" si="27"/>
        <v>2.96</v>
      </c>
      <c r="I114" s="134">
        <f t="shared" si="27"/>
        <v>2.96</v>
      </c>
      <c r="J114" s="134">
        <f t="shared" si="27"/>
        <v>2.96</v>
      </c>
      <c r="K114" s="134">
        <f t="shared" si="27"/>
        <v>2.96</v>
      </c>
      <c r="L114" s="134">
        <f t="shared" si="27"/>
        <v>2.96</v>
      </c>
      <c r="M114" s="134">
        <f t="shared" si="27"/>
        <v>2.96</v>
      </c>
      <c r="N114" s="134">
        <f t="shared" si="27"/>
        <v>2.96</v>
      </c>
      <c r="O114" s="134">
        <f t="shared" si="27"/>
        <v>2.96</v>
      </c>
      <c r="P114" s="134">
        <f t="shared" si="27"/>
        <v>2.96</v>
      </c>
      <c r="Q114" s="134">
        <f t="shared" si="27"/>
        <v>2.96</v>
      </c>
      <c r="R114" s="134">
        <f t="shared" si="27"/>
        <v>2.96</v>
      </c>
      <c r="S114" s="134">
        <f t="shared" si="28"/>
        <v>2.96</v>
      </c>
      <c r="T114" s="134">
        <f t="shared" si="28"/>
        <v>2.96</v>
      </c>
      <c r="U114" s="134">
        <f t="shared" si="28"/>
        <v>2.96</v>
      </c>
      <c r="V114" s="134">
        <f t="shared" si="28"/>
        <v>2.96</v>
      </c>
      <c r="W114" s="134">
        <f t="shared" si="28"/>
        <v>2.96</v>
      </c>
      <c r="X114" s="134">
        <f t="shared" si="28"/>
        <v>2.96</v>
      </c>
      <c r="Y114" s="134">
        <f t="shared" si="28"/>
        <v>2.96</v>
      </c>
      <c r="Z114" s="134">
        <f t="shared" si="28"/>
        <v>2.96</v>
      </c>
      <c r="AA114" s="134">
        <f t="shared" si="28"/>
        <v>2.96</v>
      </c>
      <c r="AB114" s="134">
        <f t="shared" si="28"/>
        <v>2.96</v>
      </c>
      <c r="AC114" s="134">
        <f t="shared" si="28"/>
        <v>2.96</v>
      </c>
      <c r="AD114" s="134">
        <f t="shared" si="28"/>
        <v>2.96</v>
      </c>
      <c r="AE114" s="134">
        <f t="shared" si="28"/>
        <v>2.96</v>
      </c>
      <c r="AF114" s="134">
        <f t="shared" si="28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7"/>
        <v>8</v>
      </c>
      <c r="D115" s="134">
        <f t="shared" si="27"/>
        <v>8</v>
      </c>
      <c r="E115" s="134">
        <f t="shared" si="27"/>
        <v>8</v>
      </c>
      <c r="F115" s="134">
        <f t="shared" si="27"/>
        <v>8</v>
      </c>
      <c r="G115" s="134">
        <f t="shared" si="27"/>
        <v>8</v>
      </c>
      <c r="H115" s="134">
        <f t="shared" si="27"/>
        <v>8</v>
      </c>
      <c r="I115" s="134">
        <f t="shared" si="27"/>
        <v>8</v>
      </c>
      <c r="J115" s="134">
        <f t="shared" si="27"/>
        <v>8</v>
      </c>
      <c r="K115" s="134">
        <f t="shared" si="27"/>
        <v>8</v>
      </c>
      <c r="L115" s="134">
        <f t="shared" si="27"/>
        <v>8</v>
      </c>
      <c r="M115" s="134">
        <f t="shared" si="27"/>
        <v>8</v>
      </c>
      <c r="N115" s="134">
        <f t="shared" si="27"/>
        <v>8</v>
      </c>
      <c r="O115" s="134">
        <f t="shared" si="27"/>
        <v>8</v>
      </c>
      <c r="P115" s="134">
        <f t="shared" si="27"/>
        <v>8</v>
      </c>
      <c r="Q115" s="134">
        <f t="shared" si="27"/>
        <v>8</v>
      </c>
      <c r="R115" s="134">
        <f t="shared" si="27"/>
        <v>8</v>
      </c>
      <c r="S115" s="134">
        <f t="shared" si="28"/>
        <v>8</v>
      </c>
      <c r="T115" s="134">
        <f t="shared" si="28"/>
        <v>8</v>
      </c>
      <c r="U115" s="134">
        <f t="shared" si="28"/>
        <v>8</v>
      </c>
      <c r="V115" s="134">
        <f t="shared" si="28"/>
        <v>8</v>
      </c>
      <c r="W115" s="134">
        <f t="shared" si="28"/>
        <v>8</v>
      </c>
      <c r="X115" s="134">
        <f t="shared" si="28"/>
        <v>8</v>
      </c>
      <c r="Y115" s="134">
        <f t="shared" si="28"/>
        <v>8</v>
      </c>
      <c r="Z115" s="134">
        <f t="shared" si="28"/>
        <v>8</v>
      </c>
      <c r="AA115" s="134">
        <f t="shared" si="28"/>
        <v>8</v>
      </c>
      <c r="AB115" s="134">
        <f t="shared" si="28"/>
        <v>8</v>
      </c>
      <c r="AC115" s="134">
        <f t="shared" si="28"/>
        <v>8</v>
      </c>
      <c r="AD115" s="134">
        <f t="shared" si="28"/>
        <v>8</v>
      </c>
      <c r="AE115" s="134">
        <f t="shared" si="28"/>
        <v>8</v>
      </c>
      <c r="AF115" s="134">
        <f t="shared" si="28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7"/>
        <v>7</v>
      </c>
      <c r="E116" s="134">
        <f t="shared" si="27"/>
        <v>7</v>
      </c>
      <c r="F116" s="134">
        <f t="shared" si="27"/>
        <v>7</v>
      </c>
      <c r="G116" s="134">
        <f t="shared" si="27"/>
        <v>7</v>
      </c>
      <c r="H116" s="134">
        <f t="shared" si="27"/>
        <v>7</v>
      </c>
      <c r="I116" s="134">
        <f t="shared" si="27"/>
        <v>7</v>
      </c>
      <c r="J116" s="134">
        <f t="shared" si="27"/>
        <v>7</v>
      </c>
      <c r="K116" s="134">
        <f t="shared" si="27"/>
        <v>7</v>
      </c>
      <c r="L116" s="134">
        <f t="shared" si="27"/>
        <v>7</v>
      </c>
      <c r="M116" s="134">
        <f t="shared" si="27"/>
        <v>7</v>
      </c>
      <c r="N116" s="134">
        <f t="shared" si="27"/>
        <v>7</v>
      </c>
      <c r="O116" s="134">
        <f t="shared" si="27"/>
        <v>7</v>
      </c>
      <c r="P116" s="134">
        <f t="shared" si="27"/>
        <v>7</v>
      </c>
      <c r="Q116" s="134">
        <f t="shared" si="27"/>
        <v>7</v>
      </c>
      <c r="R116" s="134">
        <f t="shared" si="27"/>
        <v>7</v>
      </c>
      <c r="S116" s="134">
        <f t="shared" si="28"/>
        <v>7</v>
      </c>
      <c r="T116" s="134">
        <f t="shared" si="28"/>
        <v>7</v>
      </c>
      <c r="U116" s="134">
        <f t="shared" si="28"/>
        <v>7</v>
      </c>
      <c r="V116" s="134">
        <f t="shared" si="28"/>
        <v>7</v>
      </c>
      <c r="W116" s="134">
        <f t="shared" si="28"/>
        <v>7</v>
      </c>
      <c r="X116" s="134">
        <f t="shared" si="28"/>
        <v>7</v>
      </c>
      <c r="Y116" s="134">
        <f t="shared" si="28"/>
        <v>7</v>
      </c>
      <c r="Z116" s="134">
        <f t="shared" si="28"/>
        <v>7</v>
      </c>
      <c r="AA116" s="134">
        <f t="shared" si="28"/>
        <v>7</v>
      </c>
      <c r="AB116" s="134">
        <f t="shared" si="28"/>
        <v>7</v>
      </c>
      <c r="AC116" s="134">
        <f t="shared" si="28"/>
        <v>7</v>
      </c>
      <c r="AD116" s="134">
        <f t="shared" si="28"/>
        <v>7</v>
      </c>
      <c r="AE116" s="134">
        <f t="shared" si="28"/>
        <v>7</v>
      </c>
      <c r="AF116" s="134">
        <f t="shared" si="28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29">B117</f>
        <v>3.47</v>
      </c>
      <c r="D117" s="134">
        <f t="shared" si="29"/>
        <v>3.47</v>
      </c>
      <c r="E117" s="134">
        <f t="shared" si="29"/>
        <v>3.47</v>
      </c>
      <c r="F117" s="134">
        <f t="shared" si="29"/>
        <v>3.47</v>
      </c>
      <c r="G117" s="134">
        <f t="shared" si="29"/>
        <v>3.47</v>
      </c>
      <c r="H117" s="134">
        <f t="shared" si="29"/>
        <v>3.47</v>
      </c>
      <c r="I117" s="134">
        <f t="shared" si="29"/>
        <v>3.47</v>
      </c>
      <c r="J117" s="134">
        <f t="shared" si="29"/>
        <v>3.47</v>
      </c>
      <c r="K117" s="134">
        <f t="shared" si="29"/>
        <v>3.47</v>
      </c>
      <c r="L117" s="134">
        <f t="shared" si="29"/>
        <v>3.47</v>
      </c>
      <c r="M117" s="134">
        <f t="shared" si="29"/>
        <v>3.47</v>
      </c>
      <c r="N117" s="134">
        <f t="shared" si="29"/>
        <v>3.47</v>
      </c>
      <c r="O117" s="134">
        <f t="shared" si="29"/>
        <v>3.47</v>
      </c>
      <c r="P117" s="134">
        <f t="shared" si="29"/>
        <v>3.47</v>
      </c>
      <c r="Q117" s="134">
        <f t="shared" si="29"/>
        <v>3.47</v>
      </c>
      <c r="R117" s="134">
        <f t="shared" si="29"/>
        <v>3.47</v>
      </c>
      <c r="S117" s="134">
        <f t="shared" si="28"/>
        <v>3.47</v>
      </c>
      <c r="T117" s="134">
        <f t="shared" si="28"/>
        <v>3.47</v>
      </c>
      <c r="U117" s="134">
        <f t="shared" si="28"/>
        <v>3.47</v>
      </c>
      <c r="V117" s="134">
        <f t="shared" si="28"/>
        <v>3.47</v>
      </c>
      <c r="W117" s="134">
        <f t="shared" si="28"/>
        <v>3.47</v>
      </c>
      <c r="X117" s="134">
        <f t="shared" si="28"/>
        <v>3.47</v>
      </c>
      <c r="Y117" s="134">
        <f t="shared" si="28"/>
        <v>3.47</v>
      </c>
      <c r="Z117" s="134">
        <f t="shared" si="28"/>
        <v>3.47</v>
      </c>
      <c r="AA117" s="134">
        <f t="shared" si="28"/>
        <v>3.47</v>
      </c>
      <c r="AB117" s="134">
        <f t="shared" si="28"/>
        <v>3.47</v>
      </c>
      <c r="AC117" s="134">
        <f t="shared" si="28"/>
        <v>3.47</v>
      </c>
      <c r="AD117" s="134">
        <f t="shared" si="28"/>
        <v>3.47</v>
      </c>
      <c r="AE117" s="134">
        <f t="shared" si="28"/>
        <v>3.47</v>
      </c>
      <c r="AF117" s="134">
        <f t="shared" si="28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29"/>
        <v>2.1</v>
      </c>
      <c r="D118" s="134">
        <f t="shared" si="29"/>
        <v>2.1</v>
      </c>
      <c r="E118" s="134">
        <f t="shared" si="29"/>
        <v>2.1</v>
      </c>
      <c r="F118" s="134">
        <f t="shared" si="29"/>
        <v>2.1</v>
      </c>
      <c r="G118" s="134">
        <f t="shared" si="29"/>
        <v>2.1</v>
      </c>
      <c r="H118" s="134">
        <f t="shared" si="29"/>
        <v>2.1</v>
      </c>
      <c r="I118" s="134">
        <f t="shared" si="29"/>
        <v>2.1</v>
      </c>
      <c r="J118" s="134">
        <f t="shared" si="29"/>
        <v>2.1</v>
      </c>
      <c r="K118" s="134">
        <f t="shared" si="29"/>
        <v>2.1</v>
      </c>
      <c r="L118" s="134">
        <f t="shared" si="29"/>
        <v>2.1</v>
      </c>
      <c r="M118" s="134">
        <f t="shared" si="29"/>
        <v>2.1</v>
      </c>
      <c r="N118" s="134">
        <f t="shared" si="29"/>
        <v>2.1</v>
      </c>
      <c r="O118" s="134">
        <f t="shared" si="29"/>
        <v>2.1</v>
      </c>
      <c r="P118" s="134">
        <f t="shared" si="29"/>
        <v>2.1</v>
      </c>
      <c r="Q118" s="134">
        <f t="shared" si="29"/>
        <v>2.1</v>
      </c>
      <c r="R118" s="134">
        <f t="shared" si="29"/>
        <v>2.1</v>
      </c>
      <c r="S118" s="134">
        <f t="shared" si="28"/>
        <v>2.1</v>
      </c>
      <c r="T118" s="134">
        <f t="shared" si="28"/>
        <v>2.1</v>
      </c>
      <c r="U118" s="134">
        <f t="shared" si="28"/>
        <v>2.1</v>
      </c>
      <c r="V118" s="134">
        <f t="shared" si="28"/>
        <v>2.1</v>
      </c>
      <c r="W118" s="134">
        <f t="shared" si="28"/>
        <v>2.1</v>
      </c>
      <c r="X118" s="134">
        <f t="shared" si="28"/>
        <v>2.1</v>
      </c>
      <c r="Y118" s="134">
        <f t="shared" si="28"/>
        <v>2.1</v>
      </c>
      <c r="Z118" s="134">
        <f t="shared" si="28"/>
        <v>2.1</v>
      </c>
      <c r="AA118" s="134">
        <f t="shared" si="28"/>
        <v>2.1</v>
      </c>
      <c r="AB118" s="134">
        <f t="shared" si="28"/>
        <v>2.1</v>
      </c>
      <c r="AC118" s="134">
        <f t="shared" si="28"/>
        <v>2.1</v>
      </c>
      <c r="AD118" s="134">
        <f t="shared" si="28"/>
        <v>2.1</v>
      </c>
      <c r="AE118" s="134">
        <f t="shared" si="28"/>
        <v>2.1</v>
      </c>
      <c r="AF118" s="134">
        <f t="shared" si="28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29"/>
        <v>9.3000000000000007</v>
      </c>
      <c r="D119" s="134">
        <f t="shared" si="29"/>
        <v>9.3000000000000007</v>
      </c>
      <c r="E119" s="134">
        <f t="shared" si="29"/>
        <v>9.3000000000000007</v>
      </c>
      <c r="F119" s="134">
        <f t="shared" si="29"/>
        <v>9.3000000000000007</v>
      </c>
      <c r="G119" s="134">
        <f t="shared" si="29"/>
        <v>9.3000000000000007</v>
      </c>
      <c r="H119" s="134">
        <f t="shared" si="29"/>
        <v>9.3000000000000007</v>
      </c>
      <c r="I119" s="134">
        <f t="shared" si="29"/>
        <v>9.3000000000000007</v>
      </c>
      <c r="J119" s="134">
        <f t="shared" si="29"/>
        <v>9.3000000000000007</v>
      </c>
      <c r="K119" s="134">
        <f t="shared" si="29"/>
        <v>9.3000000000000007</v>
      </c>
      <c r="L119" s="134">
        <f t="shared" si="29"/>
        <v>9.3000000000000007</v>
      </c>
      <c r="M119" s="134">
        <f t="shared" si="29"/>
        <v>9.3000000000000007</v>
      </c>
      <c r="N119" s="134">
        <f t="shared" si="29"/>
        <v>9.3000000000000007</v>
      </c>
      <c r="O119" s="134">
        <f t="shared" si="29"/>
        <v>9.3000000000000007</v>
      </c>
      <c r="P119" s="134">
        <f t="shared" si="29"/>
        <v>9.3000000000000007</v>
      </c>
      <c r="Q119" s="134">
        <f t="shared" si="29"/>
        <v>9.3000000000000007</v>
      </c>
      <c r="R119" s="134">
        <f t="shared" si="29"/>
        <v>9.3000000000000007</v>
      </c>
      <c r="S119" s="134">
        <f t="shared" si="28"/>
        <v>9.3000000000000007</v>
      </c>
      <c r="T119" s="134">
        <f t="shared" si="28"/>
        <v>9.3000000000000007</v>
      </c>
      <c r="U119" s="134">
        <f t="shared" si="28"/>
        <v>9.3000000000000007</v>
      </c>
      <c r="V119" s="134">
        <f t="shared" si="28"/>
        <v>9.3000000000000007</v>
      </c>
      <c r="W119" s="134">
        <f t="shared" si="28"/>
        <v>9.3000000000000007</v>
      </c>
      <c r="X119" s="134">
        <f t="shared" si="28"/>
        <v>9.3000000000000007</v>
      </c>
      <c r="Y119" s="134">
        <f t="shared" si="28"/>
        <v>9.3000000000000007</v>
      </c>
      <c r="Z119" s="134">
        <f t="shared" si="28"/>
        <v>9.3000000000000007</v>
      </c>
      <c r="AA119" s="134">
        <f t="shared" si="28"/>
        <v>9.3000000000000007</v>
      </c>
      <c r="AB119" s="134">
        <f t="shared" si="28"/>
        <v>9.3000000000000007</v>
      </c>
      <c r="AC119" s="134">
        <f t="shared" si="28"/>
        <v>9.3000000000000007</v>
      </c>
      <c r="AD119" s="134">
        <f t="shared" si="28"/>
        <v>9.3000000000000007</v>
      </c>
      <c r="AE119" s="134">
        <f t="shared" si="28"/>
        <v>9.3000000000000007</v>
      </c>
      <c r="AF119" s="134">
        <f t="shared" si="28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29"/>
        <v>0</v>
      </c>
      <c r="D120" s="134">
        <f t="shared" si="29"/>
        <v>0</v>
      </c>
      <c r="E120" s="134">
        <f t="shared" si="29"/>
        <v>0</v>
      </c>
      <c r="F120" s="134">
        <f t="shared" si="29"/>
        <v>0</v>
      </c>
      <c r="G120" s="134">
        <f t="shared" si="29"/>
        <v>0</v>
      </c>
      <c r="H120" s="134">
        <f t="shared" si="29"/>
        <v>0</v>
      </c>
      <c r="I120" s="134">
        <f t="shared" si="29"/>
        <v>0</v>
      </c>
      <c r="J120" s="134">
        <f t="shared" si="29"/>
        <v>0</v>
      </c>
      <c r="K120" s="134">
        <f t="shared" si="29"/>
        <v>0</v>
      </c>
      <c r="L120" s="134">
        <f t="shared" si="29"/>
        <v>0</v>
      </c>
      <c r="M120" s="134">
        <f t="shared" si="29"/>
        <v>0</v>
      </c>
      <c r="N120" s="134">
        <f t="shared" si="29"/>
        <v>0</v>
      </c>
      <c r="O120" s="134">
        <f t="shared" si="29"/>
        <v>0</v>
      </c>
      <c r="P120" s="134">
        <f t="shared" si="29"/>
        <v>0</v>
      </c>
      <c r="Q120" s="134">
        <f t="shared" si="29"/>
        <v>0</v>
      </c>
      <c r="R120" s="134">
        <f t="shared" si="29"/>
        <v>0</v>
      </c>
      <c r="S120" s="134">
        <f t="shared" si="28"/>
        <v>0</v>
      </c>
      <c r="T120" s="134">
        <f t="shared" si="28"/>
        <v>0</v>
      </c>
      <c r="U120" s="134">
        <f t="shared" si="28"/>
        <v>0</v>
      </c>
      <c r="V120" s="134">
        <f t="shared" si="28"/>
        <v>0</v>
      </c>
      <c r="W120" s="134">
        <f t="shared" si="28"/>
        <v>0</v>
      </c>
      <c r="X120" s="134">
        <f t="shared" si="28"/>
        <v>0</v>
      </c>
      <c r="Y120" s="134">
        <f t="shared" si="28"/>
        <v>0</v>
      </c>
      <c r="Z120" s="134">
        <f t="shared" si="28"/>
        <v>0</v>
      </c>
      <c r="AA120" s="134">
        <f t="shared" si="28"/>
        <v>0</v>
      </c>
      <c r="AB120" s="134">
        <f t="shared" si="28"/>
        <v>0</v>
      </c>
      <c r="AC120" s="134">
        <f t="shared" si="28"/>
        <v>0</v>
      </c>
      <c r="AD120" s="134">
        <f t="shared" si="28"/>
        <v>0</v>
      </c>
      <c r="AE120" s="134">
        <f t="shared" si="28"/>
        <v>0</v>
      </c>
      <c r="AF120" s="134">
        <f t="shared" si="28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29"/>
        <v>0</v>
      </c>
      <c r="D121" s="134">
        <f t="shared" si="29"/>
        <v>0</v>
      </c>
      <c r="E121" s="134">
        <f t="shared" si="29"/>
        <v>0</v>
      </c>
      <c r="F121" s="134">
        <f t="shared" si="29"/>
        <v>0</v>
      </c>
      <c r="G121" s="134">
        <f t="shared" si="29"/>
        <v>0</v>
      </c>
      <c r="H121" s="134">
        <f t="shared" si="29"/>
        <v>0</v>
      </c>
      <c r="I121" s="134">
        <f t="shared" si="29"/>
        <v>0</v>
      </c>
      <c r="J121" s="134">
        <f t="shared" si="29"/>
        <v>0</v>
      </c>
      <c r="K121" s="134">
        <f t="shared" si="29"/>
        <v>0</v>
      </c>
      <c r="L121" s="134">
        <f t="shared" si="29"/>
        <v>0</v>
      </c>
      <c r="M121" s="134">
        <f t="shared" si="29"/>
        <v>0</v>
      </c>
      <c r="N121" s="134">
        <f t="shared" si="29"/>
        <v>0</v>
      </c>
      <c r="O121" s="134">
        <f t="shared" si="29"/>
        <v>0</v>
      </c>
      <c r="P121" s="134">
        <f t="shared" si="29"/>
        <v>0</v>
      </c>
      <c r="Q121" s="134">
        <f t="shared" si="29"/>
        <v>0</v>
      </c>
      <c r="R121" s="134">
        <f t="shared" si="29"/>
        <v>0</v>
      </c>
      <c r="S121" s="134">
        <f t="shared" si="28"/>
        <v>0</v>
      </c>
      <c r="T121" s="134">
        <f t="shared" si="28"/>
        <v>0</v>
      </c>
      <c r="U121" s="134">
        <f t="shared" si="28"/>
        <v>0</v>
      </c>
      <c r="V121" s="134">
        <f t="shared" si="28"/>
        <v>0</v>
      </c>
      <c r="W121" s="134">
        <f t="shared" si="28"/>
        <v>0</v>
      </c>
      <c r="X121" s="134">
        <f t="shared" si="28"/>
        <v>0</v>
      </c>
      <c r="Y121" s="134">
        <f t="shared" si="28"/>
        <v>0</v>
      </c>
      <c r="Z121" s="134">
        <f t="shared" si="28"/>
        <v>0</v>
      </c>
      <c r="AA121" s="134">
        <f t="shared" si="28"/>
        <v>0</v>
      </c>
      <c r="AB121" s="134">
        <f t="shared" si="28"/>
        <v>0</v>
      </c>
      <c r="AC121" s="134">
        <f t="shared" si="28"/>
        <v>0</v>
      </c>
      <c r="AD121" s="134">
        <f t="shared" si="28"/>
        <v>0</v>
      </c>
      <c r="AE121" s="134">
        <f t="shared" si="28"/>
        <v>0</v>
      </c>
      <c r="AF121" s="134">
        <f t="shared" si="28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29"/>
        <v>5</v>
      </c>
      <c r="D122" s="134">
        <f t="shared" si="29"/>
        <v>5</v>
      </c>
      <c r="E122" s="134">
        <f t="shared" si="29"/>
        <v>5</v>
      </c>
      <c r="F122" s="134">
        <f t="shared" si="29"/>
        <v>5</v>
      </c>
      <c r="G122" s="134">
        <f t="shared" si="29"/>
        <v>5</v>
      </c>
      <c r="H122" s="134">
        <f t="shared" si="29"/>
        <v>5</v>
      </c>
      <c r="I122" s="134">
        <f t="shared" si="29"/>
        <v>5</v>
      </c>
      <c r="J122" s="134">
        <f t="shared" si="29"/>
        <v>5</v>
      </c>
      <c r="K122" s="134">
        <f t="shared" si="29"/>
        <v>5</v>
      </c>
      <c r="L122" s="134">
        <f t="shared" si="29"/>
        <v>5</v>
      </c>
      <c r="M122" s="134">
        <f t="shared" si="29"/>
        <v>5</v>
      </c>
      <c r="N122" s="134">
        <f t="shared" si="29"/>
        <v>5</v>
      </c>
      <c r="O122" s="134">
        <f t="shared" si="29"/>
        <v>5</v>
      </c>
      <c r="P122" s="134">
        <f t="shared" si="29"/>
        <v>5</v>
      </c>
      <c r="Q122" s="134">
        <f t="shared" si="29"/>
        <v>5</v>
      </c>
      <c r="R122" s="134">
        <f t="shared" si="29"/>
        <v>5</v>
      </c>
      <c r="S122" s="134">
        <f t="shared" si="28"/>
        <v>5</v>
      </c>
      <c r="T122" s="134">
        <f t="shared" si="28"/>
        <v>5</v>
      </c>
      <c r="U122" s="134">
        <f t="shared" si="28"/>
        <v>5</v>
      </c>
      <c r="V122" s="134">
        <f t="shared" si="28"/>
        <v>5</v>
      </c>
      <c r="W122" s="134">
        <f t="shared" si="28"/>
        <v>5</v>
      </c>
      <c r="X122" s="134">
        <f t="shared" si="28"/>
        <v>5</v>
      </c>
      <c r="Y122" s="134">
        <f t="shared" si="28"/>
        <v>5</v>
      </c>
      <c r="Z122" s="134">
        <f t="shared" si="28"/>
        <v>5</v>
      </c>
      <c r="AA122" s="134">
        <f t="shared" si="28"/>
        <v>5</v>
      </c>
      <c r="AB122" s="134">
        <f t="shared" si="28"/>
        <v>5</v>
      </c>
      <c r="AC122" s="134">
        <f t="shared" si="28"/>
        <v>5</v>
      </c>
      <c r="AD122" s="134">
        <f t="shared" si="28"/>
        <v>5</v>
      </c>
      <c r="AE122" s="134">
        <f t="shared" si="28"/>
        <v>5</v>
      </c>
      <c r="AF122" s="134">
        <f t="shared" si="28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29"/>
        <v>1</v>
      </c>
      <c r="D123" s="134">
        <f t="shared" si="29"/>
        <v>1</v>
      </c>
      <c r="E123" s="134">
        <f t="shared" si="29"/>
        <v>1</v>
      </c>
      <c r="F123" s="134">
        <f t="shared" si="29"/>
        <v>1</v>
      </c>
      <c r="G123" s="134">
        <f t="shared" si="29"/>
        <v>1</v>
      </c>
      <c r="H123" s="134">
        <f t="shared" si="29"/>
        <v>1</v>
      </c>
      <c r="I123" s="134">
        <f t="shared" si="29"/>
        <v>1</v>
      </c>
      <c r="J123" s="134">
        <f t="shared" si="29"/>
        <v>1</v>
      </c>
      <c r="K123" s="134">
        <f t="shared" si="29"/>
        <v>1</v>
      </c>
      <c r="L123" s="134">
        <f t="shared" si="29"/>
        <v>1</v>
      </c>
      <c r="M123" s="134">
        <f t="shared" si="29"/>
        <v>1</v>
      </c>
      <c r="N123" s="134">
        <f t="shared" si="29"/>
        <v>1</v>
      </c>
      <c r="O123" s="134">
        <f t="shared" si="29"/>
        <v>1</v>
      </c>
      <c r="P123" s="134">
        <f t="shared" si="29"/>
        <v>1</v>
      </c>
      <c r="Q123" s="134">
        <f t="shared" si="29"/>
        <v>1</v>
      </c>
      <c r="R123" s="134">
        <f t="shared" si="29"/>
        <v>1</v>
      </c>
      <c r="S123" s="134">
        <f t="shared" si="28"/>
        <v>1</v>
      </c>
      <c r="T123" s="134">
        <f t="shared" si="28"/>
        <v>1</v>
      </c>
      <c r="U123" s="134">
        <f t="shared" si="28"/>
        <v>1</v>
      </c>
      <c r="V123" s="134">
        <f t="shared" si="28"/>
        <v>1</v>
      </c>
      <c r="W123" s="134">
        <f t="shared" si="28"/>
        <v>1</v>
      </c>
      <c r="X123" s="134">
        <f t="shared" si="28"/>
        <v>1</v>
      </c>
      <c r="Y123" s="134">
        <f t="shared" si="28"/>
        <v>1</v>
      </c>
      <c r="Z123" s="134">
        <f t="shared" si="28"/>
        <v>1</v>
      </c>
      <c r="AA123" s="134">
        <f t="shared" si="28"/>
        <v>1</v>
      </c>
      <c r="AB123" s="134">
        <f t="shared" si="28"/>
        <v>1</v>
      </c>
      <c r="AC123" s="134">
        <f t="shared" si="28"/>
        <v>1</v>
      </c>
      <c r="AD123" s="134">
        <f t="shared" si="28"/>
        <v>1</v>
      </c>
      <c r="AE123" s="134">
        <f t="shared" si="28"/>
        <v>1</v>
      </c>
      <c r="AF123" s="134">
        <f t="shared" si="28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29"/>
        <v>1.58</v>
      </c>
      <c r="D124" s="134">
        <f t="shared" si="29"/>
        <v>1.58</v>
      </c>
      <c r="E124" s="134">
        <f t="shared" si="29"/>
        <v>1.58</v>
      </c>
      <c r="F124" s="134">
        <f t="shared" si="29"/>
        <v>1.58</v>
      </c>
      <c r="G124" s="134">
        <f t="shared" si="29"/>
        <v>1.58</v>
      </c>
      <c r="H124" s="134">
        <f t="shared" si="29"/>
        <v>1.58</v>
      </c>
      <c r="I124" s="134">
        <f t="shared" si="29"/>
        <v>1.58</v>
      </c>
      <c r="J124" s="134">
        <f t="shared" si="29"/>
        <v>1.58</v>
      </c>
      <c r="K124" s="134">
        <f t="shared" si="29"/>
        <v>1.58</v>
      </c>
      <c r="L124" s="134">
        <f t="shared" si="29"/>
        <v>1.58</v>
      </c>
      <c r="M124" s="134">
        <f t="shared" si="29"/>
        <v>1.58</v>
      </c>
      <c r="N124" s="134">
        <f t="shared" si="29"/>
        <v>1.58</v>
      </c>
      <c r="O124" s="134">
        <f t="shared" si="29"/>
        <v>1.58</v>
      </c>
      <c r="P124" s="134">
        <f t="shared" si="29"/>
        <v>1.58</v>
      </c>
      <c r="Q124" s="134">
        <f t="shared" si="29"/>
        <v>1.58</v>
      </c>
      <c r="R124" s="134">
        <f t="shared" si="29"/>
        <v>1.58</v>
      </c>
      <c r="S124" s="134">
        <f t="shared" si="28"/>
        <v>1.58</v>
      </c>
      <c r="T124" s="134">
        <f t="shared" si="28"/>
        <v>1.58</v>
      </c>
      <c r="U124" s="134">
        <f t="shared" si="28"/>
        <v>1.58</v>
      </c>
      <c r="V124" s="134">
        <f t="shared" si="28"/>
        <v>1.58</v>
      </c>
      <c r="W124" s="134">
        <f t="shared" si="28"/>
        <v>1.58</v>
      </c>
      <c r="X124" s="134">
        <f t="shared" si="28"/>
        <v>1.58</v>
      </c>
      <c r="Y124" s="134">
        <f t="shared" si="28"/>
        <v>1.58</v>
      </c>
      <c r="Z124" s="134">
        <f t="shared" si="28"/>
        <v>1.58</v>
      </c>
      <c r="AA124" s="134">
        <f t="shared" si="28"/>
        <v>1.58</v>
      </c>
      <c r="AB124" s="134">
        <f t="shared" si="28"/>
        <v>1.58</v>
      </c>
      <c r="AC124" s="134">
        <f t="shared" si="28"/>
        <v>1.58</v>
      </c>
      <c r="AD124" s="134">
        <f t="shared" si="28"/>
        <v>1.58</v>
      </c>
      <c r="AE124" s="134">
        <f t="shared" si="28"/>
        <v>1.58</v>
      </c>
      <c r="AF124" s="134">
        <f t="shared" si="28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29"/>
        <v>1.46</v>
      </c>
      <c r="D125" s="134">
        <f t="shared" si="29"/>
        <v>1.46</v>
      </c>
      <c r="E125" s="134">
        <f t="shared" si="29"/>
        <v>1.46</v>
      </c>
      <c r="F125" s="134">
        <f t="shared" si="29"/>
        <v>1.46</v>
      </c>
      <c r="G125" s="134">
        <f t="shared" si="29"/>
        <v>1.46</v>
      </c>
      <c r="H125" s="134">
        <f t="shared" si="29"/>
        <v>1.46</v>
      </c>
      <c r="I125" s="134">
        <f t="shared" si="29"/>
        <v>1.46</v>
      </c>
      <c r="J125" s="134">
        <f t="shared" si="29"/>
        <v>1.46</v>
      </c>
      <c r="K125" s="134">
        <f t="shared" si="29"/>
        <v>1.46</v>
      </c>
      <c r="L125" s="134">
        <f t="shared" si="29"/>
        <v>1.46</v>
      </c>
      <c r="M125" s="134">
        <f t="shared" si="29"/>
        <v>1.46</v>
      </c>
      <c r="N125" s="134">
        <f t="shared" si="29"/>
        <v>1.46</v>
      </c>
      <c r="O125" s="134">
        <f t="shared" si="29"/>
        <v>1.46</v>
      </c>
      <c r="P125" s="134">
        <f t="shared" si="29"/>
        <v>1.46</v>
      </c>
      <c r="Q125" s="134">
        <f t="shared" si="29"/>
        <v>1.46</v>
      </c>
      <c r="R125" s="134">
        <f t="shared" si="29"/>
        <v>1.46</v>
      </c>
      <c r="S125" s="134">
        <f t="shared" ref="S125:AF126" si="30">R125</f>
        <v>1.46</v>
      </c>
      <c r="T125" s="134">
        <f t="shared" si="30"/>
        <v>1.46</v>
      </c>
      <c r="U125" s="134">
        <f t="shared" si="30"/>
        <v>1.46</v>
      </c>
      <c r="V125" s="134">
        <f t="shared" si="30"/>
        <v>1.46</v>
      </c>
      <c r="W125" s="134">
        <f t="shared" si="30"/>
        <v>1.46</v>
      </c>
      <c r="X125" s="134">
        <f t="shared" si="30"/>
        <v>1.46</v>
      </c>
      <c r="Y125" s="134">
        <f t="shared" si="30"/>
        <v>1.46</v>
      </c>
      <c r="Z125" s="134">
        <f t="shared" si="30"/>
        <v>1.46</v>
      </c>
      <c r="AA125" s="134">
        <f t="shared" si="30"/>
        <v>1.46</v>
      </c>
      <c r="AB125" s="134">
        <f t="shared" si="30"/>
        <v>1.46</v>
      </c>
      <c r="AC125" s="134">
        <f t="shared" si="30"/>
        <v>1.46</v>
      </c>
      <c r="AD125" s="134">
        <f t="shared" si="30"/>
        <v>1.46</v>
      </c>
      <c r="AE125" s="134">
        <f t="shared" si="30"/>
        <v>1.46</v>
      </c>
      <c r="AF125" s="134">
        <f t="shared" si="30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29"/>
        <v>1.48</v>
      </c>
      <c r="D126" s="134">
        <f t="shared" si="29"/>
        <v>1.48</v>
      </c>
      <c r="E126" s="134">
        <f t="shared" si="29"/>
        <v>1.48</v>
      </c>
      <c r="F126" s="134">
        <f t="shared" si="29"/>
        <v>1.48</v>
      </c>
      <c r="G126" s="134">
        <f t="shared" si="29"/>
        <v>1.48</v>
      </c>
      <c r="H126" s="134">
        <f t="shared" si="29"/>
        <v>1.48</v>
      </c>
      <c r="I126" s="134">
        <f t="shared" si="29"/>
        <v>1.48</v>
      </c>
      <c r="J126" s="134">
        <f t="shared" si="29"/>
        <v>1.48</v>
      </c>
      <c r="K126" s="134">
        <f t="shared" si="29"/>
        <v>1.48</v>
      </c>
      <c r="L126" s="134">
        <f t="shared" si="29"/>
        <v>1.48</v>
      </c>
      <c r="M126" s="134">
        <f t="shared" si="29"/>
        <v>1.48</v>
      </c>
      <c r="N126" s="134">
        <f t="shared" si="29"/>
        <v>1.48</v>
      </c>
      <c r="O126" s="134">
        <f t="shared" si="29"/>
        <v>1.48</v>
      </c>
      <c r="P126" s="134">
        <f t="shared" si="29"/>
        <v>1.48</v>
      </c>
      <c r="Q126" s="134">
        <f t="shared" si="29"/>
        <v>1.48</v>
      </c>
      <c r="R126" s="134">
        <f t="shared" si="29"/>
        <v>1.48</v>
      </c>
      <c r="S126" s="134">
        <f t="shared" si="30"/>
        <v>1.48</v>
      </c>
      <c r="T126" s="134">
        <f t="shared" si="30"/>
        <v>1.48</v>
      </c>
      <c r="U126" s="134">
        <f t="shared" si="30"/>
        <v>1.48</v>
      </c>
      <c r="V126" s="134">
        <f t="shared" si="30"/>
        <v>1.48</v>
      </c>
      <c r="W126" s="134">
        <f t="shared" si="30"/>
        <v>1.48</v>
      </c>
      <c r="X126" s="134">
        <f t="shared" si="30"/>
        <v>1.48</v>
      </c>
      <c r="Y126" s="134">
        <f t="shared" si="30"/>
        <v>1.48</v>
      </c>
      <c r="Z126" s="134">
        <f t="shared" si="30"/>
        <v>1.48</v>
      </c>
      <c r="AA126" s="134">
        <f t="shared" si="30"/>
        <v>1.48</v>
      </c>
      <c r="AB126" s="134">
        <f t="shared" si="30"/>
        <v>1.48</v>
      </c>
      <c r="AC126" s="134">
        <f t="shared" si="30"/>
        <v>1.48</v>
      </c>
      <c r="AD126" s="134">
        <f t="shared" si="30"/>
        <v>1.48</v>
      </c>
      <c r="AE126" s="134">
        <f t="shared" si="30"/>
        <v>1.48</v>
      </c>
      <c r="AF126" s="134">
        <f t="shared" si="30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1">B128</f>
        <v>2.2000000000000002</v>
      </c>
      <c r="D128" s="134">
        <f t="shared" si="31"/>
        <v>2.2000000000000002</v>
      </c>
      <c r="E128" s="134">
        <f t="shared" si="31"/>
        <v>2.2000000000000002</v>
      </c>
      <c r="F128" s="134">
        <f t="shared" si="31"/>
        <v>2.2000000000000002</v>
      </c>
      <c r="G128" s="134">
        <f t="shared" si="31"/>
        <v>2.2000000000000002</v>
      </c>
      <c r="H128" s="134">
        <f t="shared" si="31"/>
        <v>2.2000000000000002</v>
      </c>
      <c r="I128" s="134">
        <f t="shared" si="31"/>
        <v>2.2000000000000002</v>
      </c>
      <c r="J128" s="134">
        <f t="shared" si="31"/>
        <v>2.2000000000000002</v>
      </c>
      <c r="K128" s="134">
        <f t="shared" si="31"/>
        <v>2.2000000000000002</v>
      </c>
      <c r="L128" s="134">
        <f t="shared" si="31"/>
        <v>2.2000000000000002</v>
      </c>
      <c r="M128" s="134">
        <f t="shared" si="31"/>
        <v>2.2000000000000002</v>
      </c>
      <c r="N128" s="134">
        <f t="shared" si="31"/>
        <v>2.2000000000000002</v>
      </c>
      <c r="O128" s="134">
        <f t="shared" si="31"/>
        <v>2.2000000000000002</v>
      </c>
      <c r="P128" s="134">
        <f t="shared" si="31"/>
        <v>2.2000000000000002</v>
      </c>
      <c r="Q128" s="134">
        <f t="shared" si="31"/>
        <v>2.2000000000000002</v>
      </c>
      <c r="R128" s="134">
        <f t="shared" si="31"/>
        <v>2.2000000000000002</v>
      </c>
      <c r="S128" s="134">
        <f t="shared" ref="S128:AF135" si="32">R128</f>
        <v>2.2000000000000002</v>
      </c>
      <c r="T128" s="134">
        <f t="shared" si="32"/>
        <v>2.2000000000000002</v>
      </c>
      <c r="U128" s="134">
        <f t="shared" si="32"/>
        <v>2.2000000000000002</v>
      </c>
      <c r="V128" s="134">
        <f t="shared" si="32"/>
        <v>2.2000000000000002</v>
      </c>
      <c r="W128" s="134">
        <f t="shared" si="32"/>
        <v>2.2000000000000002</v>
      </c>
      <c r="X128" s="134">
        <f t="shared" si="32"/>
        <v>2.2000000000000002</v>
      </c>
      <c r="Y128" s="134">
        <f t="shared" si="32"/>
        <v>2.2000000000000002</v>
      </c>
      <c r="Z128" s="134">
        <f t="shared" si="32"/>
        <v>2.2000000000000002</v>
      </c>
      <c r="AA128" s="134">
        <f t="shared" si="32"/>
        <v>2.2000000000000002</v>
      </c>
      <c r="AB128" s="134">
        <f t="shared" si="32"/>
        <v>2.2000000000000002</v>
      </c>
      <c r="AC128" s="134">
        <f t="shared" si="32"/>
        <v>2.2000000000000002</v>
      </c>
      <c r="AD128" s="134">
        <f t="shared" si="32"/>
        <v>2.2000000000000002</v>
      </c>
      <c r="AE128" s="134">
        <f t="shared" si="32"/>
        <v>2.2000000000000002</v>
      </c>
      <c r="AF128" s="134">
        <f t="shared" si="32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1"/>
        <v>2</v>
      </c>
      <c r="D129" s="134">
        <f t="shared" si="31"/>
        <v>2</v>
      </c>
      <c r="E129" s="134">
        <f t="shared" si="31"/>
        <v>2</v>
      </c>
      <c r="F129" s="134">
        <f t="shared" si="31"/>
        <v>2</v>
      </c>
      <c r="G129" s="134">
        <f t="shared" si="31"/>
        <v>2</v>
      </c>
      <c r="H129" s="134">
        <f t="shared" si="31"/>
        <v>2</v>
      </c>
      <c r="I129" s="134">
        <f t="shared" si="31"/>
        <v>2</v>
      </c>
      <c r="J129" s="134">
        <f t="shared" si="31"/>
        <v>2</v>
      </c>
      <c r="K129" s="134">
        <f t="shared" si="31"/>
        <v>2</v>
      </c>
      <c r="L129" s="134">
        <f t="shared" si="31"/>
        <v>2</v>
      </c>
      <c r="M129" s="134">
        <f t="shared" si="31"/>
        <v>2</v>
      </c>
      <c r="N129" s="134">
        <f t="shared" si="31"/>
        <v>2</v>
      </c>
      <c r="O129" s="134">
        <f t="shared" si="31"/>
        <v>2</v>
      </c>
      <c r="P129" s="134">
        <f t="shared" si="31"/>
        <v>2</v>
      </c>
      <c r="Q129" s="134">
        <f t="shared" si="31"/>
        <v>2</v>
      </c>
      <c r="R129" s="134">
        <f t="shared" si="31"/>
        <v>2</v>
      </c>
      <c r="S129" s="134">
        <f t="shared" si="32"/>
        <v>2</v>
      </c>
      <c r="T129" s="134">
        <f t="shared" si="32"/>
        <v>2</v>
      </c>
      <c r="U129" s="134">
        <f t="shared" si="32"/>
        <v>2</v>
      </c>
      <c r="V129" s="134">
        <f t="shared" si="32"/>
        <v>2</v>
      </c>
      <c r="W129" s="134">
        <f t="shared" si="32"/>
        <v>2</v>
      </c>
      <c r="X129" s="134">
        <f t="shared" si="32"/>
        <v>2</v>
      </c>
      <c r="Y129" s="134">
        <f t="shared" si="32"/>
        <v>2</v>
      </c>
      <c r="Z129" s="134">
        <f t="shared" si="32"/>
        <v>2</v>
      </c>
      <c r="AA129" s="134">
        <f t="shared" si="32"/>
        <v>2</v>
      </c>
      <c r="AB129" s="134">
        <f t="shared" si="32"/>
        <v>2</v>
      </c>
      <c r="AC129" s="134">
        <f t="shared" si="32"/>
        <v>2</v>
      </c>
      <c r="AD129" s="134">
        <f t="shared" si="32"/>
        <v>2</v>
      </c>
      <c r="AE129" s="134">
        <f t="shared" si="32"/>
        <v>2</v>
      </c>
      <c r="AF129" s="134">
        <f t="shared" si="32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1"/>
        <v>1.25</v>
      </c>
      <c r="D130" s="134">
        <f t="shared" si="31"/>
        <v>1.25</v>
      </c>
      <c r="E130" s="134">
        <f t="shared" si="31"/>
        <v>1.25</v>
      </c>
      <c r="F130" s="134">
        <f t="shared" si="31"/>
        <v>1.25</v>
      </c>
      <c r="G130" s="134">
        <f t="shared" si="31"/>
        <v>1.25</v>
      </c>
      <c r="H130" s="134">
        <f t="shared" si="31"/>
        <v>1.25</v>
      </c>
      <c r="I130" s="134">
        <f t="shared" si="31"/>
        <v>1.25</v>
      </c>
      <c r="J130" s="134">
        <f t="shared" si="31"/>
        <v>1.25</v>
      </c>
      <c r="K130" s="134">
        <f t="shared" si="31"/>
        <v>1.25</v>
      </c>
      <c r="L130" s="134">
        <f t="shared" si="31"/>
        <v>1.25</v>
      </c>
      <c r="M130" s="134">
        <f t="shared" si="31"/>
        <v>1.25</v>
      </c>
      <c r="N130" s="134">
        <f t="shared" si="31"/>
        <v>1.25</v>
      </c>
      <c r="O130" s="134">
        <f t="shared" si="31"/>
        <v>1.25</v>
      </c>
      <c r="P130" s="134">
        <f t="shared" si="31"/>
        <v>1.25</v>
      </c>
      <c r="Q130" s="134">
        <f t="shared" si="31"/>
        <v>1.25</v>
      </c>
      <c r="R130" s="134">
        <f t="shared" si="31"/>
        <v>1.25</v>
      </c>
      <c r="S130" s="134">
        <f t="shared" si="32"/>
        <v>1.25</v>
      </c>
      <c r="T130" s="134">
        <f t="shared" si="32"/>
        <v>1.25</v>
      </c>
      <c r="U130" s="134">
        <f t="shared" si="32"/>
        <v>1.25</v>
      </c>
      <c r="V130" s="134">
        <f t="shared" si="32"/>
        <v>1.25</v>
      </c>
      <c r="W130" s="134">
        <f t="shared" si="32"/>
        <v>1.25</v>
      </c>
      <c r="X130" s="134">
        <f t="shared" si="32"/>
        <v>1.25</v>
      </c>
      <c r="Y130" s="134">
        <f t="shared" si="32"/>
        <v>1.25</v>
      </c>
      <c r="Z130" s="134">
        <f t="shared" si="32"/>
        <v>1.25</v>
      </c>
      <c r="AA130" s="134">
        <f t="shared" si="32"/>
        <v>1.25</v>
      </c>
      <c r="AB130" s="134">
        <f t="shared" si="32"/>
        <v>1.25</v>
      </c>
      <c r="AC130" s="134">
        <f t="shared" si="32"/>
        <v>1.25</v>
      </c>
      <c r="AD130" s="134">
        <f t="shared" si="32"/>
        <v>1.25</v>
      </c>
      <c r="AE130" s="134">
        <f t="shared" si="32"/>
        <v>1.25</v>
      </c>
      <c r="AF130" s="134">
        <f t="shared" si="32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1"/>
        <v>1.1499999999999999</v>
      </c>
      <c r="D131" s="134">
        <f t="shared" si="31"/>
        <v>1.1499999999999999</v>
      </c>
      <c r="E131" s="134">
        <f t="shared" si="31"/>
        <v>1.1499999999999999</v>
      </c>
      <c r="F131" s="134">
        <f t="shared" si="31"/>
        <v>1.1499999999999999</v>
      </c>
      <c r="G131" s="134">
        <f t="shared" si="31"/>
        <v>1.1499999999999999</v>
      </c>
      <c r="H131" s="134">
        <f t="shared" si="31"/>
        <v>1.1499999999999999</v>
      </c>
      <c r="I131" s="134">
        <f t="shared" si="31"/>
        <v>1.1499999999999999</v>
      </c>
      <c r="J131" s="134">
        <f t="shared" si="31"/>
        <v>1.1499999999999999</v>
      </c>
      <c r="K131" s="134">
        <f t="shared" si="31"/>
        <v>1.1499999999999999</v>
      </c>
      <c r="L131" s="134">
        <f t="shared" si="31"/>
        <v>1.1499999999999999</v>
      </c>
      <c r="M131" s="134">
        <f t="shared" si="31"/>
        <v>1.1499999999999999</v>
      </c>
      <c r="N131" s="134">
        <f t="shared" si="31"/>
        <v>1.1499999999999999</v>
      </c>
      <c r="O131" s="134">
        <f t="shared" si="31"/>
        <v>1.1499999999999999</v>
      </c>
      <c r="P131" s="134">
        <f t="shared" si="31"/>
        <v>1.1499999999999999</v>
      </c>
      <c r="Q131" s="134">
        <f t="shared" si="31"/>
        <v>1.1499999999999999</v>
      </c>
      <c r="R131" s="134">
        <f t="shared" si="31"/>
        <v>1.1499999999999999</v>
      </c>
      <c r="S131" s="134">
        <f t="shared" si="32"/>
        <v>1.1499999999999999</v>
      </c>
      <c r="T131" s="134">
        <f t="shared" si="32"/>
        <v>1.1499999999999999</v>
      </c>
      <c r="U131" s="134">
        <f t="shared" si="32"/>
        <v>1.1499999999999999</v>
      </c>
      <c r="V131" s="134">
        <f t="shared" si="32"/>
        <v>1.1499999999999999</v>
      </c>
      <c r="W131" s="134">
        <f t="shared" si="32"/>
        <v>1.1499999999999999</v>
      </c>
      <c r="X131" s="134">
        <f t="shared" si="32"/>
        <v>1.1499999999999999</v>
      </c>
      <c r="Y131" s="134">
        <f t="shared" si="32"/>
        <v>1.1499999999999999</v>
      </c>
      <c r="Z131" s="134">
        <f t="shared" si="32"/>
        <v>1.1499999999999999</v>
      </c>
      <c r="AA131" s="134">
        <f t="shared" si="32"/>
        <v>1.1499999999999999</v>
      </c>
      <c r="AB131" s="134">
        <f t="shared" si="32"/>
        <v>1.1499999999999999</v>
      </c>
      <c r="AC131" s="134">
        <f t="shared" si="32"/>
        <v>1.1499999999999999</v>
      </c>
      <c r="AD131" s="134">
        <f t="shared" si="32"/>
        <v>1.1499999999999999</v>
      </c>
      <c r="AE131" s="134">
        <f t="shared" si="32"/>
        <v>1.1499999999999999</v>
      </c>
      <c r="AF131" s="134">
        <f t="shared" si="32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1"/>
        <v>2.133</v>
      </c>
      <c r="D132" s="134">
        <f t="shared" si="31"/>
        <v>2.133</v>
      </c>
      <c r="E132" s="134">
        <f t="shared" si="31"/>
        <v>2.133</v>
      </c>
      <c r="F132" s="134">
        <f t="shared" si="31"/>
        <v>2.133</v>
      </c>
      <c r="G132" s="134">
        <f t="shared" si="31"/>
        <v>2.133</v>
      </c>
      <c r="H132" s="134">
        <f t="shared" si="31"/>
        <v>2.133</v>
      </c>
      <c r="I132" s="134">
        <f t="shared" si="31"/>
        <v>2.133</v>
      </c>
      <c r="J132" s="134">
        <f t="shared" si="31"/>
        <v>2.133</v>
      </c>
      <c r="K132" s="134">
        <f t="shared" si="31"/>
        <v>2.133</v>
      </c>
      <c r="L132" s="134">
        <f t="shared" si="31"/>
        <v>2.133</v>
      </c>
      <c r="M132" s="134">
        <f t="shared" si="31"/>
        <v>2.133</v>
      </c>
      <c r="N132" s="134">
        <f t="shared" si="31"/>
        <v>2.133</v>
      </c>
      <c r="O132" s="134">
        <f t="shared" si="31"/>
        <v>2.133</v>
      </c>
      <c r="P132" s="134">
        <f t="shared" si="31"/>
        <v>2.133</v>
      </c>
      <c r="Q132" s="134">
        <f t="shared" si="31"/>
        <v>2.133</v>
      </c>
      <c r="R132" s="134">
        <f t="shared" si="31"/>
        <v>2.133</v>
      </c>
      <c r="S132" s="134">
        <f t="shared" si="32"/>
        <v>2.133</v>
      </c>
      <c r="T132" s="134">
        <f t="shared" si="32"/>
        <v>2.133</v>
      </c>
      <c r="U132" s="134">
        <f t="shared" si="32"/>
        <v>2.133</v>
      </c>
      <c r="V132" s="134">
        <f t="shared" si="32"/>
        <v>2.133</v>
      </c>
      <c r="W132" s="134">
        <f t="shared" si="32"/>
        <v>2.133</v>
      </c>
      <c r="X132" s="134">
        <f t="shared" si="32"/>
        <v>2.133</v>
      </c>
      <c r="Y132" s="134">
        <f t="shared" si="32"/>
        <v>2.133</v>
      </c>
      <c r="Z132" s="134">
        <f t="shared" si="32"/>
        <v>2.133</v>
      </c>
      <c r="AA132" s="134">
        <f t="shared" si="32"/>
        <v>2.133</v>
      </c>
      <c r="AB132" s="134">
        <f t="shared" si="32"/>
        <v>2.133</v>
      </c>
      <c r="AC132" s="134">
        <f t="shared" si="32"/>
        <v>2.133</v>
      </c>
      <c r="AD132" s="134">
        <f t="shared" si="32"/>
        <v>2.133</v>
      </c>
      <c r="AE132" s="134">
        <f t="shared" si="32"/>
        <v>2.133</v>
      </c>
      <c r="AF132" s="134">
        <f t="shared" si="32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1"/>
        <v>2.09</v>
      </c>
      <c r="D133" s="134">
        <f t="shared" si="31"/>
        <v>2.09</v>
      </c>
      <c r="E133" s="134">
        <f t="shared" si="31"/>
        <v>2.09</v>
      </c>
      <c r="F133" s="134">
        <f t="shared" si="31"/>
        <v>2.09</v>
      </c>
      <c r="G133" s="134">
        <f t="shared" si="31"/>
        <v>2.09</v>
      </c>
      <c r="H133" s="134">
        <f t="shared" si="31"/>
        <v>2.09</v>
      </c>
      <c r="I133" s="134">
        <f t="shared" si="31"/>
        <v>2.09</v>
      </c>
      <c r="J133" s="134">
        <f t="shared" si="31"/>
        <v>2.09</v>
      </c>
      <c r="K133" s="134">
        <f t="shared" si="31"/>
        <v>2.09</v>
      </c>
      <c r="L133" s="134">
        <f t="shared" si="31"/>
        <v>2.09</v>
      </c>
      <c r="M133" s="134">
        <f t="shared" si="31"/>
        <v>2.09</v>
      </c>
      <c r="N133" s="134">
        <f t="shared" si="31"/>
        <v>2.09</v>
      </c>
      <c r="O133" s="134">
        <f t="shared" si="31"/>
        <v>2.09</v>
      </c>
      <c r="P133" s="134">
        <f t="shared" si="31"/>
        <v>2.09</v>
      </c>
      <c r="Q133" s="134">
        <f t="shared" si="31"/>
        <v>2.09</v>
      </c>
      <c r="R133" s="134">
        <f t="shared" si="31"/>
        <v>2.09</v>
      </c>
      <c r="S133" s="134">
        <f t="shared" si="32"/>
        <v>2.09</v>
      </c>
      <c r="T133" s="134">
        <f t="shared" si="32"/>
        <v>2.09</v>
      </c>
      <c r="U133" s="134">
        <f t="shared" si="32"/>
        <v>2.09</v>
      </c>
      <c r="V133" s="134">
        <f t="shared" si="32"/>
        <v>2.09</v>
      </c>
      <c r="W133" s="134">
        <f t="shared" si="32"/>
        <v>2.09</v>
      </c>
      <c r="X133" s="134">
        <f t="shared" si="32"/>
        <v>2.09</v>
      </c>
      <c r="Y133" s="134">
        <f t="shared" si="32"/>
        <v>2.09</v>
      </c>
      <c r="Z133" s="134">
        <f t="shared" si="32"/>
        <v>2.09</v>
      </c>
      <c r="AA133" s="134">
        <f t="shared" si="32"/>
        <v>2.09</v>
      </c>
      <c r="AB133" s="134">
        <f t="shared" si="32"/>
        <v>2.09</v>
      </c>
      <c r="AC133" s="134">
        <f t="shared" si="32"/>
        <v>2.09</v>
      </c>
      <c r="AD133" s="134">
        <f t="shared" si="32"/>
        <v>2.09</v>
      </c>
      <c r="AE133" s="134">
        <f t="shared" si="32"/>
        <v>2.09</v>
      </c>
      <c r="AF133" s="134">
        <f t="shared" si="32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1"/>
        <v>1.1399999999999999</v>
      </c>
      <c r="D134" s="134">
        <f t="shared" si="31"/>
        <v>1.1399999999999999</v>
      </c>
      <c r="E134" s="134">
        <f t="shared" si="31"/>
        <v>1.1399999999999999</v>
      </c>
      <c r="F134" s="134">
        <f t="shared" si="31"/>
        <v>1.1399999999999999</v>
      </c>
      <c r="G134" s="134">
        <f t="shared" si="31"/>
        <v>1.1399999999999999</v>
      </c>
      <c r="H134" s="134">
        <f t="shared" si="31"/>
        <v>1.1399999999999999</v>
      </c>
      <c r="I134" s="134">
        <f t="shared" si="31"/>
        <v>1.1399999999999999</v>
      </c>
      <c r="J134" s="134">
        <f t="shared" si="31"/>
        <v>1.1399999999999999</v>
      </c>
      <c r="K134" s="134">
        <f t="shared" si="31"/>
        <v>1.1399999999999999</v>
      </c>
      <c r="L134" s="134">
        <f t="shared" si="31"/>
        <v>1.1399999999999999</v>
      </c>
      <c r="M134" s="134">
        <f t="shared" si="31"/>
        <v>1.1399999999999999</v>
      </c>
      <c r="N134" s="134">
        <f t="shared" si="31"/>
        <v>1.1399999999999999</v>
      </c>
      <c r="O134" s="134">
        <f t="shared" si="31"/>
        <v>1.1399999999999999</v>
      </c>
      <c r="P134" s="134">
        <f t="shared" si="31"/>
        <v>1.1399999999999999</v>
      </c>
      <c r="Q134" s="134">
        <f t="shared" si="31"/>
        <v>1.1399999999999999</v>
      </c>
      <c r="R134" s="134">
        <f t="shared" si="31"/>
        <v>1.1399999999999999</v>
      </c>
      <c r="S134" s="134">
        <f t="shared" si="32"/>
        <v>1.1399999999999999</v>
      </c>
      <c r="T134" s="134">
        <f t="shared" si="32"/>
        <v>1.1399999999999999</v>
      </c>
      <c r="U134" s="134">
        <f t="shared" si="32"/>
        <v>1.1399999999999999</v>
      </c>
      <c r="V134" s="134">
        <f t="shared" si="32"/>
        <v>1.1399999999999999</v>
      </c>
      <c r="W134" s="134">
        <f t="shared" si="32"/>
        <v>1.1399999999999999</v>
      </c>
      <c r="X134" s="134">
        <f t="shared" si="32"/>
        <v>1.1399999999999999</v>
      </c>
      <c r="Y134" s="134">
        <f t="shared" si="32"/>
        <v>1.1399999999999999</v>
      </c>
      <c r="Z134" s="134">
        <f t="shared" si="32"/>
        <v>1.1399999999999999</v>
      </c>
      <c r="AA134" s="134">
        <f t="shared" si="32"/>
        <v>1.1399999999999999</v>
      </c>
      <c r="AB134" s="134">
        <f t="shared" si="32"/>
        <v>1.1399999999999999</v>
      </c>
      <c r="AC134" s="134">
        <f t="shared" si="32"/>
        <v>1.1399999999999999</v>
      </c>
      <c r="AD134" s="134">
        <f t="shared" si="32"/>
        <v>1.1399999999999999</v>
      </c>
      <c r="AE134" s="134">
        <f t="shared" si="32"/>
        <v>1.1399999999999999</v>
      </c>
      <c r="AF134" s="134">
        <f t="shared" si="32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1"/>
        <v>0.82</v>
      </c>
      <c r="D135" s="134">
        <f t="shared" si="31"/>
        <v>0.82</v>
      </c>
      <c r="E135" s="134">
        <f t="shared" si="31"/>
        <v>0.82</v>
      </c>
      <c r="F135" s="134">
        <f t="shared" si="31"/>
        <v>0.82</v>
      </c>
      <c r="G135" s="134">
        <f t="shared" si="31"/>
        <v>0.82</v>
      </c>
      <c r="H135" s="134">
        <f t="shared" si="31"/>
        <v>0.82</v>
      </c>
      <c r="I135" s="134">
        <f t="shared" si="31"/>
        <v>0.82</v>
      </c>
      <c r="J135" s="134">
        <f t="shared" si="31"/>
        <v>0.82</v>
      </c>
      <c r="K135" s="134">
        <f t="shared" si="31"/>
        <v>0.82</v>
      </c>
      <c r="L135" s="134">
        <f t="shared" si="31"/>
        <v>0.82</v>
      </c>
      <c r="M135" s="134">
        <f t="shared" si="31"/>
        <v>0.82</v>
      </c>
      <c r="N135" s="134">
        <f t="shared" si="31"/>
        <v>0.82</v>
      </c>
      <c r="O135" s="134">
        <f t="shared" si="31"/>
        <v>0.82</v>
      </c>
      <c r="P135" s="134">
        <f t="shared" si="31"/>
        <v>0.82</v>
      </c>
      <c r="Q135" s="134">
        <f t="shared" si="31"/>
        <v>0.82</v>
      </c>
      <c r="R135" s="134">
        <f t="shared" si="31"/>
        <v>0.82</v>
      </c>
      <c r="S135" s="134">
        <f t="shared" si="32"/>
        <v>0.82</v>
      </c>
      <c r="T135" s="134">
        <f t="shared" si="32"/>
        <v>0.82</v>
      </c>
      <c r="U135" s="134">
        <f t="shared" si="32"/>
        <v>0.82</v>
      </c>
      <c r="V135" s="134">
        <f t="shared" si="32"/>
        <v>0.82</v>
      </c>
      <c r="W135" s="134">
        <f t="shared" si="32"/>
        <v>0.82</v>
      </c>
      <c r="X135" s="134">
        <f t="shared" si="32"/>
        <v>0.82</v>
      </c>
      <c r="Y135" s="134">
        <f t="shared" si="32"/>
        <v>0.82</v>
      </c>
      <c r="Z135" s="134">
        <f t="shared" si="32"/>
        <v>0.82</v>
      </c>
      <c r="AA135" s="134">
        <f t="shared" si="32"/>
        <v>0.82</v>
      </c>
      <c r="AB135" s="134">
        <f t="shared" si="32"/>
        <v>0.82</v>
      </c>
      <c r="AC135" s="134">
        <f t="shared" si="32"/>
        <v>0.82</v>
      </c>
      <c r="AD135" s="134">
        <f t="shared" si="32"/>
        <v>0.82</v>
      </c>
      <c r="AE135" s="134">
        <f t="shared" si="32"/>
        <v>0.82</v>
      </c>
      <c r="AF135" s="134">
        <f t="shared" si="32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3">B137</f>
        <v>2</v>
      </c>
      <c r="D137" s="134">
        <f t="shared" si="33"/>
        <v>2</v>
      </c>
      <c r="E137" s="134">
        <f t="shared" si="33"/>
        <v>2</v>
      </c>
      <c r="F137" s="134">
        <f t="shared" si="33"/>
        <v>2</v>
      </c>
      <c r="G137" s="134">
        <f t="shared" si="33"/>
        <v>2</v>
      </c>
      <c r="H137" s="134">
        <f t="shared" si="33"/>
        <v>2</v>
      </c>
      <c r="I137" s="134">
        <f t="shared" si="33"/>
        <v>2</v>
      </c>
      <c r="J137" s="134">
        <f t="shared" si="33"/>
        <v>2</v>
      </c>
      <c r="K137" s="134">
        <f t="shared" si="33"/>
        <v>2</v>
      </c>
      <c r="L137" s="134">
        <f t="shared" si="33"/>
        <v>2</v>
      </c>
      <c r="M137" s="134">
        <f t="shared" si="33"/>
        <v>2</v>
      </c>
      <c r="N137" s="134">
        <f t="shared" si="33"/>
        <v>2</v>
      </c>
      <c r="O137" s="134">
        <f t="shared" si="33"/>
        <v>2</v>
      </c>
      <c r="P137" s="134">
        <f t="shared" si="33"/>
        <v>2</v>
      </c>
      <c r="Q137" s="134">
        <f t="shared" si="33"/>
        <v>2</v>
      </c>
      <c r="R137" s="134">
        <f t="shared" si="33"/>
        <v>2</v>
      </c>
      <c r="S137" s="134">
        <f t="shared" ref="S137:AF143" si="34">R137</f>
        <v>2</v>
      </c>
      <c r="T137" s="134">
        <f t="shared" si="34"/>
        <v>2</v>
      </c>
      <c r="U137" s="134">
        <f t="shared" si="34"/>
        <v>2</v>
      </c>
      <c r="V137" s="134">
        <f t="shared" si="34"/>
        <v>2</v>
      </c>
      <c r="W137" s="134">
        <f t="shared" si="34"/>
        <v>2</v>
      </c>
      <c r="X137" s="134">
        <f t="shared" si="34"/>
        <v>2</v>
      </c>
      <c r="Y137" s="134">
        <f t="shared" si="34"/>
        <v>2</v>
      </c>
      <c r="Z137" s="134">
        <f t="shared" si="34"/>
        <v>2</v>
      </c>
      <c r="AA137" s="134">
        <f t="shared" si="34"/>
        <v>2</v>
      </c>
      <c r="AB137" s="134">
        <f t="shared" si="34"/>
        <v>2</v>
      </c>
      <c r="AC137" s="134">
        <f t="shared" si="34"/>
        <v>2</v>
      </c>
      <c r="AD137" s="134">
        <f t="shared" si="34"/>
        <v>2</v>
      </c>
      <c r="AE137" s="134">
        <f t="shared" si="34"/>
        <v>2</v>
      </c>
      <c r="AF137" s="134">
        <f t="shared" si="34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3"/>
        <v>5.61</v>
      </c>
      <c r="D138" s="134">
        <f t="shared" si="33"/>
        <v>5.61</v>
      </c>
      <c r="E138" s="134">
        <f t="shared" si="33"/>
        <v>5.61</v>
      </c>
      <c r="F138" s="134">
        <f t="shared" si="33"/>
        <v>5.61</v>
      </c>
      <c r="G138" s="134">
        <f t="shared" si="33"/>
        <v>5.61</v>
      </c>
      <c r="H138" s="134">
        <f t="shared" si="33"/>
        <v>5.61</v>
      </c>
      <c r="I138" s="134">
        <f t="shared" si="33"/>
        <v>5.61</v>
      </c>
      <c r="J138" s="134">
        <f t="shared" si="33"/>
        <v>5.61</v>
      </c>
      <c r="K138" s="134">
        <f t="shared" si="33"/>
        <v>5.61</v>
      </c>
      <c r="L138" s="134">
        <f t="shared" si="33"/>
        <v>5.61</v>
      </c>
      <c r="M138" s="134">
        <f t="shared" si="33"/>
        <v>5.61</v>
      </c>
      <c r="N138" s="134">
        <f t="shared" si="33"/>
        <v>5.61</v>
      </c>
      <c r="O138" s="134">
        <f t="shared" si="33"/>
        <v>5.61</v>
      </c>
      <c r="P138" s="134">
        <f t="shared" si="33"/>
        <v>5.61</v>
      </c>
      <c r="Q138" s="134">
        <f t="shared" si="33"/>
        <v>5.61</v>
      </c>
      <c r="R138" s="134">
        <f t="shared" si="33"/>
        <v>5.61</v>
      </c>
      <c r="S138" s="134">
        <f t="shared" si="34"/>
        <v>5.61</v>
      </c>
      <c r="T138" s="134">
        <f t="shared" si="34"/>
        <v>5.61</v>
      </c>
      <c r="U138" s="134">
        <f t="shared" si="34"/>
        <v>5.61</v>
      </c>
      <c r="V138" s="134">
        <f t="shared" si="34"/>
        <v>5.61</v>
      </c>
      <c r="W138" s="134">
        <f t="shared" si="34"/>
        <v>5.61</v>
      </c>
      <c r="X138" s="134">
        <f t="shared" si="34"/>
        <v>5.61</v>
      </c>
      <c r="Y138" s="134">
        <f t="shared" si="34"/>
        <v>5.61</v>
      </c>
      <c r="Z138" s="134">
        <f t="shared" si="34"/>
        <v>5.61</v>
      </c>
      <c r="AA138" s="134">
        <f t="shared" si="34"/>
        <v>5.61</v>
      </c>
      <c r="AB138" s="134">
        <f t="shared" si="34"/>
        <v>5.61</v>
      </c>
      <c r="AC138" s="134">
        <f t="shared" si="34"/>
        <v>5.61</v>
      </c>
      <c r="AD138" s="134">
        <f t="shared" si="34"/>
        <v>5.61</v>
      </c>
      <c r="AE138" s="134">
        <f t="shared" si="34"/>
        <v>5.61</v>
      </c>
      <c r="AF138" s="134">
        <f t="shared" si="34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3"/>
        <v>1.25</v>
      </c>
      <c r="D139" s="134">
        <f t="shared" si="33"/>
        <v>1.25</v>
      </c>
      <c r="E139" s="134">
        <f t="shared" si="33"/>
        <v>1.25</v>
      </c>
      <c r="F139" s="134">
        <f t="shared" si="33"/>
        <v>1.25</v>
      </c>
      <c r="G139" s="134">
        <f t="shared" si="33"/>
        <v>1.25</v>
      </c>
      <c r="H139" s="134">
        <f t="shared" si="33"/>
        <v>1.25</v>
      </c>
      <c r="I139" s="134">
        <f t="shared" si="33"/>
        <v>1.25</v>
      </c>
      <c r="J139" s="134">
        <f t="shared" si="33"/>
        <v>1.25</v>
      </c>
      <c r="K139" s="134">
        <f t="shared" si="33"/>
        <v>1.25</v>
      </c>
      <c r="L139" s="134">
        <f t="shared" si="33"/>
        <v>1.25</v>
      </c>
      <c r="M139" s="134">
        <f t="shared" si="33"/>
        <v>1.25</v>
      </c>
      <c r="N139" s="134">
        <f t="shared" si="33"/>
        <v>1.25</v>
      </c>
      <c r="O139" s="134">
        <f t="shared" si="33"/>
        <v>1.25</v>
      </c>
      <c r="P139" s="134">
        <f t="shared" si="33"/>
        <v>1.25</v>
      </c>
      <c r="Q139" s="134">
        <f t="shared" si="33"/>
        <v>1.25</v>
      </c>
      <c r="R139" s="134">
        <f t="shared" si="33"/>
        <v>1.25</v>
      </c>
      <c r="S139" s="134">
        <f t="shared" si="34"/>
        <v>1.25</v>
      </c>
      <c r="T139" s="134">
        <f t="shared" si="34"/>
        <v>1.25</v>
      </c>
      <c r="U139" s="134">
        <f t="shared" si="34"/>
        <v>1.25</v>
      </c>
      <c r="V139" s="134">
        <f t="shared" si="34"/>
        <v>1.25</v>
      </c>
      <c r="W139" s="134">
        <f t="shared" si="34"/>
        <v>1.25</v>
      </c>
      <c r="X139" s="134">
        <f t="shared" si="34"/>
        <v>1.25</v>
      </c>
      <c r="Y139" s="134">
        <f t="shared" si="34"/>
        <v>1.25</v>
      </c>
      <c r="Z139" s="134">
        <f t="shared" si="34"/>
        <v>1.25</v>
      </c>
      <c r="AA139" s="134">
        <f t="shared" si="34"/>
        <v>1.25</v>
      </c>
      <c r="AB139" s="134">
        <f t="shared" si="34"/>
        <v>1.25</v>
      </c>
      <c r="AC139" s="134">
        <f t="shared" si="34"/>
        <v>1.25</v>
      </c>
      <c r="AD139" s="134">
        <f t="shared" si="34"/>
        <v>1.25</v>
      </c>
      <c r="AE139" s="134">
        <f t="shared" si="34"/>
        <v>1.25</v>
      </c>
      <c r="AF139" s="134">
        <f t="shared" si="34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3"/>
        <v>1.25</v>
      </c>
      <c r="D140" s="134">
        <f t="shared" si="33"/>
        <v>1.25</v>
      </c>
      <c r="E140" s="134">
        <f t="shared" si="33"/>
        <v>1.25</v>
      </c>
      <c r="F140" s="134">
        <f t="shared" si="33"/>
        <v>1.25</v>
      </c>
      <c r="G140" s="134">
        <f t="shared" si="33"/>
        <v>1.25</v>
      </c>
      <c r="H140" s="134">
        <f t="shared" si="33"/>
        <v>1.25</v>
      </c>
      <c r="I140" s="134">
        <f t="shared" si="33"/>
        <v>1.25</v>
      </c>
      <c r="J140" s="134">
        <f t="shared" si="33"/>
        <v>1.25</v>
      </c>
      <c r="K140" s="134">
        <f t="shared" si="33"/>
        <v>1.25</v>
      </c>
      <c r="L140" s="134">
        <f t="shared" si="33"/>
        <v>1.25</v>
      </c>
      <c r="M140" s="134">
        <f t="shared" si="33"/>
        <v>1.25</v>
      </c>
      <c r="N140" s="134">
        <f t="shared" si="33"/>
        <v>1.25</v>
      </c>
      <c r="O140" s="134">
        <f t="shared" si="33"/>
        <v>1.25</v>
      </c>
      <c r="P140" s="134">
        <f t="shared" si="33"/>
        <v>1.25</v>
      </c>
      <c r="Q140" s="134">
        <f t="shared" si="33"/>
        <v>1.25</v>
      </c>
      <c r="R140" s="134">
        <f t="shared" si="33"/>
        <v>1.25</v>
      </c>
      <c r="S140" s="134">
        <f t="shared" si="34"/>
        <v>1.25</v>
      </c>
      <c r="T140" s="134">
        <f t="shared" si="34"/>
        <v>1.25</v>
      </c>
      <c r="U140" s="134">
        <f t="shared" si="34"/>
        <v>1.25</v>
      </c>
      <c r="V140" s="134">
        <f t="shared" si="34"/>
        <v>1.25</v>
      </c>
      <c r="W140" s="134">
        <f t="shared" si="34"/>
        <v>1.25</v>
      </c>
      <c r="X140" s="134">
        <f t="shared" si="34"/>
        <v>1.25</v>
      </c>
      <c r="Y140" s="134">
        <f t="shared" si="34"/>
        <v>1.25</v>
      </c>
      <c r="Z140" s="134">
        <f t="shared" si="34"/>
        <v>1.25</v>
      </c>
      <c r="AA140" s="134">
        <f t="shared" si="34"/>
        <v>1.25</v>
      </c>
      <c r="AB140" s="134">
        <f t="shared" si="34"/>
        <v>1.25</v>
      </c>
      <c r="AC140" s="134">
        <f t="shared" si="34"/>
        <v>1.25</v>
      </c>
      <c r="AD140" s="134">
        <f t="shared" si="34"/>
        <v>1.25</v>
      </c>
      <c r="AE140" s="134">
        <f t="shared" si="34"/>
        <v>1.25</v>
      </c>
      <c r="AF140" s="134">
        <f t="shared" si="34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3"/>
        <v>1.46</v>
      </c>
      <c r="D141" s="134">
        <f t="shared" si="33"/>
        <v>1.46</v>
      </c>
      <c r="E141" s="134">
        <f t="shared" si="33"/>
        <v>1.46</v>
      </c>
      <c r="F141" s="134">
        <f t="shared" si="33"/>
        <v>1.46</v>
      </c>
      <c r="G141" s="134">
        <f t="shared" si="33"/>
        <v>1.46</v>
      </c>
      <c r="H141" s="134">
        <f t="shared" si="33"/>
        <v>1.46</v>
      </c>
      <c r="I141" s="134">
        <f t="shared" si="33"/>
        <v>1.46</v>
      </c>
      <c r="J141" s="134">
        <f t="shared" si="33"/>
        <v>1.46</v>
      </c>
      <c r="K141" s="134">
        <f t="shared" si="33"/>
        <v>1.46</v>
      </c>
      <c r="L141" s="134">
        <f t="shared" si="33"/>
        <v>1.46</v>
      </c>
      <c r="M141" s="134">
        <f t="shared" si="33"/>
        <v>1.46</v>
      </c>
      <c r="N141" s="134">
        <f t="shared" si="33"/>
        <v>1.46</v>
      </c>
      <c r="O141" s="134">
        <f t="shared" si="33"/>
        <v>1.46</v>
      </c>
      <c r="P141" s="134">
        <f t="shared" si="33"/>
        <v>1.46</v>
      </c>
      <c r="Q141" s="134">
        <f t="shared" si="33"/>
        <v>1.46</v>
      </c>
      <c r="R141" s="134">
        <f t="shared" si="33"/>
        <v>1.46</v>
      </c>
      <c r="S141" s="134">
        <f t="shared" si="34"/>
        <v>1.46</v>
      </c>
      <c r="T141" s="134">
        <f t="shared" si="34"/>
        <v>1.46</v>
      </c>
      <c r="U141" s="134">
        <f t="shared" si="34"/>
        <v>1.46</v>
      </c>
      <c r="V141" s="134">
        <f t="shared" si="34"/>
        <v>1.46</v>
      </c>
      <c r="W141" s="134">
        <f t="shared" si="34"/>
        <v>1.46</v>
      </c>
      <c r="X141" s="134">
        <f t="shared" si="34"/>
        <v>1.46</v>
      </c>
      <c r="Y141" s="134">
        <f t="shared" si="34"/>
        <v>1.46</v>
      </c>
      <c r="Z141" s="134">
        <f t="shared" si="34"/>
        <v>1.46</v>
      </c>
      <c r="AA141" s="134">
        <f t="shared" si="34"/>
        <v>1.46</v>
      </c>
      <c r="AB141" s="134">
        <f t="shared" si="34"/>
        <v>1.46</v>
      </c>
      <c r="AC141" s="134">
        <f t="shared" si="34"/>
        <v>1.46</v>
      </c>
      <c r="AD141" s="134">
        <f t="shared" si="34"/>
        <v>1.46</v>
      </c>
      <c r="AE141" s="134">
        <f t="shared" si="34"/>
        <v>1.46</v>
      </c>
      <c r="AF141" s="134">
        <f t="shared" si="34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3"/>
        <v>3</v>
      </c>
      <c r="D142" s="134">
        <f t="shared" si="33"/>
        <v>3</v>
      </c>
      <c r="E142" s="134">
        <f t="shared" si="33"/>
        <v>3</v>
      </c>
      <c r="F142" s="134">
        <f t="shared" si="33"/>
        <v>3</v>
      </c>
      <c r="G142" s="134">
        <f t="shared" si="33"/>
        <v>3</v>
      </c>
      <c r="H142" s="134">
        <f t="shared" si="33"/>
        <v>3</v>
      </c>
      <c r="I142" s="134">
        <f t="shared" si="33"/>
        <v>3</v>
      </c>
      <c r="J142" s="134">
        <f t="shared" si="33"/>
        <v>3</v>
      </c>
      <c r="K142" s="134">
        <f t="shared" si="33"/>
        <v>3</v>
      </c>
      <c r="L142" s="134">
        <f t="shared" si="33"/>
        <v>3</v>
      </c>
      <c r="M142" s="134">
        <f t="shared" si="33"/>
        <v>3</v>
      </c>
      <c r="N142" s="134">
        <f t="shared" si="33"/>
        <v>3</v>
      </c>
      <c r="O142" s="134">
        <f t="shared" si="33"/>
        <v>3</v>
      </c>
      <c r="P142" s="134">
        <f t="shared" si="33"/>
        <v>3</v>
      </c>
      <c r="Q142" s="134">
        <f t="shared" si="33"/>
        <v>3</v>
      </c>
      <c r="R142" s="134">
        <f t="shared" si="33"/>
        <v>3</v>
      </c>
      <c r="S142" s="134">
        <f t="shared" si="34"/>
        <v>3</v>
      </c>
      <c r="T142" s="134">
        <f t="shared" si="34"/>
        <v>3</v>
      </c>
      <c r="U142" s="134">
        <f t="shared" si="34"/>
        <v>3</v>
      </c>
      <c r="V142" s="134">
        <f t="shared" si="34"/>
        <v>3</v>
      </c>
      <c r="W142" s="134">
        <f t="shared" si="34"/>
        <v>3</v>
      </c>
      <c r="X142" s="134">
        <f t="shared" si="34"/>
        <v>3</v>
      </c>
      <c r="Y142" s="134">
        <f t="shared" si="34"/>
        <v>3</v>
      </c>
      <c r="Z142" s="134">
        <f t="shared" si="34"/>
        <v>3</v>
      </c>
      <c r="AA142" s="134">
        <f t="shared" si="34"/>
        <v>3</v>
      </c>
      <c r="AB142" s="134">
        <f t="shared" si="34"/>
        <v>3</v>
      </c>
      <c r="AC142" s="134">
        <f t="shared" si="34"/>
        <v>3</v>
      </c>
      <c r="AD142" s="134">
        <f t="shared" si="34"/>
        <v>3</v>
      </c>
      <c r="AE142" s="134">
        <f t="shared" si="34"/>
        <v>3</v>
      </c>
      <c r="AF142" s="134">
        <f t="shared" si="34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3"/>
        <v>3.3</v>
      </c>
      <c r="D143" s="134">
        <f t="shared" si="33"/>
        <v>3.3</v>
      </c>
      <c r="E143" s="134">
        <f t="shared" si="33"/>
        <v>3.3</v>
      </c>
      <c r="F143" s="134">
        <f t="shared" si="33"/>
        <v>3.3</v>
      </c>
      <c r="G143" s="134">
        <f t="shared" si="33"/>
        <v>3.3</v>
      </c>
      <c r="H143" s="134">
        <f t="shared" si="33"/>
        <v>3.3</v>
      </c>
      <c r="I143" s="134">
        <f t="shared" si="33"/>
        <v>3.3</v>
      </c>
      <c r="J143" s="134">
        <f t="shared" si="33"/>
        <v>3.3</v>
      </c>
      <c r="K143" s="134">
        <f t="shared" si="33"/>
        <v>3.3</v>
      </c>
      <c r="L143" s="134">
        <f t="shared" si="33"/>
        <v>3.3</v>
      </c>
      <c r="M143" s="134">
        <f t="shared" si="33"/>
        <v>3.3</v>
      </c>
      <c r="N143" s="134">
        <f t="shared" si="33"/>
        <v>3.3</v>
      </c>
      <c r="O143" s="134">
        <f t="shared" si="33"/>
        <v>3.3</v>
      </c>
      <c r="P143" s="134">
        <f t="shared" si="33"/>
        <v>3.3</v>
      </c>
      <c r="Q143" s="134">
        <f t="shared" si="33"/>
        <v>3.3</v>
      </c>
      <c r="R143" s="134">
        <f t="shared" si="33"/>
        <v>3.3</v>
      </c>
      <c r="S143" s="134">
        <f t="shared" si="34"/>
        <v>3.3</v>
      </c>
      <c r="T143" s="134">
        <f t="shared" si="34"/>
        <v>3.3</v>
      </c>
      <c r="U143" s="134">
        <f t="shared" si="34"/>
        <v>3.3</v>
      </c>
      <c r="V143" s="134">
        <f t="shared" si="34"/>
        <v>3.3</v>
      </c>
      <c r="W143" s="134">
        <f t="shared" si="34"/>
        <v>3.3</v>
      </c>
      <c r="X143" s="134">
        <f t="shared" si="34"/>
        <v>3.3</v>
      </c>
      <c r="Y143" s="134">
        <f t="shared" si="34"/>
        <v>3.3</v>
      </c>
      <c r="Z143" s="134">
        <f t="shared" si="34"/>
        <v>3.3</v>
      </c>
      <c r="AA143" s="134">
        <f t="shared" si="34"/>
        <v>3.3</v>
      </c>
      <c r="AB143" s="134">
        <f t="shared" si="34"/>
        <v>3.3</v>
      </c>
      <c r="AC143" s="134">
        <f t="shared" si="34"/>
        <v>3.3</v>
      </c>
      <c r="AD143" s="134">
        <f t="shared" si="34"/>
        <v>3.3</v>
      </c>
      <c r="AE143" s="134">
        <f t="shared" si="34"/>
        <v>3.3</v>
      </c>
      <c r="AF143" s="134">
        <f t="shared" si="34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5">B145</f>
        <v>1.76</v>
      </c>
      <c r="D145" s="134">
        <f t="shared" si="35"/>
        <v>1.76</v>
      </c>
      <c r="E145" s="134">
        <f t="shared" si="35"/>
        <v>1.76</v>
      </c>
      <c r="F145" s="134">
        <f t="shared" si="35"/>
        <v>1.76</v>
      </c>
      <c r="G145" s="134">
        <f t="shared" si="35"/>
        <v>1.76</v>
      </c>
      <c r="H145" s="134">
        <f t="shared" si="35"/>
        <v>1.76</v>
      </c>
      <c r="I145" s="134">
        <f t="shared" si="35"/>
        <v>1.76</v>
      </c>
      <c r="J145" s="134">
        <f t="shared" si="35"/>
        <v>1.76</v>
      </c>
      <c r="K145" s="134">
        <f t="shared" si="35"/>
        <v>1.76</v>
      </c>
      <c r="L145" s="134">
        <f t="shared" si="35"/>
        <v>1.76</v>
      </c>
      <c r="M145" s="134">
        <f t="shared" si="35"/>
        <v>1.76</v>
      </c>
      <c r="N145" s="134">
        <f t="shared" si="35"/>
        <v>1.76</v>
      </c>
      <c r="O145" s="134">
        <f t="shared" si="35"/>
        <v>1.76</v>
      </c>
      <c r="P145" s="134">
        <f t="shared" si="35"/>
        <v>1.76</v>
      </c>
      <c r="Q145" s="134">
        <f t="shared" si="35"/>
        <v>1.76</v>
      </c>
      <c r="R145" s="134">
        <f t="shared" si="35"/>
        <v>1.76</v>
      </c>
      <c r="S145" s="134">
        <f t="shared" ref="S145:AF146" si="36">R145</f>
        <v>1.76</v>
      </c>
      <c r="T145" s="134">
        <f t="shared" si="36"/>
        <v>1.76</v>
      </c>
      <c r="U145" s="134">
        <f t="shared" si="36"/>
        <v>1.76</v>
      </c>
      <c r="V145" s="134">
        <f t="shared" si="36"/>
        <v>1.76</v>
      </c>
      <c r="W145" s="134">
        <f t="shared" si="36"/>
        <v>1.76</v>
      </c>
      <c r="X145" s="134">
        <f t="shared" si="36"/>
        <v>1.76</v>
      </c>
      <c r="Y145" s="134">
        <f t="shared" si="36"/>
        <v>1.76</v>
      </c>
      <c r="Z145" s="134">
        <f t="shared" si="36"/>
        <v>1.76</v>
      </c>
      <c r="AA145" s="134">
        <f t="shared" si="36"/>
        <v>1.76</v>
      </c>
      <c r="AB145" s="134">
        <f t="shared" si="36"/>
        <v>1.76</v>
      </c>
      <c r="AC145" s="134">
        <f t="shared" si="36"/>
        <v>1.76</v>
      </c>
      <c r="AD145" s="134">
        <f t="shared" si="36"/>
        <v>1.76</v>
      </c>
      <c r="AE145" s="134">
        <f t="shared" si="36"/>
        <v>1.76</v>
      </c>
      <c r="AF145" s="134">
        <f t="shared" si="36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5"/>
        <v>0</v>
      </c>
      <c r="D146" s="134">
        <f t="shared" si="35"/>
        <v>0</v>
      </c>
      <c r="E146" s="134">
        <f t="shared" si="35"/>
        <v>0</v>
      </c>
      <c r="F146" s="134">
        <f t="shared" si="35"/>
        <v>0</v>
      </c>
      <c r="G146" s="134">
        <f t="shared" si="35"/>
        <v>0</v>
      </c>
      <c r="H146" s="134">
        <f t="shared" si="35"/>
        <v>0</v>
      </c>
      <c r="I146" s="134">
        <f t="shared" si="35"/>
        <v>0</v>
      </c>
      <c r="J146" s="134">
        <f t="shared" si="35"/>
        <v>0</v>
      </c>
      <c r="K146" s="134">
        <f t="shared" si="35"/>
        <v>0</v>
      </c>
      <c r="L146" s="134">
        <f t="shared" si="35"/>
        <v>0</v>
      </c>
      <c r="M146" s="134">
        <f t="shared" si="35"/>
        <v>0</v>
      </c>
      <c r="N146" s="134">
        <f t="shared" si="35"/>
        <v>0</v>
      </c>
      <c r="O146" s="134">
        <f t="shared" si="35"/>
        <v>0</v>
      </c>
      <c r="P146" s="134">
        <f t="shared" si="35"/>
        <v>0</v>
      </c>
      <c r="Q146" s="134">
        <f t="shared" si="35"/>
        <v>0</v>
      </c>
      <c r="R146" s="134">
        <f t="shared" si="35"/>
        <v>0</v>
      </c>
      <c r="S146" s="134">
        <f t="shared" si="36"/>
        <v>0</v>
      </c>
      <c r="T146" s="134">
        <f t="shared" si="36"/>
        <v>0</v>
      </c>
      <c r="U146" s="134">
        <f t="shared" si="36"/>
        <v>0</v>
      </c>
      <c r="V146" s="134">
        <f t="shared" si="36"/>
        <v>0</v>
      </c>
      <c r="W146" s="134">
        <f t="shared" si="36"/>
        <v>0</v>
      </c>
      <c r="X146" s="134">
        <f t="shared" si="36"/>
        <v>0</v>
      </c>
      <c r="Y146" s="134">
        <f t="shared" si="36"/>
        <v>0</v>
      </c>
      <c r="Z146" s="134">
        <f t="shared" si="36"/>
        <v>0</v>
      </c>
      <c r="AA146" s="134">
        <f t="shared" si="36"/>
        <v>0</v>
      </c>
      <c r="AB146" s="134">
        <f t="shared" si="36"/>
        <v>0</v>
      </c>
      <c r="AC146" s="134">
        <f t="shared" si="36"/>
        <v>0</v>
      </c>
      <c r="AD146" s="134">
        <f t="shared" si="36"/>
        <v>0</v>
      </c>
      <c r="AE146" s="134">
        <f t="shared" si="36"/>
        <v>0</v>
      </c>
      <c r="AF146" s="134">
        <f t="shared" si="36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7">B148</f>
        <v>0.1</v>
      </c>
      <c r="D148" s="134">
        <f t="shared" si="37"/>
        <v>0.1</v>
      </c>
      <c r="E148" s="134">
        <f t="shared" si="37"/>
        <v>0.1</v>
      </c>
      <c r="F148" s="134">
        <f t="shared" si="37"/>
        <v>0.1</v>
      </c>
      <c r="G148" s="134">
        <f t="shared" si="37"/>
        <v>0.1</v>
      </c>
      <c r="H148" s="134">
        <f t="shared" si="37"/>
        <v>0.1</v>
      </c>
      <c r="I148" s="134">
        <f t="shared" si="37"/>
        <v>0.1</v>
      </c>
      <c r="J148" s="134">
        <f t="shared" si="37"/>
        <v>0.1</v>
      </c>
      <c r="K148" s="134">
        <f t="shared" si="37"/>
        <v>0.1</v>
      </c>
      <c r="L148" s="134">
        <f t="shared" si="37"/>
        <v>0.1</v>
      </c>
      <c r="M148" s="134">
        <f t="shared" si="37"/>
        <v>0.1</v>
      </c>
      <c r="N148" s="134">
        <f t="shared" si="37"/>
        <v>0.1</v>
      </c>
      <c r="O148" s="134">
        <f t="shared" si="37"/>
        <v>0.1</v>
      </c>
      <c r="P148" s="134">
        <f t="shared" si="37"/>
        <v>0.1</v>
      </c>
      <c r="Q148" s="134">
        <f t="shared" si="37"/>
        <v>0.1</v>
      </c>
      <c r="R148" s="134">
        <f t="shared" si="37"/>
        <v>0.1</v>
      </c>
      <c r="S148" s="134">
        <f t="shared" ref="S148:AF151" si="38">R148</f>
        <v>0.1</v>
      </c>
      <c r="T148" s="134">
        <f t="shared" si="38"/>
        <v>0.1</v>
      </c>
      <c r="U148" s="134">
        <f t="shared" si="38"/>
        <v>0.1</v>
      </c>
      <c r="V148" s="134">
        <f t="shared" si="38"/>
        <v>0.1</v>
      </c>
      <c r="W148" s="134">
        <f t="shared" si="38"/>
        <v>0.1</v>
      </c>
      <c r="X148" s="134">
        <f t="shared" si="38"/>
        <v>0.1</v>
      </c>
      <c r="Y148" s="134">
        <f t="shared" si="38"/>
        <v>0.1</v>
      </c>
      <c r="Z148" s="134">
        <f t="shared" si="38"/>
        <v>0.1</v>
      </c>
      <c r="AA148" s="134">
        <f t="shared" si="38"/>
        <v>0.1</v>
      </c>
      <c r="AB148" s="134">
        <f t="shared" si="38"/>
        <v>0.1</v>
      </c>
      <c r="AC148" s="134">
        <f t="shared" si="38"/>
        <v>0.1</v>
      </c>
      <c r="AD148" s="134">
        <f t="shared" si="38"/>
        <v>0.1</v>
      </c>
      <c r="AE148" s="134">
        <f t="shared" si="38"/>
        <v>0.1</v>
      </c>
      <c r="AF148" s="134">
        <f t="shared" si="38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7"/>
        <v>2.0499999999999998</v>
      </c>
      <c r="D149" s="134">
        <f t="shared" si="37"/>
        <v>2.0499999999999998</v>
      </c>
      <c r="E149" s="134">
        <f t="shared" si="37"/>
        <v>2.0499999999999998</v>
      </c>
      <c r="F149" s="134">
        <f t="shared" si="37"/>
        <v>2.0499999999999998</v>
      </c>
      <c r="G149" s="134">
        <f t="shared" si="37"/>
        <v>2.0499999999999998</v>
      </c>
      <c r="H149" s="134">
        <f t="shared" si="37"/>
        <v>2.0499999999999998</v>
      </c>
      <c r="I149" s="134">
        <f t="shared" si="37"/>
        <v>2.0499999999999998</v>
      </c>
      <c r="J149" s="134">
        <f t="shared" si="37"/>
        <v>2.0499999999999998</v>
      </c>
      <c r="K149" s="134">
        <f t="shared" si="37"/>
        <v>2.0499999999999998</v>
      </c>
      <c r="L149" s="134">
        <f t="shared" si="37"/>
        <v>2.0499999999999998</v>
      </c>
      <c r="M149" s="134">
        <f t="shared" si="37"/>
        <v>2.0499999999999998</v>
      </c>
      <c r="N149" s="134">
        <f t="shared" si="37"/>
        <v>2.0499999999999998</v>
      </c>
      <c r="O149" s="134">
        <f t="shared" si="37"/>
        <v>2.0499999999999998</v>
      </c>
      <c r="P149" s="134">
        <f t="shared" si="37"/>
        <v>2.0499999999999998</v>
      </c>
      <c r="Q149" s="134">
        <f t="shared" si="37"/>
        <v>2.0499999999999998</v>
      </c>
      <c r="R149" s="134">
        <f t="shared" si="37"/>
        <v>2.0499999999999998</v>
      </c>
      <c r="S149" s="134">
        <f t="shared" si="38"/>
        <v>2.0499999999999998</v>
      </c>
      <c r="T149" s="134">
        <f t="shared" si="38"/>
        <v>2.0499999999999998</v>
      </c>
      <c r="U149" s="134">
        <f t="shared" si="38"/>
        <v>2.0499999999999998</v>
      </c>
      <c r="V149" s="134">
        <f t="shared" si="38"/>
        <v>2.0499999999999998</v>
      </c>
      <c r="W149" s="134">
        <f t="shared" si="38"/>
        <v>2.0499999999999998</v>
      </c>
      <c r="X149" s="134">
        <f t="shared" si="38"/>
        <v>2.0499999999999998</v>
      </c>
      <c r="Y149" s="134">
        <f t="shared" si="38"/>
        <v>2.0499999999999998</v>
      </c>
      <c r="Z149" s="134">
        <f t="shared" si="38"/>
        <v>2.0499999999999998</v>
      </c>
      <c r="AA149" s="134">
        <f t="shared" si="38"/>
        <v>2.0499999999999998</v>
      </c>
      <c r="AB149" s="134">
        <f t="shared" si="38"/>
        <v>2.0499999999999998</v>
      </c>
      <c r="AC149" s="134">
        <f t="shared" si="38"/>
        <v>2.0499999999999998</v>
      </c>
      <c r="AD149" s="134">
        <f t="shared" si="38"/>
        <v>2.0499999999999998</v>
      </c>
      <c r="AE149" s="134">
        <f t="shared" si="38"/>
        <v>2.0499999999999998</v>
      </c>
      <c r="AF149" s="134">
        <f t="shared" si="38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7"/>
        <v>2.7</v>
      </c>
      <c r="D150" s="134">
        <f t="shared" si="37"/>
        <v>2.7</v>
      </c>
      <c r="E150" s="134">
        <f t="shared" si="37"/>
        <v>2.7</v>
      </c>
      <c r="F150" s="134">
        <f t="shared" si="37"/>
        <v>2.7</v>
      </c>
      <c r="G150" s="134">
        <f t="shared" si="37"/>
        <v>2.7</v>
      </c>
      <c r="H150" s="134">
        <f t="shared" si="37"/>
        <v>2.7</v>
      </c>
      <c r="I150" s="134">
        <f t="shared" si="37"/>
        <v>2.7</v>
      </c>
      <c r="J150" s="134">
        <f t="shared" si="37"/>
        <v>2.7</v>
      </c>
      <c r="K150" s="134">
        <f t="shared" si="37"/>
        <v>2.7</v>
      </c>
      <c r="L150" s="134">
        <f t="shared" si="37"/>
        <v>2.7</v>
      </c>
      <c r="M150" s="134">
        <f t="shared" si="37"/>
        <v>2.7</v>
      </c>
      <c r="N150" s="134">
        <f t="shared" si="37"/>
        <v>2.7</v>
      </c>
      <c r="O150" s="134">
        <f t="shared" si="37"/>
        <v>2.7</v>
      </c>
      <c r="P150" s="134">
        <f t="shared" si="37"/>
        <v>2.7</v>
      </c>
      <c r="Q150" s="134">
        <f t="shared" si="37"/>
        <v>2.7</v>
      </c>
      <c r="R150" s="134">
        <f t="shared" si="37"/>
        <v>2.7</v>
      </c>
      <c r="S150" s="134">
        <f t="shared" si="38"/>
        <v>2.7</v>
      </c>
      <c r="T150" s="134">
        <f t="shared" si="38"/>
        <v>2.7</v>
      </c>
      <c r="U150" s="134">
        <f t="shared" si="38"/>
        <v>2.7</v>
      </c>
      <c r="V150" s="134">
        <f t="shared" si="38"/>
        <v>2.7</v>
      </c>
      <c r="W150" s="134">
        <f t="shared" si="38"/>
        <v>2.7</v>
      </c>
      <c r="X150" s="134">
        <f t="shared" si="38"/>
        <v>2.7</v>
      </c>
      <c r="Y150" s="134">
        <f t="shared" si="38"/>
        <v>2.7</v>
      </c>
      <c r="Z150" s="134">
        <f t="shared" si="38"/>
        <v>2.7</v>
      </c>
      <c r="AA150" s="134">
        <f t="shared" si="38"/>
        <v>2.7</v>
      </c>
      <c r="AB150" s="134">
        <f t="shared" si="38"/>
        <v>2.7</v>
      </c>
      <c r="AC150" s="134">
        <f t="shared" si="38"/>
        <v>2.7</v>
      </c>
      <c r="AD150" s="134">
        <f t="shared" si="38"/>
        <v>2.7</v>
      </c>
      <c r="AE150" s="134">
        <f t="shared" si="38"/>
        <v>2.7</v>
      </c>
      <c r="AF150" s="134">
        <f t="shared" si="38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7"/>
        <v>2.15</v>
      </c>
      <c r="D151" s="134">
        <f t="shared" si="37"/>
        <v>2.15</v>
      </c>
      <c r="E151" s="134">
        <f t="shared" si="37"/>
        <v>2.15</v>
      </c>
      <c r="F151" s="134">
        <f t="shared" si="37"/>
        <v>2.15</v>
      </c>
      <c r="G151" s="134">
        <f t="shared" si="37"/>
        <v>2.15</v>
      </c>
      <c r="H151" s="134">
        <f t="shared" si="37"/>
        <v>2.15</v>
      </c>
      <c r="I151" s="134">
        <f t="shared" si="37"/>
        <v>2.15</v>
      </c>
      <c r="J151" s="134">
        <f t="shared" si="37"/>
        <v>2.15</v>
      </c>
      <c r="K151" s="134">
        <f t="shared" si="37"/>
        <v>2.15</v>
      </c>
      <c r="L151" s="134">
        <f t="shared" si="37"/>
        <v>2.15</v>
      </c>
      <c r="M151" s="134">
        <f t="shared" si="37"/>
        <v>2.15</v>
      </c>
      <c r="N151" s="134">
        <f t="shared" si="37"/>
        <v>2.15</v>
      </c>
      <c r="O151" s="134">
        <f t="shared" si="37"/>
        <v>2.15</v>
      </c>
      <c r="P151" s="134">
        <f t="shared" si="37"/>
        <v>2.15</v>
      </c>
      <c r="Q151" s="134">
        <f t="shared" si="37"/>
        <v>2.15</v>
      </c>
      <c r="R151" s="134">
        <f t="shared" si="37"/>
        <v>2.15</v>
      </c>
      <c r="S151" s="134">
        <f t="shared" si="38"/>
        <v>2.15</v>
      </c>
      <c r="T151" s="134">
        <f t="shared" si="38"/>
        <v>2.15</v>
      </c>
      <c r="U151" s="134">
        <f t="shared" si="38"/>
        <v>2.15</v>
      </c>
      <c r="V151" s="134">
        <f t="shared" si="38"/>
        <v>2.15</v>
      </c>
      <c r="W151" s="134">
        <f t="shared" si="38"/>
        <v>2.15</v>
      </c>
      <c r="X151" s="134">
        <f t="shared" si="38"/>
        <v>2.15</v>
      </c>
      <c r="Y151" s="134">
        <f t="shared" si="38"/>
        <v>2.15</v>
      </c>
      <c r="Z151" s="134">
        <f t="shared" si="38"/>
        <v>2.15</v>
      </c>
      <c r="AA151" s="134">
        <f t="shared" si="38"/>
        <v>2.15</v>
      </c>
      <c r="AB151" s="134">
        <f t="shared" si="38"/>
        <v>2.15</v>
      </c>
      <c r="AC151" s="134">
        <f t="shared" si="38"/>
        <v>2.15</v>
      </c>
      <c r="AD151" s="134">
        <f t="shared" si="38"/>
        <v>2.15</v>
      </c>
      <c r="AE151" s="134">
        <f t="shared" si="38"/>
        <v>2.15</v>
      </c>
      <c r="AF151" s="134">
        <f t="shared" si="38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39">B153</f>
        <v>0.9</v>
      </c>
      <c r="D153" s="134">
        <f t="shared" si="39"/>
        <v>0.9</v>
      </c>
      <c r="E153" s="134">
        <f t="shared" si="39"/>
        <v>0.9</v>
      </c>
      <c r="F153" s="134">
        <f t="shared" si="39"/>
        <v>0.9</v>
      </c>
      <c r="G153" s="134">
        <f t="shared" si="39"/>
        <v>0.9</v>
      </c>
      <c r="H153" s="134">
        <f t="shared" si="39"/>
        <v>0.9</v>
      </c>
      <c r="I153" s="134">
        <f t="shared" si="39"/>
        <v>0.9</v>
      </c>
      <c r="J153" s="134">
        <f t="shared" si="39"/>
        <v>0.9</v>
      </c>
      <c r="K153" s="134">
        <f t="shared" si="39"/>
        <v>0.9</v>
      </c>
      <c r="L153" s="134">
        <f t="shared" si="39"/>
        <v>0.9</v>
      </c>
      <c r="M153" s="134">
        <f t="shared" si="39"/>
        <v>0.9</v>
      </c>
      <c r="N153" s="134">
        <f t="shared" si="39"/>
        <v>0.9</v>
      </c>
      <c r="O153" s="134">
        <f t="shared" si="39"/>
        <v>0.9</v>
      </c>
      <c r="P153" s="134">
        <f t="shared" si="39"/>
        <v>0.9</v>
      </c>
      <c r="Q153" s="134">
        <f t="shared" si="39"/>
        <v>0.9</v>
      </c>
      <c r="R153" s="134">
        <f t="shared" si="39"/>
        <v>0.9</v>
      </c>
      <c r="S153" s="134">
        <f t="shared" ref="R153:AF165" si="40">R153</f>
        <v>0.9</v>
      </c>
      <c r="T153" s="134">
        <f t="shared" si="40"/>
        <v>0.9</v>
      </c>
      <c r="U153" s="134">
        <f t="shared" si="40"/>
        <v>0.9</v>
      </c>
      <c r="V153" s="134">
        <f t="shared" si="40"/>
        <v>0.9</v>
      </c>
      <c r="W153" s="134">
        <f t="shared" si="40"/>
        <v>0.9</v>
      </c>
      <c r="X153" s="134">
        <f t="shared" si="40"/>
        <v>0.9</v>
      </c>
      <c r="Y153" s="134">
        <f t="shared" si="40"/>
        <v>0.9</v>
      </c>
      <c r="Z153" s="134">
        <f t="shared" si="40"/>
        <v>0.9</v>
      </c>
      <c r="AA153" s="134">
        <f t="shared" si="40"/>
        <v>0.9</v>
      </c>
      <c r="AB153" s="134">
        <f t="shared" si="40"/>
        <v>0.9</v>
      </c>
      <c r="AC153" s="134">
        <f t="shared" si="40"/>
        <v>0.9</v>
      </c>
      <c r="AD153" s="134">
        <f t="shared" si="40"/>
        <v>0.9</v>
      </c>
      <c r="AE153" s="134">
        <f t="shared" si="40"/>
        <v>0.9</v>
      </c>
      <c r="AF153" s="134">
        <f t="shared" si="40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39"/>
        <v>1.08</v>
      </c>
      <c r="D154" s="134">
        <f t="shared" si="39"/>
        <v>1.08</v>
      </c>
      <c r="E154" s="134">
        <f t="shared" si="39"/>
        <v>1.08</v>
      </c>
      <c r="F154" s="134">
        <f t="shared" si="39"/>
        <v>1.08</v>
      </c>
      <c r="G154" s="134">
        <f t="shared" si="39"/>
        <v>1.08</v>
      </c>
      <c r="H154" s="134">
        <f t="shared" si="39"/>
        <v>1.08</v>
      </c>
      <c r="I154" s="134">
        <f t="shared" si="39"/>
        <v>1.08</v>
      </c>
      <c r="J154" s="134">
        <f t="shared" si="39"/>
        <v>1.08</v>
      </c>
      <c r="K154" s="134">
        <f t="shared" si="39"/>
        <v>1.08</v>
      </c>
      <c r="L154" s="134">
        <f t="shared" si="39"/>
        <v>1.08</v>
      </c>
      <c r="M154" s="134">
        <f t="shared" si="39"/>
        <v>1.08</v>
      </c>
      <c r="N154" s="134">
        <f t="shared" si="39"/>
        <v>1.08</v>
      </c>
      <c r="O154" s="134">
        <f t="shared" si="39"/>
        <v>1.08</v>
      </c>
      <c r="P154" s="134">
        <f t="shared" si="39"/>
        <v>1.08</v>
      </c>
      <c r="Q154" s="134">
        <f t="shared" si="39"/>
        <v>1.08</v>
      </c>
      <c r="R154" s="134">
        <f t="shared" si="39"/>
        <v>1.08</v>
      </c>
      <c r="S154" s="134">
        <f t="shared" si="40"/>
        <v>1.08</v>
      </c>
      <c r="T154" s="134">
        <f t="shared" si="40"/>
        <v>1.08</v>
      </c>
      <c r="U154" s="134">
        <f t="shared" si="40"/>
        <v>1.08</v>
      </c>
      <c r="V154" s="134">
        <f t="shared" si="40"/>
        <v>1.08</v>
      </c>
      <c r="W154" s="134">
        <f t="shared" si="40"/>
        <v>1.08</v>
      </c>
      <c r="X154" s="134">
        <f t="shared" si="40"/>
        <v>1.08</v>
      </c>
      <c r="Y154" s="134">
        <f t="shared" si="40"/>
        <v>1.08</v>
      </c>
      <c r="Z154" s="134">
        <f t="shared" si="40"/>
        <v>1.08</v>
      </c>
      <c r="AA154" s="134">
        <f t="shared" si="40"/>
        <v>1.08</v>
      </c>
      <c r="AB154" s="134">
        <f t="shared" si="40"/>
        <v>1.08</v>
      </c>
      <c r="AC154" s="134">
        <f t="shared" si="40"/>
        <v>1.08</v>
      </c>
      <c r="AD154" s="134">
        <f t="shared" si="40"/>
        <v>1.08</v>
      </c>
      <c r="AE154" s="134">
        <f t="shared" si="40"/>
        <v>1.08</v>
      </c>
      <c r="AF154" s="134">
        <f t="shared" si="40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39"/>
        <v>2.37</v>
      </c>
      <c r="D155" s="134">
        <f t="shared" si="39"/>
        <v>2.37</v>
      </c>
      <c r="E155" s="134">
        <f t="shared" si="39"/>
        <v>2.37</v>
      </c>
      <c r="F155" s="134">
        <f t="shared" si="39"/>
        <v>2.37</v>
      </c>
      <c r="G155" s="134">
        <f t="shared" si="39"/>
        <v>2.37</v>
      </c>
      <c r="H155" s="134">
        <f t="shared" si="39"/>
        <v>2.37</v>
      </c>
      <c r="I155" s="134">
        <f t="shared" si="39"/>
        <v>2.37</v>
      </c>
      <c r="J155" s="134">
        <f t="shared" si="39"/>
        <v>2.37</v>
      </c>
      <c r="K155" s="134">
        <f t="shared" si="39"/>
        <v>2.37</v>
      </c>
      <c r="L155" s="134">
        <f t="shared" si="39"/>
        <v>2.37</v>
      </c>
      <c r="M155" s="134">
        <f t="shared" si="39"/>
        <v>2.37</v>
      </c>
      <c r="N155" s="134">
        <f t="shared" si="39"/>
        <v>2.37</v>
      </c>
      <c r="O155" s="134">
        <f t="shared" si="39"/>
        <v>2.37</v>
      </c>
      <c r="P155" s="134">
        <f t="shared" si="39"/>
        <v>2.37</v>
      </c>
      <c r="Q155" s="134">
        <f t="shared" si="39"/>
        <v>2.37</v>
      </c>
      <c r="R155" s="134">
        <f t="shared" si="39"/>
        <v>2.37</v>
      </c>
      <c r="S155" s="134">
        <f t="shared" si="40"/>
        <v>2.37</v>
      </c>
      <c r="T155" s="134">
        <f t="shared" si="40"/>
        <v>2.37</v>
      </c>
      <c r="U155" s="134">
        <f t="shared" si="40"/>
        <v>2.37</v>
      </c>
      <c r="V155" s="134">
        <f t="shared" si="40"/>
        <v>2.37</v>
      </c>
      <c r="W155" s="134">
        <f t="shared" si="40"/>
        <v>2.37</v>
      </c>
      <c r="X155" s="134">
        <f t="shared" si="40"/>
        <v>2.37</v>
      </c>
      <c r="Y155" s="134">
        <f t="shared" si="40"/>
        <v>2.37</v>
      </c>
      <c r="Z155" s="134">
        <f t="shared" si="40"/>
        <v>2.37</v>
      </c>
      <c r="AA155" s="134">
        <f t="shared" si="40"/>
        <v>2.37</v>
      </c>
      <c r="AB155" s="134">
        <f t="shared" si="40"/>
        <v>2.37</v>
      </c>
      <c r="AC155" s="134">
        <f t="shared" si="40"/>
        <v>2.37</v>
      </c>
      <c r="AD155" s="134">
        <f t="shared" si="40"/>
        <v>2.37</v>
      </c>
      <c r="AE155" s="134">
        <f t="shared" si="40"/>
        <v>2.37</v>
      </c>
      <c r="AF155" s="134">
        <f t="shared" si="40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39"/>
        <v>1.81</v>
      </c>
      <c r="D156" s="134">
        <f t="shared" si="39"/>
        <v>1.81</v>
      </c>
      <c r="E156" s="134">
        <f t="shared" si="39"/>
        <v>1.81</v>
      </c>
      <c r="F156" s="134">
        <f t="shared" si="39"/>
        <v>1.81</v>
      </c>
      <c r="G156" s="134">
        <f t="shared" si="39"/>
        <v>1.81</v>
      </c>
      <c r="H156" s="134">
        <f t="shared" si="39"/>
        <v>1.81</v>
      </c>
      <c r="I156" s="134">
        <f t="shared" si="39"/>
        <v>1.81</v>
      </c>
      <c r="J156" s="134">
        <f t="shared" si="39"/>
        <v>1.81</v>
      </c>
      <c r="K156" s="134">
        <f t="shared" si="39"/>
        <v>1.81</v>
      </c>
      <c r="L156" s="134">
        <f t="shared" si="39"/>
        <v>1.81</v>
      </c>
      <c r="M156" s="134">
        <f t="shared" si="39"/>
        <v>1.81</v>
      </c>
      <c r="N156" s="134">
        <f t="shared" si="39"/>
        <v>1.81</v>
      </c>
      <c r="O156" s="134">
        <f t="shared" si="39"/>
        <v>1.81</v>
      </c>
      <c r="P156" s="134">
        <f t="shared" si="39"/>
        <v>1.81</v>
      </c>
      <c r="Q156" s="134">
        <f t="shared" si="39"/>
        <v>1.81</v>
      </c>
      <c r="R156" s="134">
        <f t="shared" si="39"/>
        <v>1.81</v>
      </c>
      <c r="S156" s="134">
        <f t="shared" si="40"/>
        <v>1.81</v>
      </c>
      <c r="T156" s="134">
        <f t="shared" si="40"/>
        <v>1.81</v>
      </c>
      <c r="U156" s="134">
        <f t="shared" si="40"/>
        <v>1.81</v>
      </c>
      <c r="V156" s="134">
        <f t="shared" si="40"/>
        <v>1.81</v>
      </c>
      <c r="W156" s="134">
        <f t="shared" si="40"/>
        <v>1.81</v>
      </c>
      <c r="X156" s="134">
        <f t="shared" si="40"/>
        <v>1.81</v>
      </c>
      <c r="Y156" s="134">
        <f t="shared" si="40"/>
        <v>1.81</v>
      </c>
      <c r="Z156" s="134">
        <f t="shared" si="40"/>
        <v>1.81</v>
      </c>
      <c r="AA156" s="134">
        <f t="shared" si="40"/>
        <v>1.81</v>
      </c>
      <c r="AB156" s="134">
        <f t="shared" si="40"/>
        <v>1.81</v>
      </c>
      <c r="AC156" s="134">
        <f t="shared" si="40"/>
        <v>1.81</v>
      </c>
      <c r="AD156" s="134">
        <f t="shared" si="40"/>
        <v>1.81</v>
      </c>
      <c r="AE156" s="134">
        <f t="shared" si="40"/>
        <v>1.81</v>
      </c>
      <c r="AF156" s="134">
        <f t="shared" si="40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39"/>
        <v>1.0900000000000001</v>
      </c>
      <c r="D157" s="134">
        <f t="shared" si="39"/>
        <v>1.0900000000000001</v>
      </c>
      <c r="E157" s="134">
        <f t="shared" si="39"/>
        <v>1.0900000000000001</v>
      </c>
      <c r="F157" s="134">
        <f t="shared" si="39"/>
        <v>1.0900000000000001</v>
      </c>
      <c r="G157" s="134">
        <f t="shared" si="39"/>
        <v>1.0900000000000001</v>
      </c>
      <c r="H157" s="134">
        <f t="shared" si="39"/>
        <v>1.0900000000000001</v>
      </c>
      <c r="I157" s="134">
        <f t="shared" si="39"/>
        <v>1.0900000000000001</v>
      </c>
      <c r="J157" s="134">
        <f t="shared" si="39"/>
        <v>1.0900000000000001</v>
      </c>
      <c r="K157" s="134">
        <f t="shared" si="39"/>
        <v>1.0900000000000001</v>
      </c>
      <c r="L157" s="134">
        <f t="shared" si="39"/>
        <v>1.0900000000000001</v>
      </c>
      <c r="M157" s="134">
        <f t="shared" si="39"/>
        <v>1.0900000000000001</v>
      </c>
      <c r="N157" s="134">
        <f t="shared" si="39"/>
        <v>1.0900000000000001</v>
      </c>
      <c r="O157" s="134">
        <f t="shared" si="39"/>
        <v>1.0900000000000001</v>
      </c>
      <c r="P157" s="134">
        <f t="shared" si="39"/>
        <v>1.0900000000000001</v>
      </c>
      <c r="Q157" s="134">
        <f t="shared" si="39"/>
        <v>1.0900000000000001</v>
      </c>
      <c r="R157" s="134">
        <f t="shared" si="39"/>
        <v>1.0900000000000001</v>
      </c>
      <c r="S157" s="134">
        <f t="shared" si="40"/>
        <v>1.0900000000000001</v>
      </c>
      <c r="T157" s="134">
        <f t="shared" si="40"/>
        <v>1.0900000000000001</v>
      </c>
      <c r="U157" s="134">
        <f t="shared" si="40"/>
        <v>1.0900000000000001</v>
      </c>
      <c r="V157" s="134">
        <f t="shared" si="40"/>
        <v>1.0900000000000001</v>
      </c>
      <c r="W157" s="134">
        <f t="shared" si="40"/>
        <v>1.0900000000000001</v>
      </c>
      <c r="X157" s="134">
        <f t="shared" si="40"/>
        <v>1.0900000000000001</v>
      </c>
      <c r="Y157" s="134">
        <f t="shared" si="40"/>
        <v>1.0900000000000001</v>
      </c>
      <c r="Z157" s="134">
        <f t="shared" si="40"/>
        <v>1.0900000000000001</v>
      </c>
      <c r="AA157" s="134">
        <f t="shared" si="40"/>
        <v>1.0900000000000001</v>
      </c>
      <c r="AB157" s="134">
        <f t="shared" si="40"/>
        <v>1.0900000000000001</v>
      </c>
      <c r="AC157" s="134">
        <f t="shared" si="40"/>
        <v>1.0900000000000001</v>
      </c>
      <c r="AD157" s="134">
        <f t="shared" si="40"/>
        <v>1.0900000000000001</v>
      </c>
      <c r="AE157" s="134">
        <f t="shared" si="40"/>
        <v>1.0900000000000001</v>
      </c>
      <c r="AF157" s="134">
        <f t="shared" si="40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39"/>
        <v>1.58</v>
      </c>
      <c r="D158" s="134">
        <f t="shared" si="39"/>
        <v>1.58</v>
      </c>
      <c r="E158" s="134">
        <f t="shared" si="39"/>
        <v>1.58</v>
      </c>
      <c r="F158" s="134">
        <f t="shared" si="39"/>
        <v>1.58</v>
      </c>
      <c r="G158" s="134">
        <f t="shared" si="39"/>
        <v>1.58</v>
      </c>
      <c r="H158" s="134">
        <f t="shared" si="39"/>
        <v>1.58</v>
      </c>
      <c r="I158" s="134">
        <f t="shared" si="39"/>
        <v>1.58</v>
      </c>
      <c r="J158" s="134">
        <f t="shared" si="39"/>
        <v>1.58</v>
      </c>
      <c r="K158" s="134">
        <f t="shared" si="39"/>
        <v>1.58</v>
      </c>
      <c r="L158" s="134">
        <f t="shared" si="39"/>
        <v>1.58</v>
      </c>
      <c r="M158" s="134">
        <f t="shared" si="39"/>
        <v>1.58</v>
      </c>
      <c r="N158" s="134">
        <f t="shared" si="39"/>
        <v>1.58</v>
      </c>
      <c r="O158" s="134">
        <f t="shared" si="39"/>
        <v>1.58</v>
      </c>
      <c r="P158" s="134">
        <f t="shared" si="39"/>
        <v>1.58</v>
      </c>
      <c r="Q158" s="134">
        <f t="shared" si="39"/>
        <v>1.58</v>
      </c>
      <c r="R158" s="134">
        <f t="shared" si="39"/>
        <v>1.58</v>
      </c>
      <c r="S158" s="134">
        <f t="shared" si="40"/>
        <v>1.58</v>
      </c>
      <c r="T158" s="134">
        <f t="shared" si="40"/>
        <v>1.58</v>
      </c>
      <c r="U158" s="134">
        <f t="shared" si="40"/>
        <v>1.58</v>
      </c>
      <c r="V158" s="134">
        <f t="shared" si="40"/>
        <v>1.58</v>
      </c>
      <c r="W158" s="134">
        <f t="shared" si="40"/>
        <v>1.58</v>
      </c>
      <c r="X158" s="134">
        <f t="shared" si="40"/>
        <v>1.58</v>
      </c>
      <c r="Y158" s="134">
        <f t="shared" si="40"/>
        <v>1.58</v>
      </c>
      <c r="Z158" s="134">
        <f t="shared" si="40"/>
        <v>1.58</v>
      </c>
      <c r="AA158" s="134">
        <f t="shared" si="40"/>
        <v>1.58</v>
      </c>
      <c r="AB158" s="134">
        <f t="shared" si="40"/>
        <v>1.58</v>
      </c>
      <c r="AC158" s="134">
        <f t="shared" si="40"/>
        <v>1.58</v>
      </c>
      <c r="AD158" s="134">
        <f t="shared" si="40"/>
        <v>1.58</v>
      </c>
      <c r="AE158" s="134">
        <f t="shared" si="40"/>
        <v>1.58</v>
      </c>
      <c r="AF158" s="134">
        <f t="shared" si="40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39"/>
        <v>2</v>
      </c>
      <c r="D159" s="134">
        <f t="shared" si="39"/>
        <v>2</v>
      </c>
      <c r="E159" s="134">
        <f t="shared" si="39"/>
        <v>2</v>
      </c>
      <c r="F159" s="134">
        <f t="shared" si="39"/>
        <v>2</v>
      </c>
      <c r="G159" s="134">
        <f t="shared" si="39"/>
        <v>2</v>
      </c>
      <c r="H159" s="134">
        <f t="shared" si="39"/>
        <v>2</v>
      </c>
      <c r="I159" s="134">
        <f t="shared" si="39"/>
        <v>2</v>
      </c>
      <c r="J159" s="134">
        <f t="shared" si="39"/>
        <v>2</v>
      </c>
      <c r="K159" s="134">
        <f t="shared" si="39"/>
        <v>2</v>
      </c>
      <c r="L159" s="134">
        <f t="shared" si="39"/>
        <v>2</v>
      </c>
      <c r="M159" s="134">
        <f t="shared" si="39"/>
        <v>2</v>
      </c>
      <c r="N159" s="134">
        <f t="shared" si="39"/>
        <v>2</v>
      </c>
      <c r="O159" s="134">
        <f t="shared" si="39"/>
        <v>2</v>
      </c>
      <c r="P159" s="134">
        <f t="shared" si="39"/>
        <v>2</v>
      </c>
      <c r="Q159" s="134">
        <f t="shared" si="39"/>
        <v>2</v>
      </c>
      <c r="R159" s="134">
        <f t="shared" si="39"/>
        <v>2</v>
      </c>
      <c r="S159" s="134">
        <f t="shared" si="40"/>
        <v>2</v>
      </c>
      <c r="T159" s="134">
        <f t="shared" si="40"/>
        <v>2</v>
      </c>
      <c r="U159" s="134">
        <f t="shared" si="40"/>
        <v>2</v>
      </c>
      <c r="V159" s="134">
        <f t="shared" si="40"/>
        <v>2</v>
      </c>
      <c r="W159" s="134">
        <f t="shared" si="40"/>
        <v>2</v>
      </c>
      <c r="X159" s="134">
        <f t="shared" si="40"/>
        <v>2</v>
      </c>
      <c r="Y159" s="134">
        <f t="shared" si="40"/>
        <v>2</v>
      </c>
      <c r="Z159" s="134">
        <f t="shared" si="40"/>
        <v>2</v>
      </c>
      <c r="AA159" s="134">
        <f t="shared" si="40"/>
        <v>2</v>
      </c>
      <c r="AB159" s="134">
        <f t="shared" si="40"/>
        <v>2</v>
      </c>
      <c r="AC159" s="134">
        <f t="shared" si="40"/>
        <v>2</v>
      </c>
      <c r="AD159" s="134">
        <f t="shared" si="40"/>
        <v>2</v>
      </c>
      <c r="AE159" s="134">
        <f t="shared" si="40"/>
        <v>2</v>
      </c>
      <c r="AF159" s="134">
        <f t="shared" si="40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39"/>
        <v>0.47</v>
      </c>
      <c r="D160" s="134">
        <f t="shared" si="39"/>
        <v>0.47</v>
      </c>
      <c r="E160" s="134">
        <f t="shared" si="39"/>
        <v>0.47</v>
      </c>
      <c r="F160" s="134">
        <f t="shared" si="39"/>
        <v>0.47</v>
      </c>
      <c r="G160" s="134">
        <f t="shared" si="39"/>
        <v>0.47</v>
      </c>
      <c r="H160" s="134">
        <f t="shared" si="39"/>
        <v>0.47</v>
      </c>
      <c r="I160" s="134">
        <f t="shared" si="39"/>
        <v>0.47</v>
      </c>
      <c r="J160" s="134">
        <f t="shared" si="39"/>
        <v>0.47</v>
      </c>
      <c r="K160" s="134">
        <f t="shared" si="39"/>
        <v>0.47</v>
      </c>
      <c r="L160" s="134">
        <f t="shared" si="39"/>
        <v>0.47</v>
      </c>
      <c r="M160" s="134">
        <f t="shared" si="39"/>
        <v>0.47</v>
      </c>
      <c r="N160" s="134">
        <f t="shared" si="39"/>
        <v>0.47</v>
      </c>
      <c r="O160" s="134">
        <f t="shared" si="39"/>
        <v>0.47</v>
      </c>
      <c r="P160" s="134">
        <f t="shared" si="39"/>
        <v>0.47</v>
      </c>
      <c r="Q160" s="134">
        <f t="shared" si="39"/>
        <v>0.47</v>
      </c>
      <c r="R160" s="134">
        <f t="shared" si="39"/>
        <v>0.47</v>
      </c>
      <c r="S160" s="134">
        <f t="shared" si="40"/>
        <v>0.47</v>
      </c>
      <c r="T160" s="134">
        <f t="shared" si="40"/>
        <v>0.47</v>
      </c>
      <c r="U160" s="134">
        <f t="shared" si="40"/>
        <v>0.47</v>
      </c>
      <c r="V160" s="134">
        <f t="shared" si="40"/>
        <v>0.47</v>
      </c>
      <c r="W160" s="134">
        <f t="shared" si="40"/>
        <v>0.47</v>
      </c>
      <c r="X160" s="134">
        <f t="shared" si="40"/>
        <v>0.47</v>
      </c>
      <c r="Y160" s="134">
        <f t="shared" si="40"/>
        <v>0.47</v>
      </c>
      <c r="Z160" s="134">
        <f t="shared" si="40"/>
        <v>0.47</v>
      </c>
      <c r="AA160" s="134">
        <f t="shared" si="40"/>
        <v>0.47</v>
      </c>
      <c r="AB160" s="134">
        <f t="shared" si="40"/>
        <v>0.47</v>
      </c>
      <c r="AC160" s="134">
        <f t="shared" si="40"/>
        <v>0.47</v>
      </c>
      <c r="AD160" s="134">
        <f t="shared" si="40"/>
        <v>0.47</v>
      </c>
      <c r="AE160" s="134">
        <f t="shared" si="40"/>
        <v>0.47</v>
      </c>
      <c r="AF160" s="134">
        <f t="shared" si="40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39"/>
        <v>0</v>
      </c>
      <c r="D161" s="134">
        <f t="shared" si="39"/>
        <v>0</v>
      </c>
      <c r="E161" s="134">
        <f t="shared" si="39"/>
        <v>0</v>
      </c>
      <c r="F161" s="134">
        <f t="shared" si="39"/>
        <v>0</v>
      </c>
      <c r="G161" s="134">
        <f t="shared" si="39"/>
        <v>0</v>
      </c>
      <c r="H161" s="134">
        <f t="shared" si="39"/>
        <v>0</v>
      </c>
      <c r="I161" s="134">
        <f t="shared" si="39"/>
        <v>0</v>
      </c>
      <c r="J161" s="134">
        <f t="shared" si="39"/>
        <v>0</v>
      </c>
      <c r="K161" s="134">
        <f t="shared" si="39"/>
        <v>0</v>
      </c>
      <c r="L161" s="134">
        <f t="shared" si="39"/>
        <v>0</v>
      </c>
      <c r="M161" s="134">
        <f t="shared" si="39"/>
        <v>0</v>
      </c>
      <c r="N161" s="134">
        <f t="shared" si="39"/>
        <v>0</v>
      </c>
      <c r="O161" s="134">
        <f t="shared" si="39"/>
        <v>0</v>
      </c>
      <c r="P161" s="134">
        <f t="shared" si="39"/>
        <v>0</v>
      </c>
      <c r="Q161" s="134">
        <f t="shared" si="39"/>
        <v>0</v>
      </c>
      <c r="R161" s="134">
        <f t="shared" si="39"/>
        <v>0</v>
      </c>
      <c r="S161" s="134">
        <f t="shared" si="40"/>
        <v>0</v>
      </c>
      <c r="T161" s="134">
        <f t="shared" si="40"/>
        <v>0</v>
      </c>
      <c r="U161" s="134">
        <f t="shared" si="40"/>
        <v>0</v>
      </c>
      <c r="V161" s="134">
        <f t="shared" si="40"/>
        <v>0</v>
      </c>
      <c r="W161" s="134">
        <f t="shared" si="40"/>
        <v>0</v>
      </c>
      <c r="X161" s="134">
        <f t="shared" si="40"/>
        <v>0</v>
      </c>
      <c r="Y161" s="134">
        <f t="shared" si="40"/>
        <v>0</v>
      </c>
      <c r="Z161" s="134">
        <f t="shared" si="40"/>
        <v>0</v>
      </c>
      <c r="AA161" s="134">
        <f t="shared" si="40"/>
        <v>0</v>
      </c>
      <c r="AB161" s="134">
        <f t="shared" si="40"/>
        <v>0</v>
      </c>
      <c r="AC161" s="134">
        <f t="shared" si="40"/>
        <v>0</v>
      </c>
      <c r="AD161" s="134">
        <f t="shared" si="40"/>
        <v>0</v>
      </c>
      <c r="AE161" s="134">
        <f t="shared" si="40"/>
        <v>0</v>
      </c>
      <c r="AF161" s="134">
        <f t="shared" si="40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39"/>
        <v>0</v>
      </c>
      <c r="D162" s="134">
        <f t="shared" si="39"/>
        <v>0</v>
      </c>
      <c r="E162" s="134">
        <f t="shared" si="39"/>
        <v>0</v>
      </c>
      <c r="F162" s="134">
        <f t="shared" si="39"/>
        <v>0</v>
      </c>
      <c r="G162" s="134">
        <f t="shared" si="39"/>
        <v>0</v>
      </c>
      <c r="H162" s="134">
        <f t="shared" si="39"/>
        <v>0</v>
      </c>
      <c r="I162" s="134">
        <f t="shared" si="39"/>
        <v>0</v>
      </c>
      <c r="J162" s="134">
        <f t="shared" si="39"/>
        <v>0</v>
      </c>
      <c r="K162" s="134">
        <f t="shared" si="39"/>
        <v>0</v>
      </c>
      <c r="L162" s="134">
        <f t="shared" si="39"/>
        <v>0</v>
      </c>
      <c r="M162" s="134">
        <f t="shared" si="39"/>
        <v>0</v>
      </c>
      <c r="N162" s="134">
        <f t="shared" si="39"/>
        <v>0</v>
      </c>
      <c r="O162" s="134">
        <f t="shared" si="39"/>
        <v>0</v>
      </c>
      <c r="P162" s="134">
        <f t="shared" si="39"/>
        <v>0</v>
      </c>
      <c r="Q162" s="134">
        <f t="shared" si="39"/>
        <v>0</v>
      </c>
      <c r="R162" s="134">
        <f t="shared" si="40"/>
        <v>0</v>
      </c>
      <c r="S162" s="134">
        <f t="shared" si="40"/>
        <v>0</v>
      </c>
      <c r="T162" s="134">
        <f t="shared" si="40"/>
        <v>0</v>
      </c>
      <c r="U162" s="134">
        <f t="shared" si="40"/>
        <v>0</v>
      </c>
      <c r="V162" s="134">
        <f t="shared" si="40"/>
        <v>0</v>
      </c>
      <c r="W162" s="134">
        <f t="shared" si="40"/>
        <v>0</v>
      </c>
      <c r="X162" s="134">
        <f t="shared" si="40"/>
        <v>0</v>
      </c>
      <c r="Y162" s="134">
        <f t="shared" si="40"/>
        <v>0</v>
      </c>
      <c r="Z162" s="134">
        <f t="shared" si="40"/>
        <v>0</v>
      </c>
      <c r="AA162" s="134">
        <f t="shared" si="40"/>
        <v>0</v>
      </c>
      <c r="AB162" s="134">
        <f t="shared" si="40"/>
        <v>0</v>
      </c>
      <c r="AC162" s="134">
        <f t="shared" si="40"/>
        <v>0</v>
      </c>
      <c r="AD162" s="134">
        <f t="shared" si="40"/>
        <v>0</v>
      </c>
      <c r="AE162" s="134">
        <f t="shared" si="40"/>
        <v>0</v>
      </c>
      <c r="AF162" s="134">
        <f t="shared" si="40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39"/>
        <v>0.8</v>
      </c>
      <c r="D163" s="134">
        <f t="shared" si="39"/>
        <v>0.8</v>
      </c>
      <c r="E163" s="134">
        <f t="shared" si="39"/>
        <v>0.8</v>
      </c>
      <c r="F163" s="134">
        <f t="shared" si="39"/>
        <v>0.8</v>
      </c>
      <c r="G163" s="134">
        <f t="shared" si="39"/>
        <v>0.8</v>
      </c>
      <c r="H163" s="134">
        <f t="shared" si="39"/>
        <v>0.8</v>
      </c>
      <c r="I163" s="134">
        <f t="shared" si="39"/>
        <v>0.8</v>
      </c>
      <c r="J163" s="134">
        <f t="shared" si="39"/>
        <v>0.8</v>
      </c>
      <c r="K163" s="134">
        <f t="shared" si="39"/>
        <v>0.8</v>
      </c>
      <c r="L163" s="134">
        <f t="shared" si="39"/>
        <v>0.8</v>
      </c>
      <c r="M163" s="134">
        <f t="shared" si="39"/>
        <v>0.8</v>
      </c>
      <c r="N163" s="134">
        <f t="shared" si="39"/>
        <v>0.8</v>
      </c>
      <c r="O163" s="134">
        <f t="shared" si="39"/>
        <v>0.8</v>
      </c>
      <c r="P163" s="134">
        <f t="shared" si="39"/>
        <v>0.8</v>
      </c>
      <c r="Q163" s="134">
        <f t="shared" si="39"/>
        <v>0.8</v>
      </c>
      <c r="R163" s="134">
        <f t="shared" si="40"/>
        <v>0.8</v>
      </c>
      <c r="S163" s="134">
        <f t="shared" si="40"/>
        <v>0.8</v>
      </c>
      <c r="T163" s="134">
        <f t="shared" si="40"/>
        <v>0.8</v>
      </c>
      <c r="U163" s="134">
        <f t="shared" si="40"/>
        <v>0.8</v>
      </c>
      <c r="V163" s="134">
        <f t="shared" si="40"/>
        <v>0.8</v>
      </c>
      <c r="W163" s="134">
        <f t="shared" si="40"/>
        <v>0.8</v>
      </c>
      <c r="X163" s="134">
        <f t="shared" si="40"/>
        <v>0.8</v>
      </c>
      <c r="Y163" s="134">
        <f t="shared" si="40"/>
        <v>0.8</v>
      </c>
      <c r="Z163" s="134">
        <f t="shared" si="40"/>
        <v>0.8</v>
      </c>
      <c r="AA163" s="134">
        <f t="shared" si="40"/>
        <v>0.8</v>
      </c>
      <c r="AB163" s="134">
        <f t="shared" si="40"/>
        <v>0.8</v>
      </c>
      <c r="AC163" s="134">
        <f t="shared" si="40"/>
        <v>0.8</v>
      </c>
      <c r="AD163" s="134">
        <f t="shared" si="40"/>
        <v>0.8</v>
      </c>
      <c r="AE163" s="134">
        <f t="shared" si="40"/>
        <v>0.8</v>
      </c>
      <c r="AF163" s="134">
        <f t="shared" si="40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39"/>
        <v>1.5</v>
      </c>
      <c r="D164" s="134">
        <f t="shared" si="39"/>
        <v>1.5</v>
      </c>
      <c r="E164" s="134">
        <f t="shared" si="39"/>
        <v>1.5</v>
      </c>
      <c r="F164" s="134">
        <f t="shared" si="39"/>
        <v>1.5</v>
      </c>
      <c r="G164" s="134">
        <f t="shared" si="39"/>
        <v>1.5</v>
      </c>
      <c r="H164" s="134">
        <f t="shared" si="39"/>
        <v>1.5</v>
      </c>
      <c r="I164" s="134">
        <f t="shared" si="39"/>
        <v>1.5</v>
      </c>
      <c r="J164" s="134">
        <f t="shared" si="39"/>
        <v>1.5</v>
      </c>
      <c r="K164" s="134">
        <f t="shared" si="39"/>
        <v>1.5</v>
      </c>
      <c r="L164" s="134">
        <f t="shared" si="39"/>
        <v>1.5</v>
      </c>
      <c r="M164" s="134">
        <f t="shared" si="39"/>
        <v>1.5</v>
      </c>
      <c r="N164" s="134">
        <f t="shared" si="39"/>
        <v>1.5</v>
      </c>
      <c r="O164" s="134">
        <f t="shared" si="39"/>
        <v>1.5</v>
      </c>
      <c r="P164" s="134">
        <f t="shared" si="39"/>
        <v>1.5</v>
      </c>
      <c r="Q164" s="134">
        <f t="shared" si="39"/>
        <v>1.5</v>
      </c>
      <c r="R164" s="134">
        <f t="shared" si="40"/>
        <v>1.5</v>
      </c>
      <c r="S164" s="134">
        <f t="shared" si="40"/>
        <v>1.5</v>
      </c>
      <c r="T164" s="134">
        <f t="shared" si="40"/>
        <v>1.5</v>
      </c>
      <c r="U164" s="134">
        <f t="shared" si="40"/>
        <v>1.5</v>
      </c>
      <c r="V164" s="134">
        <f t="shared" si="40"/>
        <v>1.5</v>
      </c>
      <c r="W164" s="134">
        <f t="shared" si="40"/>
        <v>1.5</v>
      </c>
      <c r="X164" s="134">
        <f t="shared" si="40"/>
        <v>1.5</v>
      </c>
      <c r="Y164" s="134">
        <f t="shared" si="40"/>
        <v>1.5</v>
      </c>
      <c r="Z164" s="134">
        <f t="shared" si="40"/>
        <v>1.5</v>
      </c>
      <c r="AA164" s="134">
        <f t="shared" si="40"/>
        <v>1.5</v>
      </c>
      <c r="AB164" s="134">
        <f t="shared" si="40"/>
        <v>1.5</v>
      </c>
      <c r="AC164" s="134">
        <f t="shared" si="40"/>
        <v>1.5</v>
      </c>
      <c r="AD164" s="134">
        <f t="shared" si="40"/>
        <v>1.5</v>
      </c>
      <c r="AE164" s="134">
        <f t="shared" si="40"/>
        <v>1.5</v>
      </c>
      <c r="AF164" s="134">
        <f t="shared" si="40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39"/>
        <v>1</v>
      </c>
      <c r="D165" s="134">
        <f t="shared" si="39"/>
        <v>1</v>
      </c>
      <c r="E165" s="134">
        <f t="shared" si="39"/>
        <v>1</v>
      </c>
      <c r="F165" s="134">
        <f t="shared" si="39"/>
        <v>1</v>
      </c>
      <c r="G165" s="134">
        <f t="shared" si="39"/>
        <v>1</v>
      </c>
      <c r="H165" s="134">
        <f t="shared" si="39"/>
        <v>1</v>
      </c>
      <c r="I165" s="134">
        <f t="shared" si="39"/>
        <v>1</v>
      </c>
      <c r="J165" s="134">
        <f t="shared" si="39"/>
        <v>1</v>
      </c>
      <c r="K165" s="134">
        <f t="shared" si="39"/>
        <v>1</v>
      </c>
      <c r="L165" s="134">
        <f t="shared" si="39"/>
        <v>1</v>
      </c>
      <c r="M165" s="134">
        <f t="shared" si="39"/>
        <v>1</v>
      </c>
      <c r="N165" s="134">
        <f t="shared" si="39"/>
        <v>1</v>
      </c>
      <c r="O165" s="134">
        <f t="shared" si="39"/>
        <v>1</v>
      </c>
      <c r="P165" s="134">
        <f t="shared" si="39"/>
        <v>1</v>
      </c>
      <c r="Q165" s="134">
        <f t="shared" si="39"/>
        <v>1</v>
      </c>
      <c r="R165" s="134">
        <f t="shared" si="40"/>
        <v>1</v>
      </c>
      <c r="S165" s="134">
        <f t="shared" si="40"/>
        <v>1</v>
      </c>
      <c r="T165" s="134">
        <f t="shared" si="40"/>
        <v>1</v>
      </c>
      <c r="U165" s="134">
        <f t="shared" si="40"/>
        <v>1</v>
      </c>
      <c r="V165" s="134">
        <f t="shared" si="40"/>
        <v>1</v>
      </c>
      <c r="W165" s="134">
        <f t="shared" si="40"/>
        <v>1</v>
      </c>
      <c r="X165" s="134">
        <f t="shared" si="40"/>
        <v>1</v>
      </c>
      <c r="Y165" s="134">
        <f t="shared" si="40"/>
        <v>1</v>
      </c>
      <c r="Z165" s="134">
        <f t="shared" si="40"/>
        <v>1</v>
      </c>
      <c r="AA165" s="134">
        <f t="shared" si="40"/>
        <v>1</v>
      </c>
      <c r="AB165" s="134">
        <f t="shared" si="40"/>
        <v>1</v>
      </c>
      <c r="AC165" s="134">
        <f t="shared" si="40"/>
        <v>1</v>
      </c>
      <c r="AD165" s="134">
        <f t="shared" si="40"/>
        <v>1</v>
      </c>
      <c r="AE165" s="134">
        <f t="shared" si="40"/>
        <v>1</v>
      </c>
      <c r="AF165" s="134">
        <f t="shared" si="40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1">B167</f>
        <v>1</v>
      </c>
      <c r="D167" s="134">
        <f t="shared" si="41"/>
        <v>1</v>
      </c>
      <c r="E167" s="134">
        <f t="shared" si="41"/>
        <v>1</v>
      </c>
      <c r="F167" s="134">
        <f t="shared" si="41"/>
        <v>1</v>
      </c>
      <c r="G167" s="134">
        <f t="shared" si="41"/>
        <v>1</v>
      </c>
      <c r="H167" s="134">
        <f t="shared" si="41"/>
        <v>1</v>
      </c>
      <c r="I167" s="134">
        <f t="shared" si="41"/>
        <v>1</v>
      </c>
      <c r="J167" s="134">
        <f t="shared" si="41"/>
        <v>1</v>
      </c>
      <c r="K167" s="134">
        <f t="shared" si="41"/>
        <v>1</v>
      </c>
      <c r="L167" s="134">
        <f t="shared" si="41"/>
        <v>1</v>
      </c>
      <c r="M167" s="134">
        <f t="shared" si="41"/>
        <v>1</v>
      </c>
      <c r="N167" s="134">
        <f t="shared" si="41"/>
        <v>1</v>
      </c>
      <c r="O167" s="134">
        <f t="shared" si="41"/>
        <v>1</v>
      </c>
      <c r="P167" s="134">
        <f t="shared" si="41"/>
        <v>1</v>
      </c>
      <c r="Q167" s="134">
        <f t="shared" si="41"/>
        <v>1</v>
      </c>
      <c r="R167" s="134">
        <f t="shared" si="41"/>
        <v>1</v>
      </c>
      <c r="S167" s="134">
        <f t="shared" ref="R167:AF174" si="42">R167</f>
        <v>1</v>
      </c>
      <c r="T167" s="134">
        <f t="shared" si="42"/>
        <v>1</v>
      </c>
      <c r="U167" s="134">
        <f t="shared" si="42"/>
        <v>1</v>
      </c>
      <c r="V167" s="134">
        <f t="shared" si="42"/>
        <v>1</v>
      </c>
      <c r="W167" s="134">
        <f t="shared" si="42"/>
        <v>1</v>
      </c>
      <c r="X167" s="134">
        <f t="shared" si="42"/>
        <v>1</v>
      </c>
      <c r="Y167" s="134">
        <f t="shared" si="42"/>
        <v>1</v>
      </c>
      <c r="Z167" s="134">
        <f t="shared" si="42"/>
        <v>1</v>
      </c>
      <c r="AA167" s="134">
        <f t="shared" si="42"/>
        <v>1</v>
      </c>
      <c r="AB167" s="134">
        <f t="shared" si="42"/>
        <v>1</v>
      </c>
      <c r="AC167" s="134">
        <f t="shared" si="42"/>
        <v>1</v>
      </c>
      <c r="AD167" s="134">
        <f t="shared" si="42"/>
        <v>1</v>
      </c>
      <c r="AE167" s="134">
        <f t="shared" si="42"/>
        <v>1</v>
      </c>
      <c r="AF167" s="134">
        <f t="shared" si="42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1"/>
        <v>0.42</v>
      </c>
      <c r="D168" s="134">
        <f t="shared" si="41"/>
        <v>0.42</v>
      </c>
      <c r="E168" s="134">
        <f t="shared" si="41"/>
        <v>0.42</v>
      </c>
      <c r="F168" s="134">
        <f t="shared" si="41"/>
        <v>0.42</v>
      </c>
      <c r="G168" s="134">
        <f t="shared" si="41"/>
        <v>0.42</v>
      </c>
      <c r="H168" s="134">
        <f t="shared" si="41"/>
        <v>0.42</v>
      </c>
      <c r="I168" s="134">
        <f t="shared" si="41"/>
        <v>0.42</v>
      </c>
      <c r="J168" s="134">
        <f t="shared" si="41"/>
        <v>0.42</v>
      </c>
      <c r="K168" s="134">
        <f t="shared" si="41"/>
        <v>0.42</v>
      </c>
      <c r="L168" s="134">
        <f t="shared" si="41"/>
        <v>0.42</v>
      </c>
      <c r="M168" s="134">
        <f t="shared" si="41"/>
        <v>0.42</v>
      </c>
      <c r="N168" s="134">
        <f t="shared" si="41"/>
        <v>0.42</v>
      </c>
      <c r="O168" s="134">
        <f t="shared" si="41"/>
        <v>0.42</v>
      </c>
      <c r="P168" s="134">
        <f t="shared" si="41"/>
        <v>0.42</v>
      </c>
      <c r="Q168" s="134">
        <f t="shared" si="41"/>
        <v>0.42</v>
      </c>
      <c r="R168" s="134">
        <f t="shared" si="42"/>
        <v>0.42</v>
      </c>
      <c r="S168" s="134">
        <f t="shared" si="42"/>
        <v>0.42</v>
      </c>
      <c r="T168" s="134">
        <f t="shared" si="42"/>
        <v>0.42</v>
      </c>
      <c r="U168" s="134">
        <f t="shared" si="42"/>
        <v>0.42</v>
      </c>
      <c r="V168" s="134">
        <f t="shared" si="42"/>
        <v>0.42</v>
      </c>
      <c r="W168" s="134">
        <f t="shared" si="42"/>
        <v>0.42</v>
      </c>
      <c r="X168" s="134">
        <f t="shared" si="42"/>
        <v>0.42</v>
      </c>
      <c r="Y168" s="134">
        <f t="shared" si="42"/>
        <v>0.42</v>
      </c>
      <c r="Z168" s="134">
        <f t="shared" si="42"/>
        <v>0.42</v>
      </c>
      <c r="AA168" s="134">
        <f t="shared" si="42"/>
        <v>0.42</v>
      </c>
      <c r="AB168" s="134">
        <f t="shared" si="42"/>
        <v>0.42</v>
      </c>
      <c r="AC168" s="134">
        <f t="shared" si="42"/>
        <v>0.42</v>
      </c>
      <c r="AD168" s="134">
        <f t="shared" si="42"/>
        <v>0.42</v>
      </c>
      <c r="AE168" s="134">
        <f t="shared" si="42"/>
        <v>0.42</v>
      </c>
      <c r="AF168" s="134">
        <f t="shared" si="42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1"/>
        <v>0.46</v>
      </c>
      <c r="D169" s="134">
        <f t="shared" si="41"/>
        <v>0.46</v>
      </c>
      <c r="E169" s="134">
        <f t="shared" si="41"/>
        <v>0.46</v>
      </c>
      <c r="F169" s="134">
        <f t="shared" si="41"/>
        <v>0.46</v>
      </c>
      <c r="G169" s="134">
        <f t="shared" si="41"/>
        <v>0.46</v>
      </c>
      <c r="H169" s="134">
        <f t="shared" si="41"/>
        <v>0.46</v>
      </c>
      <c r="I169" s="134">
        <f t="shared" si="41"/>
        <v>0.46</v>
      </c>
      <c r="J169" s="134">
        <f t="shared" si="41"/>
        <v>0.46</v>
      </c>
      <c r="K169" s="134">
        <f t="shared" si="41"/>
        <v>0.46</v>
      </c>
      <c r="L169" s="134">
        <f t="shared" si="41"/>
        <v>0.46</v>
      </c>
      <c r="M169" s="134">
        <f t="shared" si="41"/>
        <v>0.46</v>
      </c>
      <c r="N169" s="134">
        <f t="shared" si="41"/>
        <v>0.46</v>
      </c>
      <c r="O169" s="134">
        <f t="shared" si="41"/>
        <v>0.46</v>
      </c>
      <c r="P169" s="134">
        <f t="shared" si="41"/>
        <v>0.46</v>
      </c>
      <c r="Q169" s="134">
        <f t="shared" si="41"/>
        <v>0.46</v>
      </c>
      <c r="R169" s="134">
        <f t="shared" si="42"/>
        <v>0.46</v>
      </c>
      <c r="S169" s="134">
        <f t="shared" si="42"/>
        <v>0.46</v>
      </c>
      <c r="T169" s="134">
        <f t="shared" si="42"/>
        <v>0.46</v>
      </c>
      <c r="U169" s="134">
        <f t="shared" si="42"/>
        <v>0.46</v>
      </c>
      <c r="V169" s="134">
        <f t="shared" si="42"/>
        <v>0.46</v>
      </c>
      <c r="W169" s="134">
        <f t="shared" si="42"/>
        <v>0.46</v>
      </c>
      <c r="X169" s="134">
        <f t="shared" si="42"/>
        <v>0.46</v>
      </c>
      <c r="Y169" s="134">
        <f t="shared" si="42"/>
        <v>0.46</v>
      </c>
      <c r="Z169" s="134">
        <f t="shared" si="42"/>
        <v>0.46</v>
      </c>
      <c r="AA169" s="134">
        <f t="shared" si="42"/>
        <v>0.46</v>
      </c>
      <c r="AB169" s="134">
        <f t="shared" si="42"/>
        <v>0.46</v>
      </c>
      <c r="AC169" s="134">
        <f t="shared" si="42"/>
        <v>0.46</v>
      </c>
      <c r="AD169" s="134">
        <f t="shared" si="42"/>
        <v>0.46</v>
      </c>
      <c r="AE169" s="134">
        <f t="shared" si="42"/>
        <v>0.46</v>
      </c>
      <c r="AF169" s="134">
        <f t="shared" si="42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1"/>
        <v>0.85</v>
      </c>
      <c r="D170" s="134">
        <f t="shared" si="41"/>
        <v>0.85</v>
      </c>
      <c r="E170" s="134">
        <f t="shared" si="41"/>
        <v>0.85</v>
      </c>
      <c r="F170" s="134">
        <f t="shared" si="41"/>
        <v>0.85</v>
      </c>
      <c r="G170" s="134">
        <f t="shared" si="41"/>
        <v>0.85</v>
      </c>
      <c r="H170" s="134">
        <f t="shared" si="41"/>
        <v>0.85</v>
      </c>
      <c r="I170" s="134">
        <f t="shared" si="41"/>
        <v>0.85</v>
      </c>
      <c r="J170" s="134">
        <f t="shared" si="41"/>
        <v>0.85</v>
      </c>
      <c r="K170" s="134">
        <f t="shared" si="41"/>
        <v>0.85</v>
      </c>
      <c r="L170" s="134">
        <f t="shared" si="41"/>
        <v>0.85</v>
      </c>
      <c r="M170" s="134">
        <f t="shared" si="41"/>
        <v>0.85</v>
      </c>
      <c r="N170" s="134">
        <f t="shared" si="41"/>
        <v>0.85</v>
      </c>
      <c r="O170" s="134">
        <f t="shared" si="41"/>
        <v>0.85</v>
      </c>
      <c r="P170" s="134">
        <f t="shared" si="41"/>
        <v>0.85</v>
      </c>
      <c r="Q170" s="134">
        <f t="shared" si="41"/>
        <v>0.85</v>
      </c>
      <c r="R170" s="134">
        <f t="shared" si="42"/>
        <v>0.85</v>
      </c>
      <c r="S170" s="134">
        <f t="shared" si="42"/>
        <v>0.85</v>
      </c>
      <c r="T170" s="134">
        <f t="shared" si="42"/>
        <v>0.85</v>
      </c>
      <c r="U170" s="134">
        <f t="shared" si="42"/>
        <v>0.85</v>
      </c>
      <c r="V170" s="134">
        <f t="shared" si="42"/>
        <v>0.85</v>
      </c>
      <c r="W170" s="134">
        <f t="shared" si="42"/>
        <v>0.85</v>
      </c>
      <c r="X170" s="134">
        <f t="shared" si="42"/>
        <v>0.85</v>
      </c>
      <c r="Y170" s="134">
        <f t="shared" si="42"/>
        <v>0.85</v>
      </c>
      <c r="Z170" s="134">
        <f t="shared" si="42"/>
        <v>0.85</v>
      </c>
      <c r="AA170" s="134">
        <f t="shared" si="42"/>
        <v>0.85</v>
      </c>
      <c r="AB170" s="134">
        <f t="shared" si="42"/>
        <v>0.85</v>
      </c>
      <c r="AC170" s="134">
        <f t="shared" si="42"/>
        <v>0.85</v>
      </c>
      <c r="AD170" s="134">
        <f t="shared" si="42"/>
        <v>0.85</v>
      </c>
      <c r="AE170" s="134">
        <f t="shared" si="42"/>
        <v>0.85</v>
      </c>
      <c r="AF170" s="134">
        <f t="shared" si="42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1"/>
        <v>0.9</v>
      </c>
      <c r="D171" s="134">
        <f t="shared" si="41"/>
        <v>0.9</v>
      </c>
      <c r="E171" s="134">
        <f t="shared" si="41"/>
        <v>0.9</v>
      </c>
      <c r="F171" s="134">
        <f t="shared" si="41"/>
        <v>0.9</v>
      </c>
      <c r="G171" s="134">
        <f t="shared" si="41"/>
        <v>0.9</v>
      </c>
      <c r="H171" s="134">
        <f t="shared" si="41"/>
        <v>0.9</v>
      </c>
      <c r="I171" s="134">
        <f t="shared" si="41"/>
        <v>0.9</v>
      </c>
      <c r="J171" s="134">
        <f t="shared" si="41"/>
        <v>0.9</v>
      </c>
      <c r="K171" s="134">
        <f t="shared" si="41"/>
        <v>0.9</v>
      </c>
      <c r="L171" s="134">
        <f t="shared" si="41"/>
        <v>0.9</v>
      </c>
      <c r="M171" s="134">
        <f t="shared" si="41"/>
        <v>0.9</v>
      </c>
      <c r="N171" s="134">
        <f t="shared" si="41"/>
        <v>0.9</v>
      </c>
      <c r="O171" s="134">
        <f t="shared" si="41"/>
        <v>0.9</v>
      </c>
      <c r="P171" s="134">
        <f t="shared" si="41"/>
        <v>0.9</v>
      </c>
      <c r="Q171" s="134">
        <f t="shared" si="41"/>
        <v>0.9</v>
      </c>
      <c r="R171" s="134">
        <f t="shared" si="42"/>
        <v>0.9</v>
      </c>
      <c r="S171" s="134">
        <f t="shared" si="42"/>
        <v>0.9</v>
      </c>
      <c r="T171" s="134">
        <f t="shared" si="42"/>
        <v>0.9</v>
      </c>
      <c r="U171" s="134">
        <f t="shared" si="42"/>
        <v>0.9</v>
      </c>
      <c r="V171" s="134">
        <f t="shared" si="42"/>
        <v>0.9</v>
      </c>
      <c r="W171" s="134">
        <f t="shared" si="42"/>
        <v>0.9</v>
      </c>
      <c r="X171" s="134">
        <f t="shared" si="42"/>
        <v>0.9</v>
      </c>
      <c r="Y171" s="134">
        <f t="shared" si="42"/>
        <v>0.9</v>
      </c>
      <c r="Z171" s="134">
        <f t="shared" si="42"/>
        <v>0.9</v>
      </c>
      <c r="AA171" s="134">
        <f t="shared" si="42"/>
        <v>0.9</v>
      </c>
      <c r="AB171" s="134">
        <f t="shared" si="42"/>
        <v>0.9</v>
      </c>
      <c r="AC171" s="134">
        <f t="shared" si="42"/>
        <v>0.9</v>
      </c>
      <c r="AD171" s="134">
        <f t="shared" si="42"/>
        <v>0.9</v>
      </c>
      <c r="AE171" s="134">
        <f t="shared" si="42"/>
        <v>0.9</v>
      </c>
      <c r="AF171" s="134">
        <f t="shared" si="42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1"/>
        <v>0.44</v>
      </c>
      <c r="D172" s="134">
        <f t="shared" si="41"/>
        <v>0.44</v>
      </c>
      <c r="E172" s="134">
        <f t="shared" si="41"/>
        <v>0.44</v>
      </c>
      <c r="F172" s="134">
        <f t="shared" si="41"/>
        <v>0.44</v>
      </c>
      <c r="G172" s="134">
        <f t="shared" si="41"/>
        <v>0.44</v>
      </c>
      <c r="H172" s="134">
        <f t="shared" si="41"/>
        <v>0.44</v>
      </c>
      <c r="I172" s="134">
        <f t="shared" si="41"/>
        <v>0.44</v>
      </c>
      <c r="J172" s="134">
        <f t="shared" si="41"/>
        <v>0.44</v>
      </c>
      <c r="K172" s="134">
        <f t="shared" si="41"/>
        <v>0.44</v>
      </c>
      <c r="L172" s="134">
        <f t="shared" si="41"/>
        <v>0.44</v>
      </c>
      <c r="M172" s="134">
        <f t="shared" si="41"/>
        <v>0.44</v>
      </c>
      <c r="N172" s="134">
        <f t="shared" si="41"/>
        <v>0.44</v>
      </c>
      <c r="O172" s="134">
        <f t="shared" si="41"/>
        <v>0.44</v>
      </c>
      <c r="P172" s="134">
        <f t="shared" si="41"/>
        <v>0.44</v>
      </c>
      <c r="Q172" s="134">
        <f t="shared" si="41"/>
        <v>0.44</v>
      </c>
      <c r="R172" s="134">
        <f t="shared" si="42"/>
        <v>0.44</v>
      </c>
      <c r="S172" s="134">
        <f t="shared" si="42"/>
        <v>0.44</v>
      </c>
      <c r="T172" s="134">
        <f t="shared" si="42"/>
        <v>0.44</v>
      </c>
      <c r="U172" s="134">
        <f t="shared" si="42"/>
        <v>0.44</v>
      </c>
      <c r="V172" s="134">
        <f t="shared" si="42"/>
        <v>0.44</v>
      </c>
      <c r="W172" s="134">
        <f t="shared" si="42"/>
        <v>0.44</v>
      </c>
      <c r="X172" s="134">
        <f t="shared" si="42"/>
        <v>0.44</v>
      </c>
      <c r="Y172" s="134">
        <f t="shared" si="42"/>
        <v>0.44</v>
      </c>
      <c r="Z172" s="134">
        <f t="shared" si="42"/>
        <v>0.44</v>
      </c>
      <c r="AA172" s="134">
        <f t="shared" si="42"/>
        <v>0.44</v>
      </c>
      <c r="AB172" s="134">
        <f t="shared" si="42"/>
        <v>0.44</v>
      </c>
      <c r="AC172" s="134">
        <f t="shared" si="42"/>
        <v>0.44</v>
      </c>
      <c r="AD172" s="134">
        <f t="shared" si="42"/>
        <v>0.44</v>
      </c>
      <c r="AE172" s="134">
        <f t="shared" si="42"/>
        <v>0.44</v>
      </c>
      <c r="AF172" s="134">
        <f t="shared" si="42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1"/>
        <v>2.1</v>
      </c>
      <c r="D173" s="134">
        <f t="shared" si="41"/>
        <v>2.1</v>
      </c>
      <c r="E173" s="134">
        <f t="shared" si="41"/>
        <v>2.1</v>
      </c>
      <c r="F173" s="134">
        <f t="shared" si="41"/>
        <v>2.1</v>
      </c>
      <c r="G173" s="134">
        <f t="shared" si="41"/>
        <v>2.1</v>
      </c>
      <c r="H173" s="134">
        <f t="shared" si="41"/>
        <v>2.1</v>
      </c>
      <c r="I173" s="134">
        <f t="shared" si="41"/>
        <v>2.1</v>
      </c>
      <c r="J173" s="134">
        <f t="shared" si="41"/>
        <v>2.1</v>
      </c>
      <c r="K173" s="134">
        <f t="shared" si="41"/>
        <v>2.1</v>
      </c>
      <c r="L173" s="134">
        <f t="shared" si="41"/>
        <v>2.1</v>
      </c>
      <c r="M173" s="134">
        <f t="shared" si="41"/>
        <v>2.1</v>
      </c>
      <c r="N173" s="134">
        <f t="shared" si="41"/>
        <v>2.1</v>
      </c>
      <c r="O173" s="134">
        <f t="shared" si="41"/>
        <v>2.1</v>
      </c>
      <c r="P173" s="134">
        <f t="shared" si="41"/>
        <v>2.1</v>
      </c>
      <c r="Q173" s="134">
        <f t="shared" si="41"/>
        <v>2.1</v>
      </c>
      <c r="R173" s="134">
        <f t="shared" si="42"/>
        <v>2.1</v>
      </c>
      <c r="S173" s="134">
        <f t="shared" si="42"/>
        <v>2.1</v>
      </c>
      <c r="T173" s="134">
        <f t="shared" si="42"/>
        <v>2.1</v>
      </c>
      <c r="U173" s="134">
        <f t="shared" si="42"/>
        <v>2.1</v>
      </c>
      <c r="V173" s="134">
        <f t="shared" si="42"/>
        <v>2.1</v>
      </c>
      <c r="W173" s="134">
        <f t="shared" si="42"/>
        <v>2.1</v>
      </c>
      <c r="X173" s="134">
        <f t="shared" si="42"/>
        <v>2.1</v>
      </c>
      <c r="Y173" s="134">
        <f t="shared" si="42"/>
        <v>2.1</v>
      </c>
      <c r="Z173" s="134">
        <f t="shared" si="42"/>
        <v>2.1</v>
      </c>
      <c r="AA173" s="134">
        <f t="shared" si="42"/>
        <v>2.1</v>
      </c>
      <c r="AB173" s="134">
        <f t="shared" si="42"/>
        <v>2.1</v>
      </c>
      <c r="AC173" s="134">
        <f t="shared" si="42"/>
        <v>2.1</v>
      </c>
      <c r="AD173" s="134">
        <f t="shared" si="42"/>
        <v>2.1</v>
      </c>
      <c r="AE173" s="134">
        <f t="shared" si="42"/>
        <v>2.1</v>
      </c>
      <c r="AF173" s="134">
        <f t="shared" si="42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1"/>
        <v>0.9</v>
      </c>
      <c r="D174" s="134">
        <f t="shared" si="41"/>
        <v>0.9</v>
      </c>
      <c r="E174" s="134">
        <f t="shared" si="41"/>
        <v>0.9</v>
      </c>
      <c r="F174" s="134">
        <f t="shared" si="41"/>
        <v>0.9</v>
      </c>
      <c r="G174" s="134">
        <f t="shared" si="41"/>
        <v>0.9</v>
      </c>
      <c r="H174" s="134">
        <f t="shared" si="41"/>
        <v>0.9</v>
      </c>
      <c r="I174" s="134">
        <f t="shared" si="41"/>
        <v>0.9</v>
      </c>
      <c r="J174" s="134">
        <f t="shared" si="41"/>
        <v>0.9</v>
      </c>
      <c r="K174" s="134">
        <f t="shared" si="41"/>
        <v>0.9</v>
      </c>
      <c r="L174" s="134">
        <f t="shared" si="41"/>
        <v>0.9</v>
      </c>
      <c r="M174" s="134">
        <f t="shared" si="41"/>
        <v>0.9</v>
      </c>
      <c r="N174" s="134">
        <f t="shared" si="41"/>
        <v>0.9</v>
      </c>
      <c r="O174" s="134">
        <f t="shared" si="41"/>
        <v>0.9</v>
      </c>
      <c r="P174" s="134">
        <f t="shared" si="41"/>
        <v>0.9</v>
      </c>
      <c r="Q174" s="134">
        <f t="shared" si="41"/>
        <v>0.9</v>
      </c>
      <c r="R174" s="134">
        <f t="shared" si="42"/>
        <v>0.9</v>
      </c>
      <c r="S174" s="134">
        <f t="shared" si="42"/>
        <v>0.9</v>
      </c>
      <c r="T174" s="134">
        <f t="shared" si="42"/>
        <v>0.9</v>
      </c>
      <c r="U174" s="134">
        <f t="shared" si="42"/>
        <v>0.9</v>
      </c>
      <c r="V174" s="134">
        <f t="shared" si="42"/>
        <v>0.9</v>
      </c>
      <c r="W174" s="134">
        <f t="shared" si="42"/>
        <v>0.9</v>
      </c>
      <c r="X174" s="134">
        <f t="shared" si="42"/>
        <v>0.9</v>
      </c>
      <c r="Y174" s="134">
        <f t="shared" si="42"/>
        <v>0.9</v>
      </c>
      <c r="Z174" s="134">
        <f t="shared" si="42"/>
        <v>0.9</v>
      </c>
      <c r="AA174" s="134">
        <f t="shared" si="42"/>
        <v>0.9</v>
      </c>
      <c r="AB174" s="134">
        <f t="shared" si="42"/>
        <v>0.9</v>
      </c>
      <c r="AC174" s="134">
        <f t="shared" si="42"/>
        <v>0.9</v>
      </c>
      <c r="AD174" s="134">
        <f t="shared" si="42"/>
        <v>0.9</v>
      </c>
      <c r="AE174" s="134">
        <f t="shared" si="42"/>
        <v>0.9</v>
      </c>
      <c r="AF174" s="134">
        <f t="shared" si="42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3">B176</f>
        <v>0.57999999999999996</v>
      </c>
      <c r="D176" s="134">
        <f t="shared" si="43"/>
        <v>0.57999999999999996</v>
      </c>
      <c r="E176" s="134">
        <f t="shared" si="43"/>
        <v>0.57999999999999996</v>
      </c>
      <c r="F176" s="134">
        <f t="shared" si="43"/>
        <v>0.57999999999999996</v>
      </c>
      <c r="G176" s="134">
        <f t="shared" si="43"/>
        <v>0.57999999999999996</v>
      </c>
      <c r="H176" s="134">
        <f t="shared" si="43"/>
        <v>0.57999999999999996</v>
      </c>
      <c r="I176" s="134">
        <f t="shared" si="43"/>
        <v>0.57999999999999996</v>
      </c>
      <c r="J176" s="134">
        <f t="shared" si="43"/>
        <v>0.57999999999999996</v>
      </c>
      <c r="K176" s="134">
        <f t="shared" si="43"/>
        <v>0.57999999999999996</v>
      </c>
      <c r="L176" s="134">
        <f t="shared" si="43"/>
        <v>0.57999999999999996</v>
      </c>
      <c r="M176" s="134">
        <f t="shared" si="43"/>
        <v>0.57999999999999996</v>
      </c>
      <c r="N176" s="134">
        <f t="shared" si="43"/>
        <v>0.57999999999999996</v>
      </c>
      <c r="O176" s="134">
        <f t="shared" si="43"/>
        <v>0.57999999999999996</v>
      </c>
      <c r="P176" s="134">
        <f t="shared" si="43"/>
        <v>0.57999999999999996</v>
      </c>
      <c r="Q176" s="134">
        <f t="shared" si="43"/>
        <v>0.57999999999999996</v>
      </c>
      <c r="R176" s="134">
        <f t="shared" si="43"/>
        <v>0.57999999999999996</v>
      </c>
      <c r="S176" s="134">
        <f t="shared" ref="R176:AF188" si="44">R176</f>
        <v>0.57999999999999996</v>
      </c>
      <c r="T176" s="134">
        <f t="shared" si="44"/>
        <v>0.57999999999999996</v>
      </c>
      <c r="U176" s="134">
        <f t="shared" si="44"/>
        <v>0.57999999999999996</v>
      </c>
      <c r="V176" s="134">
        <f t="shared" si="44"/>
        <v>0.57999999999999996</v>
      </c>
      <c r="W176" s="134">
        <f t="shared" si="44"/>
        <v>0.57999999999999996</v>
      </c>
      <c r="X176" s="134">
        <f t="shared" si="44"/>
        <v>0.57999999999999996</v>
      </c>
      <c r="Y176" s="134">
        <f t="shared" si="44"/>
        <v>0.57999999999999996</v>
      </c>
      <c r="Z176" s="134">
        <f t="shared" si="44"/>
        <v>0.57999999999999996</v>
      </c>
      <c r="AA176" s="134">
        <f t="shared" si="44"/>
        <v>0.57999999999999996</v>
      </c>
      <c r="AB176" s="134">
        <f t="shared" si="44"/>
        <v>0.57999999999999996</v>
      </c>
      <c r="AC176" s="134">
        <f t="shared" si="44"/>
        <v>0.57999999999999996</v>
      </c>
      <c r="AD176" s="134">
        <f t="shared" si="44"/>
        <v>0.57999999999999996</v>
      </c>
      <c r="AE176" s="134">
        <f t="shared" si="44"/>
        <v>0.57999999999999996</v>
      </c>
      <c r="AF176" s="134">
        <f t="shared" si="44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3"/>
        <v>0.8</v>
      </c>
      <c r="D177" s="134">
        <f t="shared" si="43"/>
        <v>0.8</v>
      </c>
      <c r="E177" s="134">
        <f t="shared" si="43"/>
        <v>0.8</v>
      </c>
      <c r="F177" s="134">
        <f t="shared" si="43"/>
        <v>0.8</v>
      </c>
      <c r="G177" s="134">
        <f t="shared" si="43"/>
        <v>0.8</v>
      </c>
      <c r="H177" s="134">
        <f t="shared" si="43"/>
        <v>0.8</v>
      </c>
      <c r="I177" s="134">
        <f t="shared" si="43"/>
        <v>0.8</v>
      </c>
      <c r="J177" s="134">
        <f t="shared" si="43"/>
        <v>0.8</v>
      </c>
      <c r="K177" s="134">
        <f t="shared" si="43"/>
        <v>0.8</v>
      </c>
      <c r="L177" s="134">
        <f t="shared" si="43"/>
        <v>0.8</v>
      </c>
      <c r="M177" s="134">
        <f t="shared" si="43"/>
        <v>0.8</v>
      </c>
      <c r="N177" s="134">
        <f t="shared" si="43"/>
        <v>0.8</v>
      </c>
      <c r="O177" s="134">
        <f t="shared" si="43"/>
        <v>0.8</v>
      </c>
      <c r="P177" s="134">
        <f t="shared" si="43"/>
        <v>0.8</v>
      </c>
      <c r="Q177" s="134">
        <f t="shared" si="43"/>
        <v>0.8</v>
      </c>
      <c r="R177" s="134">
        <f t="shared" si="43"/>
        <v>0.8</v>
      </c>
      <c r="S177" s="134">
        <f t="shared" si="44"/>
        <v>0.8</v>
      </c>
      <c r="T177" s="134">
        <f t="shared" si="44"/>
        <v>0.8</v>
      </c>
      <c r="U177" s="134">
        <f t="shared" si="44"/>
        <v>0.8</v>
      </c>
      <c r="V177" s="134">
        <f t="shared" si="44"/>
        <v>0.8</v>
      </c>
      <c r="W177" s="134">
        <f t="shared" si="44"/>
        <v>0.8</v>
      </c>
      <c r="X177" s="134">
        <f t="shared" si="44"/>
        <v>0.8</v>
      </c>
      <c r="Y177" s="134">
        <f t="shared" si="44"/>
        <v>0.8</v>
      </c>
      <c r="Z177" s="134">
        <f t="shared" si="44"/>
        <v>0.8</v>
      </c>
      <c r="AA177" s="134">
        <f t="shared" si="44"/>
        <v>0.8</v>
      </c>
      <c r="AB177" s="134">
        <f t="shared" si="44"/>
        <v>0.8</v>
      </c>
      <c r="AC177" s="134">
        <f t="shared" si="44"/>
        <v>0.8</v>
      </c>
      <c r="AD177" s="134">
        <f t="shared" si="44"/>
        <v>0.8</v>
      </c>
      <c r="AE177" s="134">
        <f t="shared" si="44"/>
        <v>0.8</v>
      </c>
      <c r="AF177" s="134">
        <f t="shared" si="44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3"/>
        <v>0</v>
      </c>
      <c r="D178" s="134">
        <f t="shared" si="43"/>
        <v>0</v>
      </c>
      <c r="E178" s="134">
        <f t="shared" si="43"/>
        <v>0</v>
      </c>
      <c r="F178" s="134">
        <f t="shared" si="43"/>
        <v>0</v>
      </c>
      <c r="G178" s="134">
        <f t="shared" si="43"/>
        <v>0</v>
      </c>
      <c r="H178" s="134">
        <f t="shared" si="43"/>
        <v>0</v>
      </c>
      <c r="I178" s="134">
        <f t="shared" si="43"/>
        <v>0</v>
      </c>
      <c r="J178" s="134">
        <f t="shared" si="43"/>
        <v>0</v>
      </c>
      <c r="K178" s="134">
        <f t="shared" si="43"/>
        <v>0</v>
      </c>
      <c r="L178" s="134">
        <f t="shared" si="43"/>
        <v>0</v>
      </c>
      <c r="M178" s="134">
        <f t="shared" si="43"/>
        <v>0</v>
      </c>
      <c r="N178" s="134">
        <f t="shared" si="43"/>
        <v>0</v>
      </c>
      <c r="O178" s="134">
        <f t="shared" si="43"/>
        <v>0</v>
      </c>
      <c r="P178" s="134">
        <f t="shared" si="43"/>
        <v>0</v>
      </c>
      <c r="Q178" s="134">
        <f t="shared" si="43"/>
        <v>0</v>
      </c>
      <c r="R178" s="134">
        <f t="shared" si="43"/>
        <v>0</v>
      </c>
      <c r="S178" s="134">
        <f t="shared" si="44"/>
        <v>0</v>
      </c>
      <c r="T178" s="134">
        <f t="shared" si="44"/>
        <v>0</v>
      </c>
      <c r="U178" s="134">
        <f t="shared" si="44"/>
        <v>0</v>
      </c>
      <c r="V178" s="134">
        <f t="shared" si="44"/>
        <v>0</v>
      </c>
      <c r="W178" s="134">
        <f t="shared" si="44"/>
        <v>0</v>
      </c>
      <c r="X178" s="134">
        <f t="shared" si="44"/>
        <v>0</v>
      </c>
      <c r="Y178" s="134">
        <f t="shared" si="44"/>
        <v>0</v>
      </c>
      <c r="Z178" s="134">
        <f t="shared" si="44"/>
        <v>0</v>
      </c>
      <c r="AA178" s="134">
        <f t="shared" si="44"/>
        <v>0</v>
      </c>
      <c r="AB178" s="134">
        <f t="shared" si="44"/>
        <v>0</v>
      </c>
      <c r="AC178" s="134">
        <f t="shared" si="44"/>
        <v>0</v>
      </c>
      <c r="AD178" s="134">
        <f t="shared" si="44"/>
        <v>0</v>
      </c>
      <c r="AE178" s="134">
        <f t="shared" si="44"/>
        <v>0</v>
      </c>
      <c r="AF178" s="134">
        <f t="shared" si="44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3"/>
        <v>0.6</v>
      </c>
      <c r="D179" s="134">
        <f t="shared" si="43"/>
        <v>0.6</v>
      </c>
      <c r="E179" s="134">
        <f t="shared" si="43"/>
        <v>0.6</v>
      </c>
      <c r="F179" s="134">
        <f t="shared" si="43"/>
        <v>0.6</v>
      </c>
      <c r="G179" s="134">
        <f t="shared" si="43"/>
        <v>0.6</v>
      </c>
      <c r="H179" s="134">
        <f t="shared" si="43"/>
        <v>0.6</v>
      </c>
      <c r="I179" s="134">
        <f t="shared" si="43"/>
        <v>0.6</v>
      </c>
      <c r="J179" s="134">
        <f t="shared" si="43"/>
        <v>0.6</v>
      </c>
      <c r="K179" s="134">
        <f t="shared" si="43"/>
        <v>0.6</v>
      </c>
      <c r="L179" s="134">
        <f t="shared" si="43"/>
        <v>0.6</v>
      </c>
      <c r="M179" s="134">
        <f t="shared" si="43"/>
        <v>0.6</v>
      </c>
      <c r="N179" s="134">
        <f t="shared" si="43"/>
        <v>0.6</v>
      </c>
      <c r="O179" s="134">
        <f t="shared" si="43"/>
        <v>0.6</v>
      </c>
      <c r="P179" s="134">
        <f t="shared" si="43"/>
        <v>0.6</v>
      </c>
      <c r="Q179" s="134">
        <f t="shared" si="43"/>
        <v>0.6</v>
      </c>
      <c r="R179" s="134">
        <f t="shared" si="43"/>
        <v>0.6</v>
      </c>
      <c r="S179" s="134">
        <f t="shared" si="44"/>
        <v>0.6</v>
      </c>
      <c r="T179" s="134">
        <f t="shared" si="44"/>
        <v>0.6</v>
      </c>
      <c r="U179" s="134">
        <f t="shared" si="44"/>
        <v>0.6</v>
      </c>
      <c r="V179" s="134">
        <f t="shared" si="44"/>
        <v>0.6</v>
      </c>
      <c r="W179" s="134">
        <f t="shared" si="44"/>
        <v>0.6</v>
      </c>
      <c r="X179" s="134">
        <f t="shared" si="44"/>
        <v>0.6</v>
      </c>
      <c r="Y179" s="134">
        <f t="shared" si="44"/>
        <v>0.6</v>
      </c>
      <c r="Z179" s="134">
        <f t="shared" si="44"/>
        <v>0.6</v>
      </c>
      <c r="AA179" s="134">
        <f t="shared" si="44"/>
        <v>0.6</v>
      </c>
      <c r="AB179" s="134">
        <f t="shared" si="44"/>
        <v>0.6</v>
      </c>
      <c r="AC179" s="134">
        <f t="shared" si="44"/>
        <v>0.6</v>
      </c>
      <c r="AD179" s="134">
        <f t="shared" si="44"/>
        <v>0.6</v>
      </c>
      <c r="AE179" s="134">
        <f t="shared" si="44"/>
        <v>0.6</v>
      </c>
      <c r="AF179" s="134">
        <f t="shared" si="44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3"/>
        <v>0.6</v>
      </c>
      <c r="D180" s="134">
        <f t="shared" si="43"/>
        <v>0.6</v>
      </c>
      <c r="E180" s="134">
        <f t="shared" si="43"/>
        <v>0.6</v>
      </c>
      <c r="F180" s="134">
        <f t="shared" si="43"/>
        <v>0.6</v>
      </c>
      <c r="G180" s="134">
        <f t="shared" si="43"/>
        <v>0.6</v>
      </c>
      <c r="H180" s="134">
        <f t="shared" si="43"/>
        <v>0.6</v>
      </c>
      <c r="I180" s="134">
        <f t="shared" si="43"/>
        <v>0.6</v>
      </c>
      <c r="J180" s="134">
        <f t="shared" si="43"/>
        <v>0.6</v>
      </c>
      <c r="K180" s="134">
        <f t="shared" si="43"/>
        <v>0.6</v>
      </c>
      <c r="L180" s="134">
        <f t="shared" si="43"/>
        <v>0.6</v>
      </c>
      <c r="M180" s="134">
        <f t="shared" si="43"/>
        <v>0.6</v>
      </c>
      <c r="N180" s="134">
        <f t="shared" si="43"/>
        <v>0.6</v>
      </c>
      <c r="O180" s="134">
        <f t="shared" si="43"/>
        <v>0.6</v>
      </c>
      <c r="P180" s="134">
        <f t="shared" si="43"/>
        <v>0.6</v>
      </c>
      <c r="Q180" s="134">
        <f t="shared" si="43"/>
        <v>0.6</v>
      </c>
      <c r="R180" s="134">
        <f t="shared" si="43"/>
        <v>0.6</v>
      </c>
      <c r="S180" s="134">
        <f t="shared" si="44"/>
        <v>0.6</v>
      </c>
      <c r="T180" s="134">
        <f t="shared" si="44"/>
        <v>0.6</v>
      </c>
      <c r="U180" s="134">
        <f t="shared" si="44"/>
        <v>0.6</v>
      </c>
      <c r="V180" s="134">
        <f t="shared" si="44"/>
        <v>0.6</v>
      </c>
      <c r="W180" s="134">
        <f t="shared" si="44"/>
        <v>0.6</v>
      </c>
      <c r="X180" s="134">
        <f t="shared" si="44"/>
        <v>0.6</v>
      </c>
      <c r="Y180" s="134">
        <f t="shared" si="44"/>
        <v>0.6</v>
      </c>
      <c r="Z180" s="134">
        <f t="shared" si="44"/>
        <v>0.6</v>
      </c>
      <c r="AA180" s="134">
        <f t="shared" si="44"/>
        <v>0.6</v>
      </c>
      <c r="AB180" s="134">
        <f t="shared" si="44"/>
        <v>0.6</v>
      </c>
      <c r="AC180" s="134">
        <f t="shared" si="44"/>
        <v>0.6</v>
      </c>
      <c r="AD180" s="134">
        <f t="shared" si="44"/>
        <v>0.6</v>
      </c>
      <c r="AE180" s="134">
        <f t="shared" si="44"/>
        <v>0.6</v>
      </c>
      <c r="AF180" s="134">
        <f t="shared" si="44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3"/>
        <v>0.35</v>
      </c>
      <c r="D181" s="134">
        <f t="shared" si="43"/>
        <v>0.35</v>
      </c>
      <c r="E181" s="134">
        <f t="shared" si="43"/>
        <v>0.35</v>
      </c>
      <c r="F181" s="134">
        <f t="shared" si="43"/>
        <v>0.35</v>
      </c>
      <c r="G181" s="134">
        <f t="shared" si="43"/>
        <v>0.35</v>
      </c>
      <c r="H181" s="134">
        <f t="shared" si="43"/>
        <v>0.35</v>
      </c>
      <c r="I181" s="134">
        <f t="shared" si="43"/>
        <v>0.35</v>
      </c>
      <c r="J181" s="134">
        <f t="shared" si="43"/>
        <v>0.35</v>
      </c>
      <c r="K181" s="134">
        <f t="shared" si="43"/>
        <v>0.35</v>
      </c>
      <c r="L181" s="134">
        <f t="shared" si="43"/>
        <v>0.35</v>
      </c>
      <c r="M181" s="134">
        <f t="shared" si="43"/>
        <v>0.35</v>
      </c>
      <c r="N181" s="134">
        <f t="shared" si="43"/>
        <v>0.35</v>
      </c>
      <c r="O181" s="134">
        <f t="shared" si="43"/>
        <v>0.35</v>
      </c>
      <c r="P181" s="134">
        <f t="shared" si="43"/>
        <v>0.35</v>
      </c>
      <c r="Q181" s="134">
        <f t="shared" si="43"/>
        <v>0.35</v>
      </c>
      <c r="R181" s="134">
        <f t="shared" si="43"/>
        <v>0.35</v>
      </c>
      <c r="S181" s="134">
        <f t="shared" si="44"/>
        <v>0.35</v>
      </c>
      <c r="T181" s="134">
        <f t="shared" si="44"/>
        <v>0.35</v>
      </c>
      <c r="U181" s="134">
        <f t="shared" si="44"/>
        <v>0.35</v>
      </c>
      <c r="V181" s="134">
        <f t="shared" si="44"/>
        <v>0.35</v>
      </c>
      <c r="W181" s="134">
        <f t="shared" si="44"/>
        <v>0.35</v>
      </c>
      <c r="X181" s="134">
        <f t="shared" si="44"/>
        <v>0.35</v>
      </c>
      <c r="Y181" s="134">
        <f t="shared" si="44"/>
        <v>0.35</v>
      </c>
      <c r="Z181" s="134">
        <f t="shared" si="44"/>
        <v>0.35</v>
      </c>
      <c r="AA181" s="134">
        <f t="shared" si="44"/>
        <v>0.35</v>
      </c>
      <c r="AB181" s="134">
        <f t="shared" si="44"/>
        <v>0.35</v>
      </c>
      <c r="AC181" s="134">
        <f t="shared" si="44"/>
        <v>0.35</v>
      </c>
      <c r="AD181" s="134">
        <f t="shared" si="44"/>
        <v>0.35</v>
      </c>
      <c r="AE181" s="134">
        <f t="shared" si="44"/>
        <v>0.35</v>
      </c>
      <c r="AF181" s="134">
        <f t="shared" si="44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3"/>
        <v>0.28999999999999998</v>
      </c>
      <c r="D182" s="134">
        <f t="shared" si="43"/>
        <v>0.28999999999999998</v>
      </c>
      <c r="E182" s="134">
        <f t="shared" si="43"/>
        <v>0.28999999999999998</v>
      </c>
      <c r="F182" s="134">
        <f t="shared" si="43"/>
        <v>0.28999999999999998</v>
      </c>
      <c r="G182" s="134">
        <f t="shared" si="43"/>
        <v>0.28999999999999998</v>
      </c>
      <c r="H182" s="134">
        <f t="shared" si="43"/>
        <v>0.28999999999999998</v>
      </c>
      <c r="I182" s="134">
        <f t="shared" si="43"/>
        <v>0.28999999999999998</v>
      </c>
      <c r="J182" s="134">
        <f t="shared" si="43"/>
        <v>0.28999999999999998</v>
      </c>
      <c r="K182" s="134">
        <f t="shared" si="43"/>
        <v>0.28999999999999998</v>
      </c>
      <c r="L182" s="134">
        <f t="shared" si="43"/>
        <v>0.28999999999999998</v>
      </c>
      <c r="M182" s="134">
        <f t="shared" si="43"/>
        <v>0.28999999999999998</v>
      </c>
      <c r="N182" s="134">
        <f t="shared" si="43"/>
        <v>0.28999999999999998</v>
      </c>
      <c r="O182" s="134">
        <f t="shared" si="43"/>
        <v>0.28999999999999998</v>
      </c>
      <c r="P182" s="134">
        <f t="shared" si="43"/>
        <v>0.28999999999999998</v>
      </c>
      <c r="Q182" s="134">
        <f t="shared" si="43"/>
        <v>0.28999999999999998</v>
      </c>
      <c r="R182" s="134">
        <f t="shared" si="43"/>
        <v>0.28999999999999998</v>
      </c>
      <c r="S182" s="134">
        <f t="shared" si="44"/>
        <v>0.28999999999999998</v>
      </c>
      <c r="T182" s="134">
        <f t="shared" si="44"/>
        <v>0.28999999999999998</v>
      </c>
      <c r="U182" s="134">
        <f t="shared" si="44"/>
        <v>0.28999999999999998</v>
      </c>
      <c r="V182" s="134">
        <f t="shared" si="44"/>
        <v>0.28999999999999998</v>
      </c>
      <c r="W182" s="134">
        <f t="shared" si="44"/>
        <v>0.28999999999999998</v>
      </c>
      <c r="X182" s="134">
        <f t="shared" si="44"/>
        <v>0.28999999999999998</v>
      </c>
      <c r="Y182" s="134">
        <f t="shared" si="44"/>
        <v>0.28999999999999998</v>
      </c>
      <c r="Z182" s="134">
        <f t="shared" si="44"/>
        <v>0.28999999999999998</v>
      </c>
      <c r="AA182" s="134">
        <f t="shared" si="44"/>
        <v>0.28999999999999998</v>
      </c>
      <c r="AB182" s="134">
        <f t="shared" si="44"/>
        <v>0.28999999999999998</v>
      </c>
      <c r="AC182" s="134">
        <f t="shared" si="44"/>
        <v>0.28999999999999998</v>
      </c>
      <c r="AD182" s="134">
        <f t="shared" si="44"/>
        <v>0.28999999999999998</v>
      </c>
      <c r="AE182" s="134">
        <f t="shared" si="44"/>
        <v>0.28999999999999998</v>
      </c>
      <c r="AF182" s="134">
        <f t="shared" si="44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3"/>
        <v>0.06</v>
      </c>
      <c r="D183" s="134">
        <f t="shared" si="43"/>
        <v>0.06</v>
      </c>
      <c r="E183" s="134">
        <f t="shared" si="43"/>
        <v>0.06</v>
      </c>
      <c r="F183" s="134">
        <f t="shared" si="43"/>
        <v>0.06</v>
      </c>
      <c r="G183" s="134">
        <f t="shared" si="43"/>
        <v>0.06</v>
      </c>
      <c r="H183" s="134">
        <f t="shared" si="43"/>
        <v>0.06</v>
      </c>
      <c r="I183" s="134">
        <f t="shared" si="43"/>
        <v>0.06</v>
      </c>
      <c r="J183" s="134">
        <f t="shared" si="43"/>
        <v>0.06</v>
      </c>
      <c r="K183" s="134">
        <f t="shared" si="43"/>
        <v>0.06</v>
      </c>
      <c r="L183" s="134">
        <f t="shared" si="43"/>
        <v>0.06</v>
      </c>
      <c r="M183" s="134">
        <f t="shared" si="43"/>
        <v>0.06</v>
      </c>
      <c r="N183" s="134">
        <f t="shared" si="43"/>
        <v>0.06</v>
      </c>
      <c r="O183" s="134">
        <f t="shared" si="43"/>
        <v>0.06</v>
      </c>
      <c r="P183" s="134">
        <f t="shared" si="43"/>
        <v>0.06</v>
      </c>
      <c r="Q183" s="134">
        <f t="shared" si="43"/>
        <v>0.06</v>
      </c>
      <c r="R183" s="134">
        <f t="shared" si="43"/>
        <v>0.06</v>
      </c>
      <c r="S183" s="134">
        <f t="shared" si="44"/>
        <v>0.06</v>
      </c>
      <c r="T183" s="134">
        <f t="shared" si="44"/>
        <v>0.06</v>
      </c>
      <c r="U183" s="134">
        <f t="shared" si="44"/>
        <v>0.06</v>
      </c>
      <c r="V183" s="134">
        <f t="shared" si="44"/>
        <v>0.06</v>
      </c>
      <c r="W183" s="134">
        <f t="shared" si="44"/>
        <v>0.06</v>
      </c>
      <c r="X183" s="134">
        <f t="shared" si="44"/>
        <v>0.06</v>
      </c>
      <c r="Y183" s="134">
        <f t="shared" si="44"/>
        <v>0.06</v>
      </c>
      <c r="Z183" s="134">
        <f t="shared" si="44"/>
        <v>0.06</v>
      </c>
      <c r="AA183" s="134">
        <f t="shared" si="44"/>
        <v>0.06</v>
      </c>
      <c r="AB183" s="134">
        <f t="shared" si="44"/>
        <v>0.06</v>
      </c>
      <c r="AC183" s="134">
        <f t="shared" si="44"/>
        <v>0.06</v>
      </c>
      <c r="AD183" s="134">
        <f t="shared" si="44"/>
        <v>0.06</v>
      </c>
      <c r="AE183" s="134">
        <f t="shared" si="44"/>
        <v>0.06</v>
      </c>
      <c r="AF183" s="134">
        <f t="shared" si="44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3"/>
        <v>0.11</v>
      </c>
      <c r="D184" s="134">
        <f t="shared" si="43"/>
        <v>0.11</v>
      </c>
      <c r="E184" s="134">
        <f t="shared" si="43"/>
        <v>0.11</v>
      </c>
      <c r="F184" s="134">
        <f t="shared" si="43"/>
        <v>0.11</v>
      </c>
      <c r="G184" s="134">
        <f t="shared" si="43"/>
        <v>0.11</v>
      </c>
      <c r="H184" s="134">
        <f t="shared" si="43"/>
        <v>0.11</v>
      </c>
      <c r="I184" s="134">
        <f t="shared" si="43"/>
        <v>0.11</v>
      </c>
      <c r="J184" s="134">
        <f t="shared" si="43"/>
        <v>0.11</v>
      </c>
      <c r="K184" s="134">
        <f t="shared" si="43"/>
        <v>0.11</v>
      </c>
      <c r="L184" s="134">
        <f t="shared" si="43"/>
        <v>0.11</v>
      </c>
      <c r="M184" s="134">
        <f t="shared" si="43"/>
        <v>0.11</v>
      </c>
      <c r="N184" s="134">
        <f t="shared" si="43"/>
        <v>0.11</v>
      </c>
      <c r="O184" s="134">
        <f t="shared" si="43"/>
        <v>0.11</v>
      </c>
      <c r="P184" s="134">
        <f t="shared" si="43"/>
        <v>0.11</v>
      </c>
      <c r="Q184" s="134">
        <f t="shared" si="43"/>
        <v>0.11</v>
      </c>
      <c r="R184" s="134">
        <f t="shared" si="43"/>
        <v>0.11</v>
      </c>
      <c r="S184" s="134">
        <f t="shared" si="44"/>
        <v>0.11</v>
      </c>
      <c r="T184" s="134">
        <f t="shared" si="44"/>
        <v>0.11</v>
      </c>
      <c r="U184" s="134">
        <f t="shared" si="44"/>
        <v>0.11</v>
      </c>
      <c r="V184" s="134">
        <f t="shared" si="44"/>
        <v>0.11</v>
      </c>
      <c r="W184" s="134">
        <f t="shared" si="44"/>
        <v>0.11</v>
      </c>
      <c r="X184" s="134">
        <f t="shared" si="44"/>
        <v>0.11</v>
      </c>
      <c r="Y184" s="134">
        <f t="shared" si="44"/>
        <v>0.11</v>
      </c>
      <c r="Z184" s="134">
        <f t="shared" si="44"/>
        <v>0.11</v>
      </c>
      <c r="AA184" s="134">
        <f t="shared" si="44"/>
        <v>0.11</v>
      </c>
      <c r="AB184" s="134">
        <f t="shared" si="44"/>
        <v>0.11</v>
      </c>
      <c r="AC184" s="134">
        <f t="shared" si="44"/>
        <v>0.11</v>
      </c>
      <c r="AD184" s="134">
        <f t="shared" si="44"/>
        <v>0.11</v>
      </c>
      <c r="AE184" s="134">
        <f t="shared" si="44"/>
        <v>0.11</v>
      </c>
      <c r="AF184" s="134">
        <f t="shared" si="44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3"/>
        <v>0.1</v>
      </c>
      <c r="D185" s="134">
        <f t="shared" si="43"/>
        <v>0.1</v>
      </c>
      <c r="E185" s="134">
        <f t="shared" si="43"/>
        <v>0.1</v>
      </c>
      <c r="F185" s="134">
        <f t="shared" si="43"/>
        <v>0.1</v>
      </c>
      <c r="G185" s="134">
        <f t="shared" si="43"/>
        <v>0.1</v>
      </c>
      <c r="H185" s="134">
        <f t="shared" si="43"/>
        <v>0.1</v>
      </c>
      <c r="I185" s="134">
        <f t="shared" si="43"/>
        <v>0.1</v>
      </c>
      <c r="J185" s="134">
        <f t="shared" si="43"/>
        <v>0.1</v>
      </c>
      <c r="K185" s="134">
        <f t="shared" si="43"/>
        <v>0.1</v>
      </c>
      <c r="L185" s="134">
        <f t="shared" si="43"/>
        <v>0.1</v>
      </c>
      <c r="M185" s="134">
        <f t="shared" si="43"/>
        <v>0.1</v>
      </c>
      <c r="N185" s="134">
        <f t="shared" si="43"/>
        <v>0.1</v>
      </c>
      <c r="O185" s="134">
        <f t="shared" si="43"/>
        <v>0.1</v>
      </c>
      <c r="P185" s="134">
        <f t="shared" si="43"/>
        <v>0.1</v>
      </c>
      <c r="Q185" s="134">
        <f t="shared" si="43"/>
        <v>0.1</v>
      </c>
      <c r="R185" s="134">
        <f t="shared" si="44"/>
        <v>0.1</v>
      </c>
      <c r="S185" s="134">
        <f t="shared" si="44"/>
        <v>0.1</v>
      </c>
      <c r="T185" s="134">
        <f t="shared" si="44"/>
        <v>0.1</v>
      </c>
      <c r="U185" s="134">
        <f t="shared" si="44"/>
        <v>0.1</v>
      </c>
      <c r="V185" s="134">
        <f t="shared" si="44"/>
        <v>0.1</v>
      </c>
      <c r="W185" s="134">
        <f t="shared" si="44"/>
        <v>0.1</v>
      </c>
      <c r="X185" s="134">
        <f t="shared" si="44"/>
        <v>0.1</v>
      </c>
      <c r="Y185" s="134">
        <f t="shared" si="44"/>
        <v>0.1</v>
      </c>
      <c r="Z185" s="134">
        <f t="shared" si="44"/>
        <v>0.1</v>
      </c>
      <c r="AA185" s="134">
        <f t="shared" si="44"/>
        <v>0.1</v>
      </c>
      <c r="AB185" s="134">
        <f t="shared" si="44"/>
        <v>0.1</v>
      </c>
      <c r="AC185" s="134">
        <f t="shared" si="44"/>
        <v>0.1</v>
      </c>
      <c r="AD185" s="134">
        <f t="shared" si="44"/>
        <v>0.1</v>
      </c>
      <c r="AE185" s="134">
        <f t="shared" si="44"/>
        <v>0.1</v>
      </c>
      <c r="AF185" s="134">
        <f t="shared" si="44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3"/>
        <v>0.09</v>
      </c>
      <c r="D186" s="134">
        <f t="shared" si="43"/>
        <v>0.09</v>
      </c>
      <c r="E186" s="134">
        <f t="shared" si="43"/>
        <v>0.09</v>
      </c>
      <c r="F186" s="134">
        <f t="shared" si="43"/>
        <v>0.09</v>
      </c>
      <c r="G186" s="134">
        <f t="shared" si="43"/>
        <v>0.09</v>
      </c>
      <c r="H186" s="134">
        <f t="shared" si="43"/>
        <v>0.09</v>
      </c>
      <c r="I186" s="134">
        <f t="shared" si="43"/>
        <v>0.09</v>
      </c>
      <c r="J186" s="134">
        <f t="shared" si="43"/>
        <v>0.09</v>
      </c>
      <c r="K186" s="134">
        <f t="shared" si="43"/>
        <v>0.09</v>
      </c>
      <c r="L186" s="134">
        <f t="shared" si="43"/>
        <v>0.09</v>
      </c>
      <c r="M186" s="134">
        <f t="shared" si="43"/>
        <v>0.09</v>
      </c>
      <c r="N186" s="134">
        <f t="shared" si="43"/>
        <v>0.09</v>
      </c>
      <c r="O186" s="134">
        <f t="shared" si="43"/>
        <v>0.09</v>
      </c>
      <c r="P186" s="134">
        <f t="shared" si="43"/>
        <v>0.09</v>
      </c>
      <c r="Q186" s="134">
        <f t="shared" si="43"/>
        <v>0.09</v>
      </c>
      <c r="R186" s="134">
        <f t="shared" si="44"/>
        <v>0.09</v>
      </c>
      <c r="S186" s="134">
        <f t="shared" si="44"/>
        <v>0.09</v>
      </c>
      <c r="T186" s="134">
        <f t="shared" si="44"/>
        <v>0.09</v>
      </c>
      <c r="U186" s="134">
        <f t="shared" si="44"/>
        <v>0.09</v>
      </c>
      <c r="V186" s="134">
        <f t="shared" si="44"/>
        <v>0.09</v>
      </c>
      <c r="W186" s="134">
        <f t="shared" si="44"/>
        <v>0.09</v>
      </c>
      <c r="X186" s="134">
        <f t="shared" si="44"/>
        <v>0.09</v>
      </c>
      <c r="Y186" s="134">
        <f t="shared" si="44"/>
        <v>0.09</v>
      </c>
      <c r="Z186" s="134">
        <f t="shared" si="44"/>
        <v>0.09</v>
      </c>
      <c r="AA186" s="134">
        <f t="shared" si="44"/>
        <v>0.09</v>
      </c>
      <c r="AB186" s="134">
        <f t="shared" si="44"/>
        <v>0.09</v>
      </c>
      <c r="AC186" s="134">
        <f t="shared" si="44"/>
        <v>0.09</v>
      </c>
      <c r="AD186" s="134">
        <f t="shared" si="44"/>
        <v>0.09</v>
      </c>
      <c r="AE186" s="134">
        <f t="shared" si="44"/>
        <v>0.09</v>
      </c>
      <c r="AF186" s="134">
        <f t="shared" si="44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3"/>
        <v>0.04</v>
      </c>
      <c r="D187" s="134">
        <f t="shared" si="43"/>
        <v>0.04</v>
      </c>
      <c r="E187" s="134">
        <f t="shared" si="43"/>
        <v>0.04</v>
      </c>
      <c r="F187" s="134">
        <f t="shared" si="43"/>
        <v>0.04</v>
      </c>
      <c r="G187" s="134">
        <f t="shared" si="43"/>
        <v>0.04</v>
      </c>
      <c r="H187" s="134">
        <f t="shared" si="43"/>
        <v>0.04</v>
      </c>
      <c r="I187" s="134">
        <f t="shared" si="43"/>
        <v>0.04</v>
      </c>
      <c r="J187" s="134">
        <f t="shared" si="43"/>
        <v>0.04</v>
      </c>
      <c r="K187" s="134">
        <f t="shared" si="43"/>
        <v>0.04</v>
      </c>
      <c r="L187" s="134">
        <f t="shared" si="43"/>
        <v>0.04</v>
      </c>
      <c r="M187" s="134">
        <f t="shared" si="43"/>
        <v>0.04</v>
      </c>
      <c r="N187" s="134">
        <f t="shared" si="43"/>
        <v>0.04</v>
      </c>
      <c r="O187" s="134">
        <f t="shared" si="43"/>
        <v>0.04</v>
      </c>
      <c r="P187" s="134">
        <f t="shared" si="43"/>
        <v>0.04</v>
      </c>
      <c r="Q187" s="134">
        <f t="shared" si="43"/>
        <v>0.04</v>
      </c>
      <c r="R187" s="134">
        <f t="shared" si="44"/>
        <v>0.04</v>
      </c>
      <c r="S187" s="134">
        <f t="shared" si="44"/>
        <v>0.04</v>
      </c>
      <c r="T187" s="134">
        <f t="shared" si="44"/>
        <v>0.04</v>
      </c>
      <c r="U187" s="134">
        <f t="shared" si="44"/>
        <v>0.04</v>
      </c>
      <c r="V187" s="134">
        <f t="shared" si="44"/>
        <v>0.04</v>
      </c>
      <c r="W187" s="134">
        <f t="shared" si="44"/>
        <v>0.04</v>
      </c>
      <c r="X187" s="134">
        <f t="shared" si="44"/>
        <v>0.04</v>
      </c>
      <c r="Y187" s="134">
        <f t="shared" si="44"/>
        <v>0.04</v>
      </c>
      <c r="Z187" s="134">
        <f t="shared" si="44"/>
        <v>0.04</v>
      </c>
      <c r="AA187" s="134">
        <f t="shared" si="44"/>
        <v>0.04</v>
      </c>
      <c r="AB187" s="134">
        <f t="shared" si="44"/>
        <v>0.04</v>
      </c>
      <c r="AC187" s="134">
        <f t="shared" si="44"/>
        <v>0.04</v>
      </c>
      <c r="AD187" s="134">
        <f t="shared" si="44"/>
        <v>0.04</v>
      </c>
      <c r="AE187" s="134">
        <f t="shared" si="44"/>
        <v>0.04</v>
      </c>
      <c r="AF187" s="134">
        <f t="shared" si="44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3"/>
        <v>2.3E-2</v>
      </c>
      <c r="E188" s="134">
        <f t="shared" si="43"/>
        <v>2.3E-2</v>
      </c>
      <c r="F188" s="134">
        <f t="shared" si="43"/>
        <v>2.3E-2</v>
      </c>
      <c r="G188" s="134">
        <f t="shared" si="43"/>
        <v>2.3E-2</v>
      </c>
      <c r="H188" s="134">
        <f t="shared" si="43"/>
        <v>2.3E-2</v>
      </c>
      <c r="I188" s="134">
        <f t="shared" si="43"/>
        <v>2.3E-2</v>
      </c>
      <c r="J188" s="134">
        <f t="shared" si="43"/>
        <v>2.3E-2</v>
      </c>
      <c r="K188" s="134">
        <f t="shared" si="43"/>
        <v>2.3E-2</v>
      </c>
      <c r="L188" s="134">
        <f t="shared" si="43"/>
        <v>2.3E-2</v>
      </c>
      <c r="M188" s="134">
        <f t="shared" si="43"/>
        <v>2.3E-2</v>
      </c>
      <c r="N188" s="134">
        <f t="shared" si="43"/>
        <v>2.3E-2</v>
      </c>
      <c r="O188" s="134">
        <f t="shared" si="43"/>
        <v>2.3E-2</v>
      </c>
      <c r="P188" s="134">
        <f t="shared" si="43"/>
        <v>2.3E-2</v>
      </c>
      <c r="Q188" s="134">
        <f t="shared" si="43"/>
        <v>2.3E-2</v>
      </c>
      <c r="R188" s="134">
        <f t="shared" si="44"/>
        <v>2.3E-2</v>
      </c>
      <c r="S188" s="134">
        <f t="shared" si="44"/>
        <v>2.3E-2</v>
      </c>
      <c r="T188" s="134">
        <f t="shared" si="44"/>
        <v>2.3E-2</v>
      </c>
      <c r="U188" s="134">
        <f t="shared" si="44"/>
        <v>2.3E-2</v>
      </c>
      <c r="V188" s="134">
        <f t="shared" si="44"/>
        <v>2.3E-2</v>
      </c>
      <c r="W188" s="134">
        <f t="shared" si="44"/>
        <v>2.3E-2</v>
      </c>
      <c r="X188" s="134">
        <f t="shared" si="44"/>
        <v>2.3E-2</v>
      </c>
      <c r="Y188" s="134">
        <f t="shared" si="44"/>
        <v>2.3E-2</v>
      </c>
      <c r="Z188" s="134">
        <f t="shared" si="44"/>
        <v>2.3E-2</v>
      </c>
      <c r="AA188" s="134">
        <f t="shared" si="44"/>
        <v>2.3E-2</v>
      </c>
      <c r="AB188" s="134">
        <f t="shared" si="44"/>
        <v>2.3E-2</v>
      </c>
      <c r="AC188" s="134">
        <f t="shared" si="44"/>
        <v>2.3E-2</v>
      </c>
      <c r="AD188" s="134">
        <f t="shared" si="44"/>
        <v>2.3E-2</v>
      </c>
      <c r="AE188" s="134">
        <f t="shared" si="44"/>
        <v>2.3E-2</v>
      </c>
      <c r="AF188" s="134">
        <f t="shared" si="44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5">SUM(B99:B188)</f>
        <v>194.70600000000002</v>
      </c>
      <c r="C189" s="138">
        <f t="shared" si="45"/>
        <v>194.70600000000002</v>
      </c>
      <c r="D189" s="138">
        <f t="shared" si="45"/>
        <v>194.70600000000002</v>
      </c>
      <c r="E189" s="138">
        <f t="shared" si="45"/>
        <v>194.70600000000002</v>
      </c>
      <c r="F189" s="138">
        <f t="shared" si="45"/>
        <v>194.70600000000002</v>
      </c>
      <c r="G189" s="138">
        <f t="shared" si="45"/>
        <v>194.70600000000002</v>
      </c>
      <c r="H189" s="138">
        <f t="shared" si="45"/>
        <v>194.70600000000002</v>
      </c>
      <c r="I189" s="138">
        <f t="shared" si="45"/>
        <v>192.10600000000005</v>
      </c>
      <c r="J189" s="138">
        <f t="shared" si="45"/>
        <v>192.10600000000005</v>
      </c>
      <c r="K189" s="138">
        <f t="shared" si="45"/>
        <v>192.10600000000005</v>
      </c>
      <c r="L189" s="138">
        <f t="shared" si="45"/>
        <v>192.10600000000005</v>
      </c>
      <c r="M189" s="138">
        <f t="shared" si="45"/>
        <v>192.10600000000005</v>
      </c>
      <c r="N189" s="138">
        <f t="shared" si="45"/>
        <v>192.10600000000005</v>
      </c>
      <c r="O189" s="138">
        <f t="shared" si="45"/>
        <v>192.10600000000005</v>
      </c>
      <c r="P189" s="138">
        <f t="shared" si="45"/>
        <v>192.10600000000005</v>
      </c>
      <c r="Q189" s="138">
        <f t="shared" si="45"/>
        <v>192.10600000000005</v>
      </c>
      <c r="R189" s="138">
        <f t="shared" si="45"/>
        <v>192.10600000000005</v>
      </c>
      <c r="S189" s="138">
        <f t="shared" si="45"/>
        <v>192.10600000000005</v>
      </c>
      <c r="T189" s="138">
        <f t="shared" si="45"/>
        <v>192.10600000000005</v>
      </c>
      <c r="U189" s="138">
        <f t="shared" si="45"/>
        <v>192.10600000000005</v>
      </c>
      <c r="V189" s="138">
        <f t="shared" si="45"/>
        <v>192.10600000000005</v>
      </c>
      <c r="W189" s="138">
        <f t="shared" si="45"/>
        <v>192.10600000000005</v>
      </c>
      <c r="X189" s="138">
        <f t="shared" si="45"/>
        <v>192.10600000000005</v>
      </c>
      <c r="Y189" s="138">
        <f t="shared" si="45"/>
        <v>192.10600000000005</v>
      </c>
      <c r="Z189" s="138">
        <f t="shared" si="45"/>
        <v>192.10600000000005</v>
      </c>
      <c r="AA189" s="138">
        <f t="shared" si="45"/>
        <v>192.10600000000005</v>
      </c>
      <c r="AB189" s="138">
        <f t="shared" si="45"/>
        <v>192.10600000000005</v>
      </c>
      <c r="AC189" s="138">
        <f t="shared" si="45"/>
        <v>192.10600000000005</v>
      </c>
      <c r="AD189" s="138">
        <f t="shared" si="45"/>
        <v>192.10600000000005</v>
      </c>
      <c r="AE189" s="138">
        <f t="shared" si="45"/>
        <v>192.10600000000005</v>
      </c>
      <c r="AF189" s="138">
        <f t="shared" si="45"/>
        <v>192.10600000000005</v>
      </c>
      <c r="AG189" s="139">
        <f t="shared" si="45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6">B191</f>
        <v>0.3</v>
      </c>
      <c r="D191" s="140">
        <f t="shared" si="46"/>
        <v>0.3</v>
      </c>
      <c r="E191" s="140">
        <f t="shared" si="46"/>
        <v>0.3</v>
      </c>
      <c r="F191" s="140">
        <f t="shared" si="46"/>
        <v>0.3</v>
      </c>
      <c r="G191" s="140">
        <f t="shared" si="46"/>
        <v>0.3</v>
      </c>
      <c r="H191" s="140">
        <f t="shared" si="46"/>
        <v>0.3</v>
      </c>
      <c r="I191" s="140">
        <f t="shared" si="46"/>
        <v>0.3</v>
      </c>
      <c r="J191" s="140">
        <f t="shared" si="46"/>
        <v>0.3</v>
      </c>
      <c r="K191" s="140">
        <f t="shared" si="46"/>
        <v>0.3</v>
      </c>
      <c r="L191" s="140">
        <f t="shared" si="46"/>
        <v>0.3</v>
      </c>
      <c r="M191" s="140">
        <f t="shared" si="46"/>
        <v>0.3</v>
      </c>
      <c r="N191" s="140">
        <f t="shared" si="46"/>
        <v>0.3</v>
      </c>
      <c r="O191" s="140">
        <f t="shared" si="46"/>
        <v>0.3</v>
      </c>
      <c r="P191" s="140">
        <f t="shared" si="46"/>
        <v>0.3</v>
      </c>
      <c r="Q191" s="140">
        <f t="shared" si="46"/>
        <v>0.3</v>
      </c>
      <c r="R191" s="140">
        <f t="shared" si="46"/>
        <v>0.3</v>
      </c>
      <c r="S191" s="140">
        <f t="shared" ref="S191:AF196" si="47">R191</f>
        <v>0.3</v>
      </c>
      <c r="T191" s="140">
        <f t="shared" si="47"/>
        <v>0.3</v>
      </c>
      <c r="U191" s="140">
        <f t="shared" si="47"/>
        <v>0.3</v>
      </c>
      <c r="V191" s="140">
        <f t="shared" si="47"/>
        <v>0.3</v>
      </c>
      <c r="W191" s="140">
        <f t="shared" si="47"/>
        <v>0.3</v>
      </c>
      <c r="X191" s="140">
        <f t="shared" si="47"/>
        <v>0.3</v>
      </c>
      <c r="Y191" s="140">
        <f t="shared" si="47"/>
        <v>0.3</v>
      </c>
      <c r="Z191" s="140">
        <f t="shared" si="47"/>
        <v>0.3</v>
      </c>
      <c r="AA191" s="140">
        <f t="shared" si="47"/>
        <v>0.3</v>
      </c>
      <c r="AB191" s="140">
        <f t="shared" si="47"/>
        <v>0.3</v>
      </c>
      <c r="AC191" s="140">
        <f t="shared" si="47"/>
        <v>0.3</v>
      </c>
      <c r="AD191" s="140">
        <f t="shared" si="47"/>
        <v>0.3</v>
      </c>
      <c r="AE191" s="140">
        <f t="shared" si="47"/>
        <v>0.3</v>
      </c>
      <c r="AF191" s="140">
        <f t="shared" si="47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6"/>
        <v>0.4</v>
      </c>
      <c r="D192" s="134">
        <f t="shared" si="46"/>
        <v>0.4</v>
      </c>
      <c r="E192" s="134">
        <f t="shared" si="46"/>
        <v>0.4</v>
      </c>
      <c r="F192" s="134">
        <f t="shared" si="46"/>
        <v>0.4</v>
      </c>
      <c r="G192" s="134">
        <f t="shared" si="46"/>
        <v>0.4</v>
      </c>
      <c r="H192" s="134">
        <f t="shared" si="46"/>
        <v>0.4</v>
      </c>
      <c r="I192" s="134">
        <f t="shared" si="46"/>
        <v>0.4</v>
      </c>
      <c r="J192" s="134">
        <f t="shared" si="46"/>
        <v>0.4</v>
      </c>
      <c r="K192" s="134">
        <f t="shared" si="46"/>
        <v>0.4</v>
      </c>
      <c r="L192" s="134">
        <f t="shared" si="46"/>
        <v>0.4</v>
      </c>
      <c r="M192" s="134">
        <f t="shared" si="46"/>
        <v>0.4</v>
      </c>
      <c r="N192" s="134">
        <f t="shared" si="46"/>
        <v>0.4</v>
      </c>
      <c r="O192" s="134">
        <f t="shared" si="46"/>
        <v>0.4</v>
      </c>
      <c r="P192" s="134">
        <f t="shared" si="46"/>
        <v>0.4</v>
      </c>
      <c r="Q192" s="134">
        <f t="shared" si="46"/>
        <v>0.4</v>
      </c>
      <c r="R192" s="134">
        <f t="shared" si="46"/>
        <v>0.4</v>
      </c>
      <c r="S192" s="134">
        <f t="shared" si="47"/>
        <v>0.4</v>
      </c>
      <c r="T192" s="134">
        <f t="shared" si="47"/>
        <v>0.4</v>
      </c>
      <c r="U192" s="134">
        <f t="shared" si="47"/>
        <v>0.4</v>
      </c>
      <c r="V192" s="134">
        <f>U192</f>
        <v>0.4</v>
      </c>
      <c r="W192" s="134">
        <f>V192</f>
        <v>0.4</v>
      </c>
      <c r="X192" s="134">
        <f t="shared" si="47"/>
        <v>0.4</v>
      </c>
      <c r="Y192" s="134">
        <f t="shared" si="47"/>
        <v>0.4</v>
      </c>
      <c r="Z192" s="134">
        <f t="shared" si="47"/>
        <v>0.4</v>
      </c>
      <c r="AA192" s="134">
        <f t="shared" si="47"/>
        <v>0.4</v>
      </c>
      <c r="AB192" s="134">
        <f t="shared" si="47"/>
        <v>0.4</v>
      </c>
      <c r="AC192" s="134">
        <f t="shared" si="47"/>
        <v>0.4</v>
      </c>
      <c r="AD192" s="134">
        <f t="shared" si="47"/>
        <v>0.4</v>
      </c>
      <c r="AE192" s="134">
        <f t="shared" si="47"/>
        <v>0.4</v>
      </c>
      <c r="AF192" s="134">
        <f t="shared" si="47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6"/>
        <v>1.5</v>
      </c>
      <c r="D193" s="134">
        <f t="shared" si="46"/>
        <v>1.5</v>
      </c>
      <c r="E193" s="134">
        <f t="shared" si="46"/>
        <v>1.5</v>
      </c>
      <c r="F193" s="134">
        <f t="shared" si="46"/>
        <v>1.5</v>
      </c>
      <c r="G193" s="134">
        <f t="shared" si="46"/>
        <v>1.5</v>
      </c>
      <c r="H193" s="134">
        <f t="shared" si="46"/>
        <v>1.5</v>
      </c>
      <c r="I193" s="134">
        <f t="shared" si="46"/>
        <v>1.5</v>
      </c>
      <c r="J193" s="134">
        <f t="shared" si="46"/>
        <v>1.5</v>
      </c>
      <c r="K193" s="134">
        <f t="shared" si="46"/>
        <v>1.5</v>
      </c>
      <c r="L193" s="134">
        <f t="shared" si="46"/>
        <v>1.5</v>
      </c>
      <c r="M193" s="134">
        <f t="shared" si="46"/>
        <v>1.5</v>
      </c>
      <c r="N193" s="134">
        <f t="shared" si="46"/>
        <v>1.5</v>
      </c>
      <c r="O193" s="134">
        <f t="shared" si="46"/>
        <v>1.5</v>
      </c>
      <c r="P193" s="134">
        <f t="shared" si="46"/>
        <v>1.5</v>
      </c>
      <c r="Q193" s="134">
        <f t="shared" si="46"/>
        <v>1.5</v>
      </c>
      <c r="R193" s="134">
        <f t="shared" si="46"/>
        <v>1.5</v>
      </c>
      <c r="S193" s="134">
        <f t="shared" si="47"/>
        <v>1.5</v>
      </c>
      <c r="T193" s="134">
        <f t="shared" si="47"/>
        <v>1.5</v>
      </c>
      <c r="U193" s="134">
        <f t="shared" si="47"/>
        <v>1.5</v>
      </c>
      <c r="V193" s="134">
        <f t="shared" si="47"/>
        <v>1.5</v>
      </c>
      <c r="W193" s="134">
        <f t="shared" si="47"/>
        <v>1.5</v>
      </c>
      <c r="X193" s="134">
        <f t="shared" si="47"/>
        <v>1.5</v>
      </c>
      <c r="Y193" s="134">
        <f t="shared" si="47"/>
        <v>1.5</v>
      </c>
      <c r="Z193" s="134">
        <f t="shared" si="47"/>
        <v>1.5</v>
      </c>
      <c r="AA193" s="134">
        <f t="shared" si="47"/>
        <v>1.5</v>
      </c>
      <c r="AB193" s="134">
        <f t="shared" si="47"/>
        <v>1.5</v>
      </c>
      <c r="AC193" s="134">
        <f t="shared" si="47"/>
        <v>1.5</v>
      </c>
      <c r="AD193" s="134">
        <f t="shared" si="47"/>
        <v>1.5</v>
      </c>
      <c r="AE193" s="134">
        <f t="shared" si="47"/>
        <v>1.5</v>
      </c>
      <c r="AF193" s="134">
        <f t="shared" si="47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6"/>
        <v>0.3</v>
      </c>
      <c r="D194" s="134">
        <f t="shared" si="46"/>
        <v>0.3</v>
      </c>
      <c r="E194" s="134">
        <f t="shared" si="46"/>
        <v>0.3</v>
      </c>
      <c r="F194" s="134">
        <f t="shared" si="46"/>
        <v>0.3</v>
      </c>
      <c r="G194" s="134">
        <f t="shared" si="46"/>
        <v>0.3</v>
      </c>
      <c r="H194" s="134">
        <f t="shared" si="46"/>
        <v>0.3</v>
      </c>
      <c r="I194" s="134">
        <f t="shared" si="46"/>
        <v>0.3</v>
      </c>
      <c r="J194" s="134">
        <f t="shared" si="46"/>
        <v>0.3</v>
      </c>
      <c r="K194" s="134">
        <f t="shared" si="46"/>
        <v>0.3</v>
      </c>
      <c r="L194" s="134">
        <f t="shared" si="46"/>
        <v>0.3</v>
      </c>
      <c r="M194" s="134">
        <f t="shared" si="46"/>
        <v>0.3</v>
      </c>
      <c r="N194" s="134">
        <f t="shared" si="46"/>
        <v>0.3</v>
      </c>
      <c r="O194" s="134">
        <f t="shared" si="46"/>
        <v>0.3</v>
      </c>
      <c r="P194" s="134">
        <f t="shared" si="46"/>
        <v>0.3</v>
      </c>
      <c r="Q194" s="134">
        <f t="shared" si="46"/>
        <v>0.3</v>
      </c>
      <c r="R194" s="134">
        <f t="shared" si="46"/>
        <v>0.3</v>
      </c>
      <c r="S194" s="134">
        <f t="shared" si="47"/>
        <v>0.3</v>
      </c>
      <c r="T194" s="134">
        <f t="shared" si="47"/>
        <v>0.3</v>
      </c>
      <c r="U194" s="134">
        <f t="shared" si="47"/>
        <v>0.3</v>
      </c>
      <c r="V194" s="134">
        <f t="shared" si="47"/>
        <v>0.3</v>
      </c>
      <c r="W194" s="134">
        <f t="shared" si="47"/>
        <v>0.3</v>
      </c>
      <c r="X194" s="134">
        <f t="shared" si="47"/>
        <v>0.3</v>
      </c>
      <c r="Y194" s="134">
        <f t="shared" si="47"/>
        <v>0.3</v>
      </c>
      <c r="Z194" s="134">
        <f t="shared" si="47"/>
        <v>0.3</v>
      </c>
      <c r="AA194" s="134">
        <f t="shared" si="47"/>
        <v>0.3</v>
      </c>
      <c r="AB194" s="134">
        <f t="shared" si="47"/>
        <v>0.3</v>
      </c>
      <c r="AC194" s="134">
        <f t="shared" si="47"/>
        <v>0.3</v>
      </c>
      <c r="AD194" s="134">
        <f t="shared" si="47"/>
        <v>0.3</v>
      </c>
      <c r="AE194" s="134">
        <f t="shared" si="47"/>
        <v>0.3</v>
      </c>
      <c r="AF194" s="134">
        <f t="shared" si="47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6"/>
        <v>0.4</v>
      </c>
      <c r="D195" s="134">
        <f t="shared" si="46"/>
        <v>0.4</v>
      </c>
      <c r="E195" s="134">
        <f t="shared" si="46"/>
        <v>0.4</v>
      </c>
      <c r="F195" s="134">
        <f t="shared" si="46"/>
        <v>0.4</v>
      </c>
      <c r="G195" s="134">
        <f t="shared" si="46"/>
        <v>0.4</v>
      </c>
      <c r="H195" s="134">
        <f t="shared" si="46"/>
        <v>0.4</v>
      </c>
      <c r="I195" s="134">
        <f t="shared" si="46"/>
        <v>0.4</v>
      </c>
      <c r="J195" s="134">
        <f t="shared" si="46"/>
        <v>0.4</v>
      </c>
      <c r="K195" s="134">
        <f t="shared" si="46"/>
        <v>0.4</v>
      </c>
      <c r="L195" s="134">
        <f t="shared" si="46"/>
        <v>0.4</v>
      </c>
      <c r="M195" s="134">
        <f t="shared" si="46"/>
        <v>0.4</v>
      </c>
      <c r="N195" s="134">
        <f t="shared" si="46"/>
        <v>0.4</v>
      </c>
      <c r="O195" s="134">
        <f t="shared" si="46"/>
        <v>0.4</v>
      </c>
      <c r="P195" s="134">
        <f t="shared" si="46"/>
        <v>0.4</v>
      </c>
      <c r="Q195" s="134">
        <f t="shared" si="46"/>
        <v>0.4</v>
      </c>
      <c r="R195" s="134">
        <f t="shared" si="46"/>
        <v>0.4</v>
      </c>
      <c r="S195" s="134">
        <f t="shared" si="47"/>
        <v>0.4</v>
      </c>
      <c r="T195" s="134">
        <f t="shared" si="47"/>
        <v>0.4</v>
      </c>
      <c r="U195" s="134">
        <f t="shared" si="47"/>
        <v>0.4</v>
      </c>
      <c r="V195" s="134">
        <f t="shared" si="47"/>
        <v>0.4</v>
      </c>
      <c r="W195" s="134">
        <f t="shared" si="47"/>
        <v>0.4</v>
      </c>
      <c r="X195" s="134">
        <f t="shared" si="47"/>
        <v>0.4</v>
      </c>
      <c r="Y195" s="134">
        <f t="shared" si="47"/>
        <v>0.4</v>
      </c>
      <c r="Z195" s="134">
        <f t="shared" si="47"/>
        <v>0.4</v>
      </c>
      <c r="AA195" s="134">
        <f t="shared" si="47"/>
        <v>0.4</v>
      </c>
      <c r="AB195" s="134">
        <f t="shared" si="47"/>
        <v>0.4</v>
      </c>
      <c r="AC195" s="134">
        <f t="shared" si="47"/>
        <v>0.4</v>
      </c>
      <c r="AD195" s="134">
        <f t="shared" si="47"/>
        <v>0.4</v>
      </c>
      <c r="AE195" s="134">
        <f t="shared" si="47"/>
        <v>0.4</v>
      </c>
      <c r="AF195" s="134">
        <f t="shared" si="47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6"/>
        <v>0.64</v>
      </c>
      <c r="D196" s="143">
        <f t="shared" si="46"/>
        <v>0.64</v>
      </c>
      <c r="E196" s="143">
        <f t="shared" si="46"/>
        <v>0.64</v>
      </c>
      <c r="F196" s="143">
        <f t="shared" si="46"/>
        <v>0.64</v>
      </c>
      <c r="G196" s="143">
        <f t="shared" si="46"/>
        <v>0.64</v>
      </c>
      <c r="H196" s="143">
        <f t="shared" si="46"/>
        <v>0.64</v>
      </c>
      <c r="I196" s="143">
        <f t="shared" si="46"/>
        <v>0.64</v>
      </c>
      <c r="J196" s="143">
        <f t="shared" si="46"/>
        <v>0.64</v>
      </c>
      <c r="K196" s="143">
        <f t="shared" si="46"/>
        <v>0.64</v>
      </c>
      <c r="L196" s="143">
        <f t="shared" si="46"/>
        <v>0.64</v>
      </c>
      <c r="M196" s="143">
        <f t="shared" si="46"/>
        <v>0.64</v>
      </c>
      <c r="N196" s="143">
        <f t="shared" si="46"/>
        <v>0.64</v>
      </c>
      <c r="O196" s="143">
        <f t="shared" si="46"/>
        <v>0.64</v>
      </c>
      <c r="P196" s="143">
        <f t="shared" si="46"/>
        <v>0.64</v>
      </c>
      <c r="Q196" s="143">
        <f t="shared" si="46"/>
        <v>0.64</v>
      </c>
      <c r="R196" s="143">
        <f t="shared" si="46"/>
        <v>0.64</v>
      </c>
      <c r="S196" s="143">
        <f t="shared" si="47"/>
        <v>0.64</v>
      </c>
      <c r="T196" s="143">
        <f t="shared" si="47"/>
        <v>0.64</v>
      </c>
      <c r="U196" s="143">
        <f t="shared" si="47"/>
        <v>0.64</v>
      </c>
      <c r="V196" s="143">
        <f t="shared" si="47"/>
        <v>0.64</v>
      </c>
      <c r="W196" s="143">
        <f t="shared" si="47"/>
        <v>0.64</v>
      </c>
      <c r="X196" s="143">
        <f t="shared" si="47"/>
        <v>0.64</v>
      </c>
      <c r="Y196" s="143">
        <f t="shared" si="47"/>
        <v>0.64</v>
      </c>
      <c r="Z196" s="143">
        <f t="shared" si="47"/>
        <v>0.64</v>
      </c>
      <c r="AA196" s="143">
        <f t="shared" si="47"/>
        <v>0.64</v>
      </c>
      <c r="AB196" s="143">
        <f t="shared" si="47"/>
        <v>0.64</v>
      </c>
      <c r="AC196" s="143">
        <f t="shared" si="47"/>
        <v>0.64</v>
      </c>
      <c r="AD196" s="143">
        <f t="shared" si="47"/>
        <v>0.64</v>
      </c>
      <c r="AE196" s="143">
        <f t="shared" si="47"/>
        <v>0.64</v>
      </c>
      <c r="AF196" s="143">
        <f t="shared" si="47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8">SUM(C191:C196)</f>
        <v>3.54</v>
      </c>
      <c r="D197" s="146">
        <f t="shared" si="48"/>
        <v>3.54</v>
      </c>
      <c r="E197" s="146">
        <f t="shared" si="48"/>
        <v>3.54</v>
      </c>
      <c r="F197" s="146">
        <f t="shared" si="48"/>
        <v>3.54</v>
      </c>
      <c r="G197" s="146">
        <f t="shared" si="48"/>
        <v>3.54</v>
      </c>
      <c r="H197" s="146">
        <f t="shared" si="48"/>
        <v>3.54</v>
      </c>
      <c r="I197" s="146">
        <f t="shared" si="48"/>
        <v>3.54</v>
      </c>
      <c r="J197" s="146">
        <f t="shared" si="48"/>
        <v>3.54</v>
      </c>
      <c r="K197" s="146">
        <f t="shared" si="48"/>
        <v>3.54</v>
      </c>
      <c r="L197" s="146">
        <f>SUM(L191:L196)</f>
        <v>3.54</v>
      </c>
      <c r="M197" s="146">
        <f t="shared" ref="M197:R197" si="49">SUM(M191:M196)</f>
        <v>3.54</v>
      </c>
      <c r="N197" s="146">
        <f t="shared" si="49"/>
        <v>3.54</v>
      </c>
      <c r="O197" s="146">
        <f t="shared" si="49"/>
        <v>3.54</v>
      </c>
      <c r="P197" s="146">
        <f t="shared" si="49"/>
        <v>3.54</v>
      </c>
      <c r="Q197" s="146">
        <f t="shared" si="49"/>
        <v>3.54</v>
      </c>
      <c r="R197" s="146">
        <f t="shared" si="49"/>
        <v>3.54</v>
      </c>
      <c r="S197" s="146">
        <f>SUM(S191:S196)</f>
        <v>3.54</v>
      </c>
      <c r="T197" s="146">
        <f t="shared" ref="T197:AG197" si="50">SUM(T191:T196)</f>
        <v>3.54</v>
      </c>
      <c r="U197" s="146">
        <f t="shared" si="50"/>
        <v>3.54</v>
      </c>
      <c r="V197" s="146">
        <f t="shared" si="50"/>
        <v>3.54</v>
      </c>
      <c r="W197" s="146">
        <f t="shared" si="50"/>
        <v>3.54</v>
      </c>
      <c r="X197" s="146">
        <f t="shared" si="50"/>
        <v>3.54</v>
      </c>
      <c r="Y197" s="146">
        <f t="shared" si="50"/>
        <v>3.54</v>
      </c>
      <c r="Z197" s="146">
        <f t="shared" si="50"/>
        <v>3.54</v>
      </c>
      <c r="AA197" s="146">
        <f t="shared" si="50"/>
        <v>3.54</v>
      </c>
      <c r="AB197" s="146">
        <f t="shared" si="50"/>
        <v>3.54</v>
      </c>
      <c r="AC197" s="146">
        <f t="shared" si="50"/>
        <v>3.54</v>
      </c>
      <c r="AD197" s="146">
        <f t="shared" si="50"/>
        <v>3.54</v>
      </c>
      <c r="AE197" s="146">
        <f t="shared" si="50"/>
        <v>3.54</v>
      </c>
      <c r="AF197" s="146">
        <f t="shared" si="50"/>
        <v>3.54</v>
      </c>
      <c r="AG197" s="147">
        <f t="shared" si="50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1236.2400000000002</v>
      </c>
      <c r="C206" s="161">
        <f>INDEX(F9:M9,1,MATCH(MAX(F73:M73),F73:M73,0))</f>
        <v>0.3125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5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2078/04/5)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2078/04/5)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1">B73</f>
        <v>1226.3400000000001</v>
      </c>
      <c r="U211" s="170">
        <f t="shared" si="51"/>
        <v>1177.1400000000001</v>
      </c>
      <c r="V211" s="170">
        <f t="shared" si="51"/>
        <v>1165.74</v>
      </c>
      <c r="W211" s="170">
        <f t="shared" si="51"/>
        <v>1128.24</v>
      </c>
      <c r="X211" s="170">
        <f t="shared" si="51"/>
        <v>1131.3399999999999</v>
      </c>
      <c r="Y211" s="170">
        <f t="shared" si="51"/>
        <v>1126.54</v>
      </c>
      <c r="Z211" s="170">
        <f t="shared" si="51"/>
        <v>1119.9399999999998</v>
      </c>
      <c r="AA211" s="170">
        <f t="shared" si="51"/>
        <v>1180.1399999999999</v>
      </c>
      <c r="AB211" s="170">
        <f t="shared" si="51"/>
        <v>1163.1399999999999</v>
      </c>
      <c r="AC211" s="170">
        <f t="shared" si="51"/>
        <v>1236.2400000000002</v>
      </c>
      <c r="AD211" s="170">
        <f t="shared" si="51"/>
        <v>1203.2400000000002</v>
      </c>
      <c r="AE211" s="170">
        <f t="shared" si="51"/>
        <v>1194.44</v>
      </c>
      <c r="AF211" s="170">
        <f t="shared" si="51"/>
        <v>1267.6400000000001</v>
      </c>
      <c r="AG211" s="170">
        <f t="shared" si="51"/>
        <v>1291.8400000000001</v>
      </c>
      <c r="AH211" s="170">
        <f t="shared" si="51"/>
        <v>1294.6400000000001</v>
      </c>
      <c r="AI211" s="170">
        <f t="shared" si="51"/>
        <v>1308.3399999999999</v>
      </c>
      <c r="AJ211" s="170">
        <f t="shared" si="51"/>
        <v>1312.14</v>
      </c>
      <c r="AK211" s="170">
        <f t="shared" si="51"/>
        <v>1277.1399999999999</v>
      </c>
      <c r="AL211" s="170">
        <f t="shared" si="51"/>
        <v>1213.44</v>
      </c>
      <c r="AM211" s="170">
        <f t="shared" si="51"/>
        <v>1197.44</v>
      </c>
      <c r="AN211" s="170">
        <f t="shared" si="51"/>
        <v>1090.44</v>
      </c>
      <c r="AO211" s="170">
        <f t="shared" si="51"/>
        <v>1271.1399999999999</v>
      </c>
      <c r="AP211" s="170">
        <f t="shared" si="51"/>
        <v>1553.94</v>
      </c>
      <c r="AQ211" s="170">
        <f t="shared" si="51"/>
        <v>1432.3400000000001</v>
      </c>
      <c r="AR211" s="170">
        <f t="shared" si="51"/>
        <v>1376.3400000000001</v>
      </c>
      <c r="AS211" s="170">
        <f t="shared" si="51"/>
        <v>1329.54</v>
      </c>
      <c r="AT211" s="170">
        <f t="shared" si="51"/>
        <v>1360.64</v>
      </c>
      <c r="AU211" s="170">
        <f t="shared" si="51"/>
        <v>1356.44</v>
      </c>
      <c r="AV211" s="170">
        <f t="shared" si="51"/>
        <v>1143.8399999999999</v>
      </c>
      <c r="AW211" s="170">
        <f t="shared" si="51"/>
        <v>1107.04</v>
      </c>
      <c r="AX211" s="170">
        <f t="shared" si="51"/>
        <v>1065.54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2">B196</f>
        <v>0.64</v>
      </c>
      <c r="C232" s="173">
        <f t="shared" si="52"/>
        <v>0.64</v>
      </c>
      <c r="D232" s="173">
        <f t="shared" si="52"/>
        <v>0.64</v>
      </c>
      <c r="E232" s="173">
        <f t="shared" si="52"/>
        <v>0.64</v>
      </c>
      <c r="F232" s="173">
        <f t="shared" si="52"/>
        <v>0.64</v>
      </c>
      <c r="G232" s="173">
        <f t="shared" si="52"/>
        <v>0.64</v>
      </c>
      <c r="H232" s="173">
        <f t="shared" si="52"/>
        <v>0.64</v>
      </c>
      <c r="I232" s="173">
        <f t="shared" si="52"/>
        <v>0.64</v>
      </c>
      <c r="J232" s="173">
        <f t="shared" si="52"/>
        <v>0.64</v>
      </c>
      <c r="K232" s="173">
        <f t="shared" si="52"/>
        <v>0.64</v>
      </c>
      <c r="L232" s="173">
        <f t="shared" si="52"/>
        <v>0.64</v>
      </c>
      <c r="M232" s="173">
        <f t="shared" si="52"/>
        <v>0.64</v>
      </c>
      <c r="N232" s="173">
        <f t="shared" si="52"/>
        <v>0.64</v>
      </c>
      <c r="O232" s="173">
        <f t="shared" si="52"/>
        <v>0.64</v>
      </c>
      <c r="P232" s="173">
        <f t="shared" si="52"/>
        <v>0.64</v>
      </c>
      <c r="Q232" s="173">
        <f t="shared" si="52"/>
        <v>0.64</v>
      </c>
      <c r="R232" s="173">
        <f t="shared" si="52"/>
        <v>0.64</v>
      </c>
      <c r="S232" s="173">
        <f t="shared" si="52"/>
        <v>0.64</v>
      </c>
      <c r="T232" s="173">
        <f t="shared" si="52"/>
        <v>0.64</v>
      </c>
      <c r="U232" s="173">
        <f t="shared" si="52"/>
        <v>0.64</v>
      </c>
      <c r="V232" s="173">
        <f t="shared" si="52"/>
        <v>0.64</v>
      </c>
      <c r="W232" s="173">
        <f t="shared" si="52"/>
        <v>0.64</v>
      </c>
      <c r="X232" s="173">
        <f t="shared" si="52"/>
        <v>0.64</v>
      </c>
      <c r="Y232" s="173">
        <f t="shared" si="52"/>
        <v>0.64</v>
      </c>
      <c r="Z232" s="173">
        <f t="shared" si="52"/>
        <v>0.64</v>
      </c>
      <c r="AA232" s="173">
        <f t="shared" si="52"/>
        <v>0.64</v>
      </c>
      <c r="AB232" s="173">
        <f t="shared" si="52"/>
        <v>0.64</v>
      </c>
      <c r="AC232" s="173">
        <f t="shared" si="52"/>
        <v>0.64</v>
      </c>
      <c r="AD232" s="173">
        <f t="shared" si="52"/>
        <v>0.64</v>
      </c>
      <c r="AE232" s="173">
        <f t="shared" si="52"/>
        <v>0.64</v>
      </c>
      <c r="AF232" s="173">
        <f t="shared" si="52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3">IF(C200&lt;100,"",C200-520)</f>
        <v/>
      </c>
      <c r="D233" s="117" t="str">
        <f t="shared" si="53"/>
        <v/>
      </c>
      <c r="E233" s="117" t="str">
        <f t="shared" si="53"/>
        <v/>
      </c>
      <c r="F233" s="117" t="str">
        <f t="shared" si="53"/>
        <v/>
      </c>
      <c r="G233" s="117" t="str">
        <f t="shared" si="53"/>
        <v/>
      </c>
      <c r="H233" s="117" t="str">
        <f t="shared" si="53"/>
        <v/>
      </c>
      <c r="I233" s="117" t="str">
        <f t="shared" si="53"/>
        <v/>
      </c>
      <c r="J233" s="117" t="str">
        <f t="shared" si="53"/>
        <v/>
      </c>
      <c r="K233" s="117" t="str">
        <f t="shared" si="53"/>
        <v/>
      </c>
      <c r="L233" s="117" t="str">
        <f t="shared" si="53"/>
        <v/>
      </c>
      <c r="M233" s="117" t="str">
        <f t="shared" si="53"/>
        <v/>
      </c>
      <c r="N233" s="117" t="str">
        <f t="shared" si="53"/>
        <v/>
      </c>
      <c r="O233" s="117" t="str">
        <f t="shared" si="53"/>
        <v/>
      </c>
      <c r="P233" s="117" t="str">
        <f t="shared" si="53"/>
        <v/>
      </c>
      <c r="Q233" s="117" t="str">
        <f t="shared" si="53"/>
        <v/>
      </c>
      <c r="R233" s="117" t="str">
        <f t="shared" si="53"/>
        <v/>
      </c>
      <c r="S233" s="117" t="str">
        <f t="shared" si="53"/>
        <v/>
      </c>
      <c r="T233" s="117" t="str">
        <f t="shared" si="53"/>
        <v/>
      </c>
      <c r="U233" s="117" t="str">
        <f t="shared" si="53"/>
        <v/>
      </c>
      <c r="V233" s="117" t="str">
        <f t="shared" si="53"/>
        <v/>
      </c>
      <c r="W233" s="117" t="str">
        <f t="shared" si="53"/>
        <v/>
      </c>
      <c r="X233" s="117" t="str">
        <f t="shared" si="53"/>
        <v/>
      </c>
      <c r="Y233" s="117" t="str">
        <f t="shared" si="53"/>
        <v/>
      </c>
      <c r="Z233" s="117" t="str">
        <f t="shared" si="53"/>
        <v/>
      </c>
      <c r="AA233" s="117" t="str">
        <f t="shared" si="53"/>
        <v/>
      </c>
      <c r="AB233" s="117" t="str">
        <f t="shared" si="53"/>
        <v/>
      </c>
      <c r="AC233" s="117" t="str">
        <f t="shared" si="53"/>
        <v/>
      </c>
      <c r="AD233" s="117" t="str">
        <f t="shared" si="53"/>
        <v/>
      </c>
      <c r="AE233" s="117" t="str">
        <f t="shared" si="53"/>
        <v/>
      </c>
      <c r="AF233" s="117" t="str">
        <f t="shared" si="53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4">IF(B201&lt;100,"",B201-620)</f>
        <v/>
      </c>
      <c r="C234" s="117" t="str">
        <f t="shared" si="54"/>
        <v/>
      </c>
      <c r="D234" s="117" t="str">
        <f t="shared" si="54"/>
        <v/>
      </c>
      <c r="E234" s="117" t="str">
        <f t="shared" si="54"/>
        <v/>
      </c>
      <c r="F234" s="117" t="str">
        <f t="shared" si="54"/>
        <v/>
      </c>
      <c r="G234" s="117" t="str">
        <f t="shared" si="54"/>
        <v/>
      </c>
      <c r="H234" s="117" t="str">
        <f t="shared" si="54"/>
        <v/>
      </c>
      <c r="I234" s="117" t="str">
        <f t="shared" si="54"/>
        <v/>
      </c>
      <c r="J234" s="117" t="str">
        <f t="shared" si="54"/>
        <v/>
      </c>
      <c r="K234" s="117" t="str">
        <f t="shared" si="54"/>
        <v/>
      </c>
      <c r="L234" s="117" t="str">
        <f t="shared" si="54"/>
        <v/>
      </c>
      <c r="M234" s="117" t="str">
        <f t="shared" si="54"/>
        <v/>
      </c>
      <c r="N234" s="117" t="str">
        <f t="shared" si="54"/>
        <v/>
      </c>
      <c r="O234" s="117" t="str">
        <f t="shared" si="54"/>
        <v/>
      </c>
      <c r="P234" s="117" t="str">
        <f t="shared" si="54"/>
        <v/>
      </c>
      <c r="Q234" s="117" t="str">
        <f t="shared" si="54"/>
        <v/>
      </c>
      <c r="R234" s="117" t="str">
        <f t="shared" si="54"/>
        <v/>
      </c>
      <c r="S234" s="117" t="str">
        <f t="shared" si="54"/>
        <v/>
      </c>
      <c r="T234" s="117" t="str">
        <f t="shared" si="54"/>
        <v/>
      </c>
      <c r="U234" s="117" t="str">
        <f t="shared" si="54"/>
        <v/>
      </c>
      <c r="V234" s="117" t="str">
        <f t="shared" si="54"/>
        <v/>
      </c>
      <c r="W234" s="117" t="str">
        <f t="shared" si="54"/>
        <v/>
      </c>
      <c r="X234" s="117" t="str">
        <f t="shared" si="54"/>
        <v/>
      </c>
      <c r="Y234" s="117" t="str">
        <f t="shared" si="54"/>
        <v/>
      </c>
      <c r="Z234" s="117" t="str">
        <f t="shared" si="54"/>
        <v/>
      </c>
      <c r="AA234" s="117" t="str">
        <f t="shared" si="54"/>
        <v/>
      </c>
      <c r="AB234" s="117" t="str">
        <f t="shared" si="54"/>
        <v/>
      </c>
      <c r="AC234" s="117" t="str">
        <f t="shared" si="54"/>
        <v/>
      </c>
      <c r="AD234" s="117" t="str">
        <f t="shared" si="54"/>
        <v/>
      </c>
      <c r="AE234" s="117" t="str">
        <f t="shared" si="54"/>
        <v/>
      </c>
      <c r="AF234" s="117" t="str">
        <f t="shared" si="54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5">IF(B202&lt;100,"",B202-330)</f>
        <v/>
      </c>
      <c r="C235" s="117" t="str">
        <f t="shared" si="55"/>
        <v/>
      </c>
      <c r="D235" s="117" t="str">
        <f t="shared" si="55"/>
        <v/>
      </c>
      <c r="E235" s="117" t="str">
        <f t="shared" si="55"/>
        <v/>
      </c>
      <c r="F235" s="117" t="str">
        <f t="shared" si="55"/>
        <v/>
      </c>
      <c r="G235" s="117" t="str">
        <f t="shared" si="55"/>
        <v/>
      </c>
      <c r="H235" s="117" t="str">
        <f t="shared" si="55"/>
        <v/>
      </c>
      <c r="I235" s="117" t="str">
        <f t="shared" si="55"/>
        <v/>
      </c>
      <c r="J235" s="117" t="str">
        <f t="shared" si="55"/>
        <v/>
      </c>
      <c r="K235" s="117" t="str">
        <f t="shared" si="55"/>
        <v/>
      </c>
      <c r="L235" s="117" t="str">
        <f t="shared" si="55"/>
        <v/>
      </c>
      <c r="M235" s="117" t="str">
        <f t="shared" si="55"/>
        <v/>
      </c>
      <c r="N235" s="117" t="str">
        <f t="shared" si="55"/>
        <v/>
      </c>
      <c r="O235" s="117" t="str">
        <f t="shared" si="55"/>
        <v/>
      </c>
      <c r="P235" s="117" t="str">
        <f t="shared" si="55"/>
        <v/>
      </c>
      <c r="Q235" s="117" t="str">
        <f t="shared" si="55"/>
        <v/>
      </c>
      <c r="R235" s="117" t="str">
        <f t="shared" si="55"/>
        <v/>
      </c>
      <c r="S235" s="117" t="str">
        <f t="shared" si="55"/>
        <v/>
      </c>
      <c r="T235" s="117" t="str">
        <f t="shared" si="55"/>
        <v/>
      </c>
      <c r="U235" s="117" t="str">
        <f t="shared" si="55"/>
        <v/>
      </c>
      <c r="V235" s="117" t="str">
        <f t="shared" si="55"/>
        <v/>
      </c>
      <c r="W235" s="117" t="str">
        <f t="shared" si="55"/>
        <v/>
      </c>
      <c r="X235" s="117" t="str">
        <f t="shared" si="55"/>
        <v/>
      </c>
      <c r="Y235" s="117" t="str">
        <f t="shared" si="55"/>
        <v/>
      </c>
      <c r="Z235" s="117" t="str">
        <f t="shared" si="55"/>
        <v/>
      </c>
      <c r="AA235" s="117" t="str">
        <f t="shared" si="55"/>
        <v/>
      </c>
      <c r="AB235" s="117" t="str">
        <f t="shared" si="55"/>
        <v/>
      </c>
      <c r="AC235" s="117" t="str">
        <f t="shared" si="55"/>
        <v/>
      </c>
      <c r="AD235" s="117" t="str">
        <f t="shared" si="55"/>
        <v/>
      </c>
      <c r="AE235" s="117" t="str">
        <f t="shared" si="55"/>
        <v/>
      </c>
      <c r="AF235" s="117" t="str">
        <f t="shared" si="55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6">IF(C203&lt;100,"",C203-1500)</f>
        <v/>
      </c>
      <c r="D236" s="117" t="str">
        <f t="shared" si="56"/>
        <v/>
      </c>
      <c r="E236" s="117" t="str">
        <f t="shared" si="56"/>
        <v/>
      </c>
      <c r="F236" s="117" t="str">
        <f t="shared" si="56"/>
        <v/>
      </c>
      <c r="G236" s="117" t="str">
        <f t="shared" si="56"/>
        <v/>
      </c>
      <c r="H236" s="117" t="str">
        <f t="shared" si="56"/>
        <v/>
      </c>
      <c r="I236" s="117" t="str">
        <f t="shared" si="56"/>
        <v/>
      </c>
      <c r="J236" s="117" t="str">
        <f t="shared" si="56"/>
        <v/>
      </c>
      <c r="K236" s="117" t="str">
        <f t="shared" si="56"/>
        <v/>
      </c>
      <c r="L236" s="117" t="str">
        <f t="shared" si="56"/>
        <v/>
      </c>
      <c r="M236" s="117" t="str">
        <f t="shared" si="56"/>
        <v/>
      </c>
      <c r="N236" s="117" t="str">
        <f t="shared" si="56"/>
        <v/>
      </c>
      <c r="O236" s="117" t="str">
        <f t="shared" si="56"/>
        <v/>
      </c>
      <c r="P236" s="117" t="str">
        <f t="shared" si="56"/>
        <v/>
      </c>
      <c r="Q236" s="117" t="str">
        <f t="shared" si="56"/>
        <v/>
      </c>
      <c r="R236" s="117" t="str">
        <f t="shared" si="56"/>
        <v/>
      </c>
      <c r="S236" s="117" t="str">
        <f t="shared" si="56"/>
        <v/>
      </c>
      <c r="T236" s="117" t="str">
        <f t="shared" si="56"/>
        <v/>
      </c>
      <c r="U236" s="117" t="str">
        <f t="shared" si="56"/>
        <v/>
      </c>
      <c r="V236" s="117" t="str">
        <f t="shared" si="56"/>
        <v/>
      </c>
      <c r="W236" s="117" t="str">
        <f t="shared" si="56"/>
        <v/>
      </c>
      <c r="X236" s="117" t="str">
        <f t="shared" si="56"/>
        <v/>
      </c>
      <c r="Y236" s="117" t="str">
        <f t="shared" si="56"/>
        <v/>
      </c>
      <c r="Z236" s="117" t="str">
        <f t="shared" si="56"/>
        <v/>
      </c>
      <c r="AA236" s="117" t="str">
        <f t="shared" si="56"/>
        <v/>
      </c>
      <c r="AB236" s="117" t="str">
        <f t="shared" si="56"/>
        <v/>
      </c>
      <c r="AC236" s="117" t="str">
        <f t="shared" si="56"/>
        <v/>
      </c>
      <c r="AD236" s="117" t="str">
        <f t="shared" si="56"/>
        <v/>
      </c>
      <c r="AE236" s="117" t="str">
        <f t="shared" si="56"/>
        <v/>
      </c>
      <c r="AF236" s="117" t="str">
        <f t="shared" si="56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412" priority="274">
      <formula>S$9&gt;=20/24</formula>
    </cfRule>
    <cfRule type="expression" dxfId="9411" priority="275">
      <formula>AND(S$9&gt;=14/24,S$9&lt;20/24)</formula>
    </cfRule>
    <cfRule type="expression" dxfId="9410" priority="276">
      <formula>AND(S$9&gt;=8/24,S$9&lt;14/24)</formula>
    </cfRule>
    <cfRule type="expression" dxfId="9409" priority="277">
      <formula>S$9&lt;8/24</formula>
    </cfRule>
  </conditionalFormatting>
  <conditionalFormatting sqref="B8:AF10 AA79:AF79 B79:Q79 B54:AF54 B80:AF80 C191:AF197 AE55:AF57 B66:AF70 B55:K57 M60:M65 T210:AX210 B58:N58 B59:M59 N59:N65 Q40 R18:R29 W83:X89 AA82:AF89 B72:AF76 B78:AF78 B61:C65 Q12:Q13 Q15:Q16 Q18:Q31 Q17:R17 L35:Q35 L15:P31 L11:P13 Q37 L37:P40 N43:Q46 O58:Q65 L56:V57 S17:X29 Q38:X39 Z83:Z89 Q11:AD11 Y12:AD13 Y15:AD30 Y38:AD41 AE15:AF15 AE18:AF19 AE21:AF30 AE41:AF41 L51:AF53">
    <cfRule type="expression" dxfId="9408" priority="270">
      <formula>B$9&gt;=20/24</formula>
    </cfRule>
    <cfRule type="expression" dxfId="9407" priority="271">
      <formula>AND(B$9&gt;=14/24,B$9&lt;20/24)</formula>
    </cfRule>
    <cfRule type="expression" dxfId="9406" priority="272">
      <formula>AND(B$9&gt;=8/24,B$9&lt;14/24)</formula>
    </cfRule>
    <cfRule type="expression" dxfId="9405" priority="273">
      <formula>B$9&lt;8/24</formula>
    </cfRule>
  </conditionalFormatting>
  <conditionalFormatting sqref="B189:AF189">
    <cfRule type="expression" dxfId="9404" priority="266">
      <formula>B$9&gt;=20/24</formula>
    </cfRule>
    <cfRule type="expression" dxfId="9403" priority="267">
      <formula>AND(B$9&gt;=14/24,B$9&lt;20/24)</formula>
    </cfRule>
    <cfRule type="expression" dxfId="9402" priority="268">
      <formula>AND(B$9&gt;=8/24,B$9&lt;14/24)</formula>
    </cfRule>
    <cfRule type="expression" dxfId="9401" priority="269">
      <formula>B$9&lt;8/24</formula>
    </cfRule>
  </conditionalFormatting>
  <conditionalFormatting sqref="AL4:AL6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9400" priority="261">
      <formula>L$9&gt;=20/24</formula>
    </cfRule>
    <cfRule type="expression" dxfId="9399" priority="262">
      <formula>AND(L$9&gt;=14/24,L$9&lt;20/24)</formula>
    </cfRule>
    <cfRule type="expression" dxfId="9398" priority="263">
      <formula>AND(L$9&gt;=8/24,L$9&lt;14/24)</formula>
    </cfRule>
    <cfRule type="expression" dxfId="9397" priority="264">
      <formula>L$9&lt;8/24</formula>
    </cfRule>
  </conditionalFormatting>
  <conditionalFormatting sqref="L41:Q41">
    <cfRule type="expression" dxfId="9396" priority="257">
      <formula>L$9&gt;=20/24</formula>
    </cfRule>
    <cfRule type="expression" dxfId="9395" priority="258">
      <formula>AND(L$9&gt;=14/24,L$9&lt;20/24)</formula>
    </cfRule>
    <cfRule type="expression" dxfId="9394" priority="259">
      <formula>AND(L$9&gt;=8/24,L$9&lt;14/24)</formula>
    </cfRule>
    <cfRule type="expression" dxfId="9393" priority="260">
      <formula>L$9&lt;8/24</formula>
    </cfRule>
  </conditionalFormatting>
  <conditionalFormatting sqref="Y31:AF31">
    <cfRule type="expression" dxfId="9392" priority="253">
      <formula>Y$9&gt;=20/24</formula>
    </cfRule>
    <cfRule type="expression" dxfId="9391" priority="254">
      <formula>AND(Y$9&gt;=14/24,Y$9&lt;20/24)</formula>
    </cfRule>
    <cfRule type="expression" dxfId="9390" priority="255">
      <formula>AND(Y$9&gt;=8/24,Y$9&lt;14/24)</formula>
    </cfRule>
    <cfRule type="expression" dxfId="9389" priority="256">
      <formula>Y$9&lt;8/24</formula>
    </cfRule>
  </conditionalFormatting>
  <conditionalFormatting sqref="R37:AD37">
    <cfRule type="expression" dxfId="9388" priority="249">
      <formula>R$9&gt;=20/24</formula>
    </cfRule>
    <cfRule type="expression" dxfId="9387" priority="250">
      <formula>AND(R$9&gt;=14/24,R$9&lt;20/24)</formula>
    </cfRule>
    <cfRule type="expression" dxfId="9386" priority="251">
      <formula>AND(R$9&gt;=8/24,R$9&lt;14/24)</formula>
    </cfRule>
    <cfRule type="expression" dxfId="9385" priority="252">
      <formula>R$9&lt;8/24</formula>
    </cfRule>
  </conditionalFormatting>
  <conditionalFormatting sqref="R55:AD55">
    <cfRule type="expression" dxfId="9384" priority="245">
      <formula>R$9&gt;=20/24</formula>
    </cfRule>
    <cfRule type="expression" dxfId="9383" priority="246">
      <formula>AND(R$9&gt;=14/24,R$9&lt;20/24)</formula>
    </cfRule>
    <cfRule type="expression" dxfId="9382" priority="247">
      <formula>AND(R$9&gt;=8/24,R$9&lt;14/24)</formula>
    </cfRule>
    <cfRule type="expression" dxfId="9381" priority="248">
      <formula>R$9&lt;8/24</formula>
    </cfRule>
  </conditionalFormatting>
  <conditionalFormatting sqref="R79:Z79">
    <cfRule type="expression" dxfId="9380" priority="241">
      <formula>R$9&gt;=20/24</formula>
    </cfRule>
    <cfRule type="expression" dxfId="9379" priority="242">
      <formula>AND(R$9&gt;=14/24,R$9&lt;20/24)</formula>
    </cfRule>
    <cfRule type="expression" dxfId="9378" priority="243">
      <formula>AND(R$9&gt;=8/24,R$9&lt;14/24)</formula>
    </cfRule>
    <cfRule type="expression" dxfId="9377" priority="244">
      <formula>R$9&lt;8/24</formula>
    </cfRule>
  </conditionalFormatting>
  <conditionalFormatting sqref="T82:Z82">
    <cfRule type="expression" dxfId="9376" priority="237">
      <formula>T$9&gt;=20/24</formula>
    </cfRule>
    <cfRule type="expression" dxfId="9375" priority="238">
      <formula>AND(T$9&gt;=14/24,T$9&lt;20/24)</formula>
    </cfRule>
    <cfRule type="expression" dxfId="9374" priority="239">
      <formula>AND(T$9&gt;=8/24,T$9&lt;14/24)</formula>
    </cfRule>
    <cfRule type="expression" dxfId="9373" priority="240">
      <formula>T$9&lt;8/24</formula>
    </cfRule>
  </conditionalFormatting>
  <conditionalFormatting sqref="L33:Q33">
    <cfRule type="expression" dxfId="9372" priority="233">
      <formula>L$9&gt;=20/24</formula>
    </cfRule>
    <cfRule type="expression" dxfId="9371" priority="234">
      <formula>AND(L$9&gt;=14/24,L$9&lt;20/24)</formula>
    </cfRule>
    <cfRule type="expression" dxfId="9370" priority="235">
      <formula>AND(L$9&gt;=8/24,L$9&lt;14/24)</formula>
    </cfRule>
    <cfRule type="expression" dxfId="9369" priority="236">
      <formula>L$9&lt;8/24</formula>
    </cfRule>
  </conditionalFormatting>
  <conditionalFormatting sqref="L47:X47">
    <cfRule type="expression" dxfId="9368" priority="229">
      <formula>L$9&gt;=20/24</formula>
    </cfRule>
    <cfRule type="expression" dxfId="9367" priority="230">
      <formula>AND(L$9&gt;=14/24,L$9&lt;20/24)</formula>
    </cfRule>
    <cfRule type="expression" dxfId="9366" priority="231">
      <formula>AND(L$9&gt;=8/24,L$9&lt;14/24)</formula>
    </cfRule>
    <cfRule type="expression" dxfId="9365" priority="232">
      <formula>L$9&lt;8/24</formula>
    </cfRule>
  </conditionalFormatting>
  <conditionalFormatting sqref="L48:Q48">
    <cfRule type="expression" dxfId="9364" priority="225">
      <formula>L$9&gt;=20/24</formula>
    </cfRule>
    <cfRule type="expression" dxfId="9363" priority="226">
      <formula>AND(L$9&gt;=14/24,L$9&lt;20/24)</formula>
    </cfRule>
    <cfRule type="expression" dxfId="9362" priority="227">
      <formula>AND(L$9&gt;=8/24,L$9&lt;14/24)</formula>
    </cfRule>
    <cfRule type="expression" dxfId="9361" priority="228">
      <formula>L$9&lt;8/24</formula>
    </cfRule>
  </conditionalFormatting>
  <conditionalFormatting sqref="L43:Q46">
    <cfRule type="expression" dxfId="9360" priority="221">
      <formula>L$9&gt;=20/24</formula>
    </cfRule>
    <cfRule type="expression" dxfId="9359" priority="222">
      <formula>AND(L$9&gt;=14/24,L$9&lt;20/24)</formula>
    </cfRule>
    <cfRule type="expression" dxfId="9358" priority="223">
      <formula>AND(L$9&gt;=8/24,L$9&lt;14/24)</formula>
    </cfRule>
    <cfRule type="expression" dxfId="9357" priority="224">
      <formula>L$9&lt;8/24</formula>
    </cfRule>
  </conditionalFormatting>
  <conditionalFormatting sqref="R35:AD35">
    <cfRule type="expression" dxfId="9356" priority="217">
      <formula>R$9&gt;=20/24</formula>
    </cfRule>
    <cfRule type="expression" dxfId="9355" priority="218">
      <formula>AND(R$9&gt;=14/24,R$9&lt;20/24)</formula>
    </cfRule>
    <cfRule type="expression" dxfId="9354" priority="219">
      <formula>AND(R$9&gt;=8/24,R$9&lt;14/24)</formula>
    </cfRule>
    <cfRule type="expression" dxfId="9353" priority="220">
      <formula>R$9&lt;8/24</formula>
    </cfRule>
  </conditionalFormatting>
  <conditionalFormatting sqref="R30:X31 R33:AF33">
    <cfRule type="expression" dxfId="9352" priority="213">
      <formula>R$9&gt;=20/24</formula>
    </cfRule>
    <cfRule type="expression" dxfId="9351" priority="214">
      <formula>AND(R$9&gt;=14/24,R$9&lt;20/24)</formula>
    </cfRule>
    <cfRule type="expression" dxfId="9350" priority="215">
      <formula>AND(R$9&gt;=8/24,R$9&lt;14/24)</formula>
    </cfRule>
    <cfRule type="expression" dxfId="9349" priority="216">
      <formula>R$9&lt;8/24</formula>
    </cfRule>
  </conditionalFormatting>
  <conditionalFormatting sqref="R40:X41 R43:AF46">
    <cfRule type="expression" dxfId="9348" priority="209">
      <formula>R$9&gt;=20/24</formula>
    </cfRule>
    <cfRule type="expression" dxfId="9347" priority="210">
      <formula>AND(R$9&gt;=14/24,R$9&lt;20/24)</formula>
    </cfRule>
    <cfRule type="expression" dxfId="9346" priority="211">
      <formula>AND(R$9&gt;=8/24,R$9&lt;14/24)</formula>
    </cfRule>
    <cfRule type="expression" dxfId="9345" priority="212">
      <formula>R$9&lt;8/24</formula>
    </cfRule>
  </conditionalFormatting>
  <conditionalFormatting sqref="R47:AF47">
    <cfRule type="expression" dxfId="9344" priority="205">
      <formula>R$9&gt;=20/24</formula>
    </cfRule>
    <cfRule type="expression" dxfId="9343" priority="206">
      <formula>AND(R$9&gt;=14/24,R$9&lt;20/24)</formula>
    </cfRule>
    <cfRule type="expression" dxfId="9342" priority="207">
      <formula>AND(R$9&gt;=8/24,R$9&lt;14/24)</formula>
    </cfRule>
    <cfRule type="expression" dxfId="9341" priority="208">
      <formula>R$9&lt;8/24</formula>
    </cfRule>
  </conditionalFormatting>
  <conditionalFormatting sqref="R48:AF48">
    <cfRule type="expression" dxfId="9340" priority="201">
      <formula>R$9&gt;=20/24</formula>
    </cfRule>
    <cfRule type="expression" dxfId="9339" priority="202">
      <formula>AND(R$9&gt;=14/24,R$9&lt;20/24)</formula>
    </cfRule>
    <cfRule type="expression" dxfId="9338" priority="203">
      <formula>AND(R$9&gt;=8/24,R$9&lt;14/24)</formula>
    </cfRule>
    <cfRule type="expression" dxfId="9337" priority="204">
      <formula>R$9&lt;8/24</formula>
    </cfRule>
  </conditionalFormatting>
  <conditionalFormatting sqref="R58:AF65">
    <cfRule type="expression" dxfId="9336" priority="197">
      <formula>R$9&gt;=20/24</formula>
    </cfRule>
    <cfRule type="expression" dxfId="9335" priority="198">
      <formula>AND(R$9&gt;=14/24,R$9&lt;20/24)</formula>
    </cfRule>
    <cfRule type="expression" dxfId="9334" priority="199">
      <formula>AND(R$9&gt;=8/24,R$9&lt;14/24)</formula>
    </cfRule>
    <cfRule type="expression" dxfId="9333" priority="200">
      <formula>R$9&lt;8/24</formula>
    </cfRule>
  </conditionalFormatting>
  <conditionalFormatting sqref="AA92:AF95">
    <cfRule type="expression" dxfId="9332" priority="193">
      <formula>AA$9&gt;=20/24</formula>
    </cfRule>
    <cfRule type="expression" dxfId="9331" priority="194">
      <formula>AND(AA$9&gt;=14/24,AA$9&lt;20/24)</formula>
    </cfRule>
    <cfRule type="expression" dxfId="9330" priority="195">
      <formula>AND(AA$9&gt;=8/24,AA$9&lt;14/24)</formula>
    </cfRule>
    <cfRule type="expression" dxfId="9329" priority="196">
      <formula>AA$9&lt;8/24</formula>
    </cfRule>
  </conditionalFormatting>
  <conditionalFormatting sqref="H61:H65 B60:H60 I60:K65">
    <cfRule type="expression" dxfId="9328" priority="189">
      <formula>B$9&gt;=20/24</formula>
    </cfRule>
    <cfRule type="expression" dxfId="9327" priority="190">
      <formula>AND(B$9&gt;=14/24,B$9&lt;20/24)</formula>
    </cfRule>
    <cfRule type="expression" dxfId="9326" priority="191">
      <formula>AND(B$9&gt;=8/24,B$9&lt;14/24)</formula>
    </cfRule>
    <cfRule type="expression" dxfId="9325" priority="192">
      <formula>B$9&lt;8/24</formula>
    </cfRule>
  </conditionalFormatting>
  <conditionalFormatting sqref="T92:Z95">
    <cfRule type="expression" dxfId="9324" priority="185">
      <formula>T$9&gt;=20/24</formula>
    </cfRule>
    <cfRule type="expression" dxfId="9323" priority="186">
      <formula>AND(T$9&gt;=14/24,T$9&lt;20/24)</formula>
    </cfRule>
    <cfRule type="expression" dxfId="9322" priority="187">
      <formula>AND(T$9&gt;=8/24,T$9&lt;14/24)</formula>
    </cfRule>
    <cfRule type="expression" dxfId="9321" priority="188">
      <formula>T$9&lt;8/24</formula>
    </cfRule>
  </conditionalFormatting>
  <conditionalFormatting sqref="AG49 Q15:Q16 Q12:Q13 B11:P13 B15:P31 Q17:X31 Q11:AF11 Y12:AF13 Y15:AF31 B33:AF41 B43:AF54">
    <cfRule type="expression" dxfId="9320" priority="184">
      <formula>B11&gt;$AG11</formula>
    </cfRule>
  </conditionalFormatting>
  <conditionalFormatting sqref="A98:A154 A82:A95 A11:A13 A15:A31 A43:A70 A78:A80 A72:A76 A33:A41 A167:A198">
    <cfRule type="expression" dxfId="9319" priority="183">
      <formula>$AH11=0</formula>
    </cfRule>
  </conditionalFormatting>
  <conditionalFormatting sqref="AA96:AF96">
    <cfRule type="expression" dxfId="9318" priority="179">
      <formula>AA$9&gt;=20/24</formula>
    </cfRule>
    <cfRule type="expression" dxfId="9317" priority="180">
      <formula>AND(AA$9&gt;=14/24,AA$9&lt;20/24)</formula>
    </cfRule>
    <cfRule type="expression" dxfId="9316" priority="181">
      <formula>AND(AA$9&gt;=8/24,AA$9&lt;14/24)</formula>
    </cfRule>
    <cfRule type="expression" dxfId="9315" priority="182">
      <formula>AA$9&lt;8/24</formula>
    </cfRule>
  </conditionalFormatting>
  <conditionalFormatting sqref="T96:Z96">
    <cfRule type="expression" dxfId="9314" priority="175">
      <formula>T$9&gt;=20/24</formula>
    </cfRule>
    <cfRule type="expression" dxfId="9313" priority="176">
      <formula>AND(T$9&gt;=14/24,T$9&lt;20/24)</formula>
    </cfRule>
    <cfRule type="expression" dxfId="9312" priority="177">
      <formula>AND(T$9&gt;=8/24,T$9&lt;14/24)</formula>
    </cfRule>
    <cfRule type="expression" dxfId="9311" priority="178">
      <formula>T$9&lt;8/24</formula>
    </cfRule>
  </conditionalFormatting>
  <conditionalFormatting sqref="A96">
    <cfRule type="expression" dxfId="9310" priority="174">
      <formula>$AH96=0</formula>
    </cfRule>
  </conditionalFormatting>
  <conditionalFormatting sqref="D34:AF34">
    <cfRule type="expression" dxfId="9309" priority="170">
      <formula>D$9&gt;=20/24</formula>
    </cfRule>
    <cfRule type="expression" dxfId="9308" priority="171">
      <formula>AND(D$9&gt;=14/24,D$9&lt;20/24)</formula>
    </cfRule>
    <cfRule type="expression" dxfId="9307" priority="172">
      <formula>AND(D$9&gt;=8/24,D$9&lt;14/24)</formula>
    </cfRule>
    <cfRule type="expression" dxfId="9306" priority="173">
      <formula>D$9&lt;8/24</formula>
    </cfRule>
  </conditionalFormatting>
  <conditionalFormatting sqref="R34:AF34">
    <cfRule type="expression" dxfId="9305" priority="166">
      <formula>R$9&gt;=20/24</formula>
    </cfRule>
    <cfRule type="expression" dxfId="9304" priority="167">
      <formula>AND(R$9&gt;=14/24,R$9&lt;20/24)</formula>
    </cfRule>
    <cfRule type="expression" dxfId="9303" priority="168">
      <formula>AND(R$9&gt;=8/24,R$9&lt;14/24)</formula>
    </cfRule>
    <cfRule type="expression" dxfId="9302" priority="169">
      <formula>R$9&lt;8/24</formula>
    </cfRule>
  </conditionalFormatting>
  <conditionalFormatting sqref="B34:C34">
    <cfRule type="expression" dxfId="9301" priority="162">
      <formula>B$9&gt;=20/24</formula>
    </cfRule>
    <cfRule type="expression" dxfId="9300" priority="163">
      <formula>AND(B$9&gt;=14/24,B$9&lt;20/24)</formula>
    </cfRule>
    <cfRule type="expression" dxfId="9299" priority="164">
      <formula>AND(B$9&gt;=8/24,B$9&lt;14/24)</formula>
    </cfRule>
    <cfRule type="expression" dxfId="9298" priority="165">
      <formula>B$9&lt;8/24</formula>
    </cfRule>
  </conditionalFormatting>
  <conditionalFormatting sqref="D61:G65">
    <cfRule type="expression" dxfId="9297" priority="158">
      <formula>D$9&gt;=20/24</formula>
    </cfRule>
    <cfRule type="expression" dxfId="9296" priority="159">
      <formula>AND(D$9&gt;=14/24,D$9&lt;20/24)</formula>
    </cfRule>
    <cfRule type="expression" dxfId="9295" priority="160">
      <formula>AND(D$9&gt;=8/24,D$9&lt;14/24)</formula>
    </cfRule>
    <cfRule type="expression" dxfId="9294" priority="161">
      <formula>D$9&lt;8/24</formula>
    </cfRule>
  </conditionalFormatting>
  <conditionalFormatting sqref="L60:L65">
    <cfRule type="expression" dxfId="9293" priority="154">
      <formula>L$9&gt;=20/24</formula>
    </cfRule>
    <cfRule type="expression" dxfId="9292" priority="155">
      <formula>AND(L$9&gt;=14/24,L$9&lt;20/24)</formula>
    </cfRule>
    <cfRule type="expression" dxfId="9291" priority="156">
      <formula>AND(L$9&gt;=8/24,L$9&lt;14/24)</formula>
    </cfRule>
    <cfRule type="expression" dxfId="9290" priority="157">
      <formula>L$9&lt;8/24</formula>
    </cfRule>
  </conditionalFormatting>
  <conditionalFormatting sqref="AL3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9289" priority="149">
      <formula>Y$9&gt;=20/24</formula>
    </cfRule>
    <cfRule type="expression" dxfId="9288" priority="150">
      <formula>AND(Y$9&gt;=14/24,Y$9&lt;20/24)</formula>
    </cfRule>
    <cfRule type="expression" dxfId="9287" priority="151">
      <formula>AND(Y$9&gt;=8/24,Y$9&lt;14/24)</formula>
    </cfRule>
    <cfRule type="expression" dxfId="9286" priority="152">
      <formula>Y$9&lt;8/24</formula>
    </cfRule>
  </conditionalFormatting>
  <conditionalFormatting sqref="L32:Q32">
    <cfRule type="expression" dxfId="9285" priority="145">
      <formula>L$9&gt;=20/24</formula>
    </cfRule>
    <cfRule type="expression" dxfId="9284" priority="146">
      <formula>AND(L$9&gt;=14/24,L$9&lt;20/24)</formula>
    </cfRule>
    <cfRule type="expression" dxfId="9283" priority="147">
      <formula>AND(L$9&gt;=8/24,L$9&lt;14/24)</formula>
    </cfRule>
    <cfRule type="expression" dxfId="9282" priority="148">
      <formula>L$9&lt;8/24</formula>
    </cfRule>
  </conditionalFormatting>
  <conditionalFormatting sqref="R32:X32">
    <cfRule type="expression" dxfId="9281" priority="141">
      <formula>R$9&gt;=20/24</formula>
    </cfRule>
    <cfRule type="expression" dxfId="9280" priority="142">
      <formula>AND(R$9&gt;=14/24,R$9&lt;20/24)</formula>
    </cfRule>
    <cfRule type="expression" dxfId="9279" priority="143">
      <formula>AND(R$9&gt;=8/24,R$9&lt;14/24)</formula>
    </cfRule>
    <cfRule type="expression" dxfId="9278" priority="144">
      <formula>R$9&lt;8/24</formula>
    </cfRule>
  </conditionalFormatting>
  <conditionalFormatting sqref="B32:AF32">
    <cfRule type="expression" dxfId="9277" priority="140">
      <formula>B32&gt;$AG32</formula>
    </cfRule>
  </conditionalFormatting>
  <conditionalFormatting sqref="A32">
    <cfRule type="expression" dxfId="9276" priority="139">
      <formula>$AH32=0</formula>
    </cfRule>
  </conditionalFormatting>
  <conditionalFormatting sqref="B81:AF81">
    <cfRule type="expression" dxfId="9275" priority="135">
      <formula>B$9&gt;=20/24</formula>
    </cfRule>
    <cfRule type="expression" dxfId="9274" priority="136">
      <formula>AND(B$9&gt;=14/24,B$9&lt;20/24)</formula>
    </cfRule>
    <cfRule type="expression" dxfId="9273" priority="137">
      <formula>AND(B$9&gt;=8/24,B$9&lt;14/24)</formula>
    </cfRule>
    <cfRule type="expression" dxfId="9272" priority="138">
      <formula>B$9&lt;8/24</formula>
    </cfRule>
  </conditionalFormatting>
  <conditionalFormatting sqref="A81">
    <cfRule type="expression" dxfId="9271" priority="134">
      <formula>$AH81=0</formula>
    </cfRule>
  </conditionalFormatting>
  <conditionalFormatting sqref="Y14:AD14">
    <cfRule type="expression" dxfId="9270" priority="130">
      <formula>Y$9&gt;=20/24</formula>
    </cfRule>
    <cfRule type="expression" dxfId="9269" priority="131">
      <formula>AND(Y$9&gt;=14/24,Y$9&lt;20/24)</formula>
    </cfRule>
    <cfRule type="expression" dxfId="9268" priority="132">
      <formula>AND(Y$9&gt;=8/24,Y$9&lt;14/24)</formula>
    </cfRule>
    <cfRule type="expression" dxfId="9267" priority="133">
      <formula>Y$9&lt;8/24</formula>
    </cfRule>
  </conditionalFormatting>
  <conditionalFormatting sqref="L14:Q14">
    <cfRule type="expression" dxfId="9266" priority="126">
      <formula>L$9&gt;=20/24</formula>
    </cfRule>
    <cfRule type="expression" dxfId="9265" priority="127">
      <formula>AND(L$9&gt;=14/24,L$9&lt;20/24)</formula>
    </cfRule>
    <cfRule type="expression" dxfId="9264" priority="128">
      <formula>AND(L$9&gt;=8/24,L$9&lt;14/24)</formula>
    </cfRule>
    <cfRule type="expression" dxfId="9263" priority="129">
      <formula>L$9&lt;8/24</formula>
    </cfRule>
  </conditionalFormatting>
  <conditionalFormatting sqref="B14:Q14 Y14:AF14">
    <cfRule type="expression" dxfId="9262" priority="125">
      <formula>B14&gt;$AG14</formula>
    </cfRule>
  </conditionalFormatting>
  <conditionalFormatting sqref="A14">
    <cfRule type="expression" dxfId="9261" priority="124">
      <formula>$AH14=0</formula>
    </cfRule>
  </conditionalFormatting>
  <conditionalFormatting sqref="A161:A166">
    <cfRule type="expression" dxfId="9260" priority="123">
      <formula>$AH161=0</formula>
    </cfRule>
  </conditionalFormatting>
  <conditionalFormatting sqref="A155:A160">
    <cfRule type="expression" dxfId="9259" priority="122">
      <formula>$AH155=0</formula>
    </cfRule>
  </conditionalFormatting>
  <conditionalFormatting sqref="Y42:AF42">
    <cfRule type="expression" dxfId="9258" priority="118">
      <formula>Y$9&gt;=20/24</formula>
    </cfRule>
    <cfRule type="expression" dxfId="9257" priority="119">
      <formula>AND(Y$9&gt;=14/24,Y$9&lt;20/24)</formula>
    </cfRule>
    <cfRule type="expression" dxfId="9256" priority="120">
      <formula>AND(Y$9&gt;=8/24,Y$9&lt;14/24)</formula>
    </cfRule>
    <cfRule type="expression" dxfId="9255" priority="121">
      <formula>Y$9&lt;8/24</formula>
    </cfRule>
  </conditionalFormatting>
  <conditionalFormatting sqref="L42:Q42">
    <cfRule type="expression" dxfId="9254" priority="114">
      <formula>L$9&gt;=20/24</formula>
    </cfRule>
    <cfRule type="expression" dxfId="9253" priority="115">
      <formula>AND(L$9&gt;=14/24,L$9&lt;20/24)</formula>
    </cfRule>
    <cfRule type="expression" dxfId="9252" priority="116">
      <formula>AND(L$9&gt;=8/24,L$9&lt;14/24)</formula>
    </cfRule>
    <cfRule type="expression" dxfId="9251" priority="117">
      <formula>L$9&lt;8/24</formula>
    </cfRule>
  </conditionalFormatting>
  <conditionalFormatting sqref="R42:X42">
    <cfRule type="expression" dxfId="9250" priority="110">
      <formula>R$9&gt;=20/24</formula>
    </cfRule>
    <cfRule type="expression" dxfId="9249" priority="111">
      <formula>AND(R$9&gt;=14/24,R$9&lt;20/24)</formula>
    </cfRule>
    <cfRule type="expression" dxfId="9248" priority="112">
      <formula>AND(R$9&gt;=8/24,R$9&lt;14/24)</formula>
    </cfRule>
    <cfRule type="expression" dxfId="9247" priority="113">
      <formula>R$9&lt;8/24</formula>
    </cfRule>
  </conditionalFormatting>
  <conditionalFormatting sqref="B42:AF42">
    <cfRule type="expression" dxfId="9246" priority="109">
      <formula>B42&gt;$AG42</formula>
    </cfRule>
  </conditionalFormatting>
  <conditionalFormatting sqref="A42">
    <cfRule type="expression" dxfId="9245" priority="108">
      <formula>$AH42=0</formula>
    </cfRule>
  </conditionalFormatting>
  <conditionalFormatting sqref="B77:AF77">
    <cfRule type="expression" dxfId="9244" priority="104">
      <formula>B$9&gt;=20/24</formula>
    </cfRule>
    <cfRule type="expression" dxfId="9243" priority="105">
      <formula>AND(B$9&gt;=14/24,B$9&lt;20/24)</formula>
    </cfRule>
    <cfRule type="expression" dxfId="9242" priority="106">
      <formula>AND(B$9&gt;=8/24,B$9&lt;14/24)</formula>
    </cfRule>
    <cfRule type="expression" dxfId="9241" priority="107">
      <formula>B$9&lt;8/24</formula>
    </cfRule>
  </conditionalFormatting>
  <conditionalFormatting sqref="A77">
    <cfRule type="expression" dxfId="9240" priority="103">
      <formula>$AH77=0</formula>
    </cfRule>
  </conditionalFormatting>
  <conditionalFormatting sqref="B71:AG71">
    <cfRule type="expression" dxfId="9239" priority="99">
      <formula>B$9&gt;=20/24</formula>
    </cfRule>
    <cfRule type="expression" dxfId="9238" priority="100">
      <formula>AND(B$9&gt;=14/24,B$9&lt;20/24)</formula>
    </cfRule>
    <cfRule type="expression" dxfId="9237" priority="101">
      <formula>AND(B$9&gt;=8/24,B$9&lt;14/24)</formula>
    </cfRule>
    <cfRule type="expression" dxfId="9236" priority="102">
      <formula>B$9&lt;8/24</formula>
    </cfRule>
  </conditionalFormatting>
  <conditionalFormatting sqref="A71">
    <cfRule type="expression" dxfId="9235" priority="98">
      <formula>$AH71=0</formula>
    </cfRule>
  </conditionalFormatting>
  <conditionalFormatting sqref="AL32:AL33 AL7:AL30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9234" priority="90">
      <formula>T$9&gt;=20/24</formula>
    </cfRule>
    <cfRule type="expression" dxfId="9233" priority="91">
      <formula>AND(T$9&gt;=14/24,T$9&lt;20/24)</formula>
    </cfRule>
    <cfRule type="expression" dxfId="9232" priority="92">
      <formula>AND(T$9&gt;=8/24,T$9&lt;14/24)</formula>
    </cfRule>
    <cfRule type="expression" dxfId="9231" priority="93">
      <formula>T$9&lt;8/24</formula>
    </cfRule>
  </conditionalFormatting>
  <conditionalFormatting sqref="B82:Q89 R83:S89">
    <cfRule type="expression" dxfId="9230" priority="86">
      <formula>B$9&gt;=20/24</formula>
    </cfRule>
    <cfRule type="expression" dxfId="9229" priority="87">
      <formula>AND(B$9&gt;=14/24,B$9&lt;20/24)</formula>
    </cfRule>
    <cfRule type="expression" dxfId="9228" priority="88">
      <formula>AND(B$9&gt;=8/24,B$9&lt;14/24)</formula>
    </cfRule>
    <cfRule type="expression" dxfId="9227" priority="89">
      <formula>B$9&lt;8/24</formula>
    </cfRule>
  </conditionalFormatting>
  <conditionalFormatting sqref="R82:S82">
    <cfRule type="expression" dxfId="9226" priority="82">
      <formula>R$9&gt;=20/24</formula>
    </cfRule>
    <cfRule type="expression" dxfId="9225" priority="83">
      <formula>AND(R$9&gt;=14/24,R$9&lt;20/24)</formula>
    </cfRule>
    <cfRule type="expression" dxfId="9224" priority="84">
      <formula>AND(R$9&gt;=8/24,R$9&lt;14/24)</formula>
    </cfRule>
    <cfRule type="expression" dxfId="9223" priority="85">
      <formula>R$9&lt;8/24</formula>
    </cfRule>
  </conditionalFormatting>
  <conditionalFormatting sqref="B92:E92 B93:L95">
    <cfRule type="expression" dxfId="9222" priority="78">
      <formula>B$9&gt;=20/24</formula>
    </cfRule>
    <cfRule type="expression" dxfId="9221" priority="79">
      <formula>AND(B$9&gt;=14/24,B$9&lt;20/24)</formula>
    </cfRule>
    <cfRule type="expression" dxfId="9220" priority="80">
      <formula>AND(B$9&gt;=8/24,B$9&lt;14/24)</formula>
    </cfRule>
    <cfRule type="expression" dxfId="9219" priority="81">
      <formula>B$9&lt;8/24</formula>
    </cfRule>
  </conditionalFormatting>
  <conditionalFormatting sqref="M93:Q95 N92:Q92">
    <cfRule type="expression" dxfId="9218" priority="74">
      <formula>M$9&gt;=20/24</formula>
    </cfRule>
    <cfRule type="expression" dxfId="9217" priority="75">
      <formula>AND(M$9&gt;=14/24,M$9&lt;20/24)</formula>
    </cfRule>
    <cfRule type="expression" dxfId="9216" priority="76">
      <formula>AND(M$9&gt;=8/24,M$9&lt;14/24)</formula>
    </cfRule>
    <cfRule type="expression" dxfId="9215" priority="77">
      <formula>M$9&lt;8/24</formula>
    </cfRule>
  </conditionalFormatting>
  <conditionalFormatting sqref="R92:S95">
    <cfRule type="expression" dxfId="9214" priority="70">
      <formula>R$9&gt;=20/24</formula>
    </cfRule>
    <cfRule type="expression" dxfId="9213" priority="71">
      <formula>AND(R$9&gt;=14/24,R$9&lt;20/24)</formula>
    </cfRule>
    <cfRule type="expression" dxfId="9212" priority="72">
      <formula>AND(R$9&gt;=8/24,R$9&lt;14/24)</formula>
    </cfRule>
    <cfRule type="expression" dxfId="9211" priority="73">
      <formula>R$9&lt;8/24</formula>
    </cfRule>
  </conditionalFormatting>
  <conditionalFormatting sqref="B96:L96">
    <cfRule type="expression" dxfId="9210" priority="66">
      <formula>B$9&gt;=20/24</formula>
    </cfRule>
    <cfRule type="expression" dxfId="9209" priority="67">
      <formula>AND(B$9&gt;=14/24,B$9&lt;20/24)</formula>
    </cfRule>
    <cfRule type="expression" dxfId="9208" priority="68">
      <formula>AND(B$9&gt;=8/24,B$9&lt;14/24)</formula>
    </cfRule>
    <cfRule type="expression" dxfId="9207" priority="69">
      <formula>B$9&lt;8/24</formula>
    </cfRule>
  </conditionalFormatting>
  <conditionalFormatting sqref="M96:Q96">
    <cfRule type="expression" dxfId="9206" priority="62">
      <formula>M$9&gt;=20/24</formula>
    </cfRule>
    <cfRule type="expression" dxfId="9205" priority="63">
      <formula>AND(M$9&gt;=14/24,M$9&lt;20/24)</formula>
    </cfRule>
    <cfRule type="expression" dxfId="9204" priority="64">
      <formula>AND(M$9&gt;=8/24,M$9&lt;14/24)</formula>
    </cfRule>
    <cfRule type="expression" dxfId="9203" priority="65">
      <formula>M$9&lt;8/24</formula>
    </cfRule>
  </conditionalFormatting>
  <conditionalFormatting sqref="R96:S96">
    <cfRule type="expression" dxfId="9202" priority="58">
      <formula>R$9&gt;=20/24</formula>
    </cfRule>
    <cfRule type="expression" dxfId="9201" priority="59">
      <formula>AND(R$9&gt;=14/24,R$9&lt;20/24)</formula>
    </cfRule>
    <cfRule type="expression" dxfId="9200" priority="60">
      <formula>AND(R$9&gt;=8/24,R$9&lt;14/24)</formula>
    </cfRule>
    <cfRule type="expression" dxfId="9199" priority="61">
      <formula>R$9&lt;8/24</formula>
    </cfRule>
  </conditionalFormatting>
  <conditionalFormatting sqref="M92">
    <cfRule type="expression" dxfId="9198" priority="54">
      <formula>M$9&gt;=20/24</formula>
    </cfRule>
    <cfRule type="expression" dxfId="9197" priority="55">
      <formula>AND(M$9&gt;=14/24,M$9&lt;20/24)</formula>
    </cfRule>
    <cfRule type="expression" dxfId="9196" priority="56">
      <formula>AND(M$9&gt;=8/24,M$9&lt;14/24)</formula>
    </cfRule>
    <cfRule type="expression" dxfId="9195" priority="57">
      <formula>M$9&lt;8/24</formula>
    </cfRule>
  </conditionalFormatting>
  <conditionalFormatting sqref="F92:L92">
    <cfRule type="expression" dxfId="9194" priority="50">
      <formula>F$9&gt;=20/24</formula>
    </cfRule>
    <cfRule type="expression" dxfId="9193" priority="51">
      <formula>AND(F$9&gt;=14/24,F$9&lt;20/24)</formula>
    </cfRule>
    <cfRule type="expression" dxfId="9192" priority="52">
      <formula>AND(F$9&gt;=8/24,F$9&lt;14/24)</formula>
    </cfRule>
    <cfRule type="expression" dxfId="9191" priority="53">
      <formula>F$9&lt;8/24</formula>
    </cfRule>
  </conditionalFormatting>
  <conditionalFormatting sqref="T92:V92">
    <cfRule type="expression" dxfId="9190" priority="46">
      <formula>T$9&gt;=20/24</formula>
    </cfRule>
    <cfRule type="expression" dxfId="9189" priority="47">
      <formula>AND(T$9&gt;=14/24,T$9&lt;20/24)</formula>
    </cfRule>
    <cfRule type="expression" dxfId="9188" priority="48">
      <formula>AND(T$9&gt;=8/24,T$9&lt;14/24)</formula>
    </cfRule>
    <cfRule type="expression" dxfId="9187" priority="49">
      <formula>T$9&lt;8/24</formula>
    </cfRule>
  </conditionalFormatting>
  <conditionalFormatting sqref="M92:S92">
    <cfRule type="expression" dxfId="9186" priority="42">
      <formula>M$9&gt;=20/24</formula>
    </cfRule>
    <cfRule type="expression" dxfId="9185" priority="43">
      <formula>AND(M$9&gt;=14/24,M$9&lt;20/24)</formula>
    </cfRule>
    <cfRule type="expression" dxfId="9184" priority="44">
      <formula>AND(M$9&gt;=8/24,M$9&lt;14/24)</formula>
    </cfRule>
    <cfRule type="expression" dxfId="9183" priority="45">
      <formula>M$9&lt;8/24</formula>
    </cfRule>
  </conditionalFormatting>
  <conditionalFormatting sqref="AA97:AF97">
    <cfRule type="expression" dxfId="9182" priority="38">
      <formula>AA$9&gt;=20/24</formula>
    </cfRule>
    <cfRule type="expression" dxfId="9181" priority="39">
      <formula>AND(AA$9&gt;=14/24,AA$9&lt;20/24)</formula>
    </cfRule>
    <cfRule type="expression" dxfId="9180" priority="40">
      <formula>AND(AA$9&gt;=8/24,AA$9&lt;14/24)</formula>
    </cfRule>
    <cfRule type="expression" dxfId="9179" priority="41">
      <formula>AA$9&lt;8/24</formula>
    </cfRule>
  </conditionalFormatting>
  <conditionalFormatting sqref="T97:Z97">
    <cfRule type="expression" dxfId="9178" priority="34">
      <formula>T$9&gt;=20/24</formula>
    </cfRule>
    <cfRule type="expression" dxfId="9177" priority="35">
      <formula>AND(T$9&gt;=14/24,T$9&lt;20/24)</formula>
    </cfRule>
    <cfRule type="expression" dxfId="9176" priority="36">
      <formula>AND(T$9&gt;=8/24,T$9&lt;14/24)</formula>
    </cfRule>
    <cfRule type="expression" dxfId="9175" priority="37">
      <formula>T$9&lt;8/24</formula>
    </cfRule>
  </conditionalFormatting>
  <conditionalFormatting sqref="A97">
    <cfRule type="expression" dxfId="9174" priority="33">
      <formula>$AH97=0</formula>
    </cfRule>
  </conditionalFormatting>
  <conditionalFormatting sqref="B97:L97">
    <cfRule type="expression" dxfId="9173" priority="29">
      <formula>B$9&gt;=20/24</formula>
    </cfRule>
    <cfRule type="expression" dxfId="9172" priority="30">
      <formula>AND(B$9&gt;=14/24,B$9&lt;20/24)</formula>
    </cfRule>
    <cfRule type="expression" dxfId="9171" priority="31">
      <formula>AND(B$9&gt;=8/24,B$9&lt;14/24)</formula>
    </cfRule>
    <cfRule type="expression" dxfId="9170" priority="32">
      <formula>B$9&lt;8/24</formula>
    </cfRule>
  </conditionalFormatting>
  <conditionalFormatting sqref="M97:Q97">
    <cfRule type="expression" dxfId="9169" priority="25">
      <formula>M$9&gt;=20/24</formula>
    </cfRule>
    <cfRule type="expression" dxfId="9168" priority="26">
      <formula>AND(M$9&gt;=14/24,M$9&lt;20/24)</formula>
    </cfRule>
    <cfRule type="expression" dxfId="9167" priority="27">
      <formula>AND(M$9&gt;=8/24,M$9&lt;14/24)</formula>
    </cfRule>
    <cfRule type="expression" dxfId="9166" priority="28">
      <formula>M$9&lt;8/24</formula>
    </cfRule>
  </conditionalFormatting>
  <conditionalFormatting sqref="R97:S97">
    <cfRule type="expression" dxfId="9165" priority="21">
      <formula>R$9&gt;=20/24</formula>
    </cfRule>
    <cfRule type="expression" dxfId="9164" priority="22">
      <formula>AND(R$9&gt;=14/24,R$9&lt;20/24)</formula>
    </cfRule>
    <cfRule type="expression" dxfId="9163" priority="23">
      <formula>AND(R$9&gt;=8/24,R$9&lt;14/24)</formula>
    </cfRule>
    <cfRule type="expression" dxfId="9162" priority="24">
      <formula>R$9&lt;8/24</formula>
    </cfRule>
  </conditionalFormatting>
  <conditionalFormatting sqref="R12:X15">
    <cfRule type="expression" dxfId="9161" priority="17">
      <formula>R$9&gt;=20/24</formula>
    </cfRule>
    <cfRule type="expression" dxfId="9160" priority="18">
      <formula>AND(R$9&gt;=14/24,R$9&lt;20/24)</formula>
    </cfRule>
    <cfRule type="expression" dxfId="9159" priority="19">
      <formula>AND(R$9&gt;=8/24,R$9&lt;14/24)</formula>
    </cfRule>
    <cfRule type="expression" dxfId="9158" priority="20">
      <formula>R$9&lt;8/24</formula>
    </cfRule>
  </conditionalFormatting>
  <conditionalFormatting sqref="R16:X16">
    <cfRule type="expression" dxfId="9157" priority="13">
      <formula>R$9&gt;=20/24</formula>
    </cfRule>
    <cfRule type="expression" dxfId="9156" priority="14">
      <formula>AND(R$9&gt;=14/24,R$9&lt;20/24)</formula>
    </cfRule>
    <cfRule type="expression" dxfId="9155" priority="15">
      <formula>AND(R$9&gt;=8/24,R$9&lt;14/24)</formula>
    </cfRule>
    <cfRule type="expression" dxfId="9154" priority="16">
      <formula>R$9&lt;8/24</formula>
    </cfRule>
  </conditionalFormatting>
  <conditionalFormatting sqref="R12:X12">
    <cfRule type="expression" dxfId="9153" priority="9">
      <formula>R$9&gt;=20/24</formula>
    </cfRule>
    <cfRule type="expression" dxfId="9152" priority="10">
      <formula>AND(R$9&gt;=14/24,R$9&lt;20/24)</formula>
    </cfRule>
    <cfRule type="expression" dxfId="9151" priority="11">
      <formula>AND(R$9&gt;=8/24,R$9&lt;14/24)</formula>
    </cfRule>
    <cfRule type="expression" dxfId="9150" priority="12">
      <formula>R$9&lt;8/24</formula>
    </cfRule>
  </conditionalFormatting>
  <conditionalFormatting sqref="AA56:AD57">
    <cfRule type="expression" dxfId="9149" priority="5">
      <formula>AA$9&gt;=20/24</formula>
    </cfRule>
    <cfRule type="expression" dxfId="9148" priority="6">
      <formula>AND(AA$9&gt;=14/24,AA$9&lt;20/24)</formula>
    </cfRule>
    <cfRule type="expression" dxfId="9147" priority="7">
      <formula>AND(AA$9&gt;=8/24,AA$9&lt;14/24)</formula>
    </cfRule>
    <cfRule type="expression" dxfId="9146" priority="8">
      <formula>AA$9&lt;8/24</formula>
    </cfRule>
  </conditionalFormatting>
  <conditionalFormatting sqref="Y83:Y89">
    <cfRule type="expression" dxfId="9145" priority="1">
      <formula>Y$9&gt;=20/24</formula>
    </cfRule>
    <cfRule type="expression" dxfId="9144" priority="2">
      <formula>AND(Y$9&gt;=14/24,Y$9&lt;20/24)</formula>
    </cfRule>
    <cfRule type="expression" dxfId="9143" priority="3">
      <formula>AND(Y$9&gt;=8/24,Y$9&lt;14/24)</formula>
    </cfRule>
    <cfRule type="expression" dxfId="9142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16" sqref="H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3" width="6.85546875" customWidth="1"/>
    <col min="24" max="24" width="7.7109375" customWidth="1"/>
    <col min="25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2078/04/6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-100</v>
      </c>
      <c r="C5" s="32">
        <f t="shared" ref="C5:AF5" si="0">C66</f>
        <v>-69.5</v>
      </c>
      <c r="D5" s="32">
        <f t="shared" si="0"/>
        <v>-46</v>
      </c>
      <c r="E5" s="32">
        <f t="shared" si="0"/>
        <v>-50</v>
      </c>
      <c r="F5" s="32">
        <f t="shared" si="0"/>
        <v>-29.5</v>
      </c>
      <c r="G5" s="32">
        <f t="shared" si="0"/>
        <v>-14.8</v>
      </c>
      <c r="H5" s="32">
        <f t="shared" si="0"/>
        <v>-37.9</v>
      </c>
      <c r="I5" s="32">
        <f t="shared" si="0"/>
        <v>-38</v>
      </c>
      <c r="J5" s="32">
        <f t="shared" si="0"/>
        <v>-31.3</v>
      </c>
      <c r="K5" s="32">
        <f t="shared" si="0"/>
        <v>-45.1</v>
      </c>
      <c r="L5" s="32">
        <f t="shared" si="0"/>
        <v>-44.9</v>
      </c>
      <c r="M5" s="32">
        <f t="shared" si="0"/>
        <v>-39.700000000000003</v>
      </c>
      <c r="N5" s="32">
        <f t="shared" si="0"/>
        <v>-29</v>
      </c>
      <c r="O5" s="32">
        <f t="shared" si="0"/>
        <v>-30.4</v>
      </c>
      <c r="P5" s="32">
        <f t="shared" si="0"/>
        <v>-48.9</v>
      </c>
      <c r="Q5" s="32">
        <f t="shared" si="0"/>
        <v>-40.5</v>
      </c>
      <c r="R5" s="32">
        <f t="shared" si="0"/>
        <v>-42.7</v>
      </c>
      <c r="S5" s="32">
        <f t="shared" si="0"/>
        <v>-61.1</v>
      </c>
      <c r="T5" s="32">
        <f t="shared" si="0"/>
        <v>-49.6</v>
      </c>
      <c r="U5" s="32">
        <f t="shared" si="0"/>
        <v>-43.8</v>
      </c>
      <c r="V5" s="32">
        <f t="shared" si="0"/>
        <v>-20.6</v>
      </c>
      <c r="W5" s="32">
        <f t="shared" si="0"/>
        <v>-30</v>
      </c>
      <c r="X5" s="32">
        <f t="shared" si="0"/>
        <v>-11.3</v>
      </c>
      <c r="Y5" s="32">
        <f t="shared" si="0"/>
        <v>-26.2</v>
      </c>
      <c r="Z5" s="32">
        <f t="shared" si="0"/>
        <v>-126.7</v>
      </c>
      <c r="AA5" s="32">
        <f t="shared" si="0"/>
        <v>-105.30000000000001</v>
      </c>
      <c r="AB5" s="32">
        <f t="shared" si="0"/>
        <v>-147.5</v>
      </c>
      <c r="AC5" s="32">
        <f t="shared" si="0"/>
        <v>-152.30000000000001</v>
      </c>
      <c r="AD5" s="32">
        <f t="shared" si="0"/>
        <v>-137.80000000000001</v>
      </c>
      <c r="AE5" s="32">
        <f t="shared" si="0"/>
        <v>-148.5</v>
      </c>
      <c r="AF5" s="32">
        <f t="shared" si="0"/>
        <v>-137.1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1208MW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Load=1032</v>
      </c>
      <c r="B7" s="37">
        <f t="shared" ref="B7:AF7" si="1">B73</f>
        <v>1048.6399999999999</v>
      </c>
      <c r="C7" s="37">
        <f t="shared" si="1"/>
        <v>1059.1399999999999</v>
      </c>
      <c r="D7" s="37">
        <f t="shared" si="1"/>
        <v>1052.3399999999999</v>
      </c>
      <c r="E7" s="37">
        <f t="shared" si="1"/>
        <v>1032.04</v>
      </c>
      <c r="F7" s="37">
        <f t="shared" si="1"/>
        <v>1062.1399999999999</v>
      </c>
      <c r="G7" s="37">
        <f t="shared" si="1"/>
        <v>1070.8399999999999</v>
      </c>
      <c r="H7" s="37">
        <f t="shared" si="1"/>
        <v>1042.04</v>
      </c>
      <c r="I7" s="37">
        <f t="shared" si="1"/>
        <v>1087.24</v>
      </c>
      <c r="J7" s="37">
        <f t="shared" si="1"/>
        <v>1158.8399999999999</v>
      </c>
      <c r="K7" s="37">
        <f t="shared" si="1"/>
        <v>1156.24</v>
      </c>
      <c r="L7" s="37">
        <f>L73</f>
        <v>1196.3400000000001</v>
      </c>
      <c r="M7" s="37">
        <f t="shared" si="1"/>
        <v>1208.24</v>
      </c>
      <c r="N7" s="37">
        <f t="shared" si="1"/>
        <v>1197.44</v>
      </c>
      <c r="O7" s="37">
        <f t="shared" si="1"/>
        <v>1234.04</v>
      </c>
      <c r="P7" s="37">
        <f t="shared" si="1"/>
        <v>1231.94</v>
      </c>
      <c r="Q7" s="37">
        <f t="shared" si="1"/>
        <v>1246.3399999999999</v>
      </c>
      <c r="R7" s="37">
        <f t="shared" si="1"/>
        <v>1224.1399999999999</v>
      </c>
      <c r="S7" s="37">
        <f t="shared" si="1"/>
        <v>1276.24</v>
      </c>
      <c r="T7" s="37">
        <f t="shared" si="1"/>
        <v>1216.74</v>
      </c>
      <c r="U7" s="37">
        <f t="shared" si="1"/>
        <v>1179.2399999999998</v>
      </c>
      <c r="V7" s="37">
        <f t="shared" si="1"/>
        <v>1191.74</v>
      </c>
      <c r="W7" s="37">
        <f t="shared" si="1"/>
        <v>1243.54</v>
      </c>
      <c r="X7" s="37">
        <f t="shared" si="1"/>
        <v>1303.24</v>
      </c>
      <c r="Y7" s="37">
        <f t="shared" si="1"/>
        <v>1447.6399999999999</v>
      </c>
      <c r="Z7" s="37">
        <f t="shared" si="1"/>
        <v>1387.24</v>
      </c>
      <c r="AA7" s="37">
        <f t="shared" si="1"/>
        <v>1389.54</v>
      </c>
      <c r="AB7" s="37">
        <f t="shared" si="1"/>
        <v>1347.3400000000001</v>
      </c>
      <c r="AC7" s="37">
        <f t="shared" si="1"/>
        <v>1324.44</v>
      </c>
      <c r="AD7" s="37">
        <f t="shared" si="1"/>
        <v>1230.24</v>
      </c>
      <c r="AE7" s="37">
        <f t="shared" si="1"/>
        <v>1147.6400000000001</v>
      </c>
      <c r="AF7" s="37">
        <f t="shared" si="1"/>
        <v>1162.3400000000001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170</v>
      </c>
      <c r="C11" s="49">
        <v>150</v>
      </c>
      <c r="D11" s="49">
        <v>150</v>
      </c>
      <c r="E11" s="49">
        <v>135</v>
      </c>
      <c r="F11" s="49">
        <v>135</v>
      </c>
      <c r="G11" s="49">
        <v>135</v>
      </c>
      <c r="H11" s="49">
        <v>135</v>
      </c>
      <c r="I11" s="49">
        <v>135</v>
      </c>
      <c r="J11" s="49">
        <v>170</v>
      </c>
      <c r="K11" s="49">
        <v>180</v>
      </c>
      <c r="L11" s="50">
        <v>220</v>
      </c>
      <c r="M11" s="50">
        <v>250.7</v>
      </c>
      <c r="N11" s="50">
        <v>223</v>
      </c>
      <c r="O11" s="50">
        <v>260</v>
      </c>
      <c r="P11" s="50">
        <v>250</v>
      </c>
      <c r="Q11" s="51">
        <v>280</v>
      </c>
      <c r="R11" s="51">
        <v>260</v>
      </c>
      <c r="S11" s="51">
        <v>326</v>
      </c>
      <c r="T11" s="51">
        <v>240</v>
      </c>
      <c r="U11" s="51">
        <v>210</v>
      </c>
      <c r="V11" s="51">
        <v>210</v>
      </c>
      <c r="W11" s="51">
        <v>260</v>
      </c>
      <c r="X11" s="51">
        <v>300</v>
      </c>
      <c r="Y11" s="53">
        <v>340</v>
      </c>
      <c r="Z11" s="53">
        <v>380</v>
      </c>
      <c r="AA11" s="53">
        <v>362.3</v>
      </c>
      <c r="AB11" s="53">
        <v>362.3</v>
      </c>
      <c r="AC11" s="53">
        <v>362.3</v>
      </c>
      <c r="AD11" s="53">
        <v>310</v>
      </c>
      <c r="AE11" s="53">
        <v>295</v>
      </c>
      <c r="AF11" s="53">
        <v>275</v>
      </c>
      <c r="AG11" s="54">
        <v>456</v>
      </c>
      <c r="AH11" s="55">
        <f>MAX(B11:AF11)</f>
        <v>380</v>
      </c>
      <c r="AI11" s="56">
        <f>MIN(B11:AF11)</f>
        <v>135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35</v>
      </c>
      <c r="C14" s="62">
        <v>35</v>
      </c>
      <c r="D14" s="62">
        <v>35</v>
      </c>
      <c r="E14" s="62">
        <v>35</v>
      </c>
      <c r="F14" s="62">
        <v>35</v>
      </c>
      <c r="G14" s="62">
        <v>35</v>
      </c>
      <c r="H14" s="62">
        <v>35</v>
      </c>
      <c r="I14" s="62">
        <v>45</v>
      </c>
      <c r="J14" s="62">
        <v>45</v>
      </c>
      <c r="K14" s="62">
        <v>45</v>
      </c>
      <c r="L14" s="50">
        <v>45</v>
      </c>
      <c r="M14" s="50">
        <v>45.7</v>
      </c>
      <c r="N14" s="50">
        <v>45.7</v>
      </c>
      <c r="O14" s="50">
        <v>45.7</v>
      </c>
      <c r="P14" s="50">
        <v>45.7</v>
      </c>
      <c r="Q14" s="50">
        <v>45.7</v>
      </c>
      <c r="R14" s="50">
        <v>45.9</v>
      </c>
      <c r="S14" s="50">
        <v>45.9</v>
      </c>
      <c r="T14" s="50">
        <v>45.9</v>
      </c>
      <c r="U14" s="50">
        <v>45.9</v>
      </c>
      <c r="V14" s="50">
        <v>45.8</v>
      </c>
      <c r="W14" s="50">
        <v>45.8</v>
      </c>
      <c r="X14" s="50">
        <v>45.8</v>
      </c>
      <c r="Y14" s="50">
        <v>45.8</v>
      </c>
      <c r="Z14" s="50">
        <v>45.8</v>
      </c>
      <c r="AA14" s="50">
        <v>45.8</v>
      </c>
      <c r="AB14" s="50">
        <v>45.8</v>
      </c>
      <c r="AC14" s="50">
        <v>45.8</v>
      </c>
      <c r="AD14" s="50">
        <v>45.6</v>
      </c>
      <c r="AE14" s="50">
        <v>45.6</v>
      </c>
      <c r="AF14" s="50">
        <v>45.6</v>
      </c>
      <c r="AG14" s="63">
        <v>50</v>
      </c>
      <c r="AH14" s="55">
        <f t="shared" si="2"/>
        <v>45.9</v>
      </c>
      <c r="AI14" s="56">
        <f t="shared" si="3"/>
        <v>35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25</v>
      </c>
      <c r="O15" s="50">
        <v>25</v>
      </c>
      <c r="P15" s="50">
        <v>25</v>
      </c>
      <c r="Q15" s="50">
        <v>25</v>
      </c>
      <c r="R15" s="50">
        <v>25</v>
      </c>
      <c r="S15" s="50">
        <v>25</v>
      </c>
      <c r="T15" s="50">
        <v>25</v>
      </c>
      <c r="U15" s="50">
        <v>25</v>
      </c>
      <c r="V15" s="50">
        <v>25</v>
      </c>
      <c r="W15" s="50">
        <v>25</v>
      </c>
      <c r="X15" s="50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25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0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25.2</v>
      </c>
      <c r="E18" s="49">
        <v>25.2</v>
      </c>
      <c r="F18" s="49">
        <v>25.2</v>
      </c>
      <c r="G18" s="49">
        <v>25.2</v>
      </c>
      <c r="H18" s="49">
        <v>25.2</v>
      </c>
      <c r="I18" s="49">
        <v>25.2</v>
      </c>
      <c r="J18" s="49">
        <v>25</v>
      </c>
      <c r="K18" s="49">
        <v>25</v>
      </c>
      <c r="L18" s="50">
        <v>25</v>
      </c>
      <c r="M18" s="50">
        <v>0</v>
      </c>
      <c r="N18" s="50">
        <v>0</v>
      </c>
      <c r="O18" s="50">
        <v>0</v>
      </c>
      <c r="P18" s="50">
        <v>25</v>
      </c>
      <c r="Q18" s="50">
        <v>25</v>
      </c>
      <c r="R18" s="50">
        <v>25</v>
      </c>
      <c r="S18" s="50">
        <v>25</v>
      </c>
      <c r="T18" s="50">
        <v>20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24.9</v>
      </c>
      <c r="AE18" s="50">
        <v>24.9</v>
      </c>
      <c r="AF18" s="50">
        <v>24.9</v>
      </c>
      <c r="AG18" s="60">
        <v>30</v>
      </c>
      <c r="AH18" s="55">
        <f t="shared" si="2"/>
        <v>25.2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8</v>
      </c>
      <c r="C20" s="49">
        <v>8</v>
      </c>
      <c r="D20" s="49">
        <v>8</v>
      </c>
      <c r="E20" s="49">
        <v>8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8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20</v>
      </c>
      <c r="C22" s="49">
        <v>20</v>
      </c>
      <c r="D22" s="49">
        <v>20</v>
      </c>
      <c r="E22" s="49">
        <v>20</v>
      </c>
      <c r="F22" s="49">
        <v>20</v>
      </c>
      <c r="G22" s="49">
        <v>20</v>
      </c>
      <c r="H22" s="49">
        <v>20</v>
      </c>
      <c r="I22" s="49">
        <v>20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20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20</v>
      </c>
      <c r="C23" s="49">
        <v>20</v>
      </c>
      <c r="D23" s="49">
        <v>20</v>
      </c>
      <c r="E23" s="49">
        <v>20</v>
      </c>
      <c r="F23" s="49">
        <v>20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20</v>
      </c>
      <c r="C24" s="49">
        <v>20</v>
      </c>
      <c r="D24" s="49">
        <v>20</v>
      </c>
      <c r="E24" s="49">
        <v>20</v>
      </c>
      <c r="F24" s="49">
        <v>20</v>
      </c>
      <c r="G24" s="49">
        <v>20</v>
      </c>
      <c r="H24" s="49">
        <v>20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16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18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10</v>
      </c>
      <c r="AD25" s="50">
        <v>10</v>
      </c>
      <c r="AE25" s="50">
        <v>10</v>
      </c>
      <c r="AF25" s="50">
        <v>10</v>
      </c>
      <c r="AG25" s="60"/>
      <c r="AH25" s="55">
        <f t="shared" si="2"/>
        <v>18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12.3</v>
      </c>
      <c r="C28" s="49">
        <v>12.3</v>
      </c>
      <c r="D28" s="49">
        <v>12.3</v>
      </c>
      <c r="E28" s="49">
        <v>12.3</v>
      </c>
      <c r="F28" s="49">
        <v>12.3</v>
      </c>
      <c r="G28" s="49">
        <v>12.3</v>
      </c>
      <c r="H28" s="49">
        <v>12.3</v>
      </c>
      <c r="I28" s="49">
        <v>12.3</v>
      </c>
      <c r="J28" s="49">
        <v>12.3</v>
      </c>
      <c r="K28" s="49">
        <v>12.6</v>
      </c>
      <c r="L28" s="50">
        <v>12.6</v>
      </c>
      <c r="M28" s="50">
        <v>12.6</v>
      </c>
      <c r="N28" s="50">
        <v>12.6</v>
      </c>
      <c r="O28" s="50">
        <v>12.6</v>
      </c>
      <c r="P28" s="50">
        <v>12.6</v>
      </c>
      <c r="Q28" s="50">
        <v>12.6</v>
      </c>
      <c r="R28" s="50">
        <v>12.6</v>
      </c>
      <c r="S28" s="50">
        <v>12.6</v>
      </c>
      <c r="T28" s="50">
        <v>12.6</v>
      </c>
      <c r="U28" s="50">
        <v>12.6</v>
      </c>
      <c r="V28" s="50">
        <v>12.6</v>
      </c>
      <c r="W28" s="50">
        <v>12.6</v>
      </c>
      <c r="X28" s="50">
        <v>12.6</v>
      </c>
      <c r="Y28" s="50">
        <v>12.6</v>
      </c>
      <c r="Z28" s="50">
        <v>12.6</v>
      </c>
      <c r="AA28" s="50">
        <v>12.6</v>
      </c>
      <c r="AB28" s="50">
        <v>12.6</v>
      </c>
      <c r="AC28" s="50">
        <v>12.6</v>
      </c>
      <c r="AD28" s="50">
        <v>12.6</v>
      </c>
      <c r="AE28" s="50">
        <v>12.6</v>
      </c>
      <c r="AF28" s="50">
        <v>12.6</v>
      </c>
      <c r="AG28" s="60">
        <v>22.1</v>
      </c>
      <c r="AH28" s="55">
        <f t="shared" si="2"/>
        <v>12.6</v>
      </c>
      <c r="AI28" s="56">
        <f t="shared" si="3"/>
        <v>12.3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0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163.30000000000001</v>
      </c>
      <c r="C35" s="62">
        <f>89.4+71.8</f>
        <v>161.19999999999999</v>
      </c>
      <c r="D35" s="62">
        <v>160.19999999999999</v>
      </c>
      <c r="E35" s="62">
        <v>159</v>
      </c>
      <c r="F35" s="62">
        <v>159</v>
      </c>
      <c r="G35" s="62">
        <v>160.19999999999999</v>
      </c>
      <c r="H35" s="62">
        <v>158</v>
      </c>
      <c r="I35" s="62">
        <v>165</v>
      </c>
      <c r="J35" s="62">
        <v>165</v>
      </c>
      <c r="K35" s="62">
        <v>165.2</v>
      </c>
      <c r="L35" s="70">
        <v>165.2</v>
      </c>
      <c r="M35" s="70">
        <v>164.2</v>
      </c>
      <c r="N35" s="70">
        <v>169.3</v>
      </c>
      <c r="O35" s="70">
        <f>95.8+74.3</f>
        <v>170.1</v>
      </c>
      <c r="P35" s="70">
        <f>95.1+74.3</f>
        <v>169.39999999999998</v>
      </c>
      <c r="Q35" s="70">
        <f>95.6+74.5</f>
        <v>170.1</v>
      </c>
      <c r="R35" s="70">
        <v>168.8</v>
      </c>
      <c r="S35" s="70">
        <v>168.8</v>
      </c>
      <c r="T35" s="70">
        <v>168.8</v>
      </c>
      <c r="U35" s="70">
        <v>163</v>
      </c>
      <c r="V35" s="70">
        <v>158</v>
      </c>
      <c r="W35" s="70">
        <v>158</v>
      </c>
      <c r="X35" s="70">
        <v>158</v>
      </c>
      <c r="Y35" s="70">
        <v>158</v>
      </c>
      <c r="Z35" s="70">
        <v>158</v>
      </c>
      <c r="AA35" s="70">
        <v>166.7</v>
      </c>
      <c r="AB35" s="70">
        <v>137.6</v>
      </c>
      <c r="AC35" s="70">
        <v>157.30000000000001</v>
      </c>
      <c r="AD35" s="70">
        <f>73.5+95</f>
        <v>168.5</v>
      </c>
      <c r="AE35" s="62">
        <f>61.2+95.2</f>
        <v>156.4</v>
      </c>
      <c r="AF35" s="62">
        <f>73.5+95.3</f>
        <v>168.8</v>
      </c>
      <c r="AG35" s="67">
        <v>240</v>
      </c>
      <c r="AH35" s="55">
        <f t="shared" si="2"/>
        <v>170.1</v>
      </c>
      <c r="AI35" s="56">
        <f t="shared" si="3"/>
        <v>137.6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724.59999999999991</v>
      </c>
      <c r="C36" s="72">
        <f t="shared" si="4"/>
        <v>704.59999999999991</v>
      </c>
      <c r="D36" s="72">
        <f t="shared" si="4"/>
        <v>704.59999999999991</v>
      </c>
      <c r="E36" s="72">
        <f t="shared" si="4"/>
        <v>689.59999999999991</v>
      </c>
      <c r="F36" s="72">
        <f t="shared" si="4"/>
        <v>692.59999999999991</v>
      </c>
      <c r="G36" s="72">
        <f t="shared" si="4"/>
        <v>694.59999999999991</v>
      </c>
      <c r="H36" s="72">
        <f t="shared" si="4"/>
        <v>694.59999999999991</v>
      </c>
      <c r="I36" s="72">
        <f t="shared" si="4"/>
        <v>718.59999999999991</v>
      </c>
      <c r="J36" s="72">
        <f t="shared" si="4"/>
        <v>760.39999999999986</v>
      </c>
      <c r="K36" s="72">
        <f t="shared" si="4"/>
        <v>770.7</v>
      </c>
      <c r="L36" s="50">
        <f t="shared" si="4"/>
        <v>810.7</v>
      </c>
      <c r="M36" s="72">
        <f t="shared" si="4"/>
        <v>817.09999999999991</v>
      </c>
      <c r="N36" s="72">
        <f t="shared" si="4"/>
        <v>794.4</v>
      </c>
      <c r="O36" s="72">
        <f t="shared" si="4"/>
        <v>833.4</v>
      </c>
      <c r="P36" s="72">
        <f t="shared" si="4"/>
        <v>848.4</v>
      </c>
      <c r="Q36" s="72">
        <f t="shared" si="4"/>
        <v>878.4</v>
      </c>
      <c r="R36" s="72">
        <f t="shared" si="4"/>
        <v>858.59999999999991</v>
      </c>
      <c r="S36" s="72">
        <f t="shared" si="4"/>
        <v>924.6</v>
      </c>
      <c r="T36" s="72">
        <f t="shared" si="4"/>
        <v>833.59999999999991</v>
      </c>
      <c r="U36" s="72">
        <f t="shared" si="4"/>
        <v>808.59999999999991</v>
      </c>
      <c r="V36" s="72">
        <f t="shared" si="4"/>
        <v>808.5</v>
      </c>
      <c r="W36" s="72">
        <f t="shared" si="4"/>
        <v>858.5</v>
      </c>
      <c r="X36" s="72">
        <f t="shared" si="4"/>
        <v>899.5</v>
      </c>
      <c r="Y36" s="72">
        <f t="shared" si="4"/>
        <v>939.5</v>
      </c>
      <c r="Z36" s="72">
        <f t="shared" si="4"/>
        <v>979.5</v>
      </c>
      <c r="AA36" s="72">
        <f t="shared" si="4"/>
        <v>961.80000000000007</v>
      </c>
      <c r="AB36" s="72">
        <f t="shared" si="4"/>
        <v>961.80000000000007</v>
      </c>
      <c r="AC36" s="72">
        <f t="shared" si="4"/>
        <v>953.80000000000007</v>
      </c>
      <c r="AD36" s="72">
        <f t="shared" si="4"/>
        <v>901.2</v>
      </c>
      <c r="AE36" s="72">
        <f t="shared" si="4"/>
        <v>861.2</v>
      </c>
      <c r="AF36" s="72">
        <f t="shared" si="4"/>
        <v>866.2</v>
      </c>
      <c r="AG36" s="67">
        <f>SUM(AG11:AG35)</f>
        <v>1416.83</v>
      </c>
      <c r="AH36" s="55">
        <f t="shared" si="2"/>
        <v>979.5</v>
      </c>
      <c r="AI36" s="56">
        <f t="shared" si="3"/>
        <v>689.59999999999991</v>
      </c>
      <c r="AK36" s="57"/>
    </row>
    <row r="37" spans="1:88" x14ac:dyDescent="0.25">
      <c r="A37" s="58" t="s">
        <v>44</v>
      </c>
      <c r="B37" s="62">
        <v>142.6</v>
      </c>
      <c r="C37" s="62">
        <v>142.6</v>
      </c>
      <c r="D37" s="62">
        <v>135</v>
      </c>
      <c r="E37" s="62">
        <v>133.69999999999999</v>
      </c>
      <c r="F37" s="62">
        <v>140</v>
      </c>
      <c r="G37" s="62">
        <v>132</v>
      </c>
      <c r="H37" s="62">
        <v>130</v>
      </c>
      <c r="I37" s="62">
        <v>141.5</v>
      </c>
      <c r="J37" s="62">
        <v>140</v>
      </c>
      <c r="K37" s="62">
        <v>140</v>
      </c>
      <c r="L37" s="50">
        <v>140</v>
      </c>
      <c r="M37" s="50">
        <v>141</v>
      </c>
      <c r="N37" s="50">
        <v>142</v>
      </c>
      <c r="O37" s="50">
        <v>142</v>
      </c>
      <c r="P37" s="50">
        <v>141.9</v>
      </c>
      <c r="Q37" s="50">
        <v>141.80000000000001</v>
      </c>
      <c r="R37" s="50">
        <v>141.80000000000001</v>
      </c>
      <c r="S37" s="50">
        <v>141.80000000000001</v>
      </c>
      <c r="T37" s="50">
        <v>141.80000000000001</v>
      </c>
      <c r="U37" s="50">
        <v>131.4</v>
      </c>
      <c r="V37" s="50">
        <v>131.4</v>
      </c>
      <c r="W37" s="50">
        <v>142.5</v>
      </c>
      <c r="X37" s="50">
        <v>142.5</v>
      </c>
      <c r="Y37" s="50">
        <v>143.1</v>
      </c>
      <c r="Z37" s="50">
        <v>143.1</v>
      </c>
      <c r="AA37" s="50">
        <v>143.1</v>
      </c>
      <c r="AB37" s="50">
        <v>143.1</v>
      </c>
      <c r="AC37" s="50">
        <v>143.1</v>
      </c>
      <c r="AD37" s="50">
        <v>142.19999999999999</v>
      </c>
      <c r="AE37" s="49">
        <v>141.69999999999999</v>
      </c>
      <c r="AF37" s="49">
        <v>141.6</v>
      </c>
      <c r="AG37" s="63">
        <v>144</v>
      </c>
      <c r="AH37" s="55">
        <f t="shared" si="2"/>
        <v>143.1</v>
      </c>
      <c r="AI37" s="56">
        <f t="shared" si="3"/>
        <v>130</v>
      </c>
      <c r="AK37" s="57"/>
    </row>
    <row r="38" spans="1:88" x14ac:dyDescent="0.25">
      <c r="A38" s="66" t="s">
        <v>45</v>
      </c>
      <c r="B38" s="62">
        <v>71.400000000000006</v>
      </c>
      <c r="C38" s="62">
        <v>71.400000000000006</v>
      </c>
      <c r="D38" s="62">
        <v>51</v>
      </c>
      <c r="E38" s="62">
        <v>51</v>
      </c>
      <c r="F38" s="62">
        <v>60</v>
      </c>
      <c r="G38" s="62">
        <v>60</v>
      </c>
      <c r="H38" s="62">
        <v>60</v>
      </c>
      <c r="I38" s="62">
        <v>70</v>
      </c>
      <c r="J38" s="62">
        <v>70.2</v>
      </c>
      <c r="K38" s="62">
        <v>70.900000000000006</v>
      </c>
      <c r="L38" s="52">
        <v>70.599999999999994</v>
      </c>
      <c r="M38" s="52">
        <v>69.900000000000006</v>
      </c>
      <c r="N38" s="52">
        <v>70.400000000000006</v>
      </c>
      <c r="O38" s="52">
        <v>69.599999999999994</v>
      </c>
      <c r="P38" s="52">
        <v>70.2</v>
      </c>
      <c r="Q38" s="52">
        <v>70.099999999999994</v>
      </c>
      <c r="R38" s="52">
        <v>69.3</v>
      </c>
      <c r="S38" s="52">
        <v>69.3</v>
      </c>
      <c r="T38" s="52">
        <v>69.3</v>
      </c>
      <c r="U38" s="52">
        <v>69.3</v>
      </c>
      <c r="V38" s="52">
        <v>59</v>
      </c>
      <c r="W38" s="52">
        <v>59</v>
      </c>
      <c r="X38" s="52">
        <v>59</v>
      </c>
      <c r="Y38" s="52">
        <v>71</v>
      </c>
      <c r="Z38" s="52">
        <v>71</v>
      </c>
      <c r="AA38" s="52">
        <v>69.599999999999994</v>
      </c>
      <c r="AB38" s="52">
        <v>69.599999999999994</v>
      </c>
      <c r="AC38" s="52">
        <v>69.599999999999994</v>
      </c>
      <c r="AD38" s="52">
        <v>70</v>
      </c>
      <c r="AE38" s="62">
        <v>70.8</v>
      </c>
      <c r="AF38" s="62">
        <v>70.8</v>
      </c>
      <c r="AG38" s="67">
        <v>70</v>
      </c>
      <c r="AH38" s="55">
        <f t="shared" si="2"/>
        <v>71.400000000000006</v>
      </c>
      <c r="AI38" s="56">
        <f t="shared" si="3"/>
        <v>51</v>
      </c>
      <c r="AK38" s="57"/>
    </row>
    <row r="39" spans="1:88" x14ac:dyDescent="0.25">
      <c r="A39" s="66" t="s">
        <v>46</v>
      </c>
      <c r="B39" s="62">
        <v>66</v>
      </c>
      <c r="C39" s="62">
        <v>66</v>
      </c>
      <c r="D39" s="62">
        <v>65.7</v>
      </c>
      <c r="E39" s="62">
        <v>65.7</v>
      </c>
      <c r="F39" s="62">
        <v>55</v>
      </c>
      <c r="G39" s="62">
        <v>55</v>
      </c>
      <c r="H39" s="62">
        <v>61.3</v>
      </c>
      <c r="I39" s="62">
        <v>61</v>
      </c>
      <c r="J39" s="62">
        <v>65</v>
      </c>
      <c r="K39" s="62">
        <v>65.2</v>
      </c>
      <c r="L39" s="52">
        <v>65.400000000000006</v>
      </c>
      <c r="M39" s="52">
        <v>65.400000000000006</v>
      </c>
      <c r="N39" s="52">
        <v>65.099999999999994</v>
      </c>
      <c r="O39" s="52">
        <v>64.900000000000006</v>
      </c>
      <c r="P39" s="52">
        <v>65.400000000000006</v>
      </c>
      <c r="Q39" s="52">
        <v>42.3</v>
      </c>
      <c r="R39" s="52">
        <v>42.3</v>
      </c>
      <c r="S39" s="52">
        <v>46.8</v>
      </c>
      <c r="T39" s="52">
        <v>66.8</v>
      </c>
      <c r="U39" s="52">
        <v>58.9</v>
      </c>
      <c r="V39" s="52">
        <v>58.6</v>
      </c>
      <c r="W39" s="52">
        <v>58.6</v>
      </c>
      <c r="X39" s="52">
        <v>58.6</v>
      </c>
      <c r="Y39" s="52">
        <v>66.400000000000006</v>
      </c>
      <c r="Z39" s="52">
        <v>66.400000000000006</v>
      </c>
      <c r="AA39" s="52">
        <v>66.400000000000006</v>
      </c>
      <c r="AB39" s="52">
        <v>66.400000000000006</v>
      </c>
      <c r="AC39" s="52">
        <v>66.400000000000006</v>
      </c>
      <c r="AD39" s="52">
        <v>67.8</v>
      </c>
      <c r="AE39" s="62">
        <v>67.7</v>
      </c>
      <c r="AF39" s="62">
        <v>65.8</v>
      </c>
      <c r="AG39" s="67">
        <v>69</v>
      </c>
      <c r="AH39" s="55">
        <f t="shared" si="2"/>
        <v>67.8</v>
      </c>
      <c r="AI39" s="56">
        <f t="shared" si="3"/>
        <v>42.3</v>
      </c>
      <c r="AK39" s="57"/>
    </row>
    <row r="40" spans="1:88" x14ac:dyDescent="0.25">
      <c r="A40" s="66" t="s">
        <v>47</v>
      </c>
      <c r="B40" s="62">
        <v>50</v>
      </c>
      <c r="C40" s="62">
        <v>50</v>
      </c>
      <c r="D40" s="62">
        <v>50</v>
      </c>
      <c r="E40" s="62">
        <v>50</v>
      </c>
      <c r="F40" s="62">
        <v>50</v>
      </c>
      <c r="G40" s="62">
        <v>50</v>
      </c>
      <c r="H40" s="62">
        <v>40</v>
      </c>
      <c r="I40" s="62">
        <v>40</v>
      </c>
      <c r="J40" s="62">
        <v>60</v>
      </c>
      <c r="K40" s="62">
        <v>60</v>
      </c>
      <c r="L40" s="52">
        <v>60</v>
      </c>
      <c r="M40" s="52">
        <v>60</v>
      </c>
      <c r="N40" s="52">
        <v>60</v>
      </c>
      <c r="O40" s="52">
        <v>60.4</v>
      </c>
      <c r="P40" s="52">
        <v>60.7</v>
      </c>
      <c r="Q40" s="52">
        <v>60.7</v>
      </c>
      <c r="R40" s="52">
        <v>60.7</v>
      </c>
      <c r="S40" s="52">
        <v>60.7</v>
      </c>
      <c r="T40" s="52">
        <v>60.7</v>
      </c>
      <c r="U40" s="52">
        <v>60.7</v>
      </c>
      <c r="V40" s="52">
        <v>60.7</v>
      </c>
      <c r="W40" s="52">
        <v>60.7</v>
      </c>
      <c r="X40" s="52">
        <v>60.7</v>
      </c>
      <c r="Y40" s="52">
        <v>60.7</v>
      </c>
      <c r="Z40" s="52">
        <v>60.7</v>
      </c>
      <c r="AA40" s="52">
        <v>60.7</v>
      </c>
      <c r="AB40" s="52">
        <v>60.7</v>
      </c>
      <c r="AC40" s="52">
        <v>60.7</v>
      </c>
      <c r="AD40" s="52">
        <v>60.4</v>
      </c>
      <c r="AE40" s="62">
        <v>60.4</v>
      </c>
      <c r="AF40" s="62">
        <v>60.7</v>
      </c>
      <c r="AG40" s="67">
        <v>60</v>
      </c>
      <c r="AH40" s="55">
        <f t="shared" si="2"/>
        <v>60.7</v>
      </c>
      <c r="AI40" s="56">
        <f t="shared" si="3"/>
        <v>40</v>
      </c>
      <c r="AK40" s="57"/>
    </row>
    <row r="41" spans="1:88" x14ac:dyDescent="0.25">
      <c r="A41" s="66" t="s">
        <v>48</v>
      </c>
      <c r="B41" s="62">
        <v>29.9</v>
      </c>
      <c r="C41" s="62">
        <v>29.9</v>
      </c>
      <c r="D41" s="62">
        <v>29.9</v>
      </c>
      <c r="E41" s="62">
        <v>29.9</v>
      </c>
      <c r="F41" s="62">
        <v>29.9</v>
      </c>
      <c r="G41" s="62">
        <v>29.9</v>
      </c>
      <c r="H41" s="62">
        <v>29.9</v>
      </c>
      <c r="I41" s="62">
        <v>30</v>
      </c>
      <c r="J41" s="62">
        <v>30</v>
      </c>
      <c r="K41" s="62">
        <v>30</v>
      </c>
      <c r="L41" s="50">
        <v>30</v>
      </c>
      <c r="M41" s="50">
        <v>30</v>
      </c>
      <c r="N41" s="50">
        <v>30</v>
      </c>
      <c r="O41" s="50">
        <v>29.6</v>
      </c>
      <c r="P41" s="50">
        <v>29.7</v>
      </c>
      <c r="Q41" s="50">
        <v>29</v>
      </c>
      <c r="R41" s="50">
        <v>29.6</v>
      </c>
      <c r="S41" s="50">
        <v>29.6</v>
      </c>
      <c r="T41" s="50">
        <v>29.6</v>
      </c>
      <c r="U41" s="50">
        <v>29.6</v>
      </c>
      <c r="V41" s="50">
        <v>29.6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29.7</v>
      </c>
      <c r="AC41" s="52">
        <v>29.7</v>
      </c>
      <c r="AD41" s="52">
        <v>29.7</v>
      </c>
      <c r="AE41" s="62">
        <v>29.8</v>
      </c>
      <c r="AF41" s="62">
        <v>29.8</v>
      </c>
      <c r="AG41" s="67">
        <v>30</v>
      </c>
      <c r="AH41" s="55">
        <f t="shared" si="2"/>
        <v>30</v>
      </c>
      <c r="AI41" s="56">
        <f t="shared" si="3"/>
        <v>29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17</v>
      </c>
      <c r="C43" s="73">
        <v>17</v>
      </c>
      <c r="D43" s="73">
        <v>17</v>
      </c>
      <c r="E43" s="73">
        <v>17</v>
      </c>
      <c r="F43" s="73">
        <v>17</v>
      </c>
      <c r="G43" s="73">
        <v>17</v>
      </c>
      <c r="H43" s="73">
        <v>17</v>
      </c>
      <c r="I43" s="73">
        <v>17</v>
      </c>
      <c r="J43" s="73">
        <v>17</v>
      </c>
      <c r="K43" s="73">
        <v>17</v>
      </c>
      <c r="L43" s="50">
        <v>17</v>
      </c>
      <c r="M43" s="50">
        <v>17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62">
        <v>17</v>
      </c>
      <c r="AF43" s="62">
        <v>17</v>
      </c>
      <c r="AG43" s="67">
        <v>24</v>
      </c>
      <c r="AH43" s="55">
        <f t="shared" si="2"/>
        <v>17</v>
      </c>
      <c r="AI43" s="56">
        <f t="shared" si="3"/>
        <v>17</v>
      </c>
      <c r="AK43" s="57"/>
    </row>
    <row r="44" spans="1:88" x14ac:dyDescent="0.25">
      <c r="A44" s="66" t="s">
        <v>51</v>
      </c>
      <c r="B44" s="62">
        <v>2.5</v>
      </c>
      <c r="C44" s="62">
        <v>2.5</v>
      </c>
      <c r="D44" s="62">
        <v>2.5</v>
      </c>
      <c r="E44" s="62">
        <v>2.5</v>
      </c>
      <c r="F44" s="62">
        <v>2.5</v>
      </c>
      <c r="G44" s="62">
        <v>2.5</v>
      </c>
      <c r="H44" s="62">
        <v>2.5</v>
      </c>
      <c r="I44" s="62">
        <v>2.5</v>
      </c>
      <c r="J44" s="62">
        <v>2.5</v>
      </c>
      <c r="K44" s="62">
        <v>2.5</v>
      </c>
      <c r="L44" s="50">
        <v>2.5</v>
      </c>
      <c r="M44" s="50">
        <v>2.5</v>
      </c>
      <c r="N44" s="50">
        <v>2.5</v>
      </c>
      <c r="O44" s="50">
        <v>2.5</v>
      </c>
      <c r="P44" s="50">
        <v>2.5</v>
      </c>
      <c r="Q44" s="50">
        <v>2.5</v>
      </c>
      <c r="R44" s="50">
        <v>2.5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>
        <v>2.5</v>
      </c>
      <c r="Z44" s="50">
        <v>2.5</v>
      </c>
      <c r="AA44" s="50">
        <v>2.5</v>
      </c>
      <c r="AB44" s="50">
        <v>2.5</v>
      </c>
      <c r="AC44" s="50">
        <v>2.5</v>
      </c>
      <c r="AD44" s="50">
        <v>2.5</v>
      </c>
      <c r="AE44" s="62">
        <v>2.5</v>
      </c>
      <c r="AF44" s="62">
        <v>2.5</v>
      </c>
      <c r="AG44" s="67">
        <v>15</v>
      </c>
      <c r="AH44" s="55">
        <f t="shared" si="2"/>
        <v>2.5</v>
      </c>
      <c r="AI44" s="56">
        <f t="shared" si="3"/>
        <v>2.5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12</v>
      </c>
      <c r="E46" s="73">
        <v>12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2">
        <v>14</v>
      </c>
      <c r="AF46" s="62">
        <v>14</v>
      </c>
      <c r="AG46" s="67">
        <v>14</v>
      </c>
      <c r="AH46" s="55">
        <f t="shared" si="2"/>
        <v>14</v>
      </c>
      <c r="AI46" s="56">
        <f t="shared" si="3"/>
        <v>12</v>
      </c>
      <c r="AK46" s="57"/>
    </row>
    <row r="47" spans="1:88" x14ac:dyDescent="0.25">
      <c r="A47" s="66" t="s">
        <v>54</v>
      </c>
      <c r="B47" s="62">
        <v>9.1</v>
      </c>
      <c r="C47" s="62">
        <v>9.1</v>
      </c>
      <c r="D47" s="62">
        <v>9.1</v>
      </c>
      <c r="E47" s="62">
        <v>9.1</v>
      </c>
      <c r="F47" s="62">
        <v>9.1</v>
      </c>
      <c r="G47" s="62">
        <v>9.1</v>
      </c>
      <c r="H47" s="62">
        <v>9.1</v>
      </c>
      <c r="I47" s="62">
        <v>9.1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9.3000000000000007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62">
        <v>9.3000000000000007</v>
      </c>
      <c r="AF47" s="62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9.1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424.04</v>
      </c>
      <c r="C50" s="72">
        <f t="shared" si="6"/>
        <v>424.04</v>
      </c>
      <c r="D50" s="72">
        <f t="shared" si="6"/>
        <v>393.74</v>
      </c>
      <c r="E50" s="72">
        <f t="shared" si="6"/>
        <v>392.44</v>
      </c>
      <c r="F50" s="72">
        <f t="shared" si="6"/>
        <v>399.04</v>
      </c>
      <c r="G50" s="72">
        <f t="shared" si="6"/>
        <v>391.04</v>
      </c>
      <c r="H50" s="72">
        <f t="shared" si="6"/>
        <v>385.34000000000003</v>
      </c>
      <c r="I50" s="72">
        <f t="shared" si="6"/>
        <v>406.64000000000004</v>
      </c>
      <c r="J50" s="72">
        <f t="shared" si="6"/>
        <v>429.74</v>
      </c>
      <c r="K50" s="72">
        <f t="shared" si="6"/>
        <v>430.64000000000004</v>
      </c>
      <c r="L50" s="72">
        <f t="shared" si="6"/>
        <v>430.54</v>
      </c>
      <c r="M50" s="72">
        <f t="shared" si="6"/>
        <v>430.84000000000003</v>
      </c>
      <c r="N50" s="72">
        <f t="shared" si="6"/>
        <v>432.04</v>
      </c>
      <c r="O50" s="72">
        <f t="shared" si="6"/>
        <v>431.04</v>
      </c>
      <c r="P50" s="72">
        <f t="shared" si="6"/>
        <v>432.44</v>
      </c>
      <c r="Q50" s="72">
        <f t="shared" si="6"/>
        <v>408.44</v>
      </c>
      <c r="R50" s="72">
        <f t="shared" si="6"/>
        <v>408.24000000000007</v>
      </c>
      <c r="S50" s="72">
        <f t="shared" si="6"/>
        <v>412.74000000000007</v>
      </c>
      <c r="T50" s="72">
        <f t="shared" si="6"/>
        <v>432.74000000000007</v>
      </c>
      <c r="U50" s="72">
        <f t="shared" si="6"/>
        <v>414.44</v>
      </c>
      <c r="V50" s="72">
        <f t="shared" si="6"/>
        <v>403.84000000000003</v>
      </c>
      <c r="W50" s="72">
        <f t="shared" si="6"/>
        <v>415.04</v>
      </c>
      <c r="X50" s="72">
        <f t="shared" si="6"/>
        <v>415.04</v>
      </c>
      <c r="Y50" s="72">
        <f t="shared" si="6"/>
        <v>435.44</v>
      </c>
      <c r="Z50" s="72">
        <f t="shared" si="6"/>
        <v>435.44</v>
      </c>
      <c r="AA50" s="72">
        <f t="shared" si="6"/>
        <v>434.04</v>
      </c>
      <c r="AB50" s="72">
        <f t="shared" si="6"/>
        <v>434.04</v>
      </c>
      <c r="AC50" s="72">
        <f t="shared" si="6"/>
        <v>434.04</v>
      </c>
      <c r="AD50" s="72">
        <f t="shared" si="6"/>
        <v>434.64</v>
      </c>
      <c r="AE50" s="72">
        <f t="shared" si="6"/>
        <v>434.94</v>
      </c>
      <c r="AF50" s="72">
        <f t="shared" si="6"/>
        <v>433.24</v>
      </c>
      <c r="AG50" s="77">
        <f>SUM(AG37:AG49)</f>
        <v>489.91</v>
      </c>
      <c r="AH50" s="55">
        <f t="shared" si="2"/>
        <v>435.44</v>
      </c>
      <c r="AI50" s="56">
        <f t="shared" si="3"/>
        <v>385.34000000000003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60</v>
      </c>
      <c r="Z51" s="50">
        <v>60</v>
      </c>
      <c r="AA51" s="50">
        <v>60</v>
      </c>
      <c r="AB51" s="50">
        <v>60</v>
      </c>
      <c r="AC51" s="50">
        <v>54.5</v>
      </c>
      <c r="AD51" s="50">
        <v>20</v>
      </c>
      <c r="AE51" s="50">
        <v>0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0">
        <v>28.5</v>
      </c>
      <c r="Z52" s="50">
        <v>28.6</v>
      </c>
      <c r="AA52" s="50">
        <v>28.6</v>
      </c>
      <c r="AB52" s="50">
        <v>28.6</v>
      </c>
      <c r="AC52" s="52">
        <v>25.2</v>
      </c>
      <c r="AD52" s="52">
        <v>8.9</v>
      </c>
      <c r="AE52" s="52">
        <v>0</v>
      </c>
      <c r="AF52" s="52">
        <v>0</v>
      </c>
      <c r="AG52" s="67">
        <v>32</v>
      </c>
      <c r="AH52" s="55">
        <f t="shared" si="2"/>
        <v>28.6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62">
        <v>0</v>
      </c>
      <c r="C53" s="62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50">
        <v>10.4</v>
      </c>
      <c r="Z53" s="50">
        <v>10.4</v>
      </c>
      <c r="AA53" s="50">
        <v>10.4</v>
      </c>
      <c r="AB53" s="50">
        <v>10.4</v>
      </c>
      <c r="AC53" s="78">
        <v>9.1999999999999993</v>
      </c>
      <c r="AD53" s="78">
        <v>3.3</v>
      </c>
      <c r="AE53" s="78">
        <v>0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0</v>
      </c>
      <c r="Y54" s="72">
        <f t="shared" si="7"/>
        <v>98.9</v>
      </c>
      <c r="Z54" s="72">
        <f t="shared" si="7"/>
        <v>99</v>
      </c>
      <c r="AA54" s="72">
        <f t="shared" si="7"/>
        <v>99</v>
      </c>
      <c r="AB54" s="72">
        <f t="shared" si="7"/>
        <v>99</v>
      </c>
      <c r="AC54" s="72">
        <f t="shared" si="7"/>
        <v>88.9</v>
      </c>
      <c r="AD54" s="72">
        <f t="shared" si="7"/>
        <v>32.199999999999996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-8.5</v>
      </c>
      <c r="C55" s="50">
        <v>-8.5</v>
      </c>
      <c r="D55" s="50">
        <v>-10</v>
      </c>
      <c r="E55" s="50">
        <v>-13</v>
      </c>
      <c r="F55" s="50">
        <v>-12.5</v>
      </c>
      <c r="G55" s="50">
        <v>-12.8</v>
      </c>
      <c r="H55" s="50">
        <v>-15.9</v>
      </c>
      <c r="I55" s="50">
        <v>-18</v>
      </c>
      <c r="J55" s="50">
        <v>-19.3</v>
      </c>
      <c r="K55" s="50">
        <v>-19.600000000000001</v>
      </c>
      <c r="L55" s="50">
        <v>-18.899999999999999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24.7</v>
      </c>
      <c r="Z55" s="50">
        <v>6.3</v>
      </c>
      <c r="AA55" s="50">
        <v>6.3</v>
      </c>
      <c r="AB55" s="50">
        <v>5.5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24.7</v>
      </c>
      <c r="AI55" s="56">
        <f t="shared" si="3"/>
        <v>-19.600000000000001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-63</v>
      </c>
      <c r="AA56" s="52">
        <v>-91.2</v>
      </c>
      <c r="AB56" s="52">
        <v>-70.5</v>
      </c>
      <c r="AC56" s="52">
        <v>-70.400000000000006</v>
      </c>
      <c r="AD56" s="52">
        <v>-70</v>
      </c>
      <c r="AE56" s="52">
        <v>-66.599999999999994</v>
      </c>
      <c r="AF56" s="52">
        <v>-67</v>
      </c>
      <c r="AG56" s="67"/>
      <c r="AH56" s="55">
        <f t="shared" si="2"/>
        <v>0</v>
      </c>
      <c r="AI56" s="56">
        <f t="shared" si="3"/>
        <v>-91.2</v>
      </c>
      <c r="AK56" s="57"/>
    </row>
    <row r="57" spans="1:37" x14ac:dyDescent="0.25">
      <c r="A57" s="66" t="s">
        <v>64</v>
      </c>
      <c r="B57" s="52">
        <v>-100</v>
      </c>
      <c r="C57" s="52">
        <v>-70</v>
      </c>
      <c r="D57" s="52">
        <v>-45</v>
      </c>
      <c r="E57" s="52">
        <v>-46</v>
      </c>
      <c r="F57" s="52">
        <v>-26</v>
      </c>
      <c r="G57" s="50">
        <v>-2</v>
      </c>
      <c r="H57" s="50">
        <v>-22</v>
      </c>
      <c r="I57" s="50">
        <v>-20</v>
      </c>
      <c r="J57" s="50">
        <v>-12</v>
      </c>
      <c r="K57" s="50">
        <v>-25.5</v>
      </c>
      <c r="L57" s="52">
        <v>-26</v>
      </c>
      <c r="M57" s="52">
        <v>-39.700000000000003</v>
      </c>
      <c r="N57" s="52">
        <v>-29</v>
      </c>
      <c r="O57" s="52">
        <v>-30.4</v>
      </c>
      <c r="P57" s="52">
        <v>-48.9</v>
      </c>
      <c r="Q57" s="52">
        <v>-40.5</v>
      </c>
      <c r="R57" s="52">
        <v>-42.7</v>
      </c>
      <c r="S57" s="52">
        <v>-61.1</v>
      </c>
      <c r="T57" s="52">
        <v>-49.6</v>
      </c>
      <c r="U57" s="52">
        <v>-43.8</v>
      </c>
      <c r="V57" s="52">
        <v>-20.6</v>
      </c>
      <c r="W57" s="52">
        <v>-30</v>
      </c>
      <c r="X57" s="52">
        <v>-11.3</v>
      </c>
      <c r="Y57" s="50">
        <v>-50.9</v>
      </c>
      <c r="Z57" s="50">
        <v>-70</v>
      </c>
      <c r="AA57" s="52">
        <v>12.6</v>
      </c>
      <c r="AB57" s="52">
        <v>-29.5</v>
      </c>
      <c r="AC57" s="52">
        <v>-27</v>
      </c>
      <c r="AD57" s="52">
        <v>-20</v>
      </c>
      <c r="AE57" s="52">
        <v>-30</v>
      </c>
      <c r="AF57" s="52">
        <v>-19.8</v>
      </c>
      <c r="AG57" s="82"/>
      <c r="AH57" s="55">
        <f t="shared" si="2"/>
        <v>12.6</v>
      </c>
      <c r="AI57" s="56">
        <f t="shared" si="3"/>
        <v>-100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/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0">
        <v>0</v>
      </c>
      <c r="Z58" s="50">
        <v>0</v>
      </c>
      <c r="AA58" s="50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0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0">
        <v>0</v>
      </c>
      <c r="Z59" s="50">
        <v>0</v>
      </c>
      <c r="AA59" s="50">
        <v>-41</v>
      </c>
      <c r="AB59" s="50">
        <v>-61</v>
      </c>
      <c r="AC59" s="50">
        <v>-62.9</v>
      </c>
      <c r="AD59" s="50">
        <v>-55.8</v>
      </c>
      <c r="AE59" s="50">
        <v>-59.9</v>
      </c>
      <c r="AF59" s="50">
        <v>-58.3</v>
      </c>
      <c r="AG59" s="82"/>
      <c r="AH59" s="55">
        <f t="shared" si="2"/>
        <v>0</v>
      </c>
      <c r="AI59" s="56">
        <f t="shared" si="3"/>
        <v>-62.9</v>
      </c>
      <c r="AK59" s="57"/>
    </row>
    <row r="60" spans="1:37" x14ac:dyDescent="0.25">
      <c r="A60" s="66" t="s">
        <v>67</v>
      </c>
      <c r="B60" s="59">
        <v>0</v>
      </c>
      <c r="C60" s="59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50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50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8.5</v>
      </c>
      <c r="C62" s="59">
        <v>9</v>
      </c>
      <c r="D62" s="59">
        <v>9</v>
      </c>
      <c r="E62" s="59">
        <v>9</v>
      </c>
      <c r="F62" s="59">
        <v>9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0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0">
        <v>0</v>
      </c>
      <c r="Z62" s="50">
        <v>0</v>
      </c>
      <c r="AA62" s="50">
        <v>8</v>
      </c>
      <c r="AB62" s="50">
        <v>8</v>
      </c>
      <c r="AC62" s="50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9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0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0">
        <v>0</v>
      </c>
      <c r="Z63" s="50">
        <v>0</v>
      </c>
      <c r="AA63" s="50">
        <v>0</v>
      </c>
      <c r="AB63" s="50">
        <v>0</v>
      </c>
      <c r="AC63" s="50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50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50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-100</v>
      </c>
      <c r="C66" s="72">
        <f t="shared" ref="C66:AF66" si="8">SUM(C55:C65)</f>
        <v>-69.5</v>
      </c>
      <c r="D66" s="72">
        <f t="shared" si="8"/>
        <v>-46</v>
      </c>
      <c r="E66" s="72">
        <f t="shared" si="8"/>
        <v>-50</v>
      </c>
      <c r="F66" s="72">
        <f t="shared" si="8"/>
        <v>-29.5</v>
      </c>
      <c r="G66" s="72">
        <f t="shared" si="8"/>
        <v>-14.8</v>
      </c>
      <c r="H66" s="72">
        <f t="shared" si="8"/>
        <v>-37.9</v>
      </c>
      <c r="I66" s="72">
        <f t="shared" si="8"/>
        <v>-38</v>
      </c>
      <c r="J66" s="72">
        <f t="shared" si="8"/>
        <v>-31.3</v>
      </c>
      <c r="K66" s="72">
        <f t="shared" si="8"/>
        <v>-45.1</v>
      </c>
      <c r="L66" s="72">
        <f t="shared" si="8"/>
        <v>-44.9</v>
      </c>
      <c r="M66" s="72">
        <f t="shared" si="8"/>
        <v>-39.700000000000003</v>
      </c>
      <c r="N66" s="72">
        <f t="shared" si="8"/>
        <v>-29</v>
      </c>
      <c r="O66" s="72">
        <f t="shared" si="8"/>
        <v>-30.4</v>
      </c>
      <c r="P66" s="72">
        <f t="shared" si="8"/>
        <v>-48.9</v>
      </c>
      <c r="Q66" s="72">
        <f t="shared" si="8"/>
        <v>-40.5</v>
      </c>
      <c r="R66" s="72">
        <f t="shared" si="8"/>
        <v>-42.7</v>
      </c>
      <c r="S66" s="72">
        <f t="shared" si="8"/>
        <v>-61.1</v>
      </c>
      <c r="T66" s="72">
        <f t="shared" si="8"/>
        <v>-49.6</v>
      </c>
      <c r="U66" s="72">
        <f t="shared" si="8"/>
        <v>-43.8</v>
      </c>
      <c r="V66" s="72">
        <f t="shared" si="8"/>
        <v>-20.6</v>
      </c>
      <c r="W66" s="72">
        <f t="shared" si="8"/>
        <v>-30</v>
      </c>
      <c r="X66" s="72">
        <f t="shared" si="8"/>
        <v>-11.3</v>
      </c>
      <c r="Y66" s="72">
        <f t="shared" si="8"/>
        <v>-26.2</v>
      </c>
      <c r="Z66" s="72">
        <f t="shared" si="8"/>
        <v>-126.7</v>
      </c>
      <c r="AA66" s="72">
        <f t="shared" si="8"/>
        <v>-105.30000000000001</v>
      </c>
      <c r="AB66" s="72">
        <f t="shared" si="8"/>
        <v>-147.5</v>
      </c>
      <c r="AC66" s="72">
        <f t="shared" si="8"/>
        <v>-152.30000000000001</v>
      </c>
      <c r="AD66" s="72">
        <f t="shared" si="8"/>
        <v>-137.80000000000001</v>
      </c>
      <c r="AE66" s="72">
        <f t="shared" si="8"/>
        <v>-148.5</v>
      </c>
      <c r="AF66" s="72">
        <f t="shared" si="8"/>
        <v>-137.1</v>
      </c>
      <c r="AG66" s="77">
        <f>SUM(AG55:AG65)</f>
        <v>0</v>
      </c>
      <c r="AH66" s="55">
        <f t="shared" si="2"/>
        <v>-11.3</v>
      </c>
      <c r="AI66" s="56">
        <f t="shared" si="3"/>
        <v>-152.30000000000001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1048.6399999999999</v>
      </c>
      <c r="C71" s="87">
        <f t="shared" ref="C71:AG71" si="10">C66+C54+C50+C36+C70</f>
        <v>1059.1399999999999</v>
      </c>
      <c r="D71" s="87">
        <f t="shared" si="10"/>
        <v>1052.3399999999999</v>
      </c>
      <c r="E71" s="87">
        <f t="shared" si="10"/>
        <v>1032.04</v>
      </c>
      <c r="F71" s="87">
        <f t="shared" si="10"/>
        <v>1062.1399999999999</v>
      </c>
      <c r="G71" s="87">
        <f t="shared" si="10"/>
        <v>1070.8399999999999</v>
      </c>
      <c r="H71" s="87">
        <f t="shared" si="10"/>
        <v>1042.04</v>
      </c>
      <c r="I71" s="87">
        <f t="shared" si="10"/>
        <v>1087.24</v>
      </c>
      <c r="J71" s="87">
        <f t="shared" si="10"/>
        <v>1158.8399999999999</v>
      </c>
      <c r="K71" s="87">
        <f t="shared" si="10"/>
        <v>1156.24</v>
      </c>
      <c r="L71" s="87">
        <f t="shared" si="10"/>
        <v>1196.3400000000001</v>
      </c>
      <c r="M71" s="87">
        <f t="shared" si="10"/>
        <v>1208.24</v>
      </c>
      <c r="N71" s="87">
        <f t="shared" si="10"/>
        <v>1197.44</v>
      </c>
      <c r="O71" s="87">
        <f t="shared" si="10"/>
        <v>1234.04</v>
      </c>
      <c r="P71" s="87">
        <f t="shared" si="10"/>
        <v>1231.94</v>
      </c>
      <c r="Q71" s="87">
        <f t="shared" si="10"/>
        <v>1246.3399999999999</v>
      </c>
      <c r="R71" s="87">
        <f t="shared" si="10"/>
        <v>1224.1399999999999</v>
      </c>
      <c r="S71" s="87">
        <f t="shared" si="10"/>
        <v>1276.24</v>
      </c>
      <c r="T71" s="87">
        <f t="shared" si="10"/>
        <v>1216.74</v>
      </c>
      <c r="U71" s="87">
        <f t="shared" si="10"/>
        <v>1179.2399999999998</v>
      </c>
      <c r="V71" s="87">
        <f t="shared" si="10"/>
        <v>1191.74</v>
      </c>
      <c r="W71" s="87">
        <f t="shared" si="10"/>
        <v>1243.54</v>
      </c>
      <c r="X71" s="87">
        <f t="shared" si="10"/>
        <v>1303.24</v>
      </c>
      <c r="Y71" s="87">
        <f t="shared" si="10"/>
        <v>1447.6399999999999</v>
      </c>
      <c r="Z71" s="87">
        <f t="shared" si="10"/>
        <v>1387.24</v>
      </c>
      <c r="AA71" s="87">
        <f t="shared" si="10"/>
        <v>1389.54</v>
      </c>
      <c r="AB71" s="87">
        <f t="shared" si="10"/>
        <v>1347.3400000000001</v>
      </c>
      <c r="AC71" s="87">
        <f t="shared" si="10"/>
        <v>1324.44</v>
      </c>
      <c r="AD71" s="87">
        <f t="shared" si="10"/>
        <v>1230.24</v>
      </c>
      <c r="AE71" s="87">
        <f t="shared" si="10"/>
        <v>1147.6400000000001</v>
      </c>
      <c r="AF71" s="87">
        <f t="shared" si="10"/>
        <v>1162.3400000000001</v>
      </c>
      <c r="AG71" s="87">
        <f t="shared" si="10"/>
        <v>2068.14</v>
      </c>
      <c r="AH71" s="55">
        <f t="shared" si="2"/>
        <v>1447.6399999999999</v>
      </c>
      <c r="AI71" s="56">
        <f t="shared" si="3"/>
        <v>1032.04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1048.6399999999999</v>
      </c>
      <c r="C73" s="87">
        <f t="shared" ref="C73:AF73" si="11">C70+C66+C54+C50+C36+C72</f>
        <v>1059.1399999999999</v>
      </c>
      <c r="D73" s="87">
        <f t="shared" si="11"/>
        <v>1052.3399999999999</v>
      </c>
      <c r="E73" s="87">
        <f t="shared" si="11"/>
        <v>1032.04</v>
      </c>
      <c r="F73" s="87">
        <f t="shared" si="11"/>
        <v>1062.1399999999999</v>
      </c>
      <c r="G73" s="87">
        <f t="shared" si="11"/>
        <v>1070.8399999999999</v>
      </c>
      <c r="H73" s="87">
        <f t="shared" si="11"/>
        <v>1042.04</v>
      </c>
      <c r="I73" s="87">
        <f t="shared" si="11"/>
        <v>1087.24</v>
      </c>
      <c r="J73" s="87">
        <f t="shared" si="11"/>
        <v>1158.8399999999999</v>
      </c>
      <c r="K73" s="87">
        <f t="shared" si="11"/>
        <v>1156.24</v>
      </c>
      <c r="L73" s="87">
        <f t="shared" si="11"/>
        <v>1196.3400000000001</v>
      </c>
      <c r="M73" s="87">
        <f t="shared" si="11"/>
        <v>1208.24</v>
      </c>
      <c r="N73" s="87">
        <f t="shared" si="11"/>
        <v>1197.44</v>
      </c>
      <c r="O73" s="87">
        <f t="shared" si="11"/>
        <v>1234.04</v>
      </c>
      <c r="P73" s="87">
        <f t="shared" si="11"/>
        <v>1231.94</v>
      </c>
      <c r="Q73" s="87">
        <f t="shared" si="11"/>
        <v>1246.3399999999999</v>
      </c>
      <c r="R73" s="87">
        <f t="shared" si="11"/>
        <v>1224.1399999999999</v>
      </c>
      <c r="S73" s="87">
        <f t="shared" si="11"/>
        <v>1276.24</v>
      </c>
      <c r="T73" s="87">
        <f t="shared" si="11"/>
        <v>1216.74</v>
      </c>
      <c r="U73" s="87">
        <f t="shared" si="11"/>
        <v>1179.2399999999998</v>
      </c>
      <c r="V73" s="87">
        <f t="shared" si="11"/>
        <v>1191.74</v>
      </c>
      <c r="W73" s="87">
        <f t="shared" si="11"/>
        <v>1243.54</v>
      </c>
      <c r="X73" s="87">
        <f t="shared" si="11"/>
        <v>1303.24</v>
      </c>
      <c r="Y73" s="87">
        <f t="shared" si="11"/>
        <v>1447.6399999999999</v>
      </c>
      <c r="Z73" s="87">
        <f t="shared" si="11"/>
        <v>1387.24</v>
      </c>
      <c r="AA73" s="87">
        <f t="shared" si="11"/>
        <v>1389.54</v>
      </c>
      <c r="AB73" s="87">
        <f t="shared" si="11"/>
        <v>1347.3400000000001</v>
      </c>
      <c r="AC73" s="87">
        <f t="shared" si="11"/>
        <v>1324.44</v>
      </c>
      <c r="AD73" s="87">
        <f t="shared" si="11"/>
        <v>1230.24</v>
      </c>
      <c r="AE73" s="87">
        <f t="shared" si="11"/>
        <v>1147.6400000000001</v>
      </c>
      <c r="AF73" s="87">
        <f t="shared" si="11"/>
        <v>1162.3400000000001</v>
      </c>
      <c r="AG73" s="77">
        <f>AG70+AG66+AG54+AG50+AG36+AG72</f>
        <v>2068.14</v>
      </c>
      <c r="AH73" s="55">
        <f t="shared" si="2"/>
        <v>1447.6399999999999</v>
      </c>
      <c r="AI73" s="56">
        <f t="shared" si="3"/>
        <v>1032.04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63</v>
      </c>
      <c r="AA75" s="59">
        <f t="shared" si="13"/>
        <v>91.2</v>
      </c>
      <c r="AB75" s="59">
        <f t="shared" si="13"/>
        <v>70.5</v>
      </c>
      <c r="AC75" s="59">
        <f t="shared" si="13"/>
        <v>70.400000000000006</v>
      </c>
      <c r="AD75" s="59">
        <f t="shared" si="13"/>
        <v>70</v>
      </c>
      <c r="AE75" s="59">
        <f t="shared" si="13"/>
        <v>66.599999999999994</v>
      </c>
      <c r="AF75" s="59">
        <f t="shared" si="13"/>
        <v>67</v>
      </c>
      <c r="AG75" s="67"/>
      <c r="AH75" s="55">
        <f t="shared" si="2"/>
        <v>91.2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41</v>
      </c>
      <c r="AB76" s="59">
        <f t="shared" si="14"/>
        <v>61</v>
      </c>
      <c r="AC76" s="59">
        <f t="shared" si="14"/>
        <v>62.9</v>
      </c>
      <c r="AD76" s="59">
        <f t="shared" si="14"/>
        <v>55.8</v>
      </c>
      <c r="AE76" s="59">
        <f t="shared" si="14"/>
        <v>59.9</v>
      </c>
      <c r="AF76" s="59">
        <f t="shared" si="14"/>
        <v>58.3</v>
      </c>
      <c r="AG76" s="90"/>
      <c r="AH76" s="55">
        <f t="shared" si="2"/>
        <v>62.9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100</v>
      </c>
      <c r="C77" s="59">
        <f t="shared" ref="C77:AF77" si="15">IF(C57&lt;0,C57*-1,0)</f>
        <v>70</v>
      </c>
      <c r="D77" s="59">
        <f t="shared" si="15"/>
        <v>45</v>
      </c>
      <c r="E77" s="59">
        <f t="shared" si="15"/>
        <v>46</v>
      </c>
      <c r="F77" s="59">
        <f t="shared" si="15"/>
        <v>26</v>
      </c>
      <c r="G77" s="59">
        <f t="shared" si="15"/>
        <v>2</v>
      </c>
      <c r="H77" s="59">
        <f t="shared" si="15"/>
        <v>22</v>
      </c>
      <c r="I77" s="59">
        <f t="shared" si="15"/>
        <v>20</v>
      </c>
      <c r="J77" s="59">
        <f t="shared" si="15"/>
        <v>12</v>
      </c>
      <c r="K77" s="59">
        <f t="shared" si="15"/>
        <v>25.5</v>
      </c>
      <c r="L77" s="59">
        <f t="shared" si="15"/>
        <v>26</v>
      </c>
      <c r="M77" s="59">
        <f t="shared" si="15"/>
        <v>39.700000000000003</v>
      </c>
      <c r="N77" s="59">
        <f t="shared" si="15"/>
        <v>29</v>
      </c>
      <c r="O77" s="59">
        <f t="shared" si="15"/>
        <v>30.4</v>
      </c>
      <c r="P77" s="59">
        <f t="shared" si="15"/>
        <v>48.9</v>
      </c>
      <c r="Q77" s="59">
        <f t="shared" si="15"/>
        <v>40.5</v>
      </c>
      <c r="R77" s="59">
        <f t="shared" si="15"/>
        <v>42.7</v>
      </c>
      <c r="S77" s="59">
        <f t="shared" si="15"/>
        <v>61.1</v>
      </c>
      <c r="T77" s="59">
        <f t="shared" si="15"/>
        <v>49.6</v>
      </c>
      <c r="U77" s="59">
        <f t="shared" si="15"/>
        <v>43.8</v>
      </c>
      <c r="V77" s="59">
        <f t="shared" si="15"/>
        <v>20.6</v>
      </c>
      <c r="W77" s="59">
        <f t="shared" si="15"/>
        <v>30</v>
      </c>
      <c r="X77" s="59">
        <f t="shared" si="15"/>
        <v>11.3</v>
      </c>
      <c r="Y77" s="59">
        <f t="shared" si="15"/>
        <v>50.9</v>
      </c>
      <c r="Z77" s="59">
        <f t="shared" si="15"/>
        <v>70</v>
      </c>
      <c r="AA77" s="59">
        <f t="shared" si="15"/>
        <v>0</v>
      </c>
      <c r="AB77" s="59">
        <f t="shared" si="15"/>
        <v>29.5</v>
      </c>
      <c r="AC77" s="59">
        <f t="shared" si="15"/>
        <v>27</v>
      </c>
      <c r="AD77" s="59">
        <f t="shared" si="15"/>
        <v>20</v>
      </c>
      <c r="AE77" s="59">
        <f t="shared" si="15"/>
        <v>30</v>
      </c>
      <c r="AF77" s="59">
        <f t="shared" si="15"/>
        <v>19.8</v>
      </c>
      <c r="AG77" s="90"/>
      <c r="AH77" s="55">
        <f t="shared" ref="AH77:AH89" si="16">MAX(B77:AF77)</f>
        <v>100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8.5</v>
      </c>
      <c r="C78" s="59">
        <f t="shared" ref="C78:AF78" si="18">IF(C55&lt;0,C55*-1,0)</f>
        <v>8.5</v>
      </c>
      <c r="D78" s="59">
        <f t="shared" si="18"/>
        <v>10</v>
      </c>
      <c r="E78" s="59">
        <f t="shared" si="18"/>
        <v>13</v>
      </c>
      <c r="F78" s="59">
        <f t="shared" si="18"/>
        <v>12.5</v>
      </c>
      <c r="G78" s="59">
        <f t="shared" si="18"/>
        <v>12.8</v>
      </c>
      <c r="H78" s="59">
        <f t="shared" si="18"/>
        <v>15.9</v>
      </c>
      <c r="I78" s="59">
        <f t="shared" si="18"/>
        <v>18</v>
      </c>
      <c r="J78" s="59">
        <f t="shared" si="18"/>
        <v>19.3</v>
      </c>
      <c r="K78" s="59">
        <f t="shared" si="18"/>
        <v>19.600000000000001</v>
      </c>
      <c r="L78" s="59">
        <f t="shared" si="18"/>
        <v>18.899999999999999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19.600000000000001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108.5</v>
      </c>
      <c r="C80" s="72">
        <f t="shared" si="19"/>
        <v>78.5</v>
      </c>
      <c r="D80" s="72">
        <f t="shared" si="19"/>
        <v>55</v>
      </c>
      <c r="E80" s="72">
        <f t="shared" si="19"/>
        <v>59</v>
      </c>
      <c r="F80" s="72">
        <f t="shared" si="19"/>
        <v>38.5</v>
      </c>
      <c r="G80" s="72">
        <f t="shared" si="19"/>
        <v>14.8</v>
      </c>
      <c r="H80" s="72">
        <f t="shared" si="19"/>
        <v>37.9</v>
      </c>
      <c r="I80" s="72">
        <f t="shared" si="19"/>
        <v>38</v>
      </c>
      <c r="J80" s="72">
        <f t="shared" si="19"/>
        <v>31.3</v>
      </c>
      <c r="K80" s="72">
        <f t="shared" si="19"/>
        <v>45.1</v>
      </c>
      <c r="L80" s="72">
        <f t="shared" si="19"/>
        <v>44.9</v>
      </c>
      <c r="M80" s="72">
        <f t="shared" si="19"/>
        <v>39.700000000000003</v>
      </c>
      <c r="N80" s="72">
        <f t="shared" si="19"/>
        <v>29</v>
      </c>
      <c r="O80" s="72">
        <f t="shared" si="19"/>
        <v>30.4</v>
      </c>
      <c r="P80" s="72">
        <f t="shared" si="19"/>
        <v>48.9</v>
      </c>
      <c r="Q80" s="72">
        <f t="shared" si="19"/>
        <v>40.5</v>
      </c>
      <c r="R80" s="72">
        <f t="shared" si="19"/>
        <v>42.7</v>
      </c>
      <c r="S80" s="72">
        <f t="shared" si="19"/>
        <v>61.1</v>
      </c>
      <c r="T80" s="72">
        <f t="shared" si="19"/>
        <v>49.6</v>
      </c>
      <c r="U80" s="72">
        <f t="shared" si="19"/>
        <v>43.8</v>
      </c>
      <c r="V80" s="72">
        <f t="shared" si="19"/>
        <v>20.6</v>
      </c>
      <c r="W80" s="72">
        <f t="shared" si="19"/>
        <v>30</v>
      </c>
      <c r="X80" s="72">
        <f t="shared" si="19"/>
        <v>11.3</v>
      </c>
      <c r="Y80" s="72">
        <f t="shared" si="19"/>
        <v>50.9</v>
      </c>
      <c r="Z80" s="72">
        <f t="shared" si="19"/>
        <v>133</v>
      </c>
      <c r="AA80" s="72">
        <f t="shared" si="19"/>
        <v>132.19999999999999</v>
      </c>
      <c r="AB80" s="72">
        <f t="shared" si="19"/>
        <v>161</v>
      </c>
      <c r="AC80" s="72">
        <f t="shared" si="19"/>
        <v>160.30000000000001</v>
      </c>
      <c r="AD80" s="72">
        <f t="shared" si="19"/>
        <v>145.80000000000001</v>
      </c>
      <c r="AE80" s="72">
        <f t="shared" si="19"/>
        <v>156.5</v>
      </c>
      <c r="AF80" s="72">
        <f t="shared" si="19"/>
        <v>145.1</v>
      </c>
      <c r="AG80" s="77">
        <f t="shared" si="19"/>
        <v>0</v>
      </c>
      <c r="AH80" s="55">
        <f t="shared" si="16"/>
        <v>161</v>
      </c>
      <c r="AI80" s="56">
        <f t="shared" si="17"/>
        <v>11.3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2314.2799999999997</v>
      </c>
      <c r="C81" s="72">
        <f t="shared" si="20"/>
        <v>2275.2799999999997</v>
      </c>
      <c r="D81" s="72">
        <f t="shared" si="20"/>
        <v>2214.6799999999998</v>
      </c>
      <c r="E81" s="72">
        <f t="shared" si="20"/>
        <v>2182.08</v>
      </c>
      <c r="F81" s="72">
        <f t="shared" si="20"/>
        <v>2201.2799999999997</v>
      </c>
      <c r="G81" s="72">
        <f t="shared" si="20"/>
        <v>2171.2800000000002</v>
      </c>
      <c r="H81" s="72">
        <f t="shared" si="20"/>
        <v>2159.88</v>
      </c>
      <c r="I81" s="72">
        <f t="shared" si="20"/>
        <v>2250.48</v>
      </c>
      <c r="J81" s="72">
        <f t="shared" si="20"/>
        <v>2380.2800000000002</v>
      </c>
      <c r="K81" s="72">
        <f t="shared" si="20"/>
        <v>2402.6799999999998</v>
      </c>
      <c r="L81" s="72">
        <f t="shared" si="20"/>
        <v>2482.4800000000005</v>
      </c>
      <c r="M81" s="72">
        <f t="shared" si="20"/>
        <v>2495.8799999999997</v>
      </c>
      <c r="N81" s="72">
        <f t="shared" si="20"/>
        <v>2452.88</v>
      </c>
      <c r="O81" s="72">
        <f t="shared" si="20"/>
        <v>2528.88</v>
      </c>
      <c r="P81" s="72">
        <f t="shared" si="20"/>
        <v>2561.6800000000003</v>
      </c>
      <c r="Q81" s="72">
        <f t="shared" si="20"/>
        <v>2573.6799999999998</v>
      </c>
      <c r="R81" s="72">
        <f t="shared" si="20"/>
        <v>2533.6799999999994</v>
      </c>
      <c r="S81" s="72">
        <f t="shared" si="20"/>
        <v>2674.68</v>
      </c>
      <c r="T81" s="72">
        <f t="shared" si="20"/>
        <v>2532.6799999999998</v>
      </c>
      <c r="U81" s="72">
        <f t="shared" si="20"/>
        <v>2446.08</v>
      </c>
      <c r="V81" s="72">
        <f t="shared" si="20"/>
        <v>2424.6799999999998</v>
      </c>
      <c r="W81" s="72">
        <f t="shared" si="20"/>
        <v>2547.08</v>
      </c>
      <c r="X81" s="72">
        <f t="shared" si="20"/>
        <v>2629.0800000000004</v>
      </c>
      <c r="Y81" s="72">
        <f t="shared" si="20"/>
        <v>2997.08</v>
      </c>
      <c r="Z81" s="72">
        <f t="shared" si="20"/>
        <v>3040.48</v>
      </c>
      <c r="AA81" s="72">
        <f t="shared" si="20"/>
        <v>3043.4799999999996</v>
      </c>
      <c r="AB81" s="72">
        <f t="shared" si="20"/>
        <v>3016.6800000000003</v>
      </c>
      <c r="AC81" s="72">
        <f t="shared" si="20"/>
        <v>2969.4800000000005</v>
      </c>
      <c r="AD81" s="72">
        <f t="shared" si="20"/>
        <v>2752.0800000000004</v>
      </c>
      <c r="AE81" s="72">
        <f t="shared" si="20"/>
        <v>2608.2800000000002</v>
      </c>
      <c r="AF81" s="72">
        <f t="shared" si="20"/>
        <v>2614.8800000000006</v>
      </c>
      <c r="AG81" s="77">
        <f t="shared" si="20"/>
        <v>4208.08</v>
      </c>
      <c r="AH81" s="55">
        <f t="shared" si="16"/>
        <v>3043.4799999999996</v>
      </c>
      <c r="AI81" s="56">
        <f t="shared" si="17"/>
        <v>2159.88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49.994999999999997</v>
      </c>
      <c r="C82" s="93">
        <v>49.994999999999997</v>
      </c>
      <c r="D82" s="93">
        <v>50.033999999999999</v>
      </c>
      <c r="E82" s="93">
        <v>49.988</v>
      </c>
      <c r="F82" s="93">
        <v>50.031999999999996</v>
      </c>
      <c r="G82" s="93">
        <v>49.97</v>
      </c>
      <c r="H82" s="93">
        <v>49.997</v>
      </c>
      <c r="I82" s="93">
        <v>49.993000000000002</v>
      </c>
      <c r="J82" s="93">
        <v>50</v>
      </c>
      <c r="K82" s="93">
        <v>49.9</v>
      </c>
      <c r="L82" s="93">
        <v>49.975000000000001</v>
      </c>
      <c r="M82" s="93">
        <v>50.030999999999999</v>
      </c>
      <c r="N82" s="93">
        <v>50.031999999999996</v>
      </c>
      <c r="O82" s="93">
        <v>49.968000000000004</v>
      </c>
      <c r="P82" s="93">
        <v>49.930999999999997</v>
      </c>
      <c r="Q82" s="93">
        <v>49.957999999999998</v>
      </c>
      <c r="R82" s="93">
        <v>50.08</v>
      </c>
      <c r="S82" s="93">
        <v>50.04</v>
      </c>
      <c r="T82" s="93">
        <v>50</v>
      </c>
      <c r="U82" s="93">
        <v>49.96</v>
      </c>
      <c r="V82" s="93">
        <v>49.99</v>
      </c>
      <c r="W82" s="93">
        <v>49.99</v>
      </c>
      <c r="X82" s="93">
        <v>50.06</v>
      </c>
      <c r="Y82" s="93">
        <v>50.06</v>
      </c>
      <c r="Z82" s="93">
        <v>50.06</v>
      </c>
      <c r="AA82" s="93">
        <v>50.082999999999998</v>
      </c>
      <c r="AB82" s="93">
        <v>50.04</v>
      </c>
      <c r="AC82" s="93">
        <v>50.061</v>
      </c>
      <c r="AD82" s="93">
        <v>50.04</v>
      </c>
      <c r="AE82" s="93">
        <v>50.02</v>
      </c>
      <c r="AF82" s="94">
        <v>50.06</v>
      </c>
      <c r="AG82" s="95"/>
      <c r="AH82" s="55">
        <f t="shared" si="16"/>
        <v>50.082999999999998</v>
      </c>
      <c r="AI82" s="56">
        <f t="shared" si="17"/>
        <v>49.9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125.8</v>
      </c>
      <c r="C83" s="52">
        <v>125.8</v>
      </c>
      <c r="D83" s="52">
        <v>126.2</v>
      </c>
      <c r="E83" s="52">
        <v>126.1</v>
      </c>
      <c r="F83" s="52">
        <v>125.1</v>
      </c>
      <c r="G83" s="52">
        <v>124.8</v>
      </c>
      <c r="H83" s="52">
        <v>124.8</v>
      </c>
      <c r="I83" s="52">
        <v>124.2</v>
      </c>
      <c r="J83" s="52">
        <v>123.9</v>
      </c>
      <c r="K83" s="52">
        <v>123.3</v>
      </c>
      <c r="L83" s="52">
        <v>124.5</v>
      </c>
      <c r="M83" s="52">
        <v>123.9</v>
      </c>
      <c r="N83" s="52">
        <v>123.3</v>
      </c>
      <c r="O83" s="52">
        <v>123.7</v>
      </c>
      <c r="P83" s="52">
        <v>123.6</v>
      </c>
      <c r="Q83" s="52">
        <v>121.2</v>
      </c>
      <c r="R83" s="52">
        <v>122.6</v>
      </c>
      <c r="S83" s="52">
        <v>122.4</v>
      </c>
      <c r="T83" s="52">
        <v>123.6</v>
      </c>
      <c r="U83" s="52">
        <v>125.4</v>
      </c>
      <c r="V83" s="52">
        <v>125.2</v>
      </c>
      <c r="W83" s="52">
        <v>124.9</v>
      </c>
      <c r="X83" s="52">
        <v>124.9</v>
      </c>
      <c r="Y83" s="52">
        <v>124.9</v>
      </c>
      <c r="Z83" s="52">
        <v>124.9</v>
      </c>
      <c r="AA83" s="52">
        <v>125.8</v>
      </c>
      <c r="AB83" s="52">
        <v>126</v>
      </c>
      <c r="AC83" s="52">
        <v>125.9</v>
      </c>
      <c r="AD83" s="52">
        <v>125.4</v>
      </c>
      <c r="AE83" s="52">
        <v>125.5</v>
      </c>
      <c r="AF83" s="98">
        <v>125</v>
      </c>
      <c r="AG83" s="99"/>
      <c r="AH83" s="55">
        <f t="shared" si="16"/>
        <v>126.2</v>
      </c>
      <c r="AI83" s="56">
        <f t="shared" si="17"/>
        <v>121.2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129.9</v>
      </c>
      <c r="C84" s="52">
        <v>129.9</v>
      </c>
      <c r="D84" s="52">
        <v>130.1</v>
      </c>
      <c r="E84" s="52">
        <v>129.80000000000001</v>
      </c>
      <c r="F84" s="52">
        <v>129.1</v>
      </c>
      <c r="G84" s="52">
        <v>128.4</v>
      </c>
      <c r="H84" s="52">
        <v>128.69999999999999</v>
      </c>
      <c r="I84" s="52">
        <v>128</v>
      </c>
      <c r="J84" s="52">
        <v>128</v>
      </c>
      <c r="K84" s="52">
        <v>126.3</v>
      </c>
      <c r="L84" s="52">
        <v>127.9</v>
      </c>
      <c r="M84" s="52">
        <v>127.4</v>
      </c>
      <c r="N84" s="52">
        <v>126.8</v>
      </c>
      <c r="O84" s="52">
        <v>127.1</v>
      </c>
      <c r="P84" s="52">
        <v>127.1</v>
      </c>
      <c r="Q84" s="52">
        <v>124.7</v>
      </c>
      <c r="R84" s="52">
        <v>126.3</v>
      </c>
      <c r="S84" s="52">
        <v>125.8</v>
      </c>
      <c r="T84" s="52">
        <v>127.1</v>
      </c>
      <c r="U84" s="52">
        <v>128.5</v>
      </c>
      <c r="V84" s="52">
        <v>128.30000000000001</v>
      </c>
      <c r="W84" s="52">
        <v>127.6</v>
      </c>
      <c r="X84" s="52">
        <v>127.5</v>
      </c>
      <c r="Y84" s="52">
        <v>128</v>
      </c>
      <c r="Z84" s="52">
        <v>127.5</v>
      </c>
      <c r="AA84" s="52">
        <v>129.5</v>
      </c>
      <c r="AB84" s="52">
        <v>129.9</v>
      </c>
      <c r="AC84" s="52">
        <v>129.69999999999999</v>
      </c>
      <c r="AD84" s="52">
        <v>129.9</v>
      </c>
      <c r="AE84" s="52">
        <v>130.1</v>
      </c>
      <c r="AF84" s="98">
        <v>129.80000000000001</v>
      </c>
      <c r="AG84" s="99"/>
      <c r="AH84" s="55">
        <f t="shared" si="16"/>
        <v>130.1</v>
      </c>
      <c r="AI84" s="56">
        <f t="shared" si="17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127.3</v>
      </c>
      <c r="C85" s="52">
        <v>127.3</v>
      </c>
      <c r="D85" s="52">
        <v>129.1</v>
      </c>
      <c r="E85" s="52">
        <v>129</v>
      </c>
      <c r="F85" s="52">
        <v>129.4</v>
      </c>
      <c r="G85" s="52">
        <v>127.8</v>
      </c>
      <c r="H85" s="52">
        <v>127.5</v>
      </c>
      <c r="I85" s="52">
        <v>126.2</v>
      </c>
      <c r="J85" s="52">
        <v>129.4</v>
      </c>
      <c r="K85" s="52">
        <v>125.8</v>
      </c>
      <c r="L85" s="52">
        <v>125.4</v>
      </c>
      <c r="M85" s="52">
        <v>120.5</v>
      </c>
      <c r="N85" s="52">
        <v>122.9</v>
      </c>
      <c r="O85" s="52">
        <v>120.2</v>
      </c>
      <c r="P85" s="52">
        <v>125.2</v>
      </c>
      <c r="Q85" s="52">
        <v>127.7</v>
      </c>
      <c r="R85" s="52">
        <v>122.7</v>
      </c>
      <c r="S85" s="52">
        <v>123.7</v>
      </c>
      <c r="T85" s="52">
        <v>124.6</v>
      </c>
      <c r="U85" s="52">
        <v>125.9</v>
      </c>
      <c r="V85" s="52">
        <v>125.9</v>
      </c>
      <c r="W85" s="52">
        <v>124.9</v>
      </c>
      <c r="X85" s="52">
        <v>122.7</v>
      </c>
      <c r="Y85" s="52">
        <v>121.8</v>
      </c>
      <c r="Z85" s="52">
        <v>122.7</v>
      </c>
      <c r="AA85" s="52">
        <v>117.2</v>
      </c>
      <c r="AB85" s="52">
        <v>125.7</v>
      </c>
      <c r="AC85" s="52">
        <v>126.6</v>
      </c>
      <c r="AD85" s="52">
        <v>126.6</v>
      </c>
      <c r="AE85" s="52">
        <v>124.9</v>
      </c>
      <c r="AF85" s="98">
        <v>125.6</v>
      </c>
      <c r="AG85" s="99"/>
      <c r="AH85" s="55">
        <f t="shared" si="16"/>
        <v>129.4</v>
      </c>
      <c r="AI85" s="56">
        <f t="shared" si="17"/>
        <v>117.2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130</v>
      </c>
      <c r="C86" s="52">
        <v>130</v>
      </c>
      <c r="D86" s="52">
        <v>133.19999999999999</v>
      </c>
      <c r="E86" s="52">
        <v>133.6</v>
      </c>
      <c r="F86" s="52">
        <v>133.19999999999999</v>
      </c>
      <c r="G86" s="52">
        <v>131.69999999999999</v>
      </c>
      <c r="H86" s="52">
        <v>130.9</v>
      </c>
      <c r="I86" s="52">
        <v>129.4</v>
      </c>
      <c r="J86" s="52">
        <v>130.9</v>
      </c>
      <c r="K86" s="52">
        <v>127.2</v>
      </c>
      <c r="L86" s="52">
        <v>128.80000000000001</v>
      </c>
      <c r="M86" s="52">
        <v>123.5</v>
      </c>
      <c r="N86" s="52">
        <v>125.4</v>
      </c>
      <c r="O86" s="52">
        <v>122.6</v>
      </c>
      <c r="P86" s="52">
        <v>127.8</v>
      </c>
      <c r="Q86" s="52">
        <v>129.80000000000001</v>
      </c>
      <c r="R86" s="52">
        <v>126</v>
      </c>
      <c r="S86" s="52">
        <v>127.6</v>
      </c>
      <c r="T86" s="52">
        <v>126.5</v>
      </c>
      <c r="U86" s="52">
        <v>128.19999999999999</v>
      </c>
      <c r="V86" s="52">
        <v>128.1</v>
      </c>
      <c r="W86" s="52">
        <v>126.9</v>
      </c>
      <c r="X86" s="52">
        <v>124.9</v>
      </c>
      <c r="Y86" s="52">
        <v>125.3</v>
      </c>
      <c r="Z86" s="52">
        <v>124.9</v>
      </c>
      <c r="AA86" s="52">
        <v>121.5</v>
      </c>
      <c r="AB86" s="52">
        <v>130.30000000000001</v>
      </c>
      <c r="AC86" s="52">
        <v>130.69999999999999</v>
      </c>
      <c r="AD86" s="52">
        <v>131.19999999999999</v>
      </c>
      <c r="AE86" s="52">
        <v>130</v>
      </c>
      <c r="AF86" s="98">
        <v>130.19999999999999</v>
      </c>
      <c r="AG86" s="99"/>
      <c r="AH86" s="55">
        <f t="shared" si="16"/>
        <v>133.6</v>
      </c>
      <c r="AI86" s="56">
        <f t="shared" si="17"/>
        <v>121.5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136.1</v>
      </c>
      <c r="C87" s="101">
        <v>136.1</v>
      </c>
      <c r="D87" s="101">
        <v>132.19999999999999</v>
      </c>
      <c r="E87" s="101">
        <v>133.6</v>
      </c>
      <c r="F87" s="101">
        <v>135</v>
      </c>
      <c r="G87" s="101">
        <v>133.5</v>
      </c>
      <c r="H87" s="101">
        <v>134.19999999999999</v>
      </c>
      <c r="I87" s="101">
        <v>135.4</v>
      </c>
      <c r="J87" s="101">
        <v>135</v>
      </c>
      <c r="K87" s="101">
        <v>132.9</v>
      </c>
      <c r="L87" s="101">
        <v>133.6</v>
      </c>
      <c r="M87" s="101">
        <v>132.6</v>
      </c>
      <c r="N87" s="101">
        <v>134.9</v>
      </c>
      <c r="O87" s="101">
        <v>134</v>
      </c>
      <c r="P87" s="101">
        <v>136.1</v>
      </c>
      <c r="Q87" s="101">
        <v>132.6</v>
      </c>
      <c r="R87" s="101">
        <v>134</v>
      </c>
      <c r="S87" s="101">
        <v>134</v>
      </c>
      <c r="T87" s="101">
        <v>132.9</v>
      </c>
      <c r="U87" s="101">
        <v>134.1</v>
      </c>
      <c r="V87" s="101">
        <v>133.1</v>
      </c>
      <c r="W87" s="101">
        <v>133.1</v>
      </c>
      <c r="X87" s="101">
        <v>134.30000000000001</v>
      </c>
      <c r="Y87" s="101">
        <v>134.19999999999999</v>
      </c>
      <c r="Z87" s="101">
        <v>134.30000000000001</v>
      </c>
      <c r="AA87" s="101">
        <v>134.5</v>
      </c>
      <c r="AB87" s="101">
        <v>135.19999999999999</v>
      </c>
      <c r="AC87" s="101">
        <v>132.6</v>
      </c>
      <c r="AD87" s="101">
        <v>135.4</v>
      </c>
      <c r="AE87" s="101">
        <v>135.30000000000001</v>
      </c>
      <c r="AF87" s="102">
        <v>133.80000000000001</v>
      </c>
      <c r="AG87" s="103"/>
      <c r="AH87" s="55">
        <f t="shared" si="16"/>
        <v>136.1</v>
      </c>
      <c r="AI87" s="56">
        <f t="shared" si="17"/>
        <v>132.19999999999999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135.4</v>
      </c>
      <c r="C88" s="52">
        <v>135.4</v>
      </c>
      <c r="D88" s="52">
        <v>129</v>
      </c>
      <c r="E88" s="52">
        <v>132.30000000000001</v>
      </c>
      <c r="F88" s="52">
        <v>134.69999999999999</v>
      </c>
      <c r="G88" s="52">
        <v>131.1</v>
      </c>
      <c r="H88" s="52">
        <v>133</v>
      </c>
      <c r="I88" s="52">
        <v>134</v>
      </c>
      <c r="J88" s="52">
        <v>134.1</v>
      </c>
      <c r="K88" s="52">
        <v>130.6</v>
      </c>
      <c r="L88" s="52">
        <v>132.30000000000001</v>
      </c>
      <c r="M88" s="52">
        <v>128.69999999999999</v>
      </c>
      <c r="N88" s="52">
        <v>129.69999999999999</v>
      </c>
      <c r="O88" s="52">
        <v>131.5</v>
      </c>
      <c r="P88" s="52">
        <v>133.9</v>
      </c>
      <c r="Q88" s="52">
        <v>128.9</v>
      </c>
      <c r="R88" s="52">
        <v>128.1</v>
      </c>
      <c r="S88" s="52">
        <v>133</v>
      </c>
      <c r="T88" s="52">
        <v>127.8</v>
      </c>
      <c r="U88" s="52">
        <v>135.5</v>
      </c>
      <c r="V88" s="52">
        <v>131.80000000000001</v>
      </c>
      <c r="W88" s="52">
        <v>130.69999999999999</v>
      </c>
      <c r="X88" s="52">
        <v>131.5</v>
      </c>
      <c r="Y88" s="52">
        <v>128.30000000000001</v>
      </c>
      <c r="Z88" s="52">
        <v>131.5</v>
      </c>
      <c r="AA88" s="52">
        <v>129.69999999999999</v>
      </c>
      <c r="AB88" s="52">
        <v>131.19999999999999</v>
      </c>
      <c r="AC88" s="52">
        <v>130.80000000000001</v>
      </c>
      <c r="AD88" s="52">
        <v>134.69999999999999</v>
      </c>
      <c r="AE88" s="52">
        <v>133.80000000000001</v>
      </c>
      <c r="AF88" s="98">
        <v>132.69999999999999</v>
      </c>
      <c r="AG88" s="99"/>
      <c r="AH88" s="55">
        <f t="shared" si="16"/>
        <v>135.5</v>
      </c>
      <c r="AI88" s="56">
        <f t="shared" si="17"/>
        <v>127.8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65.900000000000006</v>
      </c>
      <c r="C89" s="104">
        <v>65.900000000000006</v>
      </c>
      <c r="D89" s="104">
        <v>65.900000000000006</v>
      </c>
      <c r="E89" s="104">
        <v>65.8</v>
      </c>
      <c r="F89" s="104">
        <v>65.400000000000006</v>
      </c>
      <c r="G89" s="104">
        <v>65</v>
      </c>
      <c r="H89" s="104">
        <v>64.8</v>
      </c>
      <c r="I89" s="104">
        <v>64.8</v>
      </c>
      <c r="J89" s="104">
        <v>64.599999999999994</v>
      </c>
      <c r="K89" s="104">
        <v>64.5</v>
      </c>
      <c r="L89" s="104">
        <v>64.599999999999994</v>
      </c>
      <c r="M89" s="104">
        <v>64.400000000000006</v>
      </c>
      <c r="N89" s="104">
        <v>64.2</v>
      </c>
      <c r="O89" s="104">
        <v>64.599999999999994</v>
      </c>
      <c r="P89" s="104">
        <v>64.2</v>
      </c>
      <c r="Q89" s="104">
        <v>63</v>
      </c>
      <c r="R89" s="104">
        <v>63.9</v>
      </c>
      <c r="S89" s="104">
        <v>63.9</v>
      </c>
      <c r="T89" s="104">
        <v>64.3</v>
      </c>
      <c r="U89" s="104">
        <v>65</v>
      </c>
      <c r="V89" s="104">
        <v>65</v>
      </c>
      <c r="W89" s="104">
        <v>64.599999999999994</v>
      </c>
      <c r="X89" s="104">
        <v>64.599999999999994</v>
      </c>
      <c r="Y89" s="104">
        <v>66</v>
      </c>
      <c r="Z89" s="104">
        <v>64.599999999999994</v>
      </c>
      <c r="AA89" s="104">
        <v>65.8</v>
      </c>
      <c r="AB89" s="104">
        <v>66</v>
      </c>
      <c r="AC89" s="104">
        <v>65.900000000000006</v>
      </c>
      <c r="AD89" s="104">
        <v>66</v>
      </c>
      <c r="AE89" s="104">
        <v>66.099999999999994</v>
      </c>
      <c r="AF89" s="105">
        <v>65.900000000000006</v>
      </c>
      <c r="AG89" s="106"/>
      <c r="AH89" s="55">
        <f t="shared" si="16"/>
        <v>66.099999999999994</v>
      </c>
      <c r="AI89" s="56">
        <f t="shared" si="17"/>
        <v>63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141.63999999999996</v>
      </c>
      <c r="C91" s="111">
        <f t="shared" ref="C91:AF91" si="21">SUM(C14,C17,C20:C21,C40,C42:C43,C45,C47,C92:C95,C100,C106,C112,C121,C123,C135,C142,C145:C146,C153,C155,C157,C161:C163,C165:C167,C172,C178:C179,C181:C183,C191,C196)</f>
        <v>141.63999999999996</v>
      </c>
      <c r="D91" s="111">
        <f t="shared" si="21"/>
        <v>130.63999999999999</v>
      </c>
      <c r="E91" s="111">
        <f t="shared" si="21"/>
        <v>153.83999999999995</v>
      </c>
      <c r="F91" s="111">
        <f t="shared" si="21"/>
        <v>170.23999999999998</v>
      </c>
      <c r="G91" s="111">
        <f t="shared" si="21"/>
        <v>200.04</v>
      </c>
      <c r="H91" s="111">
        <f t="shared" si="21"/>
        <v>196.04</v>
      </c>
      <c r="I91" s="111">
        <f t="shared" si="21"/>
        <v>251.73999999999998</v>
      </c>
      <c r="J91" s="111">
        <f t="shared" si="21"/>
        <v>279.84000000000003</v>
      </c>
      <c r="K91" s="111">
        <f t="shared" si="21"/>
        <v>282.74000000000007</v>
      </c>
      <c r="L91" s="111">
        <f t="shared" si="21"/>
        <v>298.14000000000004</v>
      </c>
      <c r="M91" s="111">
        <f t="shared" si="21"/>
        <v>290.44000000000005</v>
      </c>
      <c r="N91" s="111">
        <f t="shared" si="21"/>
        <v>294.14000000000004</v>
      </c>
      <c r="O91" s="111">
        <f t="shared" si="21"/>
        <v>290.34000000000003</v>
      </c>
      <c r="P91" s="111">
        <f t="shared" si="21"/>
        <v>277.84000000000003</v>
      </c>
      <c r="Q91" s="111">
        <f t="shared" si="21"/>
        <v>274.14000000000004</v>
      </c>
      <c r="R91" s="111">
        <f t="shared" si="21"/>
        <v>269.04000000000008</v>
      </c>
      <c r="S91" s="111">
        <f t="shared" si="21"/>
        <v>271.04000000000008</v>
      </c>
      <c r="T91" s="111">
        <f t="shared" si="21"/>
        <v>269.24</v>
      </c>
      <c r="U91" s="111">
        <f t="shared" si="21"/>
        <v>275.44000000000005</v>
      </c>
      <c r="V91" s="111">
        <f t="shared" si="21"/>
        <v>279.74</v>
      </c>
      <c r="W91" s="111">
        <f t="shared" si="21"/>
        <v>316.6400000000001</v>
      </c>
      <c r="X91" s="111">
        <f t="shared" si="21"/>
        <v>370.74</v>
      </c>
      <c r="Y91" s="111">
        <f t="shared" si="21"/>
        <v>341.24</v>
      </c>
      <c r="Z91" s="111">
        <f t="shared" si="21"/>
        <v>299.34000000000003</v>
      </c>
      <c r="AA91" s="111">
        <f t="shared" si="21"/>
        <v>286.24</v>
      </c>
      <c r="AB91" s="111">
        <f t="shared" si="21"/>
        <v>270.54000000000008</v>
      </c>
      <c r="AC91" s="111">
        <f t="shared" si="21"/>
        <v>248.03999999999996</v>
      </c>
      <c r="AD91" s="111">
        <f t="shared" si="21"/>
        <v>185.64</v>
      </c>
      <c r="AE91" s="111">
        <f t="shared" si="21"/>
        <v>170.14</v>
      </c>
      <c r="AF91" s="111">
        <f t="shared" si="21"/>
        <v>155.63999999999999</v>
      </c>
      <c r="AG91" s="112"/>
      <c r="AH91" s="55">
        <f>MAX(B91:AF91)</f>
        <v>370.74</v>
      </c>
      <c r="AI91" s="56">
        <f>MIN(B91:AF91)</f>
        <v>130.63999999999999</v>
      </c>
    </row>
    <row r="92" spans="1:88" x14ac:dyDescent="0.25">
      <c r="A92" s="113" t="s">
        <v>95</v>
      </c>
      <c r="B92" s="59">
        <v>49.3</v>
      </c>
      <c r="C92" s="59">
        <v>49.3</v>
      </c>
      <c r="D92" s="59">
        <v>21</v>
      </c>
      <c r="E92" s="59">
        <v>34.299999999999997</v>
      </c>
      <c r="F92" s="114">
        <v>35.4</v>
      </c>
      <c r="G92" s="114">
        <v>30.1</v>
      </c>
      <c r="H92" s="114">
        <v>33.9</v>
      </c>
      <c r="I92" s="114">
        <v>42.2</v>
      </c>
      <c r="J92" s="114">
        <v>44.7</v>
      </c>
      <c r="K92" s="114">
        <v>38.799999999999997</v>
      </c>
      <c r="L92" s="115">
        <v>39</v>
      </c>
      <c r="M92" s="114">
        <v>36.799999999999997</v>
      </c>
      <c r="N92" s="114">
        <v>45.7</v>
      </c>
      <c r="O92" s="114">
        <v>40.6</v>
      </c>
      <c r="P92" s="114">
        <v>52.8</v>
      </c>
      <c r="Q92" s="114">
        <v>33.700000000000003</v>
      </c>
      <c r="R92" s="114">
        <v>41.2</v>
      </c>
      <c r="S92" s="114">
        <v>36.6</v>
      </c>
      <c r="T92" s="114">
        <v>46.7</v>
      </c>
      <c r="U92" s="114">
        <v>47.7</v>
      </c>
      <c r="V92" s="114">
        <v>35.299999999999997</v>
      </c>
      <c r="W92" s="114">
        <v>39.4</v>
      </c>
      <c r="X92" s="114">
        <v>32.200000000000003</v>
      </c>
      <c r="Y92" s="114">
        <v>24</v>
      </c>
      <c r="Z92" s="114">
        <v>11.3</v>
      </c>
      <c r="AA92" s="115">
        <v>18.100000000000001</v>
      </c>
      <c r="AB92" s="115">
        <v>24.3</v>
      </c>
      <c r="AC92" s="115">
        <v>25.2</v>
      </c>
      <c r="AD92" s="115">
        <v>37.4</v>
      </c>
      <c r="AE92" s="115">
        <v>37.6</v>
      </c>
      <c r="AF92" s="116">
        <v>38</v>
      </c>
      <c r="AG92" s="117">
        <v>75</v>
      </c>
      <c r="AH92" s="55">
        <f t="shared" ref="AH92:AH97" si="22">IF(ABS(MAX(B92:AF92))&gt;ABS(MIN(B92:AF92)),MAX(B92:AF92),MIN(B92:AF92))</f>
        <v>52.8</v>
      </c>
      <c r="AI92" s="118">
        <f t="shared" ref="AI92:AI97" si="23">INDEX($B$9:$AF$9,1,MATCH(AH92,B92:AF92,0))</f>
        <v>0.5</v>
      </c>
    </row>
    <row r="93" spans="1:88" x14ac:dyDescent="0.25">
      <c r="A93" s="119" t="s">
        <v>96</v>
      </c>
      <c r="B93" s="61">
        <v>-93</v>
      </c>
      <c r="C93" s="61">
        <v>-93</v>
      </c>
      <c r="D93" s="61">
        <v>-87.8</v>
      </c>
      <c r="E93" s="61">
        <v>-82</v>
      </c>
      <c r="F93" s="61">
        <v>-77.2</v>
      </c>
      <c r="G93" s="61">
        <v>-60.7</v>
      </c>
      <c r="H93" s="61">
        <v>-59.2</v>
      </c>
      <c r="I93" s="61">
        <v>-44.5</v>
      </c>
      <c r="J93" s="61">
        <v>-46</v>
      </c>
      <c r="K93" s="61">
        <v>-45.2</v>
      </c>
      <c r="L93" s="61">
        <v>-42.3</v>
      </c>
      <c r="M93" s="61">
        <v>-46.7</v>
      </c>
      <c r="N93" s="61">
        <v>-48.6</v>
      </c>
      <c r="O93" s="61">
        <v>-48.8</v>
      </c>
      <c r="P93" s="61">
        <v>-53.4</v>
      </c>
      <c r="Q93" s="61">
        <v>-48.9</v>
      </c>
      <c r="R93" s="61">
        <f>-26.4-31.8</f>
        <v>-58.2</v>
      </c>
      <c r="S93" s="61">
        <f>-25-30.3</f>
        <v>-55.3</v>
      </c>
      <c r="T93" s="61">
        <f>-26.7-32.5</f>
        <v>-59.2</v>
      </c>
      <c r="U93" s="61">
        <f>-26.7-32.5</f>
        <v>-59.2</v>
      </c>
      <c r="V93" s="61">
        <f>-22.1-26.8</f>
        <v>-48.900000000000006</v>
      </c>
      <c r="W93" s="61">
        <f>-17.4-21.4</f>
        <v>-38.799999999999997</v>
      </c>
      <c r="X93" s="61">
        <v>-12</v>
      </c>
      <c r="Y93" s="61">
        <v>-28</v>
      </c>
      <c r="Z93" s="61">
        <f>-15-27.5</f>
        <v>-42.5</v>
      </c>
      <c r="AA93" s="52">
        <v>-56.8</v>
      </c>
      <c r="AB93" s="52">
        <v>-68.5</v>
      </c>
      <c r="AC93" s="52">
        <v>-80.3</v>
      </c>
      <c r="AD93" s="52">
        <f>-46.4-58</f>
        <v>-104.4</v>
      </c>
      <c r="AE93" s="52">
        <f>-51.7-61.4</f>
        <v>-113.1</v>
      </c>
      <c r="AF93" s="120">
        <f>-53.6-63.6</f>
        <v>-117.2</v>
      </c>
      <c r="AG93" s="117">
        <v>240</v>
      </c>
      <c r="AH93" s="55">
        <f t="shared" si="22"/>
        <v>-117.2</v>
      </c>
      <c r="AI93" s="118">
        <f t="shared" si="23"/>
        <v>1</v>
      </c>
    </row>
    <row r="94" spans="1:88" x14ac:dyDescent="0.25">
      <c r="A94" s="119" t="s">
        <v>97</v>
      </c>
      <c r="B94" s="61">
        <v>-12.1</v>
      </c>
      <c r="C94" s="61">
        <v>-12.1</v>
      </c>
      <c r="D94" s="61">
        <v>-14</v>
      </c>
      <c r="E94" s="61">
        <v>-11.4</v>
      </c>
      <c r="F94" s="61">
        <v>-10.199999999999999</v>
      </c>
      <c r="G94" s="61">
        <v>-5.6</v>
      </c>
      <c r="H94" s="61">
        <v>-5.2</v>
      </c>
      <c r="I94" s="61">
        <v>1.7</v>
      </c>
      <c r="J94" s="61">
        <v>2.2000000000000002</v>
      </c>
      <c r="K94" s="61">
        <v>0</v>
      </c>
      <c r="L94" s="61">
        <v>9.6</v>
      </c>
      <c r="M94" s="61">
        <v>8.1999999999999993</v>
      </c>
      <c r="N94" s="61">
        <v>4</v>
      </c>
      <c r="O94" s="61">
        <v>6.9</v>
      </c>
      <c r="P94" s="61">
        <v>-8.4</v>
      </c>
      <c r="Q94" s="61">
        <v>-13.2</v>
      </c>
      <c r="R94" s="61">
        <v>-2.2000000000000002</v>
      </c>
      <c r="S94" s="61">
        <v>-5.4</v>
      </c>
      <c r="T94" s="61">
        <v>1.9</v>
      </c>
      <c r="U94" s="61">
        <v>7.5</v>
      </c>
      <c r="V94" s="61">
        <v>6.5</v>
      </c>
      <c r="W94" s="61">
        <v>11.3</v>
      </c>
      <c r="X94" s="61">
        <v>19.399999999999999</v>
      </c>
      <c r="Y94" s="61">
        <v>38.700000000000003</v>
      </c>
      <c r="Z94" s="61">
        <v>33</v>
      </c>
      <c r="AA94" s="52">
        <v>33.700000000000003</v>
      </c>
      <c r="AB94" s="52">
        <v>28.8</v>
      </c>
      <c r="AC94" s="52">
        <v>25.4</v>
      </c>
      <c r="AD94" s="52">
        <v>1</v>
      </c>
      <c r="AE94" s="52">
        <v>-9.6999999999999993</v>
      </c>
      <c r="AF94" s="120">
        <v>-17.2</v>
      </c>
      <c r="AG94" s="117">
        <v>60</v>
      </c>
      <c r="AH94" s="55">
        <f t="shared" si="22"/>
        <v>38.700000000000003</v>
      </c>
      <c r="AI94" s="118">
        <f t="shared" si="23"/>
        <v>0.79166666666666663</v>
      </c>
    </row>
    <row r="95" spans="1:88" x14ac:dyDescent="0.25">
      <c r="A95" s="121" t="s">
        <v>98</v>
      </c>
      <c r="B95" s="84">
        <v>-10.5</v>
      </c>
      <c r="C95" s="84">
        <v>-10.5</v>
      </c>
      <c r="D95" s="84">
        <v>3.5</v>
      </c>
      <c r="E95" s="84">
        <v>5</v>
      </c>
      <c r="F95" s="84">
        <v>11.3</v>
      </c>
      <c r="G95" s="84">
        <v>25.3</v>
      </c>
      <c r="H95" s="84">
        <v>25.6</v>
      </c>
      <c r="I95" s="84">
        <v>41.4</v>
      </c>
      <c r="J95" s="84">
        <v>42.8</v>
      </c>
      <c r="K95" s="84">
        <v>53</v>
      </c>
      <c r="L95" s="84">
        <v>55.7</v>
      </c>
      <c r="M95" s="84">
        <v>55.3</v>
      </c>
      <c r="N95" s="84">
        <v>56.2</v>
      </c>
      <c r="O95" s="84">
        <v>54.4</v>
      </c>
      <c r="P95" s="84">
        <v>49.3</v>
      </c>
      <c r="Q95" s="84">
        <v>65</v>
      </c>
      <c r="R95" s="84">
        <v>50.5</v>
      </c>
      <c r="S95" s="84">
        <v>57.4</v>
      </c>
      <c r="T95" s="84">
        <v>42.1</v>
      </c>
      <c r="U95" s="84">
        <v>41.7</v>
      </c>
      <c r="V95" s="84">
        <v>49.2</v>
      </c>
      <c r="W95" s="84">
        <v>67.099999999999994</v>
      </c>
      <c r="X95" s="84">
        <v>93.5</v>
      </c>
      <c r="Y95" s="84">
        <v>68.900000000000006</v>
      </c>
      <c r="Z95" s="84">
        <v>59.9</v>
      </c>
      <c r="AA95" s="122">
        <v>53.6</v>
      </c>
      <c r="AB95" s="122">
        <v>48.3</v>
      </c>
      <c r="AC95" s="122">
        <v>40.1</v>
      </c>
      <c r="AD95" s="122">
        <v>14.5</v>
      </c>
      <c r="AE95" s="122">
        <v>18.2</v>
      </c>
      <c r="AF95" s="123">
        <v>14.6</v>
      </c>
      <c r="AG95" s="124">
        <v>120</v>
      </c>
      <c r="AH95" s="55">
        <f t="shared" si="22"/>
        <v>93.5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10.199999999999999</v>
      </c>
      <c r="C96" s="84">
        <v>10.199999999999999</v>
      </c>
      <c r="D96" s="84">
        <v>15.8</v>
      </c>
      <c r="E96" s="84">
        <v>22.7</v>
      </c>
      <c r="F96" s="84">
        <v>27.1</v>
      </c>
      <c r="G96" s="84">
        <v>36.1</v>
      </c>
      <c r="H96" s="84">
        <v>34.799999999999997</v>
      </c>
      <c r="I96" s="84">
        <v>40.5</v>
      </c>
      <c r="J96" s="84">
        <v>41.2</v>
      </c>
      <c r="K96" s="84">
        <v>45.5</v>
      </c>
      <c r="L96" s="84">
        <v>51.1</v>
      </c>
      <c r="M96" s="84">
        <v>49.5</v>
      </c>
      <c r="N96" s="84">
        <v>50.4</v>
      </c>
      <c r="O96" s="84">
        <v>48.2</v>
      </c>
      <c r="P96" s="84">
        <v>45.4</v>
      </c>
      <c r="Q96" s="84">
        <v>61.9</v>
      </c>
      <c r="R96" s="84">
        <v>51.6</v>
      </c>
      <c r="S96" s="84">
        <v>53.8</v>
      </c>
      <c r="T96" s="84">
        <v>45.9</v>
      </c>
      <c r="U96" s="84">
        <v>44.9</v>
      </c>
      <c r="V96" s="84">
        <v>52.6</v>
      </c>
      <c r="W96" s="84">
        <v>58.2</v>
      </c>
      <c r="X96" s="84">
        <v>68.2</v>
      </c>
      <c r="Y96" s="84">
        <v>53.1</v>
      </c>
      <c r="Z96" s="84">
        <v>43</v>
      </c>
      <c r="AA96" s="122">
        <v>46.3</v>
      </c>
      <c r="AB96" s="122">
        <v>49.3</v>
      </c>
      <c r="AC96" s="122">
        <v>42.8</v>
      </c>
      <c r="AD96" s="122">
        <v>29.6</v>
      </c>
      <c r="AE96" s="122">
        <v>35</v>
      </c>
      <c r="AF96" s="123">
        <v>35</v>
      </c>
      <c r="AG96" s="124"/>
      <c r="AH96" s="55">
        <f t="shared" si="22"/>
        <v>68.2</v>
      </c>
      <c r="AI96" s="118">
        <f t="shared" si="23"/>
        <v>0.77083333333333337</v>
      </c>
    </row>
    <row r="97" spans="1:37" ht="15.75" thickBot="1" x14ac:dyDescent="0.3">
      <c r="A97" s="121" t="s">
        <v>100</v>
      </c>
      <c r="B97" s="84">
        <v>48.2</v>
      </c>
      <c r="C97" s="84">
        <v>48.2</v>
      </c>
      <c r="D97" s="84">
        <v>63.5</v>
      </c>
      <c r="E97" s="84">
        <v>58.1</v>
      </c>
      <c r="F97" s="84">
        <v>53.8</v>
      </c>
      <c r="G97" s="84">
        <v>60.3</v>
      </c>
      <c r="H97" s="84">
        <v>56.9</v>
      </c>
      <c r="I97" s="84">
        <v>49</v>
      </c>
      <c r="J97" s="84">
        <v>41.2</v>
      </c>
      <c r="K97" s="84">
        <v>51.9</v>
      </c>
      <c r="L97" s="84">
        <v>50.2</v>
      </c>
      <c r="M97" s="84">
        <v>43.2</v>
      </c>
      <c r="N97" s="84">
        <v>37.4</v>
      </c>
      <c r="O97" s="84">
        <v>40.799999999999997</v>
      </c>
      <c r="P97" s="84">
        <v>35.9</v>
      </c>
      <c r="Q97" s="84">
        <v>42.6</v>
      </c>
      <c r="R97" s="84">
        <v>43.5</v>
      </c>
      <c r="S97" s="84">
        <v>37.4</v>
      </c>
      <c r="T97" s="84">
        <v>38.9</v>
      </c>
      <c r="U97" s="84">
        <v>38.799999999999997</v>
      </c>
      <c r="V97" s="84">
        <v>38.5</v>
      </c>
      <c r="W97" s="84">
        <v>45.4</v>
      </c>
      <c r="X97" s="84">
        <v>56.5</v>
      </c>
      <c r="Y97" s="84">
        <v>65.900000000000006</v>
      </c>
      <c r="Z97" s="84">
        <v>75.3</v>
      </c>
      <c r="AA97" s="122">
        <v>72.900000000000006</v>
      </c>
      <c r="AB97" s="122">
        <v>67.900000000000006</v>
      </c>
      <c r="AC97" s="122">
        <v>69.400000000000006</v>
      </c>
      <c r="AD97" s="122">
        <v>56.9</v>
      </c>
      <c r="AE97" s="122">
        <v>56.4</v>
      </c>
      <c r="AF97" s="123">
        <v>55.6</v>
      </c>
      <c r="AG97" s="125"/>
      <c r="AH97" s="55">
        <f t="shared" si="22"/>
        <v>75.3</v>
      </c>
      <c r="AI97" s="118">
        <f t="shared" si="23"/>
        <v>0.8125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1208.24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6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2078/04/6)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2078/04/6)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1048.6399999999999</v>
      </c>
      <c r="U211" s="170">
        <f t="shared" si="52"/>
        <v>1059.1399999999999</v>
      </c>
      <c r="V211" s="170">
        <f t="shared" si="52"/>
        <v>1052.3399999999999</v>
      </c>
      <c r="W211" s="170">
        <f t="shared" si="52"/>
        <v>1032.04</v>
      </c>
      <c r="X211" s="170">
        <f t="shared" si="52"/>
        <v>1062.1399999999999</v>
      </c>
      <c r="Y211" s="170">
        <f t="shared" si="52"/>
        <v>1070.8399999999999</v>
      </c>
      <c r="Z211" s="170">
        <f t="shared" si="52"/>
        <v>1042.04</v>
      </c>
      <c r="AA211" s="170">
        <f t="shared" si="52"/>
        <v>1087.24</v>
      </c>
      <c r="AB211" s="170">
        <f t="shared" si="52"/>
        <v>1158.8399999999999</v>
      </c>
      <c r="AC211" s="170">
        <f t="shared" si="52"/>
        <v>1156.24</v>
      </c>
      <c r="AD211" s="170">
        <f t="shared" si="52"/>
        <v>1196.3400000000001</v>
      </c>
      <c r="AE211" s="170">
        <f t="shared" si="52"/>
        <v>1208.24</v>
      </c>
      <c r="AF211" s="170">
        <f t="shared" si="52"/>
        <v>1197.44</v>
      </c>
      <c r="AG211" s="170">
        <f t="shared" si="52"/>
        <v>1234.04</v>
      </c>
      <c r="AH211" s="170">
        <f t="shared" si="52"/>
        <v>1231.94</v>
      </c>
      <c r="AI211" s="170">
        <f t="shared" si="52"/>
        <v>1246.3399999999999</v>
      </c>
      <c r="AJ211" s="170">
        <f t="shared" si="52"/>
        <v>1224.1399999999999</v>
      </c>
      <c r="AK211" s="170">
        <f t="shared" si="52"/>
        <v>1276.24</v>
      </c>
      <c r="AL211" s="170">
        <f t="shared" si="52"/>
        <v>1216.74</v>
      </c>
      <c r="AM211" s="170">
        <f t="shared" si="52"/>
        <v>1179.2399999999998</v>
      </c>
      <c r="AN211" s="170">
        <f t="shared" si="52"/>
        <v>1191.74</v>
      </c>
      <c r="AO211" s="170">
        <f t="shared" si="52"/>
        <v>1243.54</v>
      </c>
      <c r="AP211" s="170">
        <f t="shared" si="52"/>
        <v>1303.24</v>
      </c>
      <c r="AQ211" s="170">
        <f t="shared" si="52"/>
        <v>1447.6399999999999</v>
      </c>
      <c r="AR211" s="170">
        <f t="shared" si="52"/>
        <v>1387.24</v>
      </c>
      <c r="AS211" s="170">
        <f t="shared" si="52"/>
        <v>1389.54</v>
      </c>
      <c r="AT211" s="170">
        <f t="shared" si="52"/>
        <v>1347.3400000000001</v>
      </c>
      <c r="AU211" s="170">
        <f t="shared" si="52"/>
        <v>1324.44</v>
      </c>
      <c r="AV211" s="170">
        <f t="shared" si="52"/>
        <v>1230.24</v>
      </c>
      <c r="AW211" s="170">
        <f t="shared" si="52"/>
        <v>1147.6400000000001</v>
      </c>
      <c r="AX211" s="170">
        <f t="shared" si="52"/>
        <v>1162.3400000000001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141" priority="321">
      <formula>S$9&gt;=20/24</formula>
    </cfRule>
    <cfRule type="expression" dxfId="9140" priority="322">
      <formula>AND(S$9&gt;=14/24,S$9&lt;20/24)</formula>
    </cfRule>
    <cfRule type="expression" dxfId="9139" priority="323">
      <formula>AND(S$9&gt;=8/24,S$9&lt;14/24)</formula>
    </cfRule>
    <cfRule type="expression" dxfId="9138" priority="324">
      <formula>S$9&lt;8/24</formula>
    </cfRule>
  </conditionalFormatting>
  <conditionalFormatting sqref="B8:AF10 AA79:AF79 B79:Q79 B54:AF54 B80:AF80 C191:AF197 AE55:AF58 B66:AF70 M60:M65 T210:AX210 O18:Q21 L56:M57 AA82:AF89 B72:AF76 B78:AF78 D58:M59 D55:K57 B55:C65 D62:F62 L15:Q17 O22:P31 M35:X35 O43:X46 L37:X40 L51:X53 N56:X65 R15:X21 AC51:AF53 Y38:AD41 L11:AF13 Y15:AF30">
    <cfRule type="expression" dxfId="9137" priority="317">
      <formula>B$9&gt;=20/24</formula>
    </cfRule>
    <cfRule type="expression" dxfId="9136" priority="318">
      <formula>AND(B$9&gt;=14/24,B$9&lt;20/24)</formula>
    </cfRule>
    <cfRule type="expression" dxfId="9135" priority="319">
      <formula>AND(B$9&gt;=8/24,B$9&lt;14/24)</formula>
    </cfRule>
    <cfRule type="expression" dxfId="9134" priority="320">
      <formula>B$9&lt;8/24</formula>
    </cfRule>
  </conditionalFormatting>
  <conditionalFormatting sqref="B189:AF189">
    <cfRule type="expression" dxfId="9133" priority="313">
      <formula>B$9&gt;=20/24</formula>
    </cfRule>
    <cfRule type="expression" dxfId="9132" priority="314">
      <formula>AND(B$9&gt;=14/24,B$9&lt;20/24)</formula>
    </cfRule>
    <cfRule type="expression" dxfId="9131" priority="315">
      <formula>AND(B$9&gt;=8/24,B$9&lt;14/24)</formula>
    </cfRule>
    <cfRule type="expression" dxfId="9130" priority="316">
      <formula>B$9&lt;8/24</formula>
    </cfRule>
  </conditionalFormatting>
  <conditionalFormatting sqref="AL4:AL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9129" priority="308">
      <formula>L$9&gt;=20/24</formula>
    </cfRule>
    <cfRule type="expression" dxfId="9128" priority="309">
      <formula>AND(L$9&gt;=14/24,L$9&lt;20/24)</formula>
    </cfRule>
    <cfRule type="expression" dxfId="9127" priority="310">
      <formula>AND(L$9&gt;=8/24,L$9&lt;14/24)</formula>
    </cfRule>
    <cfRule type="expression" dxfId="9126" priority="311">
      <formula>L$9&lt;8/24</formula>
    </cfRule>
  </conditionalFormatting>
  <conditionalFormatting sqref="L41:X41">
    <cfRule type="expression" dxfId="9125" priority="304">
      <formula>L$9&gt;=20/24</formula>
    </cfRule>
    <cfRule type="expression" dxfId="9124" priority="305">
      <formula>AND(L$9&gt;=14/24,L$9&lt;20/24)</formula>
    </cfRule>
    <cfRule type="expression" dxfId="9123" priority="306">
      <formula>AND(L$9&gt;=8/24,L$9&lt;14/24)</formula>
    </cfRule>
    <cfRule type="expression" dxfId="9122" priority="307">
      <formula>L$9&lt;8/24</formula>
    </cfRule>
  </conditionalFormatting>
  <conditionalFormatting sqref="Y31:AF31">
    <cfRule type="expression" dxfId="9121" priority="300">
      <formula>Y$9&gt;=20/24</formula>
    </cfRule>
    <cfRule type="expression" dxfId="9120" priority="301">
      <formula>AND(Y$9&gt;=14/24,Y$9&lt;20/24)</formula>
    </cfRule>
    <cfRule type="expression" dxfId="9119" priority="302">
      <formula>AND(Y$9&gt;=8/24,Y$9&lt;14/24)</formula>
    </cfRule>
    <cfRule type="expression" dxfId="9118" priority="303">
      <formula>Y$9&lt;8/24</formula>
    </cfRule>
  </conditionalFormatting>
  <conditionalFormatting sqref="Y37:AD37">
    <cfRule type="expression" dxfId="9117" priority="296">
      <formula>Y$9&gt;=20/24</formula>
    </cfRule>
    <cfRule type="expression" dxfId="9116" priority="297">
      <formula>AND(Y$9&gt;=14/24,Y$9&lt;20/24)</formula>
    </cfRule>
    <cfRule type="expression" dxfId="9115" priority="298">
      <formula>AND(Y$9&gt;=8/24,Y$9&lt;14/24)</formula>
    </cfRule>
    <cfRule type="expression" dxfId="9114" priority="299">
      <formula>Y$9&lt;8/24</formula>
    </cfRule>
  </conditionalFormatting>
  <conditionalFormatting sqref="R55:X55 AA55:AD55">
    <cfRule type="expression" dxfId="9113" priority="292">
      <formula>R$9&gt;=20/24</formula>
    </cfRule>
    <cfRule type="expression" dxfId="9112" priority="293">
      <formula>AND(R$9&gt;=14/24,R$9&lt;20/24)</formula>
    </cfRule>
    <cfRule type="expression" dxfId="9111" priority="294">
      <formula>AND(R$9&gt;=8/24,R$9&lt;14/24)</formula>
    </cfRule>
    <cfRule type="expression" dxfId="9110" priority="295">
      <formula>R$9&lt;8/24</formula>
    </cfRule>
  </conditionalFormatting>
  <conditionalFormatting sqref="R79:Z79">
    <cfRule type="expression" dxfId="9109" priority="288">
      <formula>R$9&gt;=20/24</formula>
    </cfRule>
    <cfRule type="expression" dxfId="9108" priority="289">
      <formula>AND(R$9&gt;=14/24,R$9&lt;20/24)</formula>
    </cfRule>
    <cfRule type="expression" dxfId="9107" priority="290">
      <formula>AND(R$9&gt;=8/24,R$9&lt;14/24)</formula>
    </cfRule>
    <cfRule type="expression" dxfId="9106" priority="291">
      <formula>R$9&lt;8/24</formula>
    </cfRule>
  </conditionalFormatting>
  <conditionalFormatting sqref="O33:P33">
    <cfRule type="expression" dxfId="9105" priority="280">
      <formula>O$9&gt;=20/24</formula>
    </cfRule>
    <cfRule type="expression" dxfId="9104" priority="281">
      <formula>AND(O$9&gt;=14/24,O$9&lt;20/24)</formula>
    </cfRule>
    <cfRule type="expression" dxfId="9103" priority="282">
      <formula>AND(O$9&gt;=8/24,O$9&lt;14/24)</formula>
    </cfRule>
    <cfRule type="expression" dxfId="9102" priority="283">
      <formula>O$9&lt;8/24</formula>
    </cfRule>
  </conditionalFormatting>
  <conditionalFormatting sqref="L47:X47">
    <cfRule type="expression" dxfId="9101" priority="276">
      <formula>L$9&gt;=20/24</formula>
    </cfRule>
    <cfRule type="expression" dxfId="9100" priority="277">
      <formula>AND(L$9&gt;=14/24,L$9&lt;20/24)</formula>
    </cfRule>
    <cfRule type="expression" dxfId="9099" priority="278">
      <formula>AND(L$9&gt;=8/24,L$9&lt;14/24)</formula>
    </cfRule>
    <cfRule type="expression" dxfId="9098" priority="279">
      <formula>L$9&lt;8/24</formula>
    </cfRule>
  </conditionalFormatting>
  <conditionalFormatting sqref="L48:X48">
    <cfRule type="expression" dxfId="9097" priority="272">
      <formula>L$9&gt;=20/24</formula>
    </cfRule>
    <cfRule type="expression" dxfId="9096" priority="273">
      <formula>AND(L$9&gt;=14/24,L$9&lt;20/24)</formula>
    </cfRule>
    <cfRule type="expression" dxfId="9095" priority="274">
      <formula>AND(L$9&gt;=8/24,L$9&lt;14/24)</formula>
    </cfRule>
    <cfRule type="expression" dxfId="9094" priority="275">
      <formula>L$9&lt;8/24</formula>
    </cfRule>
  </conditionalFormatting>
  <conditionalFormatting sqref="L43:X46">
    <cfRule type="expression" dxfId="9093" priority="268">
      <formula>L$9&gt;=20/24</formula>
    </cfRule>
    <cfRule type="expression" dxfId="9092" priority="269">
      <formula>AND(L$9&gt;=14/24,L$9&lt;20/24)</formula>
    </cfRule>
    <cfRule type="expression" dxfId="9091" priority="270">
      <formula>AND(L$9&gt;=8/24,L$9&lt;14/24)</formula>
    </cfRule>
    <cfRule type="expression" dxfId="9090" priority="271">
      <formula>L$9&lt;8/24</formula>
    </cfRule>
  </conditionalFormatting>
  <conditionalFormatting sqref="Y35:AD35">
    <cfRule type="expression" dxfId="9089" priority="264">
      <formula>Y$9&gt;=20/24</formula>
    </cfRule>
    <cfRule type="expression" dxfId="9088" priority="265">
      <formula>AND(Y$9&gt;=14/24,Y$9&lt;20/24)</formula>
    </cfRule>
    <cfRule type="expression" dxfId="9087" priority="266">
      <formula>AND(Y$9&gt;=8/24,Y$9&lt;14/24)</formula>
    </cfRule>
    <cfRule type="expression" dxfId="9086" priority="267">
      <formula>Y$9&lt;8/24</formula>
    </cfRule>
  </conditionalFormatting>
  <conditionalFormatting sqref="Y33:AF33">
    <cfRule type="expression" dxfId="9085" priority="260">
      <formula>Y$9&gt;=20/24</formula>
    </cfRule>
    <cfRule type="expression" dxfId="9084" priority="261">
      <formula>AND(Y$9&gt;=14/24,Y$9&lt;20/24)</formula>
    </cfRule>
    <cfRule type="expression" dxfId="9083" priority="262">
      <formula>AND(Y$9&gt;=8/24,Y$9&lt;14/24)</formula>
    </cfRule>
    <cfRule type="expression" dxfId="9082" priority="263">
      <formula>Y$9&lt;8/24</formula>
    </cfRule>
  </conditionalFormatting>
  <conditionalFormatting sqref="Y43:AD46">
    <cfRule type="expression" dxfId="9081" priority="256">
      <formula>Y$9&gt;=20/24</formula>
    </cfRule>
    <cfRule type="expression" dxfId="9080" priority="257">
      <formula>AND(Y$9&gt;=14/24,Y$9&lt;20/24)</formula>
    </cfRule>
    <cfRule type="expression" dxfId="9079" priority="258">
      <formula>AND(Y$9&gt;=8/24,Y$9&lt;14/24)</formula>
    </cfRule>
    <cfRule type="expression" dxfId="9078" priority="259">
      <formula>Y$9&lt;8/24</formula>
    </cfRule>
  </conditionalFormatting>
  <conditionalFormatting sqref="Y47:AD47">
    <cfRule type="expression" dxfId="9077" priority="252">
      <formula>Y$9&gt;=20/24</formula>
    </cfRule>
    <cfRule type="expression" dxfId="9076" priority="253">
      <formula>AND(Y$9&gt;=14/24,Y$9&lt;20/24)</formula>
    </cfRule>
    <cfRule type="expression" dxfId="9075" priority="254">
      <formula>AND(Y$9&gt;=8/24,Y$9&lt;14/24)</formula>
    </cfRule>
    <cfRule type="expression" dxfId="9074" priority="255">
      <formula>Y$9&lt;8/24</formula>
    </cfRule>
  </conditionalFormatting>
  <conditionalFormatting sqref="Y48:AD48">
    <cfRule type="expression" dxfId="9073" priority="248">
      <formula>Y$9&gt;=20/24</formula>
    </cfRule>
    <cfRule type="expression" dxfId="9072" priority="249">
      <formula>AND(Y$9&gt;=14/24,Y$9&lt;20/24)</formula>
    </cfRule>
    <cfRule type="expression" dxfId="9071" priority="250">
      <formula>AND(Y$9&gt;=8/24,Y$9&lt;14/24)</formula>
    </cfRule>
    <cfRule type="expression" dxfId="9070" priority="251">
      <formula>Y$9&lt;8/24</formula>
    </cfRule>
  </conditionalFormatting>
  <conditionalFormatting sqref="AE59:AF65 AB58:AD59 AD60:AD65">
    <cfRule type="expression" dxfId="9069" priority="244">
      <formula>AB$9&gt;=20/24</formula>
    </cfRule>
    <cfRule type="expression" dxfId="9068" priority="245">
      <formula>AND(AB$9&gt;=14/24,AB$9&lt;20/24)</formula>
    </cfRule>
    <cfRule type="expression" dxfId="9067" priority="246">
      <formula>AND(AB$9&gt;=8/24,AB$9&lt;14/24)</formula>
    </cfRule>
    <cfRule type="expression" dxfId="9066" priority="247">
      <formula>AB$9&lt;8/24</formula>
    </cfRule>
  </conditionalFormatting>
  <conditionalFormatting sqref="AA92:AF95">
    <cfRule type="expression" dxfId="9065" priority="240">
      <formula>AA$9&gt;=20/24</formula>
    </cfRule>
    <cfRule type="expression" dxfId="9064" priority="241">
      <formula>AND(AA$9&gt;=14/24,AA$9&lt;20/24)</formula>
    </cfRule>
    <cfRule type="expression" dxfId="9063" priority="242">
      <formula>AND(AA$9&gt;=8/24,AA$9&lt;14/24)</formula>
    </cfRule>
    <cfRule type="expression" dxfId="9062" priority="243">
      <formula>AA$9&lt;8/24</formula>
    </cfRule>
  </conditionalFormatting>
  <conditionalFormatting sqref="D60:H60 H61:H65 I60:K65">
    <cfRule type="expression" dxfId="9061" priority="236">
      <formula>D$9&gt;=20/24</formula>
    </cfRule>
    <cfRule type="expression" dxfId="9060" priority="237">
      <formula>AND(D$9&gt;=14/24,D$9&lt;20/24)</formula>
    </cfRule>
    <cfRule type="expression" dxfId="9059" priority="238">
      <formula>AND(D$9&gt;=8/24,D$9&lt;14/24)</formula>
    </cfRule>
    <cfRule type="expression" dxfId="9058" priority="239">
      <formula>D$9&lt;8/24</formula>
    </cfRule>
  </conditionalFormatting>
  <conditionalFormatting sqref="Y92:Z95">
    <cfRule type="expression" dxfId="9057" priority="232">
      <formula>Y$9&gt;=20/24</formula>
    </cfRule>
    <cfRule type="expression" dxfId="9056" priority="233">
      <formula>AND(Y$9&gt;=14/24,Y$9&lt;20/24)</formula>
    </cfRule>
    <cfRule type="expression" dxfId="9055" priority="234">
      <formula>AND(Y$9&gt;=8/24,Y$9&lt;14/24)</formula>
    </cfRule>
    <cfRule type="expression" dxfId="9054" priority="235">
      <formula>Y$9&lt;8/24</formula>
    </cfRule>
  </conditionalFormatting>
  <conditionalFormatting sqref="AG49 B15:H19 B20:K31 I18:K19 B33:K36 O34:Q34 M36:AF36 I15:N17 O22:P31 O33:P33 M35:Q35 R34:X35 O15:X21 B54:AF54 B51:X53 AC51:AF53 B37:AF41 B43:AF50 B11:AF13 Y15:AF31 Y33:AF35">
    <cfRule type="expression" dxfId="9053" priority="231">
      <formula>B11&gt;$AG11</formula>
    </cfRule>
  </conditionalFormatting>
  <conditionalFormatting sqref="A98:A154 A82:A95 A11:A13 A15:A31 A43:A70 A78:A80 A72:A76 A33:A41 A167:A198">
    <cfRule type="expression" dxfId="9052" priority="230">
      <formula>$AH11=0</formula>
    </cfRule>
  </conditionalFormatting>
  <conditionalFormatting sqref="AA96:AF96">
    <cfRule type="expression" dxfId="9051" priority="226">
      <formula>AA$9&gt;=20/24</formula>
    </cfRule>
    <cfRule type="expression" dxfId="9050" priority="227">
      <formula>AND(AA$9&gt;=14/24,AA$9&lt;20/24)</formula>
    </cfRule>
    <cfRule type="expression" dxfId="9049" priority="228">
      <formula>AND(AA$9&gt;=8/24,AA$9&lt;14/24)</formula>
    </cfRule>
    <cfRule type="expression" dxfId="9048" priority="229">
      <formula>AA$9&lt;8/24</formula>
    </cfRule>
  </conditionalFormatting>
  <conditionalFormatting sqref="Y96:Z96">
    <cfRule type="expression" dxfId="9047" priority="222">
      <formula>Y$9&gt;=20/24</formula>
    </cfRule>
    <cfRule type="expression" dxfId="9046" priority="223">
      <formula>AND(Y$9&gt;=14/24,Y$9&lt;20/24)</formula>
    </cfRule>
    <cfRule type="expression" dxfId="9045" priority="224">
      <formula>AND(Y$9&gt;=8/24,Y$9&lt;14/24)</formula>
    </cfRule>
    <cfRule type="expression" dxfId="9044" priority="225">
      <formula>Y$9&lt;8/24</formula>
    </cfRule>
  </conditionalFormatting>
  <conditionalFormatting sqref="A96">
    <cfRule type="expression" dxfId="9043" priority="221">
      <formula>$AH96=0</formula>
    </cfRule>
  </conditionalFormatting>
  <conditionalFormatting sqref="H34:K34 O34:AF34">
    <cfRule type="expression" dxfId="9042" priority="217">
      <formula>H$9&gt;=20/24</formula>
    </cfRule>
    <cfRule type="expression" dxfId="9041" priority="218">
      <formula>AND(H$9&gt;=14/24,H$9&lt;20/24)</formula>
    </cfRule>
    <cfRule type="expression" dxfId="9040" priority="219">
      <formula>AND(H$9&gt;=8/24,H$9&lt;14/24)</formula>
    </cfRule>
    <cfRule type="expression" dxfId="9039" priority="220">
      <formula>H$9&lt;8/24</formula>
    </cfRule>
  </conditionalFormatting>
  <conditionalFormatting sqref="Y34:AF34">
    <cfRule type="expression" dxfId="9038" priority="213">
      <formula>Y$9&gt;=20/24</formula>
    </cfRule>
    <cfRule type="expression" dxfId="9037" priority="214">
      <formula>AND(Y$9&gt;=14/24,Y$9&lt;20/24)</formula>
    </cfRule>
    <cfRule type="expression" dxfId="9036" priority="215">
      <formula>AND(Y$9&gt;=8/24,Y$9&lt;14/24)</formula>
    </cfRule>
    <cfRule type="expression" dxfId="9035" priority="216">
      <formula>Y$9&lt;8/24</formula>
    </cfRule>
  </conditionalFormatting>
  <conditionalFormatting sqref="B34:G34">
    <cfRule type="expression" dxfId="9034" priority="209">
      <formula>B$9&gt;=20/24</formula>
    </cfRule>
    <cfRule type="expression" dxfId="9033" priority="210">
      <formula>AND(B$9&gt;=14/24,B$9&lt;20/24)</formula>
    </cfRule>
    <cfRule type="expression" dxfId="9032" priority="211">
      <formula>AND(B$9&gt;=8/24,B$9&lt;14/24)</formula>
    </cfRule>
    <cfRule type="expression" dxfId="9031" priority="212">
      <formula>B$9&lt;8/24</formula>
    </cfRule>
  </conditionalFormatting>
  <conditionalFormatting sqref="D61:G61 D63:G65 G62">
    <cfRule type="expression" dxfId="9030" priority="205">
      <formula>D$9&gt;=20/24</formula>
    </cfRule>
    <cfRule type="expression" dxfId="9029" priority="206">
      <formula>AND(D$9&gt;=14/24,D$9&lt;20/24)</formula>
    </cfRule>
    <cfRule type="expression" dxfId="9028" priority="207">
      <formula>AND(D$9&gt;=8/24,D$9&lt;14/24)</formula>
    </cfRule>
    <cfRule type="expression" dxfId="9027" priority="208">
      <formula>D$9&lt;8/24</formula>
    </cfRule>
  </conditionalFormatting>
  <conditionalFormatting sqref="L60:L65">
    <cfRule type="expression" dxfId="9026" priority="201">
      <formula>L$9&gt;=20/24</formula>
    </cfRule>
    <cfRule type="expression" dxfId="9025" priority="202">
      <formula>AND(L$9&gt;=14/24,L$9&lt;20/24)</formula>
    </cfRule>
    <cfRule type="expression" dxfId="9024" priority="203">
      <formula>AND(L$9&gt;=8/24,L$9&lt;14/24)</formula>
    </cfRule>
    <cfRule type="expression" dxfId="9023" priority="204">
      <formula>L$9&lt;8/24</formula>
    </cfRule>
  </conditionalFormatting>
  <conditionalFormatting sqref="AL31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9022" priority="196">
      <formula>Y$9&gt;=20/24</formula>
    </cfRule>
    <cfRule type="expression" dxfId="9021" priority="197">
      <formula>AND(Y$9&gt;=14/24,Y$9&lt;20/24)</formula>
    </cfRule>
    <cfRule type="expression" dxfId="9020" priority="198">
      <formula>AND(Y$9&gt;=8/24,Y$9&lt;14/24)</formula>
    </cfRule>
    <cfRule type="expression" dxfId="9019" priority="199">
      <formula>Y$9&lt;8/24</formula>
    </cfRule>
  </conditionalFormatting>
  <conditionalFormatting sqref="O32:P32">
    <cfRule type="expression" dxfId="9018" priority="192">
      <formula>O$9&gt;=20/24</formula>
    </cfRule>
    <cfRule type="expression" dxfId="9017" priority="193">
      <formula>AND(O$9&gt;=14/24,O$9&lt;20/24)</formula>
    </cfRule>
    <cfRule type="expression" dxfId="9016" priority="194">
      <formula>AND(O$9&gt;=8/24,O$9&lt;14/24)</formula>
    </cfRule>
    <cfRule type="expression" dxfId="9015" priority="195">
      <formula>O$9&lt;8/24</formula>
    </cfRule>
  </conditionalFormatting>
  <conditionalFormatting sqref="B32:K32 O32:P32 Y32:AF32">
    <cfRule type="expression" dxfId="9014" priority="187">
      <formula>B32&gt;$AG32</formula>
    </cfRule>
  </conditionalFormatting>
  <conditionalFormatting sqref="A32">
    <cfRule type="expression" dxfId="9013" priority="186">
      <formula>$AH32=0</formula>
    </cfRule>
  </conditionalFormatting>
  <conditionalFormatting sqref="B81:AF81">
    <cfRule type="expression" dxfId="9012" priority="182">
      <formula>B$9&gt;=20/24</formula>
    </cfRule>
    <cfRule type="expression" dxfId="9011" priority="183">
      <formula>AND(B$9&gt;=14/24,B$9&lt;20/24)</formula>
    </cfRule>
    <cfRule type="expression" dxfId="9010" priority="184">
      <formula>AND(B$9&gt;=8/24,B$9&lt;14/24)</formula>
    </cfRule>
    <cfRule type="expression" dxfId="9009" priority="185">
      <formula>B$9&lt;8/24</formula>
    </cfRule>
  </conditionalFormatting>
  <conditionalFormatting sqref="A81">
    <cfRule type="expression" dxfId="9008" priority="181">
      <formula>$AH81=0</formula>
    </cfRule>
  </conditionalFormatting>
  <conditionalFormatting sqref="Y14:AF14">
    <cfRule type="expression" dxfId="9007" priority="177">
      <formula>Y$9&gt;=20/24</formula>
    </cfRule>
    <cfRule type="expression" dxfId="9006" priority="178">
      <formula>AND(Y$9&gt;=14/24,Y$9&lt;20/24)</formula>
    </cfRule>
    <cfRule type="expression" dxfId="9005" priority="179">
      <formula>AND(Y$9&gt;=8/24,Y$9&lt;14/24)</formula>
    </cfRule>
    <cfRule type="expression" dxfId="9004" priority="180">
      <formula>Y$9&lt;8/24</formula>
    </cfRule>
  </conditionalFormatting>
  <conditionalFormatting sqref="L14:X14">
    <cfRule type="expression" dxfId="9003" priority="173">
      <formula>L$9&gt;=20/24</formula>
    </cfRule>
    <cfRule type="expression" dxfId="9002" priority="174">
      <formula>AND(L$9&gt;=14/24,L$9&lt;20/24)</formula>
    </cfRule>
    <cfRule type="expression" dxfId="9001" priority="175">
      <formula>AND(L$9&gt;=8/24,L$9&lt;14/24)</formula>
    </cfRule>
    <cfRule type="expression" dxfId="9000" priority="176">
      <formula>L$9&lt;8/24</formula>
    </cfRule>
  </conditionalFormatting>
  <conditionalFormatting sqref="B14:AF14">
    <cfRule type="expression" dxfId="8999" priority="172">
      <formula>B14&gt;$AG14</formula>
    </cfRule>
  </conditionalFormatting>
  <conditionalFormatting sqref="A14">
    <cfRule type="expression" dxfId="8998" priority="171">
      <formula>$AH14=0</formula>
    </cfRule>
  </conditionalFormatting>
  <conditionalFormatting sqref="A161:A166">
    <cfRule type="expression" dxfId="8997" priority="170">
      <formula>$AH161=0</formula>
    </cfRule>
  </conditionalFormatting>
  <conditionalFormatting sqref="A155:A160">
    <cfRule type="expression" dxfId="8996" priority="169">
      <formula>$AH155=0</formula>
    </cfRule>
  </conditionalFormatting>
  <conditionalFormatting sqref="Y42:AD42">
    <cfRule type="expression" dxfId="8995" priority="165">
      <formula>Y$9&gt;=20/24</formula>
    </cfRule>
    <cfRule type="expression" dxfId="8994" priority="166">
      <formula>AND(Y$9&gt;=14/24,Y$9&lt;20/24)</formula>
    </cfRule>
    <cfRule type="expression" dxfId="8993" priority="167">
      <formula>AND(Y$9&gt;=8/24,Y$9&lt;14/24)</formula>
    </cfRule>
    <cfRule type="expression" dxfId="8992" priority="168">
      <formula>Y$9&lt;8/24</formula>
    </cfRule>
  </conditionalFormatting>
  <conditionalFormatting sqref="L42:X42">
    <cfRule type="expression" dxfId="8991" priority="161">
      <formula>L$9&gt;=20/24</formula>
    </cfRule>
    <cfRule type="expression" dxfId="8990" priority="162">
      <formula>AND(L$9&gt;=14/24,L$9&lt;20/24)</formula>
    </cfRule>
    <cfRule type="expression" dxfId="8989" priority="163">
      <formula>AND(L$9&gt;=8/24,L$9&lt;14/24)</formula>
    </cfRule>
    <cfRule type="expression" dxfId="8988" priority="164">
      <formula>L$9&lt;8/24</formula>
    </cfRule>
  </conditionalFormatting>
  <conditionalFormatting sqref="B42:AF42">
    <cfRule type="expression" dxfId="8987" priority="156">
      <formula>B42&gt;$AG42</formula>
    </cfRule>
  </conditionalFormatting>
  <conditionalFormatting sqref="A42">
    <cfRule type="expression" dxfId="8986" priority="155">
      <formula>$AH42=0</formula>
    </cfRule>
  </conditionalFormatting>
  <conditionalFormatting sqref="B77:AF77">
    <cfRule type="expression" dxfId="8985" priority="151">
      <formula>B$9&gt;=20/24</formula>
    </cfRule>
    <cfRule type="expression" dxfId="8984" priority="152">
      <formula>AND(B$9&gt;=14/24,B$9&lt;20/24)</formula>
    </cfRule>
    <cfRule type="expression" dxfId="8983" priority="153">
      <formula>AND(B$9&gt;=8/24,B$9&lt;14/24)</formula>
    </cfRule>
    <cfRule type="expression" dxfId="8982" priority="154">
      <formula>B$9&lt;8/24</formula>
    </cfRule>
  </conditionalFormatting>
  <conditionalFormatting sqref="A77">
    <cfRule type="expression" dxfId="8981" priority="150">
      <formula>$AH77=0</formula>
    </cfRule>
  </conditionalFormatting>
  <conditionalFormatting sqref="B71:AG71">
    <cfRule type="expression" dxfId="8980" priority="146">
      <formula>B$9&gt;=20/24</formula>
    </cfRule>
    <cfRule type="expression" dxfId="8979" priority="147">
      <formula>AND(B$9&gt;=14/24,B$9&lt;20/24)</formula>
    </cfRule>
    <cfRule type="expression" dxfId="8978" priority="148">
      <formula>AND(B$9&gt;=8/24,B$9&lt;14/24)</formula>
    </cfRule>
    <cfRule type="expression" dxfId="8977" priority="149">
      <formula>B$9&lt;8/24</formula>
    </cfRule>
  </conditionalFormatting>
  <conditionalFormatting sqref="A71">
    <cfRule type="expression" dxfId="8976" priority="145">
      <formula>$AH71=0</formula>
    </cfRule>
  </conditionalFormatting>
  <conditionalFormatting sqref="AL32:AL33 AL7:AL30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2:X89">
    <cfRule type="expression" dxfId="8975" priority="133">
      <formula>B$9&gt;=20/24</formula>
    </cfRule>
    <cfRule type="expression" dxfId="8974" priority="134">
      <formula>AND(B$9&gt;=14/24,B$9&lt;20/24)</formula>
    </cfRule>
    <cfRule type="expression" dxfId="8973" priority="135">
      <formula>AND(B$9&gt;=8/24,B$9&lt;14/24)</formula>
    </cfRule>
    <cfRule type="expression" dxfId="8972" priority="136">
      <formula>B$9&lt;8/24</formula>
    </cfRule>
  </conditionalFormatting>
  <conditionalFormatting sqref="D92:E92 D93:L95 B92:C95">
    <cfRule type="expression" dxfId="8971" priority="125">
      <formula>B$9&gt;=20/24</formula>
    </cfRule>
    <cfRule type="expression" dxfId="8970" priority="126">
      <formula>AND(B$9&gt;=14/24,B$9&lt;20/24)</formula>
    </cfRule>
    <cfRule type="expression" dxfId="8969" priority="127">
      <formula>AND(B$9&gt;=8/24,B$9&lt;14/24)</formula>
    </cfRule>
    <cfRule type="expression" dxfId="8968" priority="128">
      <formula>B$9&lt;8/24</formula>
    </cfRule>
  </conditionalFormatting>
  <conditionalFormatting sqref="M93:Q95 N92:Q92 R92:X95">
    <cfRule type="expression" dxfId="8967" priority="121">
      <formula>M$9&gt;=20/24</formula>
    </cfRule>
    <cfRule type="expression" dxfId="8966" priority="122">
      <formula>AND(M$9&gt;=14/24,M$9&lt;20/24)</formula>
    </cfRule>
    <cfRule type="expression" dxfId="8965" priority="123">
      <formula>AND(M$9&gt;=8/24,M$9&lt;14/24)</formula>
    </cfRule>
    <cfRule type="expression" dxfId="8964" priority="124">
      <formula>M$9&lt;8/24</formula>
    </cfRule>
  </conditionalFormatting>
  <conditionalFormatting sqref="B96:L96">
    <cfRule type="expression" dxfId="8963" priority="113">
      <formula>B$9&gt;=20/24</formula>
    </cfRule>
    <cfRule type="expression" dxfId="8962" priority="114">
      <formula>AND(B$9&gt;=14/24,B$9&lt;20/24)</formula>
    </cfRule>
    <cfRule type="expression" dxfId="8961" priority="115">
      <formula>AND(B$9&gt;=8/24,B$9&lt;14/24)</formula>
    </cfRule>
    <cfRule type="expression" dxfId="8960" priority="116">
      <formula>B$9&lt;8/24</formula>
    </cfRule>
  </conditionalFormatting>
  <conditionalFormatting sqref="M96:X96">
    <cfRule type="expression" dxfId="8959" priority="109">
      <formula>M$9&gt;=20/24</formula>
    </cfRule>
    <cfRule type="expression" dxfId="8958" priority="110">
      <formula>AND(M$9&gt;=14/24,M$9&lt;20/24)</formula>
    </cfRule>
    <cfRule type="expression" dxfId="8957" priority="111">
      <formula>AND(M$9&gt;=8/24,M$9&lt;14/24)</formula>
    </cfRule>
    <cfRule type="expression" dxfId="8956" priority="112">
      <formula>M$9&lt;8/24</formula>
    </cfRule>
  </conditionalFormatting>
  <conditionalFormatting sqref="L92:M92">
    <cfRule type="expression" dxfId="8955" priority="101">
      <formula>L$9&gt;=20/24</formula>
    </cfRule>
    <cfRule type="expression" dxfId="8954" priority="102">
      <formula>AND(L$9&gt;=14/24,L$9&lt;20/24)</formula>
    </cfRule>
    <cfRule type="expression" dxfId="8953" priority="103">
      <formula>AND(L$9&gt;=8/24,L$9&lt;14/24)</formula>
    </cfRule>
    <cfRule type="expression" dxfId="8952" priority="104">
      <formula>L$9&lt;8/24</formula>
    </cfRule>
  </conditionalFormatting>
  <conditionalFormatting sqref="F92:K92">
    <cfRule type="expression" dxfId="8951" priority="97">
      <formula>F$9&gt;=20/24</formula>
    </cfRule>
    <cfRule type="expression" dxfId="8950" priority="98">
      <formula>AND(F$9&gt;=14/24,F$9&lt;20/24)</formula>
    </cfRule>
    <cfRule type="expression" dxfId="8949" priority="99">
      <formula>AND(F$9&gt;=8/24,F$9&lt;14/24)</formula>
    </cfRule>
    <cfRule type="expression" dxfId="8948" priority="100">
      <formula>F$9&lt;8/24</formula>
    </cfRule>
  </conditionalFormatting>
  <conditionalFormatting sqref="M92:X92">
    <cfRule type="expression" dxfId="8947" priority="89">
      <formula>M$9&gt;=20/24</formula>
    </cfRule>
    <cfRule type="expression" dxfId="8946" priority="90">
      <formula>AND(M$9&gt;=14/24,M$9&lt;20/24)</formula>
    </cfRule>
    <cfRule type="expression" dxfId="8945" priority="91">
      <formula>AND(M$9&gt;=8/24,M$9&lt;14/24)</formula>
    </cfRule>
    <cfRule type="expression" dxfId="8944" priority="92">
      <formula>M$9&lt;8/24</formula>
    </cfRule>
  </conditionalFormatting>
  <conditionalFormatting sqref="AA97:AF97">
    <cfRule type="expression" dxfId="8943" priority="85">
      <formula>AA$9&gt;=20/24</formula>
    </cfRule>
    <cfRule type="expression" dxfId="8942" priority="86">
      <formula>AND(AA$9&gt;=14/24,AA$9&lt;20/24)</formula>
    </cfRule>
    <cfRule type="expression" dxfId="8941" priority="87">
      <formula>AND(AA$9&gt;=8/24,AA$9&lt;14/24)</formula>
    </cfRule>
    <cfRule type="expression" dxfId="8940" priority="88">
      <formula>AA$9&lt;8/24</formula>
    </cfRule>
  </conditionalFormatting>
  <conditionalFormatting sqref="Y97:Z97">
    <cfRule type="expression" dxfId="8939" priority="81">
      <formula>Y$9&gt;=20/24</formula>
    </cfRule>
    <cfRule type="expression" dxfId="8938" priority="82">
      <formula>AND(Y$9&gt;=14/24,Y$9&lt;20/24)</formula>
    </cfRule>
    <cfRule type="expression" dxfId="8937" priority="83">
      <formula>AND(Y$9&gt;=8/24,Y$9&lt;14/24)</formula>
    </cfRule>
    <cfRule type="expression" dxfId="8936" priority="84">
      <formula>Y$9&lt;8/24</formula>
    </cfRule>
  </conditionalFormatting>
  <conditionalFormatting sqref="A97">
    <cfRule type="expression" dxfId="8935" priority="80">
      <formula>$AH97=0</formula>
    </cfRule>
  </conditionalFormatting>
  <conditionalFormatting sqref="B97:L97">
    <cfRule type="expression" dxfId="8934" priority="76">
      <formula>B$9&gt;=20/24</formula>
    </cfRule>
    <cfRule type="expression" dxfId="8933" priority="77">
      <formula>AND(B$9&gt;=14/24,B$9&lt;20/24)</formula>
    </cfRule>
    <cfRule type="expression" dxfId="8932" priority="78">
      <formula>AND(B$9&gt;=8/24,B$9&lt;14/24)</formula>
    </cfRule>
    <cfRule type="expression" dxfId="8931" priority="79">
      <formula>B$9&lt;8/24</formula>
    </cfRule>
  </conditionalFormatting>
  <conditionalFormatting sqref="M97:X97">
    <cfRule type="expression" dxfId="8930" priority="72">
      <formula>M$9&gt;=20/24</formula>
    </cfRule>
    <cfRule type="expression" dxfId="8929" priority="73">
      <formula>AND(M$9&gt;=14/24,M$9&lt;20/24)</formula>
    </cfRule>
    <cfRule type="expression" dxfId="8928" priority="74">
      <formula>AND(M$9&gt;=8/24,M$9&lt;14/24)</formula>
    </cfRule>
    <cfRule type="expression" dxfId="8927" priority="75">
      <formula>M$9&lt;8/24</formula>
    </cfRule>
  </conditionalFormatting>
  <conditionalFormatting sqref="AA56:AD57">
    <cfRule type="expression" dxfId="8926" priority="52">
      <formula>AA$9&gt;=20/24</formula>
    </cfRule>
    <cfRule type="expression" dxfId="8925" priority="53">
      <formula>AND(AA$9&gt;=14/24,AA$9&lt;20/24)</formula>
    </cfRule>
    <cfRule type="expression" dxfId="8924" priority="54">
      <formula>AND(AA$9&gt;=8/24,AA$9&lt;14/24)</formula>
    </cfRule>
    <cfRule type="expression" dxfId="8923" priority="55">
      <formula>AA$9&lt;8/24</formula>
    </cfRule>
  </conditionalFormatting>
  <conditionalFormatting sqref="L35:L36 L18:N31">
    <cfRule type="expression" dxfId="8922" priority="48">
      <formula>L$9&gt;=20/24</formula>
    </cfRule>
    <cfRule type="expression" dxfId="8921" priority="49">
      <formula>AND(L$9&gt;=14/24,L$9&lt;20/24)</formula>
    </cfRule>
    <cfRule type="expression" dxfId="8920" priority="50">
      <formula>AND(L$9&gt;=8/24,L$9&lt;14/24)</formula>
    </cfRule>
    <cfRule type="expression" dxfId="8919" priority="51">
      <formula>L$9&lt;8/24</formula>
    </cfRule>
  </conditionalFormatting>
  <conditionalFormatting sqref="L33:N33">
    <cfRule type="expression" dxfId="8918" priority="44">
      <formula>L$9&gt;=20/24</formula>
    </cfRule>
    <cfRule type="expression" dxfId="8917" priority="45">
      <formula>AND(L$9&gt;=14/24,L$9&lt;20/24)</formula>
    </cfRule>
    <cfRule type="expression" dxfId="8916" priority="46">
      <formula>AND(L$9&gt;=8/24,L$9&lt;14/24)</formula>
    </cfRule>
    <cfRule type="expression" dxfId="8915" priority="47">
      <formula>L$9&lt;8/24</formula>
    </cfRule>
  </conditionalFormatting>
  <conditionalFormatting sqref="L33:L36 L18:N31 M33:N34">
    <cfRule type="expression" dxfId="8914" priority="43">
      <formula>L18&gt;$AG18</formula>
    </cfRule>
  </conditionalFormatting>
  <conditionalFormatting sqref="L34:N34">
    <cfRule type="expression" dxfId="8913" priority="39">
      <formula>L$9&gt;=20/24</formula>
    </cfRule>
    <cfRule type="expression" dxfId="8912" priority="40">
      <formula>AND(L$9&gt;=14/24,L$9&lt;20/24)</formula>
    </cfRule>
    <cfRule type="expression" dxfId="8911" priority="41">
      <formula>AND(L$9&gt;=8/24,L$9&lt;14/24)</formula>
    </cfRule>
    <cfRule type="expression" dxfId="8910" priority="42">
      <formula>L$9&lt;8/24</formula>
    </cfRule>
  </conditionalFormatting>
  <conditionalFormatting sqref="L32:N32">
    <cfRule type="expression" dxfId="8909" priority="35">
      <formula>L$9&gt;=20/24</formula>
    </cfRule>
    <cfRule type="expression" dxfId="8908" priority="36">
      <formula>AND(L$9&gt;=14/24,L$9&lt;20/24)</formula>
    </cfRule>
    <cfRule type="expression" dxfId="8907" priority="37">
      <formula>AND(L$9&gt;=8/24,L$9&lt;14/24)</formula>
    </cfRule>
    <cfRule type="expression" dxfId="8906" priority="38">
      <formula>L$9&lt;8/24</formula>
    </cfRule>
  </conditionalFormatting>
  <conditionalFormatting sqref="L32:N32">
    <cfRule type="expression" dxfId="8905" priority="34">
      <formula>L32&gt;$AG32</formula>
    </cfRule>
  </conditionalFormatting>
  <conditionalFormatting sqref="Q22:X31">
    <cfRule type="expression" dxfId="8904" priority="30">
      <formula>Q$9&gt;=20/24</formula>
    </cfRule>
    <cfRule type="expression" dxfId="8903" priority="31">
      <formula>AND(Q$9&gt;=14/24,Q$9&lt;20/24)</formula>
    </cfRule>
    <cfRule type="expression" dxfId="8902" priority="32">
      <formula>AND(Q$9&gt;=8/24,Q$9&lt;14/24)</formula>
    </cfRule>
    <cfRule type="expression" dxfId="8901" priority="33">
      <formula>Q$9&lt;8/24</formula>
    </cfRule>
  </conditionalFormatting>
  <conditionalFormatting sqref="Q33:X33">
    <cfRule type="expression" dxfId="8900" priority="26">
      <formula>Q$9&gt;=20/24</formula>
    </cfRule>
    <cfRule type="expression" dxfId="8899" priority="27">
      <formula>AND(Q$9&gt;=14/24,Q$9&lt;20/24)</formula>
    </cfRule>
    <cfRule type="expression" dxfId="8898" priority="28">
      <formula>AND(Q$9&gt;=8/24,Q$9&lt;14/24)</formula>
    </cfRule>
    <cfRule type="expression" dxfId="8897" priority="29">
      <formula>Q$9&lt;8/24</formula>
    </cfRule>
  </conditionalFormatting>
  <conditionalFormatting sqref="Q22:X31 Q33:X33">
    <cfRule type="expression" dxfId="8896" priority="25">
      <formula>Q22&gt;$AG22</formula>
    </cfRule>
  </conditionalFormatting>
  <conditionalFormatting sqref="Q32:X32">
    <cfRule type="expression" dxfId="8895" priority="21">
      <formula>Q$9&gt;=20/24</formula>
    </cfRule>
    <cfRule type="expression" dxfId="8894" priority="22">
      <formula>AND(Q$9&gt;=14/24,Q$9&lt;20/24)</formula>
    </cfRule>
    <cfRule type="expression" dxfId="8893" priority="23">
      <formula>AND(Q$9&gt;=8/24,Q$9&lt;14/24)</formula>
    </cfRule>
    <cfRule type="expression" dxfId="8892" priority="24">
      <formula>Q$9&lt;8/24</formula>
    </cfRule>
  </conditionalFormatting>
  <conditionalFormatting sqref="Q32:X32">
    <cfRule type="expression" dxfId="8891" priority="20">
      <formula>Q32&gt;$AG32</formula>
    </cfRule>
  </conditionalFormatting>
  <conditionalFormatting sqref="Z82:Z89">
    <cfRule type="expression" dxfId="8890" priority="14">
      <formula>Z$9&gt;=20/24</formula>
    </cfRule>
    <cfRule type="expression" dxfId="8889" priority="15">
      <formula>AND(Z$9&gt;=14/24,Z$9&lt;20/24)</formula>
    </cfRule>
    <cfRule type="expression" dxfId="8888" priority="16">
      <formula>AND(Z$9&gt;=8/24,Z$9&lt;14/24)</formula>
    </cfRule>
    <cfRule type="expression" dxfId="8887" priority="17">
      <formula>Z$9&lt;8/24</formula>
    </cfRule>
  </conditionalFormatting>
  <conditionalFormatting sqref="Y82:Y89">
    <cfRule type="expression" dxfId="8886" priority="10">
      <formula>Y$9&gt;=20/24</formula>
    </cfRule>
    <cfRule type="expression" dxfId="8885" priority="11">
      <formula>AND(Y$9&gt;=14/24,Y$9&lt;20/24)</formula>
    </cfRule>
    <cfRule type="expression" dxfId="8884" priority="12">
      <formula>AND(Y$9&gt;=8/24,Y$9&lt;14/24)</formula>
    </cfRule>
    <cfRule type="expression" dxfId="8883" priority="13">
      <formula>Y$9&lt;8/24</formula>
    </cfRule>
  </conditionalFormatting>
  <conditionalFormatting sqref="Y55:Z65 AA58:AA65 AB60:AC65">
    <cfRule type="expression" dxfId="8882" priority="6">
      <formula>Y$9&gt;=20/24</formula>
    </cfRule>
    <cfRule type="expression" dxfId="8881" priority="7">
      <formula>AND(Y$9&gt;=14/24,Y$9&lt;20/24)</formula>
    </cfRule>
    <cfRule type="expression" dxfId="8880" priority="8">
      <formula>AND(Y$9&gt;=8/24,Y$9&lt;14/24)</formula>
    </cfRule>
    <cfRule type="expression" dxfId="8879" priority="9">
      <formula>Y$9&lt;8/24</formula>
    </cfRule>
  </conditionalFormatting>
  <conditionalFormatting sqref="Y51:AB53">
    <cfRule type="expression" dxfId="8878" priority="2">
      <formula>Y$9&gt;=20/24</formula>
    </cfRule>
    <cfRule type="expression" dxfId="8877" priority="3">
      <formula>AND(Y$9&gt;=14/24,Y$9&lt;20/24)</formula>
    </cfRule>
    <cfRule type="expression" dxfId="8876" priority="4">
      <formula>AND(Y$9&gt;=8/24,Y$9&lt;14/24)</formula>
    </cfRule>
    <cfRule type="expression" dxfId="8875" priority="5">
      <formula>Y$9&lt;8/24</formula>
    </cfRule>
  </conditionalFormatting>
  <conditionalFormatting sqref="Y51:AB53">
    <cfRule type="expression" dxfId="8874" priority="1">
      <formula>Y51&gt;$AG51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30" sqref="AK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2078/04/7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-57</v>
      </c>
      <c r="C5" s="32">
        <f t="shared" ref="C5:AF5" si="0">C66</f>
        <v>-62</v>
      </c>
      <c r="D5" s="32">
        <f t="shared" si="0"/>
        <v>-43.5</v>
      </c>
      <c r="E5" s="32">
        <f t="shared" si="0"/>
        <v>-50.7</v>
      </c>
      <c r="F5" s="32">
        <f t="shared" si="0"/>
        <v>8</v>
      </c>
      <c r="G5" s="32">
        <f t="shared" si="0"/>
        <v>-19.899999999999999</v>
      </c>
      <c r="H5" s="32">
        <f t="shared" si="0"/>
        <v>-57.3</v>
      </c>
      <c r="I5" s="32">
        <f t="shared" si="0"/>
        <v>-27.5</v>
      </c>
      <c r="J5" s="32">
        <f t="shared" si="0"/>
        <v>0</v>
      </c>
      <c r="K5" s="32">
        <f t="shared" si="0"/>
        <v>-17.5</v>
      </c>
      <c r="L5" s="32">
        <f t="shared" si="0"/>
        <v>-28.8</v>
      </c>
      <c r="M5" s="32">
        <f t="shared" si="0"/>
        <v>-27</v>
      </c>
      <c r="N5" s="32">
        <f t="shared" si="0"/>
        <v>-50</v>
      </c>
      <c r="O5" s="32">
        <f t="shared" si="0"/>
        <v>-17.3</v>
      </c>
      <c r="P5" s="32">
        <f t="shared" si="0"/>
        <v>9.5</v>
      </c>
      <c r="Q5" s="32">
        <f t="shared" si="0"/>
        <v>-23.2</v>
      </c>
      <c r="R5" s="32">
        <f t="shared" si="0"/>
        <v>-25.7</v>
      </c>
      <c r="S5" s="32">
        <f t="shared" si="0"/>
        <v>-37.9</v>
      </c>
      <c r="T5" s="32">
        <f t="shared" si="0"/>
        <v>-9.3000000000000007</v>
      </c>
      <c r="U5" s="32">
        <f t="shared" si="0"/>
        <v>-28.9</v>
      </c>
      <c r="V5" s="32">
        <f t="shared" si="0"/>
        <v>-25</v>
      </c>
      <c r="W5" s="32">
        <f t="shared" si="0"/>
        <v>-7.7</v>
      </c>
      <c r="X5" s="32">
        <f t="shared" si="0"/>
        <v>-30</v>
      </c>
      <c r="Y5" s="32">
        <f t="shared" si="0"/>
        <v>7.7999999999999972</v>
      </c>
      <c r="Z5" s="32">
        <f t="shared" si="0"/>
        <v>2.8999999999999986</v>
      </c>
      <c r="AA5" s="32">
        <f t="shared" si="0"/>
        <v>-81.800000000000011</v>
      </c>
      <c r="AB5" s="32">
        <f t="shared" si="0"/>
        <v>-101.4</v>
      </c>
      <c r="AC5" s="32">
        <f t="shared" si="0"/>
        <v>-140.1</v>
      </c>
      <c r="AD5" s="32">
        <f t="shared" si="0"/>
        <v>-150.16</v>
      </c>
      <c r="AE5" s="32">
        <f t="shared" si="0"/>
        <v>-149.79999999999998</v>
      </c>
      <c r="AF5" s="32">
        <f t="shared" si="0"/>
        <v>-110.9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1227MW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2012.74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Load=1033</v>
      </c>
      <c r="B7" s="37">
        <f t="shared" ref="B7:AF7" si="1">B73</f>
        <v>1108.24</v>
      </c>
      <c r="C7" s="37">
        <f t="shared" si="1"/>
        <v>1078.24</v>
      </c>
      <c r="D7" s="37">
        <f t="shared" si="1"/>
        <v>1074.24</v>
      </c>
      <c r="E7" s="37">
        <f t="shared" si="1"/>
        <v>1032.54</v>
      </c>
      <c r="F7" s="37">
        <f t="shared" si="1"/>
        <v>1057.24</v>
      </c>
      <c r="G7" s="37">
        <f t="shared" si="1"/>
        <v>1066.6400000000001</v>
      </c>
      <c r="H7" s="37">
        <f t="shared" si="1"/>
        <v>1074.6399999999999</v>
      </c>
      <c r="I7" s="37">
        <f t="shared" si="1"/>
        <v>1110.44</v>
      </c>
      <c r="J7" s="37">
        <f t="shared" si="1"/>
        <v>1142.94</v>
      </c>
      <c r="K7" s="37">
        <f t="shared" si="1"/>
        <v>1195.8399999999999</v>
      </c>
      <c r="L7" s="37">
        <f>L73</f>
        <v>1221.54</v>
      </c>
      <c r="M7" s="37">
        <f t="shared" si="1"/>
        <v>1227.04</v>
      </c>
      <c r="N7" s="37">
        <f t="shared" si="1"/>
        <v>1225.04</v>
      </c>
      <c r="O7" s="37">
        <f t="shared" si="1"/>
        <v>1275.3399999999999</v>
      </c>
      <c r="P7" s="37">
        <f t="shared" si="1"/>
        <v>1332.74</v>
      </c>
      <c r="Q7" s="37">
        <f t="shared" si="1"/>
        <v>1295.44</v>
      </c>
      <c r="R7" s="37">
        <f t="shared" si="1"/>
        <v>1279.04</v>
      </c>
      <c r="S7" s="37">
        <f t="shared" si="1"/>
        <v>1230.6399999999999</v>
      </c>
      <c r="T7" s="37">
        <f t="shared" si="1"/>
        <v>1279.24</v>
      </c>
      <c r="U7" s="37">
        <f t="shared" si="1"/>
        <v>1200.74</v>
      </c>
      <c r="V7" s="37">
        <f t="shared" si="1"/>
        <v>1254.6399999999999</v>
      </c>
      <c r="W7" s="37">
        <f t="shared" si="1"/>
        <v>1343.74</v>
      </c>
      <c r="X7" s="37">
        <f t="shared" si="1"/>
        <v>1483.44</v>
      </c>
      <c r="Y7" s="37">
        <f t="shared" si="1"/>
        <v>1523.24</v>
      </c>
      <c r="Z7" s="37">
        <f t="shared" si="1"/>
        <v>1516.84</v>
      </c>
      <c r="AA7" s="37">
        <f t="shared" si="1"/>
        <v>1438.96</v>
      </c>
      <c r="AB7" s="37">
        <f t="shared" si="1"/>
        <v>1419.54</v>
      </c>
      <c r="AC7" s="37">
        <f t="shared" si="1"/>
        <v>1367.24</v>
      </c>
      <c r="AD7" s="37">
        <f t="shared" si="1"/>
        <v>1278.18</v>
      </c>
      <c r="AE7" s="37">
        <f t="shared" si="1"/>
        <v>1211.74</v>
      </c>
      <c r="AF7" s="37">
        <f t="shared" si="1"/>
        <v>1195.94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3">
        <v>185</v>
      </c>
      <c r="C11" s="53">
        <v>185</v>
      </c>
      <c r="D11" s="53">
        <v>170</v>
      </c>
      <c r="E11" s="53">
        <v>140</v>
      </c>
      <c r="F11" s="53">
        <v>125</v>
      </c>
      <c r="G11" s="53">
        <v>145</v>
      </c>
      <c r="H11" s="53">
        <v>145</v>
      </c>
      <c r="I11" s="53">
        <v>145</v>
      </c>
      <c r="J11" s="53">
        <v>145</v>
      </c>
      <c r="K11" s="49">
        <v>200</v>
      </c>
      <c r="L11" s="50">
        <v>235</v>
      </c>
      <c r="M11" s="50">
        <v>235</v>
      </c>
      <c r="N11" s="50">
        <v>256</v>
      </c>
      <c r="O11" s="50">
        <v>275</v>
      </c>
      <c r="P11" s="50">
        <v>300</v>
      </c>
      <c r="Q11" s="51">
        <v>300</v>
      </c>
      <c r="R11" s="52">
        <v>280</v>
      </c>
      <c r="S11" s="52">
        <v>250</v>
      </c>
      <c r="T11" s="52">
        <v>270</v>
      </c>
      <c r="U11" s="52">
        <v>250</v>
      </c>
      <c r="V11" s="52">
        <v>300</v>
      </c>
      <c r="W11" s="52">
        <v>330</v>
      </c>
      <c r="X11" s="52">
        <v>380</v>
      </c>
      <c r="Y11" s="52">
        <v>382</v>
      </c>
      <c r="Z11" s="52">
        <v>382</v>
      </c>
      <c r="AA11" s="52">
        <v>382</v>
      </c>
      <c r="AB11" s="52">
        <v>382</v>
      </c>
      <c r="AC11" s="52">
        <v>382</v>
      </c>
      <c r="AD11" s="52">
        <v>350</v>
      </c>
      <c r="AE11" s="52">
        <v>300</v>
      </c>
      <c r="AF11" s="52">
        <v>300</v>
      </c>
      <c r="AG11" s="54">
        <v>456</v>
      </c>
      <c r="AH11" s="55">
        <f>MAX(B11:AF11)</f>
        <v>382</v>
      </c>
      <c r="AI11" s="56">
        <f>MIN(B11:AF11)</f>
        <v>125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45</v>
      </c>
      <c r="C12" s="50">
        <v>45</v>
      </c>
      <c r="D12" s="50">
        <v>45</v>
      </c>
      <c r="E12" s="50">
        <v>45</v>
      </c>
      <c r="F12" s="50">
        <v>45</v>
      </c>
      <c r="G12" s="50">
        <v>55</v>
      </c>
      <c r="H12" s="50">
        <v>60</v>
      </c>
      <c r="I12" s="50">
        <v>60</v>
      </c>
      <c r="J12" s="50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9">
        <v>60</v>
      </c>
      <c r="AB12" s="59">
        <v>60</v>
      </c>
      <c r="AC12" s="59">
        <v>60</v>
      </c>
      <c r="AD12" s="59">
        <v>60</v>
      </c>
      <c r="AE12" s="59">
        <v>60</v>
      </c>
      <c r="AF12" s="5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45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36</v>
      </c>
      <c r="C14" s="50">
        <v>36</v>
      </c>
      <c r="D14" s="50">
        <v>36.5</v>
      </c>
      <c r="E14" s="50">
        <v>36.5</v>
      </c>
      <c r="F14" s="50">
        <v>36.5</v>
      </c>
      <c r="G14" s="50">
        <v>36.5</v>
      </c>
      <c r="H14" s="50">
        <v>45.7</v>
      </c>
      <c r="I14" s="50">
        <v>45.7</v>
      </c>
      <c r="J14" s="50">
        <v>45.7</v>
      </c>
      <c r="K14" s="62">
        <v>45.7</v>
      </c>
      <c r="L14" s="50">
        <v>45.7</v>
      </c>
      <c r="M14" s="50">
        <v>45.7</v>
      </c>
      <c r="N14" s="50">
        <v>45.7</v>
      </c>
      <c r="O14" s="50">
        <v>45.8</v>
      </c>
      <c r="P14" s="50">
        <v>45.7</v>
      </c>
      <c r="Q14" s="50">
        <v>45.8</v>
      </c>
      <c r="R14" s="61">
        <v>45.7</v>
      </c>
      <c r="S14" s="61">
        <v>45.8</v>
      </c>
      <c r="T14" s="61">
        <v>45.8</v>
      </c>
      <c r="U14" s="61">
        <v>45.8</v>
      </c>
      <c r="V14" s="61">
        <v>45.8</v>
      </c>
      <c r="W14" s="61">
        <v>45.8</v>
      </c>
      <c r="X14" s="61">
        <v>45.8</v>
      </c>
      <c r="Y14" s="61">
        <v>45.8</v>
      </c>
      <c r="Z14" s="61">
        <v>45.8</v>
      </c>
      <c r="AA14" s="61">
        <v>45.8</v>
      </c>
      <c r="AB14" s="61">
        <v>45.8</v>
      </c>
      <c r="AC14" s="61">
        <v>45.8</v>
      </c>
      <c r="AD14" s="61">
        <v>45.8</v>
      </c>
      <c r="AE14" s="61">
        <v>45.8</v>
      </c>
      <c r="AF14" s="61">
        <v>45.8</v>
      </c>
      <c r="AG14" s="63">
        <v>50</v>
      </c>
      <c r="AH14" s="55">
        <f t="shared" si="2"/>
        <v>45.8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50">
        <v>26</v>
      </c>
      <c r="E15" s="50">
        <v>26</v>
      </c>
      <c r="F15" s="50">
        <v>26</v>
      </c>
      <c r="G15" s="50">
        <v>26</v>
      </c>
      <c r="H15" s="50">
        <v>26</v>
      </c>
      <c r="I15" s="50">
        <v>26</v>
      </c>
      <c r="J15" s="50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28</v>
      </c>
      <c r="Y15" s="84">
        <v>28</v>
      </c>
      <c r="Z15" s="84">
        <v>28</v>
      </c>
      <c r="AA15" s="84">
        <v>28</v>
      </c>
      <c r="AB15" s="84">
        <v>28</v>
      </c>
      <c r="AC15" s="84">
        <v>28</v>
      </c>
      <c r="AD15" s="84">
        <v>28</v>
      </c>
      <c r="AE15" s="84">
        <v>28</v>
      </c>
      <c r="AF15" s="84">
        <v>28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20</v>
      </c>
      <c r="C16" s="50">
        <v>20</v>
      </c>
      <c r="D16" s="50">
        <v>20</v>
      </c>
      <c r="E16" s="50">
        <v>20</v>
      </c>
      <c r="F16" s="50">
        <v>20</v>
      </c>
      <c r="G16" s="50">
        <v>21</v>
      </c>
      <c r="H16" s="50">
        <v>21</v>
      </c>
      <c r="I16" s="50">
        <v>23</v>
      </c>
      <c r="J16" s="50">
        <v>23</v>
      </c>
      <c r="K16" s="49">
        <v>23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14</v>
      </c>
      <c r="V16" s="61">
        <v>14</v>
      </c>
      <c r="W16" s="61">
        <v>25</v>
      </c>
      <c r="X16" s="61">
        <v>25</v>
      </c>
      <c r="Y16" s="61">
        <v>25</v>
      </c>
      <c r="Z16" s="61">
        <v>25</v>
      </c>
      <c r="AA16" s="61">
        <v>25</v>
      </c>
      <c r="AB16" s="61">
        <v>25</v>
      </c>
      <c r="AC16" s="61">
        <v>25</v>
      </c>
      <c r="AD16" s="61">
        <v>25</v>
      </c>
      <c r="AE16" s="61">
        <v>25</v>
      </c>
      <c r="AF16" s="61">
        <v>25</v>
      </c>
      <c r="AG16" s="60">
        <v>42</v>
      </c>
      <c r="AH16" s="55">
        <f t="shared" si="2"/>
        <v>25</v>
      </c>
      <c r="AI16" s="56">
        <f t="shared" si="3"/>
        <v>14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24.9</v>
      </c>
      <c r="C18" s="50">
        <v>20</v>
      </c>
      <c r="D18" s="50">
        <v>20.3</v>
      </c>
      <c r="E18" s="50">
        <v>20.3</v>
      </c>
      <c r="F18" s="50">
        <v>20.3</v>
      </c>
      <c r="G18" s="50">
        <v>25.5</v>
      </c>
      <c r="H18" s="50">
        <v>25.5</v>
      </c>
      <c r="I18" s="50">
        <v>25.5</v>
      </c>
      <c r="J18" s="50">
        <v>25.5</v>
      </c>
      <c r="K18" s="49">
        <v>25.5</v>
      </c>
      <c r="L18" s="50">
        <v>25.5</v>
      </c>
      <c r="M18" s="50">
        <v>25.5</v>
      </c>
      <c r="N18" s="50">
        <v>25.5</v>
      </c>
      <c r="O18" s="50">
        <v>25.5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7</v>
      </c>
      <c r="V18" s="50">
        <v>7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60">
        <v>30</v>
      </c>
      <c r="AH18" s="55">
        <f t="shared" si="2"/>
        <v>25.5</v>
      </c>
      <c r="AI18" s="56">
        <f t="shared" si="3"/>
        <v>7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</v>
      </c>
      <c r="C22" s="50">
        <v>22</v>
      </c>
      <c r="D22" s="50">
        <v>17</v>
      </c>
      <c r="E22" s="50">
        <v>17</v>
      </c>
      <c r="F22" s="50">
        <v>17</v>
      </c>
      <c r="G22" s="50">
        <v>17</v>
      </c>
      <c r="H22" s="50">
        <v>22</v>
      </c>
      <c r="I22" s="50">
        <v>22</v>
      </c>
      <c r="J22" s="50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17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50">
        <v>17</v>
      </c>
      <c r="E23" s="50">
        <v>17</v>
      </c>
      <c r="F23" s="50">
        <v>17</v>
      </c>
      <c r="G23" s="50">
        <v>17</v>
      </c>
      <c r="H23" s="50">
        <v>17</v>
      </c>
      <c r="I23" s="50">
        <v>17</v>
      </c>
      <c r="J23" s="50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16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16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18</v>
      </c>
      <c r="C24" s="50">
        <v>18</v>
      </c>
      <c r="D24" s="50">
        <v>18</v>
      </c>
      <c r="E24" s="50">
        <v>18</v>
      </c>
      <c r="F24" s="50">
        <v>18</v>
      </c>
      <c r="G24" s="50">
        <v>18</v>
      </c>
      <c r="H24" s="50">
        <v>18</v>
      </c>
      <c r="I24" s="50">
        <v>22</v>
      </c>
      <c r="J24" s="50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18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49">
        <v>0</v>
      </c>
      <c r="L25" s="50">
        <v>0</v>
      </c>
      <c r="M25" s="50">
        <v>0</v>
      </c>
      <c r="N25" s="50">
        <v>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4</v>
      </c>
      <c r="V25" s="50">
        <v>4</v>
      </c>
      <c r="W25" s="50">
        <v>16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15</v>
      </c>
      <c r="AD25" s="50">
        <v>15</v>
      </c>
      <c r="AE25" s="50">
        <v>15</v>
      </c>
      <c r="AF25" s="50">
        <v>2.5</v>
      </c>
      <c r="AG25" s="60"/>
      <c r="AH25" s="55">
        <f t="shared" si="2"/>
        <v>20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12.6</v>
      </c>
      <c r="C28" s="50">
        <v>12.6</v>
      </c>
      <c r="D28" s="50">
        <v>12.6</v>
      </c>
      <c r="E28" s="50">
        <v>12.6</v>
      </c>
      <c r="F28" s="50">
        <v>12.6</v>
      </c>
      <c r="G28" s="50">
        <v>12.6</v>
      </c>
      <c r="H28" s="50">
        <v>12.6</v>
      </c>
      <c r="I28" s="50">
        <v>12.6</v>
      </c>
      <c r="J28" s="50">
        <v>12.6</v>
      </c>
      <c r="K28" s="50">
        <v>12.6</v>
      </c>
      <c r="L28" s="50">
        <v>12.6</v>
      </c>
      <c r="M28" s="50">
        <v>12.6</v>
      </c>
      <c r="N28" s="50">
        <v>12.6</v>
      </c>
      <c r="O28" s="50">
        <v>12.6</v>
      </c>
      <c r="P28" s="50">
        <v>12.6</v>
      </c>
      <c r="Q28" s="50">
        <v>12.6</v>
      </c>
      <c r="R28" s="50">
        <v>12.6</v>
      </c>
      <c r="S28" s="50">
        <v>12.6</v>
      </c>
      <c r="T28" s="50">
        <v>12.6</v>
      </c>
      <c r="U28" s="50">
        <v>12.6</v>
      </c>
      <c r="V28" s="50">
        <v>12.6</v>
      </c>
      <c r="W28" s="50">
        <v>12.6</v>
      </c>
      <c r="X28" s="50">
        <v>12.6</v>
      </c>
      <c r="Y28" s="50">
        <v>12.6</v>
      </c>
      <c r="Z28" s="50">
        <v>12.6</v>
      </c>
      <c r="AA28" s="50">
        <v>12.6</v>
      </c>
      <c r="AB28" s="50">
        <v>12.6</v>
      </c>
      <c r="AC28" s="50">
        <v>12.6</v>
      </c>
      <c r="AD28" s="50">
        <v>12.6</v>
      </c>
      <c r="AE28" s="50">
        <v>12.6</v>
      </c>
      <c r="AF28" s="50">
        <v>12.6</v>
      </c>
      <c r="AG28" s="60">
        <v>22.1</v>
      </c>
      <c r="AH28" s="55">
        <f t="shared" si="2"/>
        <v>12.6</v>
      </c>
      <c r="AI28" s="56">
        <f t="shared" si="3"/>
        <v>12.6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0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f>69.9+94.9</f>
        <v>164.8</v>
      </c>
      <c r="C35" s="62">
        <f>69.7+94.8</f>
        <v>164.5</v>
      </c>
      <c r="D35" s="62">
        <v>163.19999999999999</v>
      </c>
      <c r="E35" s="62">
        <v>163.80000000000001</v>
      </c>
      <c r="F35" s="62">
        <v>165</v>
      </c>
      <c r="G35" s="62">
        <v>165.5</v>
      </c>
      <c r="H35" s="62">
        <v>164.5</v>
      </c>
      <c r="I35" s="62">
        <v>164.5</v>
      </c>
      <c r="J35" s="62">
        <v>165.5</v>
      </c>
      <c r="K35" s="62">
        <v>165.2</v>
      </c>
      <c r="L35" s="70">
        <v>167</v>
      </c>
      <c r="M35" s="70">
        <v>167</v>
      </c>
      <c r="N35" s="70">
        <v>167</v>
      </c>
      <c r="O35" s="70">
        <f>92.6+72.3</f>
        <v>164.89999999999998</v>
      </c>
      <c r="P35" s="70">
        <f>92.2+72.8</f>
        <v>165</v>
      </c>
      <c r="Q35" s="70">
        <f>93.2+73.8</f>
        <v>167</v>
      </c>
      <c r="R35" s="70">
        <f>91.9+74</f>
        <v>165.9</v>
      </c>
      <c r="S35" s="70">
        <f>91.9+71.5</f>
        <v>163.4</v>
      </c>
      <c r="T35" s="70">
        <f>91.9+71.5</f>
        <v>163.4</v>
      </c>
      <c r="U35" s="70">
        <f>91.6+73.5</f>
        <v>165.1</v>
      </c>
      <c r="V35" s="70">
        <v>159</v>
      </c>
      <c r="W35" s="70">
        <v>159</v>
      </c>
      <c r="X35" s="70">
        <v>159</v>
      </c>
      <c r="Y35" s="70">
        <v>159</v>
      </c>
      <c r="Z35" s="70">
        <v>159</v>
      </c>
      <c r="AA35" s="70">
        <v>134.4</v>
      </c>
      <c r="AB35" s="70">
        <v>145.19999999999999</v>
      </c>
      <c r="AC35" s="70">
        <v>158.19999999999999</v>
      </c>
      <c r="AD35" s="70">
        <v>153.1</v>
      </c>
      <c r="AE35" s="62">
        <v>164.5</v>
      </c>
      <c r="AF35" s="62">
        <v>163.9</v>
      </c>
      <c r="AG35" s="67">
        <v>240</v>
      </c>
      <c r="AH35" s="55">
        <f t="shared" si="2"/>
        <v>167</v>
      </c>
      <c r="AI35" s="56">
        <f t="shared" si="3"/>
        <v>134.4</v>
      </c>
      <c r="AK35" s="57"/>
    </row>
    <row r="36" spans="1:88" ht="15.75" thickBot="1" x14ac:dyDescent="0.3">
      <c r="A36" s="71" t="s">
        <v>43</v>
      </c>
      <c r="B36" s="72">
        <f>SUM(B11:B34)</f>
        <v>732.59999999999991</v>
      </c>
      <c r="C36" s="72">
        <f t="shared" ref="C36:AF36" si="4">SUM(C11:C34)</f>
        <v>727.7</v>
      </c>
      <c r="D36" s="72">
        <f t="shared" si="4"/>
        <v>703.5</v>
      </c>
      <c r="E36" s="72">
        <f t="shared" si="4"/>
        <v>673.5</v>
      </c>
      <c r="F36" s="72">
        <f t="shared" si="4"/>
        <v>658.5</v>
      </c>
      <c r="G36" s="72">
        <f t="shared" si="4"/>
        <v>694.7</v>
      </c>
      <c r="H36" s="72">
        <f t="shared" si="4"/>
        <v>713.9</v>
      </c>
      <c r="I36" s="72">
        <f t="shared" si="4"/>
        <v>719.9</v>
      </c>
      <c r="J36" s="72">
        <f>SUM(J11:J34)</f>
        <v>724.9</v>
      </c>
      <c r="K36" s="72">
        <f t="shared" si="4"/>
        <v>779.9</v>
      </c>
      <c r="L36" s="72">
        <f t="shared" si="4"/>
        <v>816.9</v>
      </c>
      <c r="M36" s="72">
        <f t="shared" si="4"/>
        <v>816.9</v>
      </c>
      <c r="N36" s="72">
        <f t="shared" si="4"/>
        <v>837.9</v>
      </c>
      <c r="O36" s="72">
        <f t="shared" si="4"/>
        <v>867</v>
      </c>
      <c r="P36" s="72">
        <f t="shared" si="4"/>
        <v>891.4</v>
      </c>
      <c r="Q36" s="72">
        <f t="shared" si="4"/>
        <v>885.5</v>
      </c>
      <c r="R36" s="72">
        <f t="shared" si="4"/>
        <v>871.4</v>
      </c>
      <c r="S36" s="72">
        <f t="shared" si="4"/>
        <v>841.5</v>
      </c>
      <c r="T36" s="72">
        <f t="shared" si="4"/>
        <v>861.5</v>
      </c>
      <c r="U36" s="72">
        <f t="shared" si="4"/>
        <v>806.5</v>
      </c>
      <c r="V36" s="72">
        <f t="shared" si="4"/>
        <v>856.5</v>
      </c>
      <c r="W36" s="72">
        <f t="shared" si="4"/>
        <v>927.5</v>
      </c>
      <c r="X36" s="72">
        <f t="shared" si="4"/>
        <v>983.5</v>
      </c>
      <c r="Y36" s="72">
        <f t="shared" si="4"/>
        <v>985.5</v>
      </c>
      <c r="Z36" s="72">
        <f t="shared" si="4"/>
        <v>985.5</v>
      </c>
      <c r="AA36" s="72">
        <f t="shared" si="4"/>
        <v>985.5</v>
      </c>
      <c r="AB36" s="72">
        <f t="shared" si="4"/>
        <v>985.5</v>
      </c>
      <c r="AC36" s="72">
        <f t="shared" si="4"/>
        <v>980.5</v>
      </c>
      <c r="AD36" s="72">
        <f t="shared" si="4"/>
        <v>948.5</v>
      </c>
      <c r="AE36" s="72">
        <f t="shared" si="4"/>
        <v>898.5</v>
      </c>
      <c r="AF36" s="72">
        <f t="shared" si="4"/>
        <v>886</v>
      </c>
      <c r="AG36" s="67">
        <f>SUM(AG11:AG35)</f>
        <v>1416.83</v>
      </c>
      <c r="AH36" s="55">
        <f t="shared" si="2"/>
        <v>985.5</v>
      </c>
      <c r="AI36" s="56">
        <f t="shared" si="3"/>
        <v>658.5</v>
      </c>
      <c r="AK36" s="57"/>
    </row>
    <row r="37" spans="1:88" x14ac:dyDescent="0.25">
      <c r="A37" s="58" t="s">
        <v>44</v>
      </c>
      <c r="B37" s="49">
        <v>140.9</v>
      </c>
      <c r="C37" s="62">
        <v>140.69999999999999</v>
      </c>
      <c r="D37" s="62">
        <v>140.69999999999999</v>
      </c>
      <c r="E37" s="62">
        <v>128</v>
      </c>
      <c r="F37" s="62">
        <v>126.1</v>
      </c>
      <c r="G37" s="62">
        <v>126.1</v>
      </c>
      <c r="H37" s="62">
        <v>134.4</v>
      </c>
      <c r="I37" s="62">
        <v>134.4</v>
      </c>
      <c r="J37" s="62">
        <v>134.4</v>
      </c>
      <c r="K37" s="62">
        <v>142.19999999999999</v>
      </c>
      <c r="L37" s="50">
        <v>142.19999999999999</v>
      </c>
      <c r="M37" s="50">
        <v>142.69999999999999</v>
      </c>
      <c r="N37" s="50">
        <v>142.69999999999999</v>
      </c>
      <c r="O37" s="50">
        <v>143.5</v>
      </c>
      <c r="P37" s="50">
        <v>143</v>
      </c>
      <c r="Q37" s="50">
        <v>142.80000000000001</v>
      </c>
      <c r="R37" s="50">
        <v>142.5</v>
      </c>
      <c r="S37" s="50">
        <v>142.69999999999999</v>
      </c>
      <c r="T37" s="50">
        <v>142.69999999999999</v>
      </c>
      <c r="U37" s="50">
        <v>143.5</v>
      </c>
      <c r="V37" s="50">
        <v>143.5</v>
      </c>
      <c r="W37" s="50">
        <v>144.30000000000001</v>
      </c>
      <c r="X37" s="50">
        <v>144.30000000000001</v>
      </c>
      <c r="Y37" s="50">
        <v>144.30000000000001</v>
      </c>
      <c r="Z37" s="50">
        <v>144.19999999999999</v>
      </c>
      <c r="AA37" s="50">
        <v>144.19999999999999</v>
      </c>
      <c r="AB37" s="50">
        <v>144.19999999999999</v>
      </c>
      <c r="AC37" s="50">
        <v>144.19999999999999</v>
      </c>
      <c r="AD37" s="50">
        <v>144.19999999999999</v>
      </c>
      <c r="AE37" s="50">
        <v>143.80000000000001</v>
      </c>
      <c r="AF37" s="50">
        <v>143.80000000000001</v>
      </c>
      <c r="AG37" s="63">
        <v>144</v>
      </c>
      <c r="AH37" s="55">
        <f t="shared" si="2"/>
        <v>144.30000000000001</v>
      </c>
      <c r="AI37" s="56">
        <f t="shared" si="3"/>
        <v>126.1</v>
      </c>
      <c r="AK37" s="57"/>
    </row>
    <row r="38" spans="1:88" x14ac:dyDescent="0.25">
      <c r="A38" s="66" t="s">
        <v>45</v>
      </c>
      <c r="B38" s="62">
        <v>70</v>
      </c>
      <c r="C38" s="62">
        <v>60.7</v>
      </c>
      <c r="D38" s="62">
        <v>62.1</v>
      </c>
      <c r="E38" s="62">
        <v>69.8</v>
      </c>
      <c r="F38" s="62">
        <v>70.5</v>
      </c>
      <c r="G38" s="62">
        <v>70.5</v>
      </c>
      <c r="H38" s="62">
        <v>70.5</v>
      </c>
      <c r="I38" s="62">
        <v>70.5</v>
      </c>
      <c r="J38" s="62">
        <v>70.5</v>
      </c>
      <c r="K38" s="62">
        <v>69.3</v>
      </c>
      <c r="L38" s="52">
        <v>69.3</v>
      </c>
      <c r="M38" s="52">
        <v>70.2</v>
      </c>
      <c r="N38" s="52">
        <v>70.2</v>
      </c>
      <c r="O38" s="52">
        <v>69.900000000000006</v>
      </c>
      <c r="P38" s="52">
        <v>68.7</v>
      </c>
      <c r="Q38" s="52">
        <v>69.099999999999994</v>
      </c>
      <c r="R38" s="52">
        <v>69.400000000000006</v>
      </c>
      <c r="S38" s="52">
        <v>69.599999999999994</v>
      </c>
      <c r="T38" s="52">
        <v>69.599999999999994</v>
      </c>
      <c r="U38" s="52">
        <v>71</v>
      </c>
      <c r="V38" s="52">
        <v>71</v>
      </c>
      <c r="W38" s="52">
        <v>71</v>
      </c>
      <c r="X38" s="52">
        <v>71</v>
      </c>
      <c r="Y38" s="52">
        <v>71</v>
      </c>
      <c r="Z38" s="52">
        <v>69.7</v>
      </c>
      <c r="AA38" s="52">
        <v>69.7</v>
      </c>
      <c r="AB38" s="52">
        <v>69.7</v>
      </c>
      <c r="AC38" s="52">
        <v>69.7</v>
      </c>
      <c r="AD38" s="52">
        <v>69.7</v>
      </c>
      <c r="AE38" s="52">
        <v>66.3</v>
      </c>
      <c r="AF38" s="52">
        <v>53.3</v>
      </c>
      <c r="AG38" s="67">
        <v>70</v>
      </c>
      <c r="AH38" s="55">
        <f t="shared" si="2"/>
        <v>71</v>
      </c>
      <c r="AI38" s="56">
        <f t="shared" si="3"/>
        <v>53.3</v>
      </c>
      <c r="AK38" s="57"/>
    </row>
    <row r="39" spans="1:88" x14ac:dyDescent="0.25">
      <c r="A39" s="66" t="s">
        <v>46</v>
      </c>
      <c r="B39" s="62">
        <v>66.7</v>
      </c>
      <c r="C39" s="62">
        <v>66.7</v>
      </c>
      <c r="D39" s="62">
        <v>67</v>
      </c>
      <c r="E39" s="62">
        <v>57.3</v>
      </c>
      <c r="F39" s="62">
        <v>57.3</v>
      </c>
      <c r="G39" s="62">
        <v>58.4</v>
      </c>
      <c r="H39" s="62">
        <v>67</v>
      </c>
      <c r="I39" s="62">
        <v>67</v>
      </c>
      <c r="J39" s="62">
        <v>67</v>
      </c>
      <c r="K39" s="62">
        <v>66.8</v>
      </c>
      <c r="L39" s="52">
        <v>66.8</v>
      </c>
      <c r="M39" s="52">
        <v>68.8</v>
      </c>
      <c r="N39" s="52">
        <v>68.8</v>
      </c>
      <c r="O39" s="52">
        <v>59.6</v>
      </c>
      <c r="P39" s="52">
        <v>68</v>
      </c>
      <c r="Q39" s="52">
        <v>68.400000000000006</v>
      </c>
      <c r="R39" s="52">
        <v>68.5</v>
      </c>
      <c r="S39" s="52">
        <v>61.8</v>
      </c>
      <c r="T39" s="52">
        <v>61.8</v>
      </c>
      <c r="U39" s="52">
        <v>61.7</v>
      </c>
      <c r="V39" s="52">
        <v>61.7</v>
      </c>
      <c r="W39" s="52">
        <v>61.7</v>
      </c>
      <c r="X39" s="52">
        <v>61.7</v>
      </c>
      <c r="Y39" s="52">
        <v>61.7</v>
      </c>
      <c r="Z39" s="52">
        <v>61.7</v>
      </c>
      <c r="AA39" s="52">
        <v>68.52</v>
      </c>
      <c r="AB39" s="52">
        <v>68.7</v>
      </c>
      <c r="AC39" s="52">
        <v>69</v>
      </c>
      <c r="AD39" s="52">
        <v>60.6</v>
      </c>
      <c r="AE39" s="52">
        <v>68.599999999999994</v>
      </c>
      <c r="AF39" s="52">
        <v>54</v>
      </c>
      <c r="AG39" s="67">
        <v>69</v>
      </c>
      <c r="AH39" s="55">
        <f t="shared" si="2"/>
        <v>69</v>
      </c>
      <c r="AI39" s="56">
        <f t="shared" si="3"/>
        <v>54</v>
      </c>
      <c r="AK39" s="57"/>
    </row>
    <row r="40" spans="1:88" x14ac:dyDescent="0.25">
      <c r="A40" s="66" t="s">
        <v>47</v>
      </c>
      <c r="B40" s="62">
        <v>60.7</v>
      </c>
      <c r="C40" s="62">
        <v>50.2</v>
      </c>
      <c r="D40" s="62">
        <v>50.2</v>
      </c>
      <c r="E40" s="62">
        <v>60.4</v>
      </c>
      <c r="F40" s="62">
        <v>42.6</v>
      </c>
      <c r="G40" s="62">
        <v>42.6</v>
      </c>
      <c r="H40" s="62">
        <v>51.9</v>
      </c>
      <c r="I40" s="62">
        <v>51.9</v>
      </c>
      <c r="J40" s="62">
        <v>51.9</v>
      </c>
      <c r="K40" s="62">
        <v>60.9</v>
      </c>
      <c r="L40" s="52">
        <v>60.9</v>
      </c>
      <c r="M40" s="52">
        <v>61.2</v>
      </c>
      <c r="N40" s="52">
        <v>61.2</v>
      </c>
      <c r="O40" s="52">
        <v>60.9</v>
      </c>
      <c r="P40" s="52">
        <v>60.4</v>
      </c>
      <c r="Q40" s="52">
        <v>61.2</v>
      </c>
      <c r="R40" s="52">
        <v>61.2</v>
      </c>
      <c r="S40" s="52">
        <v>61.2</v>
      </c>
      <c r="T40" s="52">
        <v>61.2</v>
      </c>
      <c r="U40" s="52">
        <v>62</v>
      </c>
      <c r="V40" s="52">
        <v>62</v>
      </c>
      <c r="W40" s="52">
        <v>62</v>
      </c>
      <c r="X40" s="52">
        <v>62</v>
      </c>
      <c r="Y40" s="52">
        <v>62</v>
      </c>
      <c r="Z40" s="52">
        <v>62.3</v>
      </c>
      <c r="AA40" s="52">
        <v>62.3</v>
      </c>
      <c r="AB40" s="52">
        <v>62.3</v>
      </c>
      <c r="AC40" s="52">
        <v>62.3</v>
      </c>
      <c r="AD40" s="52">
        <v>62.3</v>
      </c>
      <c r="AE40" s="52">
        <v>62</v>
      </c>
      <c r="AF40" s="52">
        <v>62</v>
      </c>
      <c r="AG40" s="67">
        <v>60</v>
      </c>
      <c r="AH40" s="55">
        <f t="shared" si="2"/>
        <v>62.3</v>
      </c>
      <c r="AI40" s="56">
        <f t="shared" si="3"/>
        <v>42.6</v>
      </c>
      <c r="AK40" s="57"/>
    </row>
    <row r="41" spans="1:88" x14ac:dyDescent="0.25">
      <c r="A41" s="66" t="s">
        <v>48</v>
      </c>
      <c r="B41" s="62">
        <v>29.8</v>
      </c>
      <c r="C41" s="62">
        <v>29.7</v>
      </c>
      <c r="D41" s="62">
        <v>29.7</v>
      </c>
      <c r="E41" s="62">
        <v>29.7</v>
      </c>
      <c r="F41" s="62">
        <v>29.7</v>
      </c>
      <c r="G41" s="62">
        <v>29.7</v>
      </c>
      <c r="H41" s="62">
        <v>29.7</v>
      </c>
      <c r="I41" s="62">
        <v>29.7</v>
      </c>
      <c r="J41" s="62">
        <v>29.7</v>
      </c>
      <c r="K41" s="62">
        <v>29.7</v>
      </c>
      <c r="L41" s="50">
        <v>29.7</v>
      </c>
      <c r="M41" s="50">
        <v>29.7</v>
      </c>
      <c r="N41" s="50">
        <v>29.7</v>
      </c>
      <c r="O41" s="50">
        <v>29.7</v>
      </c>
      <c r="P41" s="50">
        <v>29.7</v>
      </c>
      <c r="Q41" s="50">
        <v>29.6</v>
      </c>
      <c r="R41" s="50">
        <v>29.7</v>
      </c>
      <c r="S41" s="50">
        <v>29.7</v>
      </c>
      <c r="T41" s="50">
        <v>29.7</v>
      </c>
      <c r="U41" s="50">
        <v>29.9</v>
      </c>
      <c r="V41" s="50">
        <v>29.9</v>
      </c>
      <c r="W41" s="50">
        <v>29.9</v>
      </c>
      <c r="X41" s="50">
        <v>29.9</v>
      </c>
      <c r="Y41" s="50">
        <v>29.9</v>
      </c>
      <c r="Z41" s="50">
        <v>29.9</v>
      </c>
      <c r="AA41" s="50">
        <v>29.9</v>
      </c>
      <c r="AB41" s="50">
        <v>29.9</v>
      </c>
      <c r="AC41" s="50">
        <v>29.9</v>
      </c>
      <c r="AD41" s="50">
        <v>29.9</v>
      </c>
      <c r="AE41" s="50">
        <v>29.7</v>
      </c>
      <c r="AF41" s="50">
        <v>29.7</v>
      </c>
      <c r="AG41" s="67">
        <v>30</v>
      </c>
      <c r="AH41" s="55">
        <f t="shared" si="2"/>
        <v>29.9</v>
      </c>
      <c r="AI41" s="56">
        <f t="shared" si="3"/>
        <v>29.6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62">
        <v>17</v>
      </c>
      <c r="C43" s="73">
        <v>17</v>
      </c>
      <c r="D43" s="73">
        <v>17</v>
      </c>
      <c r="E43" s="73">
        <v>17</v>
      </c>
      <c r="F43" s="73">
        <v>17</v>
      </c>
      <c r="G43" s="73">
        <v>17</v>
      </c>
      <c r="H43" s="73">
        <v>17</v>
      </c>
      <c r="I43" s="73">
        <v>17</v>
      </c>
      <c r="J43" s="73">
        <v>17</v>
      </c>
      <c r="K43" s="73">
        <v>17</v>
      </c>
      <c r="L43" s="50">
        <v>17</v>
      </c>
      <c r="M43" s="50">
        <v>17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50">
        <v>17</v>
      </c>
      <c r="AF43" s="50">
        <v>17</v>
      </c>
      <c r="AG43" s="67">
        <v>24</v>
      </c>
      <c r="AH43" s="55">
        <f t="shared" si="2"/>
        <v>17</v>
      </c>
      <c r="AI43" s="56">
        <f t="shared" si="3"/>
        <v>17</v>
      </c>
      <c r="AK43" s="57"/>
    </row>
    <row r="44" spans="1:88" x14ac:dyDescent="0.25">
      <c r="A44" s="66" t="s">
        <v>51</v>
      </c>
      <c r="B44" s="62">
        <v>2.5</v>
      </c>
      <c r="C44" s="62">
        <v>2.5</v>
      </c>
      <c r="D44" s="62">
        <v>2.5</v>
      </c>
      <c r="E44" s="62">
        <v>2.5</v>
      </c>
      <c r="F44" s="62">
        <v>2.5</v>
      </c>
      <c r="G44" s="62">
        <v>2.5</v>
      </c>
      <c r="H44" s="62">
        <v>2.5</v>
      </c>
      <c r="I44" s="62">
        <v>2.5</v>
      </c>
      <c r="J44" s="62">
        <v>2.5</v>
      </c>
      <c r="K44" s="62">
        <v>2.5</v>
      </c>
      <c r="L44" s="50">
        <v>2.5</v>
      </c>
      <c r="M44" s="50">
        <v>2.5</v>
      </c>
      <c r="N44" s="50">
        <v>2.5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15</v>
      </c>
      <c r="AH44" s="55">
        <f t="shared" si="2"/>
        <v>2.5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62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7</v>
      </c>
      <c r="V46" s="50">
        <v>7</v>
      </c>
      <c r="W46" s="50">
        <v>7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7</v>
      </c>
      <c r="AK46" s="57"/>
    </row>
    <row r="47" spans="1:88" x14ac:dyDescent="0.25">
      <c r="A47" s="66" t="s">
        <v>54</v>
      </c>
      <c r="B47" s="62">
        <v>9.3000000000000007</v>
      </c>
      <c r="C47" s="62">
        <v>9.3000000000000007</v>
      </c>
      <c r="D47" s="62">
        <v>9.3000000000000007</v>
      </c>
      <c r="E47" s="62">
        <v>9.3000000000000007</v>
      </c>
      <c r="F47" s="62">
        <v>9.3000000000000007</v>
      </c>
      <c r="G47" s="62">
        <v>9.3000000000000007</v>
      </c>
      <c r="H47" s="62">
        <v>9.3000000000000007</v>
      </c>
      <c r="I47" s="62">
        <v>9.3000000000000007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9.3000000000000007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50">
        <v>9.3000000000000007</v>
      </c>
      <c r="AF47" s="50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9.3000000000000007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432.64000000000004</v>
      </c>
      <c r="C50" s="72">
        <f t="shared" ref="C50:AF50" si="6">SUM(C37:C49)</f>
        <v>412.53999999999996</v>
      </c>
      <c r="D50" s="72">
        <f t="shared" si="6"/>
        <v>414.23999999999995</v>
      </c>
      <c r="E50" s="72">
        <f t="shared" si="6"/>
        <v>409.74</v>
      </c>
      <c r="F50" s="72">
        <f t="shared" si="6"/>
        <v>390.74</v>
      </c>
      <c r="G50" s="72">
        <f t="shared" si="6"/>
        <v>391.84000000000003</v>
      </c>
      <c r="H50" s="72">
        <f t="shared" si="6"/>
        <v>418.03999999999996</v>
      </c>
      <c r="I50" s="72">
        <f t="shared" si="6"/>
        <v>418.03999999999996</v>
      </c>
      <c r="J50" s="72">
        <f t="shared" si="6"/>
        <v>418.03999999999996</v>
      </c>
      <c r="K50" s="72">
        <f t="shared" si="6"/>
        <v>433.44</v>
      </c>
      <c r="L50" s="72">
        <f t="shared" si="6"/>
        <v>433.44</v>
      </c>
      <c r="M50" s="72">
        <f t="shared" si="6"/>
        <v>437.14</v>
      </c>
      <c r="N50" s="72">
        <f t="shared" si="6"/>
        <v>437.14</v>
      </c>
      <c r="O50" s="72">
        <f t="shared" si="6"/>
        <v>425.64</v>
      </c>
      <c r="P50" s="72">
        <f t="shared" si="6"/>
        <v>431.84</v>
      </c>
      <c r="Q50" s="72">
        <f t="shared" si="6"/>
        <v>433.14000000000004</v>
      </c>
      <c r="R50" s="72">
        <f t="shared" si="6"/>
        <v>433.34</v>
      </c>
      <c r="S50" s="72">
        <f t="shared" si="6"/>
        <v>427.03999999999996</v>
      </c>
      <c r="T50" s="72">
        <f t="shared" si="6"/>
        <v>427.03999999999996</v>
      </c>
      <c r="U50" s="72">
        <f t="shared" si="6"/>
        <v>423.14</v>
      </c>
      <c r="V50" s="72">
        <f t="shared" si="6"/>
        <v>423.14</v>
      </c>
      <c r="W50" s="72">
        <f t="shared" si="6"/>
        <v>423.94</v>
      </c>
      <c r="X50" s="72">
        <f t="shared" si="6"/>
        <v>430.94</v>
      </c>
      <c r="Y50" s="72">
        <f t="shared" si="6"/>
        <v>430.94</v>
      </c>
      <c r="Z50" s="72">
        <f t="shared" si="6"/>
        <v>429.84</v>
      </c>
      <c r="AA50" s="72">
        <f t="shared" si="6"/>
        <v>436.65999999999997</v>
      </c>
      <c r="AB50" s="72">
        <f t="shared" si="6"/>
        <v>436.84</v>
      </c>
      <c r="AC50" s="72">
        <f t="shared" si="6"/>
        <v>437.14</v>
      </c>
      <c r="AD50" s="72">
        <f t="shared" si="6"/>
        <v>428.74</v>
      </c>
      <c r="AE50" s="72">
        <f t="shared" si="6"/>
        <v>432.44000000000005</v>
      </c>
      <c r="AF50" s="72">
        <f t="shared" si="6"/>
        <v>404.84000000000003</v>
      </c>
      <c r="AG50" s="77">
        <f>SUM(AG37:AG49)</f>
        <v>489.91</v>
      </c>
      <c r="AH50" s="55">
        <f t="shared" si="2"/>
        <v>437.14</v>
      </c>
      <c r="AI50" s="56">
        <f t="shared" si="3"/>
        <v>390.74</v>
      </c>
      <c r="AK50" s="57"/>
    </row>
    <row r="51" spans="1:37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60</v>
      </c>
      <c r="Y51" s="50">
        <v>60</v>
      </c>
      <c r="Z51" s="50">
        <v>60</v>
      </c>
      <c r="AA51" s="50">
        <v>60</v>
      </c>
      <c r="AB51" s="50">
        <v>60</v>
      </c>
      <c r="AC51" s="50">
        <v>54.6</v>
      </c>
      <c r="AD51" s="50">
        <v>29.5</v>
      </c>
      <c r="AE51" s="50">
        <v>19.399999999999999</v>
      </c>
      <c r="AF51" s="50">
        <v>10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2">
        <v>0</v>
      </c>
      <c r="V52" s="52">
        <v>0</v>
      </c>
      <c r="W52" s="52">
        <v>0</v>
      </c>
      <c r="X52" s="52">
        <v>28</v>
      </c>
      <c r="Y52" s="52">
        <v>28</v>
      </c>
      <c r="Z52" s="52">
        <v>28.3</v>
      </c>
      <c r="AA52" s="52">
        <v>28.3</v>
      </c>
      <c r="AB52" s="52">
        <v>28.3</v>
      </c>
      <c r="AC52" s="52">
        <v>25.7</v>
      </c>
      <c r="AD52" s="52">
        <v>15.8</v>
      </c>
      <c r="AE52" s="52">
        <v>8.1999999999999993</v>
      </c>
      <c r="AF52" s="52">
        <v>4.4000000000000004</v>
      </c>
      <c r="AG52" s="67">
        <v>32</v>
      </c>
      <c r="AH52" s="55">
        <f t="shared" si="2"/>
        <v>28.3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50">
        <v>0</v>
      </c>
      <c r="S53" s="50">
        <v>0</v>
      </c>
      <c r="T53" s="50">
        <v>0</v>
      </c>
      <c r="U53" s="78">
        <v>0</v>
      </c>
      <c r="V53" s="78">
        <v>0</v>
      </c>
      <c r="W53" s="78">
        <v>0</v>
      </c>
      <c r="X53" s="78">
        <v>11</v>
      </c>
      <c r="Y53" s="78">
        <v>11</v>
      </c>
      <c r="Z53" s="78">
        <v>10.3</v>
      </c>
      <c r="AA53" s="78">
        <v>10.3</v>
      </c>
      <c r="AB53" s="78">
        <v>10.3</v>
      </c>
      <c r="AC53" s="78">
        <v>9.4</v>
      </c>
      <c r="AD53" s="78">
        <v>5.8</v>
      </c>
      <c r="AE53" s="78">
        <v>3</v>
      </c>
      <c r="AF53" s="78">
        <v>1.6</v>
      </c>
      <c r="AG53" s="79">
        <v>14</v>
      </c>
      <c r="AH53" s="55">
        <f t="shared" si="2"/>
        <v>11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99</v>
      </c>
      <c r="Y54" s="72">
        <f t="shared" si="7"/>
        <v>99</v>
      </c>
      <c r="Z54" s="72">
        <f t="shared" si="7"/>
        <v>98.6</v>
      </c>
      <c r="AA54" s="72">
        <f t="shared" si="7"/>
        <v>98.6</v>
      </c>
      <c r="AB54" s="72">
        <f t="shared" si="7"/>
        <v>98.6</v>
      </c>
      <c r="AC54" s="72">
        <f t="shared" si="7"/>
        <v>89.7</v>
      </c>
      <c r="AD54" s="72">
        <f t="shared" si="7"/>
        <v>51.099999999999994</v>
      </c>
      <c r="AE54" s="72">
        <f t="shared" si="7"/>
        <v>30.599999999999998</v>
      </c>
      <c r="AF54" s="72">
        <f t="shared" si="7"/>
        <v>16</v>
      </c>
      <c r="AG54" s="77">
        <f>SUM(AG51:AG53)</f>
        <v>106</v>
      </c>
      <c r="AH54" s="55">
        <f t="shared" si="2"/>
        <v>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31.8</v>
      </c>
      <c r="Z55" s="50">
        <v>34.9</v>
      </c>
      <c r="AA55" s="50">
        <v>20.2</v>
      </c>
      <c r="AB55" s="50">
        <v>20.2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34.9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20</v>
      </c>
      <c r="Z56" s="80">
        <v>20</v>
      </c>
      <c r="AA56" s="80">
        <v>0</v>
      </c>
      <c r="AB56" s="52">
        <v>-70.400000000000006</v>
      </c>
      <c r="AC56" s="52">
        <v>-68.5</v>
      </c>
      <c r="AD56" s="52">
        <v>-74.2</v>
      </c>
      <c r="AE56" s="52">
        <v>-71.3</v>
      </c>
      <c r="AF56" s="52">
        <v>-68.599999999999994</v>
      </c>
      <c r="AG56" s="67"/>
      <c r="AH56" s="55">
        <f t="shared" si="2"/>
        <v>20</v>
      </c>
      <c r="AI56" s="56">
        <f t="shared" si="3"/>
        <v>-74.2</v>
      </c>
      <c r="AK56" s="57"/>
    </row>
    <row r="57" spans="1:37" x14ac:dyDescent="0.25">
      <c r="A57" s="66" t="s">
        <v>64</v>
      </c>
      <c r="B57" s="52">
        <v>-65</v>
      </c>
      <c r="C57" s="52">
        <v>-70</v>
      </c>
      <c r="D57" s="52">
        <v>-51.5</v>
      </c>
      <c r="E57" s="52">
        <v>-58.7</v>
      </c>
      <c r="F57" s="52">
        <v>0</v>
      </c>
      <c r="G57" s="52">
        <v>-27.9</v>
      </c>
      <c r="H57" s="52">
        <v>-57.3</v>
      </c>
      <c r="I57" s="52">
        <v>-27.5</v>
      </c>
      <c r="J57" s="52">
        <v>0</v>
      </c>
      <c r="K57" s="52">
        <v>-17.5</v>
      </c>
      <c r="L57" s="52">
        <v>-28.8</v>
      </c>
      <c r="M57" s="52">
        <v>-27</v>
      </c>
      <c r="N57" s="52">
        <v>-50</v>
      </c>
      <c r="O57" s="52">
        <v>-17.3</v>
      </c>
      <c r="P57" s="52">
        <v>9.5</v>
      </c>
      <c r="Q57" s="52">
        <v>-23.2</v>
      </c>
      <c r="R57" s="52">
        <v>-25.7</v>
      </c>
      <c r="S57" s="52">
        <v>-37.9</v>
      </c>
      <c r="T57" s="52">
        <v>-9.3000000000000007</v>
      </c>
      <c r="U57" s="52">
        <v>-28.9</v>
      </c>
      <c r="V57" s="52">
        <v>-25</v>
      </c>
      <c r="W57" s="52">
        <v>-7.7</v>
      </c>
      <c r="X57" s="52">
        <v>-30</v>
      </c>
      <c r="Y57" s="52">
        <v>-44</v>
      </c>
      <c r="Z57" s="52">
        <v>-52</v>
      </c>
      <c r="AA57" s="52">
        <v>-21.1</v>
      </c>
      <c r="AB57" s="52">
        <v>-19.100000000000001</v>
      </c>
      <c r="AC57" s="52">
        <v>-34.700000000000003</v>
      </c>
      <c r="AD57" s="52">
        <v>-39.659999999999997</v>
      </c>
      <c r="AE57" s="52">
        <v>-43.9</v>
      </c>
      <c r="AF57" s="52">
        <v>-8.9</v>
      </c>
      <c r="AG57" s="82"/>
      <c r="AH57" s="55">
        <f t="shared" si="2"/>
        <v>9.5</v>
      </c>
      <c r="AI57" s="56">
        <f t="shared" si="3"/>
        <v>-70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0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-80.900000000000006</v>
      </c>
      <c r="AB59" s="50">
        <v>-40.1</v>
      </c>
      <c r="AC59" s="50">
        <v>-44.9</v>
      </c>
      <c r="AD59" s="50">
        <v>-44.3</v>
      </c>
      <c r="AE59" s="50">
        <v>-42.6</v>
      </c>
      <c r="AF59" s="50">
        <v>-41.4</v>
      </c>
      <c r="AG59" s="82"/>
      <c r="AH59" s="55">
        <f t="shared" si="2"/>
        <v>0</v>
      </c>
      <c r="AI59" s="56">
        <f t="shared" si="3"/>
        <v>-80.900000000000006</v>
      </c>
      <c r="AK59" s="57"/>
    </row>
    <row r="60" spans="1:37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8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9">
        <v>8</v>
      </c>
      <c r="AC62" s="59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0</v>
      </c>
      <c r="M64" s="59">
        <v>0</v>
      </c>
      <c r="N64" s="59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59">
        <v>0</v>
      </c>
      <c r="N65" s="59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-57</v>
      </c>
      <c r="C66" s="72">
        <f t="shared" ref="C66:AF66" si="8">SUM(C55:C65)</f>
        <v>-62</v>
      </c>
      <c r="D66" s="72">
        <f t="shared" si="8"/>
        <v>-43.5</v>
      </c>
      <c r="E66" s="72">
        <f t="shared" si="8"/>
        <v>-50.7</v>
      </c>
      <c r="F66" s="72">
        <f t="shared" si="8"/>
        <v>8</v>
      </c>
      <c r="G66" s="72">
        <f t="shared" si="8"/>
        <v>-19.899999999999999</v>
      </c>
      <c r="H66" s="72">
        <f t="shared" si="8"/>
        <v>-57.3</v>
      </c>
      <c r="I66" s="72">
        <f t="shared" si="8"/>
        <v>-27.5</v>
      </c>
      <c r="J66" s="72">
        <f t="shared" si="8"/>
        <v>0</v>
      </c>
      <c r="K66" s="72">
        <f t="shared" si="8"/>
        <v>-17.5</v>
      </c>
      <c r="L66" s="72">
        <f t="shared" si="8"/>
        <v>-28.8</v>
      </c>
      <c r="M66" s="72">
        <f t="shared" si="8"/>
        <v>-27</v>
      </c>
      <c r="N66" s="72">
        <f t="shared" si="8"/>
        <v>-50</v>
      </c>
      <c r="O66" s="72">
        <f t="shared" si="8"/>
        <v>-17.3</v>
      </c>
      <c r="P66" s="72">
        <f t="shared" si="8"/>
        <v>9.5</v>
      </c>
      <c r="Q66" s="72">
        <f t="shared" si="8"/>
        <v>-23.2</v>
      </c>
      <c r="R66" s="72">
        <f t="shared" si="8"/>
        <v>-25.7</v>
      </c>
      <c r="S66" s="72">
        <f t="shared" si="8"/>
        <v>-37.9</v>
      </c>
      <c r="T66" s="72">
        <f t="shared" si="8"/>
        <v>-9.3000000000000007</v>
      </c>
      <c r="U66" s="72">
        <f t="shared" si="8"/>
        <v>-28.9</v>
      </c>
      <c r="V66" s="72">
        <f t="shared" si="8"/>
        <v>-25</v>
      </c>
      <c r="W66" s="72">
        <f t="shared" si="8"/>
        <v>-7.7</v>
      </c>
      <c r="X66" s="72">
        <f t="shared" si="8"/>
        <v>-30</v>
      </c>
      <c r="Y66" s="72">
        <f t="shared" si="8"/>
        <v>7.7999999999999972</v>
      </c>
      <c r="Z66" s="72">
        <f t="shared" si="8"/>
        <v>2.8999999999999986</v>
      </c>
      <c r="AA66" s="72">
        <f t="shared" si="8"/>
        <v>-81.800000000000011</v>
      </c>
      <c r="AB66" s="72">
        <f t="shared" si="8"/>
        <v>-101.4</v>
      </c>
      <c r="AC66" s="72">
        <f t="shared" si="8"/>
        <v>-140.1</v>
      </c>
      <c r="AD66" s="72">
        <f t="shared" si="8"/>
        <v>-150.16</v>
      </c>
      <c r="AE66" s="72">
        <f t="shared" si="8"/>
        <v>-149.79999999999998</v>
      </c>
      <c r="AF66" s="72">
        <f t="shared" si="8"/>
        <v>-110.9</v>
      </c>
      <c r="AG66" s="77">
        <f>SUM(AG55:AG65)</f>
        <v>0</v>
      </c>
      <c r="AH66" s="55">
        <f t="shared" si="2"/>
        <v>9.5</v>
      </c>
      <c r="AI66" s="56">
        <f t="shared" si="3"/>
        <v>-150.16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1108.24</v>
      </c>
      <c r="C71" s="87">
        <f t="shared" ref="C71:AG71" si="10">C66+C54+C50+C36+C70</f>
        <v>1078.24</v>
      </c>
      <c r="D71" s="87">
        <f t="shared" si="10"/>
        <v>1074.24</v>
      </c>
      <c r="E71" s="87">
        <f t="shared" si="10"/>
        <v>1032.54</v>
      </c>
      <c r="F71" s="87">
        <f t="shared" si="10"/>
        <v>1057.24</v>
      </c>
      <c r="G71" s="87">
        <f t="shared" si="10"/>
        <v>1066.6400000000001</v>
      </c>
      <c r="H71" s="87">
        <f t="shared" si="10"/>
        <v>1074.6399999999999</v>
      </c>
      <c r="I71" s="87">
        <f t="shared" si="10"/>
        <v>1110.44</v>
      </c>
      <c r="J71" s="87">
        <f t="shared" si="10"/>
        <v>1142.94</v>
      </c>
      <c r="K71" s="87">
        <f t="shared" si="10"/>
        <v>1195.8399999999999</v>
      </c>
      <c r="L71" s="87">
        <f t="shared" si="10"/>
        <v>1221.54</v>
      </c>
      <c r="M71" s="87">
        <f t="shared" si="10"/>
        <v>1227.04</v>
      </c>
      <c r="N71" s="87">
        <f t="shared" si="10"/>
        <v>1225.04</v>
      </c>
      <c r="O71" s="87">
        <f t="shared" si="10"/>
        <v>1275.3399999999999</v>
      </c>
      <c r="P71" s="87">
        <f t="shared" si="10"/>
        <v>1332.74</v>
      </c>
      <c r="Q71" s="87">
        <f t="shared" si="10"/>
        <v>1295.44</v>
      </c>
      <c r="R71" s="87">
        <f t="shared" si="10"/>
        <v>1279.04</v>
      </c>
      <c r="S71" s="87">
        <f t="shared" si="10"/>
        <v>1230.6399999999999</v>
      </c>
      <c r="T71" s="87">
        <f t="shared" si="10"/>
        <v>1279.24</v>
      </c>
      <c r="U71" s="87">
        <f t="shared" si="10"/>
        <v>1200.74</v>
      </c>
      <c r="V71" s="87">
        <f t="shared" si="10"/>
        <v>1254.6399999999999</v>
      </c>
      <c r="W71" s="87">
        <f t="shared" si="10"/>
        <v>1343.74</v>
      </c>
      <c r="X71" s="87">
        <f t="shared" si="10"/>
        <v>1483.44</v>
      </c>
      <c r="Y71" s="87">
        <f t="shared" si="10"/>
        <v>1523.24</v>
      </c>
      <c r="Z71" s="87">
        <f t="shared" si="10"/>
        <v>1516.84</v>
      </c>
      <c r="AA71" s="87">
        <f t="shared" si="10"/>
        <v>1438.96</v>
      </c>
      <c r="AB71" s="87">
        <f t="shared" si="10"/>
        <v>1419.54</v>
      </c>
      <c r="AC71" s="87">
        <f t="shared" si="10"/>
        <v>1367.24</v>
      </c>
      <c r="AD71" s="87">
        <f t="shared" si="10"/>
        <v>1278.18</v>
      </c>
      <c r="AE71" s="87">
        <f t="shared" si="10"/>
        <v>1211.74</v>
      </c>
      <c r="AF71" s="87">
        <f t="shared" si="10"/>
        <v>1195.94</v>
      </c>
      <c r="AG71" s="87">
        <f t="shared" si="10"/>
        <v>2068.14</v>
      </c>
      <c r="AH71" s="55">
        <f t="shared" si="2"/>
        <v>1523.24</v>
      </c>
      <c r="AI71" s="56">
        <f t="shared" si="3"/>
        <v>1032.54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1108.24</v>
      </c>
      <c r="C73" s="87">
        <f t="shared" ref="C73:AF73" si="11">C70+C66+C54+C50+C36+C72</f>
        <v>1078.24</v>
      </c>
      <c r="D73" s="87">
        <f t="shared" si="11"/>
        <v>1074.24</v>
      </c>
      <c r="E73" s="87">
        <f t="shared" si="11"/>
        <v>1032.54</v>
      </c>
      <c r="F73" s="87">
        <f t="shared" si="11"/>
        <v>1057.24</v>
      </c>
      <c r="G73" s="87">
        <f t="shared" si="11"/>
        <v>1066.6400000000001</v>
      </c>
      <c r="H73" s="87">
        <f t="shared" si="11"/>
        <v>1074.6399999999999</v>
      </c>
      <c r="I73" s="87">
        <f t="shared" si="11"/>
        <v>1110.44</v>
      </c>
      <c r="J73" s="87">
        <f t="shared" si="11"/>
        <v>1142.94</v>
      </c>
      <c r="K73" s="87">
        <f t="shared" si="11"/>
        <v>1195.8399999999999</v>
      </c>
      <c r="L73" s="87">
        <f t="shared" si="11"/>
        <v>1221.54</v>
      </c>
      <c r="M73" s="87">
        <f t="shared" si="11"/>
        <v>1227.04</v>
      </c>
      <c r="N73" s="87">
        <f t="shared" si="11"/>
        <v>1225.04</v>
      </c>
      <c r="O73" s="87">
        <f t="shared" si="11"/>
        <v>1275.3399999999999</v>
      </c>
      <c r="P73" s="87">
        <f t="shared" si="11"/>
        <v>1332.74</v>
      </c>
      <c r="Q73" s="87">
        <f t="shared" si="11"/>
        <v>1295.44</v>
      </c>
      <c r="R73" s="87">
        <f t="shared" si="11"/>
        <v>1279.04</v>
      </c>
      <c r="S73" s="87">
        <f t="shared" si="11"/>
        <v>1230.6399999999999</v>
      </c>
      <c r="T73" s="87">
        <f t="shared" si="11"/>
        <v>1279.24</v>
      </c>
      <c r="U73" s="87">
        <f t="shared" si="11"/>
        <v>1200.74</v>
      </c>
      <c r="V73" s="87">
        <f t="shared" si="11"/>
        <v>1254.6399999999999</v>
      </c>
      <c r="W73" s="87">
        <f t="shared" si="11"/>
        <v>1343.74</v>
      </c>
      <c r="X73" s="87">
        <f t="shared" si="11"/>
        <v>1483.44</v>
      </c>
      <c r="Y73" s="87">
        <f t="shared" si="11"/>
        <v>1523.24</v>
      </c>
      <c r="Z73" s="87">
        <f t="shared" si="11"/>
        <v>1516.84</v>
      </c>
      <c r="AA73" s="87">
        <f t="shared" si="11"/>
        <v>1438.96</v>
      </c>
      <c r="AB73" s="87">
        <f t="shared" si="11"/>
        <v>1419.54</v>
      </c>
      <c r="AC73" s="87">
        <f t="shared" si="11"/>
        <v>1367.24</v>
      </c>
      <c r="AD73" s="87">
        <f t="shared" si="11"/>
        <v>1278.18</v>
      </c>
      <c r="AE73" s="87">
        <f t="shared" si="11"/>
        <v>1211.74</v>
      </c>
      <c r="AF73" s="87">
        <f t="shared" si="11"/>
        <v>1195.94</v>
      </c>
      <c r="AG73" s="77">
        <f>AG70+AG66+AG54+AG50+AG36+AG72</f>
        <v>2068.14</v>
      </c>
      <c r="AH73" s="55">
        <f t="shared" si="2"/>
        <v>1523.24</v>
      </c>
      <c r="AI73" s="56">
        <f t="shared" si="3"/>
        <v>1032.54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70.400000000000006</v>
      </c>
      <c r="AC75" s="59">
        <f t="shared" si="13"/>
        <v>68.5</v>
      </c>
      <c r="AD75" s="59">
        <f t="shared" si="13"/>
        <v>74.2</v>
      </c>
      <c r="AE75" s="59">
        <f t="shared" si="13"/>
        <v>71.3</v>
      </c>
      <c r="AF75" s="59">
        <f t="shared" si="13"/>
        <v>68.599999999999994</v>
      </c>
      <c r="AG75" s="67"/>
      <c r="AH75" s="55">
        <f t="shared" si="2"/>
        <v>74.2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80.900000000000006</v>
      </c>
      <c r="AB76" s="59">
        <f t="shared" si="14"/>
        <v>40.1</v>
      </c>
      <c r="AC76" s="59">
        <f t="shared" si="14"/>
        <v>44.9</v>
      </c>
      <c r="AD76" s="59">
        <f t="shared" si="14"/>
        <v>44.3</v>
      </c>
      <c r="AE76" s="59">
        <f t="shared" si="14"/>
        <v>42.6</v>
      </c>
      <c r="AF76" s="59">
        <f t="shared" si="14"/>
        <v>41.4</v>
      </c>
      <c r="AG76" s="90"/>
      <c r="AH76" s="55">
        <f t="shared" si="2"/>
        <v>80.900000000000006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65</v>
      </c>
      <c r="C77" s="59">
        <f t="shared" ref="C77:AF77" si="15">IF(C57&lt;0,C57*-1,0)</f>
        <v>70</v>
      </c>
      <c r="D77" s="59">
        <f t="shared" si="15"/>
        <v>51.5</v>
      </c>
      <c r="E77" s="59">
        <f t="shared" si="15"/>
        <v>58.7</v>
      </c>
      <c r="F77" s="59">
        <f t="shared" si="15"/>
        <v>0</v>
      </c>
      <c r="G77" s="59">
        <f t="shared" si="15"/>
        <v>27.9</v>
      </c>
      <c r="H77" s="59">
        <f t="shared" si="15"/>
        <v>57.3</v>
      </c>
      <c r="I77" s="59">
        <f t="shared" si="15"/>
        <v>27.5</v>
      </c>
      <c r="J77" s="59">
        <f t="shared" si="15"/>
        <v>0</v>
      </c>
      <c r="K77" s="59">
        <f t="shared" si="15"/>
        <v>17.5</v>
      </c>
      <c r="L77" s="59">
        <f t="shared" si="15"/>
        <v>28.8</v>
      </c>
      <c r="M77" s="59">
        <f t="shared" si="15"/>
        <v>27</v>
      </c>
      <c r="N77" s="59">
        <f t="shared" si="15"/>
        <v>50</v>
      </c>
      <c r="O77" s="59">
        <f t="shared" si="15"/>
        <v>17.3</v>
      </c>
      <c r="P77" s="59">
        <f t="shared" si="15"/>
        <v>0</v>
      </c>
      <c r="Q77" s="59">
        <f t="shared" si="15"/>
        <v>23.2</v>
      </c>
      <c r="R77" s="59">
        <f t="shared" si="15"/>
        <v>25.7</v>
      </c>
      <c r="S77" s="59">
        <f t="shared" si="15"/>
        <v>37.9</v>
      </c>
      <c r="T77" s="59">
        <f t="shared" si="15"/>
        <v>9.3000000000000007</v>
      </c>
      <c r="U77" s="59">
        <f t="shared" si="15"/>
        <v>28.9</v>
      </c>
      <c r="V77" s="59">
        <f t="shared" si="15"/>
        <v>25</v>
      </c>
      <c r="W77" s="59">
        <f t="shared" si="15"/>
        <v>7.7</v>
      </c>
      <c r="X77" s="59">
        <f t="shared" si="15"/>
        <v>30</v>
      </c>
      <c r="Y77" s="59">
        <f t="shared" si="15"/>
        <v>44</v>
      </c>
      <c r="Z77" s="59">
        <f t="shared" si="15"/>
        <v>52</v>
      </c>
      <c r="AA77" s="59">
        <f t="shared" si="15"/>
        <v>21.1</v>
      </c>
      <c r="AB77" s="59">
        <f t="shared" si="15"/>
        <v>19.100000000000001</v>
      </c>
      <c r="AC77" s="59">
        <f t="shared" si="15"/>
        <v>34.700000000000003</v>
      </c>
      <c r="AD77" s="59">
        <f t="shared" si="15"/>
        <v>39.659999999999997</v>
      </c>
      <c r="AE77" s="59">
        <f t="shared" si="15"/>
        <v>43.9</v>
      </c>
      <c r="AF77" s="59">
        <f t="shared" si="15"/>
        <v>8.9</v>
      </c>
      <c r="AG77" s="90"/>
      <c r="AH77" s="55">
        <f t="shared" ref="AH77:AH89" si="16">MAX(B77:AF77)</f>
        <v>70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65</v>
      </c>
      <c r="C80" s="72">
        <f t="shared" ref="C80:AG80" si="19">SUM(C74:C79)</f>
        <v>70</v>
      </c>
      <c r="D80" s="72">
        <f t="shared" si="19"/>
        <v>51.5</v>
      </c>
      <c r="E80" s="72">
        <f t="shared" si="19"/>
        <v>58.7</v>
      </c>
      <c r="F80" s="72">
        <f t="shared" si="19"/>
        <v>0</v>
      </c>
      <c r="G80" s="72">
        <f t="shared" si="19"/>
        <v>27.9</v>
      </c>
      <c r="H80" s="72">
        <f t="shared" si="19"/>
        <v>57.3</v>
      </c>
      <c r="I80" s="72">
        <f t="shared" si="19"/>
        <v>27.5</v>
      </c>
      <c r="J80" s="72">
        <f t="shared" si="19"/>
        <v>0</v>
      </c>
      <c r="K80" s="72">
        <f t="shared" si="19"/>
        <v>17.5</v>
      </c>
      <c r="L80" s="72">
        <f t="shared" si="19"/>
        <v>28.8</v>
      </c>
      <c r="M80" s="72">
        <f t="shared" si="19"/>
        <v>27</v>
      </c>
      <c r="N80" s="72">
        <f t="shared" si="19"/>
        <v>50</v>
      </c>
      <c r="O80" s="72">
        <f t="shared" si="19"/>
        <v>17.3</v>
      </c>
      <c r="P80" s="72">
        <f t="shared" si="19"/>
        <v>0</v>
      </c>
      <c r="Q80" s="72">
        <f t="shared" si="19"/>
        <v>23.2</v>
      </c>
      <c r="R80" s="72">
        <f t="shared" si="19"/>
        <v>25.7</v>
      </c>
      <c r="S80" s="72">
        <f t="shared" si="19"/>
        <v>37.9</v>
      </c>
      <c r="T80" s="72">
        <f t="shared" si="19"/>
        <v>9.3000000000000007</v>
      </c>
      <c r="U80" s="72">
        <f t="shared" si="19"/>
        <v>28.9</v>
      </c>
      <c r="V80" s="72">
        <f t="shared" si="19"/>
        <v>25</v>
      </c>
      <c r="W80" s="72">
        <f t="shared" si="19"/>
        <v>7.7</v>
      </c>
      <c r="X80" s="72">
        <f t="shared" si="19"/>
        <v>30</v>
      </c>
      <c r="Y80" s="72">
        <f t="shared" si="19"/>
        <v>44</v>
      </c>
      <c r="Z80" s="72">
        <f t="shared" si="19"/>
        <v>52</v>
      </c>
      <c r="AA80" s="72">
        <f t="shared" si="19"/>
        <v>102</v>
      </c>
      <c r="AB80" s="72">
        <f t="shared" si="19"/>
        <v>129.6</v>
      </c>
      <c r="AC80" s="72">
        <f t="shared" si="19"/>
        <v>148.10000000000002</v>
      </c>
      <c r="AD80" s="72">
        <f t="shared" si="19"/>
        <v>158.16</v>
      </c>
      <c r="AE80" s="72">
        <f t="shared" si="19"/>
        <v>157.80000000000001</v>
      </c>
      <c r="AF80" s="72">
        <f t="shared" si="19"/>
        <v>118.9</v>
      </c>
      <c r="AG80" s="77">
        <f t="shared" si="19"/>
        <v>0</v>
      </c>
      <c r="AH80" s="55">
        <f t="shared" si="16"/>
        <v>158.16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2346.48</v>
      </c>
      <c r="C81" s="72">
        <f t="shared" ref="C81:AG81" si="20">SUM(C68:C80)</f>
        <v>2296.48</v>
      </c>
      <c r="D81" s="72">
        <f t="shared" si="20"/>
        <v>2251.48</v>
      </c>
      <c r="E81" s="72">
        <f t="shared" si="20"/>
        <v>2182.4799999999996</v>
      </c>
      <c r="F81" s="72">
        <f t="shared" si="20"/>
        <v>2114.48</v>
      </c>
      <c r="G81" s="72">
        <f t="shared" si="20"/>
        <v>2189.0800000000004</v>
      </c>
      <c r="H81" s="72">
        <f t="shared" si="20"/>
        <v>2263.88</v>
      </c>
      <c r="I81" s="72">
        <f t="shared" si="20"/>
        <v>2275.88</v>
      </c>
      <c r="J81" s="72">
        <f t="shared" si="20"/>
        <v>2285.88</v>
      </c>
      <c r="K81" s="72">
        <f t="shared" si="20"/>
        <v>2426.6799999999998</v>
      </c>
      <c r="L81" s="72">
        <f t="shared" si="20"/>
        <v>2500.6800000000003</v>
      </c>
      <c r="M81" s="72">
        <f t="shared" si="20"/>
        <v>2508.08</v>
      </c>
      <c r="N81" s="72">
        <f t="shared" si="20"/>
        <v>2550.08</v>
      </c>
      <c r="O81" s="72">
        <f t="shared" si="20"/>
        <v>2585.2800000000002</v>
      </c>
      <c r="P81" s="72">
        <f t="shared" si="20"/>
        <v>2665.48</v>
      </c>
      <c r="Q81" s="72">
        <f t="shared" si="20"/>
        <v>2637.2799999999997</v>
      </c>
      <c r="R81" s="72">
        <f t="shared" si="20"/>
        <v>2609.4799999999996</v>
      </c>
      <c r="S81" s="72">
        <f t="shared" si="20"/>
        <v>2537.08</v>
      </c>
      <c r="T81" s="72">
        <f t="shared" si="20"/>
        <v>2577.0800000000004</v>
      </c>
      <c r="U81" s="72">
        <f t="shared" si="20"/>
        <v>2459.2800000000002</v>
      </c>
      <c r="V81" s="72">
        <f t="shared" si="20"/>
        <v>2559.2799999999997</v>
      </c>
      <c r="W81" s="72">
        <f t="shared" si="20"/>
        <v>2702.8799999999997</v>
      </c>
      <c r="X81" s="72">
        <f t="shared" si="20"/>
        <v>3026.88</v>
      </c>
      <c r="Y81" s="72">
        <f t="shared" si="20"/>
        <v>3134.48</v>
      </c>
      <c r="Z81" s="72">
        <f t="shared" si="20"/>
        <v>3137.68</v>
      </c>
      <c r="AA81" s="72">
        <f t="shared" si="20"/>
        <v>3081.92</v>
      </c>
      <c r="AB81" s="72">
        <f t="shared" si="20"/>
        <v>3098.2799999999997</v>
      </c>
      <c r="AC81" s="72">
        <f t="shared" si="20"/>
        <v>3030.68</v>
      </c>
      <c r="AD81" s="72">
        <f t="shared" si="20"/>
        <v>2872.68</v>
      </c>
      <c r="AE81" s="72">
        <f t="shared" si="20"/>
        <v>2739.0800000000004</v>
      </c>
      <c r="AF81" s="72">
        <f t="shared" si="20"/>
        <v>2629.6800000000003</v>
      </c>
      <c r="AG81" s="77">
        <f t="shared" si="20"/>
        <v>4208.08</v>
      </c>
      <c r="AH81" s="55">
        <f t="shared" si="16"/>
        <v>3137.68</v>
      </c>
      <c r="AI81" s="56">
        <f t="shared" si="17"/>
        <v>2114.48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4">
        <v>50.07</v>
      </c>
      <c r="C82" s="93">
        <v>50.04</v>
      </c>
      <c r="D82" s="93">
        <v>49.97</v>
      </c>
      <c r="E82" s="93">
        <v>50.042999999999999</v>
      </c>
      <c r="F82" s="93">
        <v>50.036999999999999</v>
      </c>
      <c r="G82" s="93">
        <v>50.036999999999999</v>
      </c>
      <c r="H82" s="93">
        <v>50.015000000000001</v>
      </c>
      <c r="I82" s="93">
        <v>50.05</v>
      </c>
      <c r="J82" s="93">
        <v>50.027000000000001</v>
      </c>
      <c r="K82" s="93">
        <v>49.991</v>
      </c>
      <c r="L82" s="93">
        <v>50.064999999999998</v>
      </c>
      <c r="M82" s="93">
        <v>50.01</v>
      </c>
      <c r="N82" s="93">
        <v>50</v>
      </c>
      <c r="O82" s="93">
        <v>50.009</v>
      </c>
      <c r="P82" s="93">
        <v>50.1</v>
      </c>
      <c r="Q82" s="93">
        <v>50.058999999999997</v>
      </c>
      <c r="R82" s="93">
        <v>50.036999999999999</v>
      </c>
      <c r="S82" s="93">
        <v>50.043999999999997</v>
      </c>
      <c r="T82" s="93">
        <v>50.03</v>
      </c>
      <c r="U82" s="93">
        <v>49.936999999999998</v>
      </c>
      <c r="V82" s="93">
        <v>50.05</v>
      </c>
      <c r="W82" s="93">
        <v>50.4</v>
      </c>
      <c r="X82" s="93">
        <v>50.03</v>
      </c>
      <c r="Y82" s="93">
        <v>50.03</v>
      </c>
      <c r="Z82" s="93">
        <v>49.97</v>
      </c>
      <c r="AA82" s="93">
        <v>50.104999999999997</v>
      </c>
      <c r="AB82" s="93">
        <v>50.036999999999999</v>
      </c>
      <c r="AC82" s="93">
        <v>50.005000000000003</v>
      </c>
      <c r="AD82" s="93">
        <v>50.04</v>
      </c>
      <c r="AE82" s="93">
        <v>50.036000000000001</v>
      </c>
      <c r="AF82" s="94">
        <v>50.069000000000003</v>
      </c>
      <c r="AG82" s="95"/>
      <c r="AH82" s="55">
        <f t="shared" si="16"/>
        <v>50.4</v>
      </c>
      <c r="AI82" s="56">
        <f t="shared" si="17"/>
        <v>49.936999999999998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8">
        <v>127.7</v>
      </c>
      <c r="C83" s="52">
        <v>129.19999999999999</v>
      </c>
      <c r="D83" s="52">
        <v>127.7</v>
      </c>
      <c r="E83" s="52">
        <v>126.4</v>
      </c>
      <c r="F83" s="52">
        <v>125.9</v>
      </c>
      <c r="G83" s="52">
        <v>125.6</v>
      </c>
      <c r="H83" s="52">
        <v>125.6</v>
      </c>
      <c r="I83" s="52">
        <v>125</v>
      </c>
      <c r="J83" s="52">
        <v>123.9</v>
      </c>
      <c r="K83" s="52">
        <v>123.1</v>
      </c>
      <c r="L83" s="52">
        <v>124.7</v>
      </c>
      <c r="M83" s="52">
        <v>123.6</v>
      </c>
      <c r="N83" s="52">
        <v>124</v>
      </c>
      <c r="O83" s="52">
        <v>122.7</v>
      </c>
      <c r="P83" s="52">
        <v>122.2</v>
      </c>
      <c r="Q83" s="52">
        <v>121.4</v>
      </c>
      <c r="R83" s="52">
        <v>119.9</v>
      </c>
      <c r="S83" s="52">
        <v>121.5</v>
      </c>
      <c r="T83" s="52">
        <v>120.9</v>
      </c>
      <c r="U83" s="97">
        <v>123.1</v>
      </c>
      <c r="V83" s="97">
        <v>123.5</v>
      </c>
      <c r="W83" s="97">
        <v>125.3</v>
      </c>
      <c r="X83" s="97">
        <v>125.7</v>
      </c>
      <c r="Y83" s="97">
        <v>125.3</v>
      </c>
      <c r="Z83" s="97">
        <v>124.1</v>
      </c>
      <c r="AA83" s="52">
        <v>123.1</v>
      </c>
      <c r="AB83" s="52">
        <v>124.6</v>
      </c>
      <c r="AC83" s="52">
        <v>124.7</v>
      </c>
      <c r="AD83" s="52">
        <v>125.6</v>
      </c>
      <c r="AE83" s="52">
        <v>124.7</v>
      </c>
      <c r="AF83" s="98">
        <v>125.4</v>
      </c>
      <c r="AG83" s="99"/>
      <c r="AH83" s="55">
        <f t="shared" si="16"/>
        <v>129.19999999999999</v>
      </c>
      <c r="AI83" s="56">
        <f t="shared" si="17"/>
        <v>119.9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8">
        <v>131.80000000000001</v>
      </c>
      <c r="C84" s="52">
        <v>133.19999999999999</v>
      </c>
      <c r="D84" s="52">
        <v>132.19999999999999</v>
      </c>
      <c r="E84" s="52">
        <v>131</v>
      </c>
      <c r="F84" s="52">
        <v>130.4</v>
      </c>
      <c r="G84" s="52">
        <v>129.80000000000001</v>
      </c>
      <c r="H84" s="52">
        <v>129.80000000000001</v>
      </c>
      <c r="I84" s="52">
        <v>128.69999999999999</v>
      </c>
      <c r="J84" s="52">
        <v>127.4</v>
      </c>
      <c r="K84" s="52">
        <v>126.5</v>
      </c>
      <c r="L84" s="52">
        <v>127.5</v>
      </c>
      <c r="M84" s="52">
        <v>126.7</v>
      </c>
      <c r="N84" s="52">
        <v>127</v>
      </c>
      <c r="O84" s="52">
        <v>125.8</v>
      </c>
      <c r="P84" s="52">
        <v>125.5</v>
      </c>
      <c r="Q84" s="52">
        <v>122.9</v>
      </c>
      <c r="R84" s="52">
        <v>124.1</v>
      </c>
      <c r="S84" s="52">
        <v>125.2</v>
      </c>
      <c r="T84" s="52">
        <v>125</v>
      </c>
      <c r="U84" s="97">
        <v>126.5</v>
      </c>
      <c r="V84" s="97">
        <v>126.6</v>
      </c>
      <c r="W84" s="97">
        <v>128.6</v>
      </c>
      <c r="X84" s="97">
        <v>128</v>
      </c>
      <c r="Y84" s="97">
        <v>128.6</v>
      </c>
      <c r="Z84" s="97">
        <v>127.8</v>
      </c>
      <c r="AA84" s="52">
        <v>127.7</v>
      </c>
      <c r="AB84" s="52">
        <v>128.6</v>
      </c>
      <c r="AC84" s="52">
        <v>128.80000000000001</v>
      </c>
      <c r="AD84" s="52">
        <v>130.19999999999999</v>
      </c>
      <c r="AE84" s="52">
        <v>129.19999999999999</v>
      </c>
      <c r="AF84" s="98">
        <v>129.69999999999999</v>
      </c>
      <c r="AG84" s="99"/>
      <c r="AH84" s="55">
        <f t="shared" si="16"/>
        <v>133.19999999999999</v>
      </c>
      <c r="AI84" s="56">
        <f t="shared" si="17"/>
        <v>122.9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8">
        <v>128.19999999999999</v>
      </c>
      <c r="C85" s="52">
        <v>129</v>
      </c>
      <c r="D85" s="52">
        <v>128.5</v>
      </c>
      <c r="E85" s="52">
        <v>129.4</v>
      </c>
      <c r="F85" s="52">
        <v>129.19999999999999</v>
      </c>
      <c r="G85" s="52">
        <v>130.30000000000001</v>
      </c>
      <c r="H85" s="52">
        <v>128.5</v>
      </c>
      <c r="I85" s="52">
        <v>126.8</v>
      </c>
      <c r="J85" s="52">
        <v>124.6</v>
      </c>
      <c r="K85" s="52">
        <v>126.5</v>
      </c>
      <c r="L85" s="52">
        <v>127.3</v>
      </c>
      <c r="M85" s="52">
        <v>126.9</v>
      </c>
      <c r="N85" s="52">
        <v>126.9</v>
      </c>
      <c r="O85" s="52">
        <v>125.8</v>
      </c>
      <c r="P85" s="52">
        <v>124.6</v>
      </c>
      <c r="Q85" s="52">
        <v>125.2</v>
      </c>
      <c r="R85" s="52">
        <v>126.1</v>
      </c>
      <c r="S85" s="52">
        <v>124</v>
      </c>
      <c r="T85" s="52">
        <v>124.2</v>
      </c>
      <c r="U85" s="52">
        <v>128</v>
      </c>
      <c r="V85" s="52">
        <v>129.30000000000001</v>
      </c>
      <c r="W85" s="52">
        <v>129.5</v>
      </c>
      <c r="X85" s="52">
        <v>129.5</v>
      </c>
      <c r="Y85" s="52">
        <v>129.5</v>
      </c>
      <c r="Z85" s="52">
        <v>118.7</v>
      </c>
      <c r="AA85" s="52">
        <v>125.5</v>
      </c>
      <c r="AB85" s="52">
        <v>121.2</v>
      </c>
      <c r="AC85" s="52">
        <v>124.2</v>
      </c>
      <c r="AD85" s="52">
        <v>125.5</v>
      </c>
      <c r="AE85" s="52">
        <v>125.6</v>
      </c>
      <c r="AF85" s="98">
        <v>127.3</v>
      </c>
      <c r="AG85" s="99"/>
      <c r="AH85" s="55">
        <f t="shared" si="16"/>
        <v>130.30000000000001</v>
      </c>
      <c r="AI85" s="56">
        <f t="shared" si="17"/>
        <v>118.7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8">
        <v>133.1</v>
      </c>
      <c r="C86" s="52">
        <v>134</v>
      </c>
      <c r="D86" s="52">
        <v>132.30000000000001</v>
      </c>
      <c r="E86" s="52">
        <v>133.1</v>
      </c>
      <c r="F86" s="52">
        <v>132.9</v>
      </c>
      <c r="G86" s="52">
        <v>133.6</v>
      </c>
      <c r="H86" s="52">
        <v>131.69999999999999</v>
      </c>
      <c r="I86" s="52">
        <v>129.9</v>
      </c>
      <c r="J86" s="52">
        <v>127.7</v>
      </c>
      <c r="K86" s="52">
        <v>130.5</v>
      </c>
      <c r="L86" s="52">
        <v>130.19999999999999</v>
      </c>
      <c r="M86" s="52">
        <v>129.19999999999999</v>
      </c>
      <c r="N86" s="52">
        <v>129.19999999999999</v>
      </c>
      <c r="O86" s="52">
        <v>127.5</v>
      </c>
      <c r="P86" s="52">
        <v>127.3</v>
      </c>
      <c r="Q86" s="52">
        <v>127.5</v>
      </c>
      <c r="R86" s="52">
        <v>128.5</v>
      </c>
      <c r="S86" s="52">
        <v>126.6</v>
      </c>
      <c r="T86" s="52">
        <v>126.6</v>
      </c>
      <c r="U86" s="52">
        <v>130.80000000000001</v>
      </c>
      <c r="V86" s="52">
        <v>132.5</v>
      </c>
      <c r="W86" s="52">
        <v>131.6</v>
      </c>
      <c r="X86" s="52">
        <v>132</v>
      </c>
      <c r="Y86" s="52">
        <v>131.6</v>
      </c>
      <c r="Z86" s="52">
        <v>125.2</v>
      </c>
      <c r="AA86" s="52">
        <v>130.69999999999999</v>
      </c>
      <c r="AB86" s="52">
        <v>124.8</v>
      </c>
      <c r="AC86" s="52">
        <v>128.5</v>
      </c>
      <c r="AD86" s="52">
        <v>129.5</v>
      </c>
      <c r="AE86" s="52">
        <v>129.9</v>
      </c>
      <c r="AF86" s="98">
        <v>131.4</v>
      </c>
      <c r="AG86" s="99"/>
      <c r="AH86" s="55">
        <f t="shared" si="16"/>
        <v>134</v>
      </c>
      <c r="AI86" s="56">
        <f t="shared" si="17"/>
        <v>124.8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2">
        <v>135.19999999999999</v>
      </c>
      <c r="C87" s="101">
        <v>134.6</v>
      </c>
      <c r="D87" s="101">
        <v>134.9</v>
      </c>
      <c r="E87" s="101">
        <v>134.30000000000001</v>
      </c>
      <c r="F87" s="101">
        <v>132.4</v>
      </c>
      <c r="G87" s="101">
        <v>131.4</v>
      </c>
      <c r="H87" s="101">
        <v>132.6</v>
      </c>
      <c r="I87" s="101">
        <v>132.69999999999999</v>
      </c>
      <c r="J87" s="101">
        <v>131.9</v>
      </c>
      <c r="K87" s="101">
        <v>132.6</v>
      </c>
      <c r="L87" s="101">
        <v>132.1</v>
      </c>
      <c r="M87" s="101">
        <v>133</v>
      </c>
      <c r="N87" s="101">
        <v>133</v>
      </c>
      <c r="O87" s="101">
        <v>133.4</v>
      </c>
      <c r="P87" s="101">
        <v>133</v>
      </c>
      <c r="Q87" s="101">
        <v>133.19999999999999</v>
      </c>
      <c r="R87" s="101">
        <v>135.5</v>
      </c>
      <c r="S87" s="101">
        <v>132.1</v>
      </c>
      <c r="T87" s="101">
        <v>134.9</v>
      </c>
      <c r="U87" s="101">
        <v>131</v>
      </c>
      <c r="V87" s="101">
        <v>135.4</v>
      </c>
      <c r="W87" s="101">
        <v>134.30000000000001</v>
      </c>
      <c r="X87" s="101">
        <v>134.9</v>
      </c>
      <c r="Y87" s="101">
        <v>134.30000000000001</v>
      </c>
      <c r="Z87" s="101">
        <v>136.4</v>
      </c>
      <c r="AA87" s="101">
        <v>133.30000000000001</v>
      </c>
      <c r="AB87" s="101">
        <v>132.80000000000001</v>
      </c>
      <c r="AC87" s="101">
        <v>131.5</v>
      </c>
      <c r="AD87" s="101">
        <v>133.80000000000001</v>
      </c>
      <c r="AE87" s="101">
        <v>134.19999999999999</v>
      </c>
      <c r="AF87" s="102">
        <v>133.6</v>
      </c>
      <c r="AG87" s="103"/>
      <c r="AH87" s="55">
        <f t="shared" si="16"/>
        <v>136.4</v>
      </c>
      <c r="AI87" s="56">
        <f t="shared" si="17"/>
        <v>131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8">
        <v>134.30000000000001</v>
      </c>
      <c r="C88" s="52">
        <v>135</v>
      </c>
      <c r="D88" s="52">
        <v>136.19999999999999</v>
      </c>
      <c r="E88" s="52">
        <v>134</v>
      </c>
      <c r="F88" s="52">
        <v>132.69999999999999</v>
      </c>
      <c r="G88" s="52">
        <v>131.4</v>
      </c>
      <c r="H88" s="52">
        <v>132.30000000000001</v>
      </c>
      <c r="I88" s="52">
        <v>132</v>
      </c>
      <c r="J88" s="52">
        <v>130.80000000000001</v>
      </c>
      <c r="K88" s="52">
        <v>130.5</v>
      </c>
      <c r="L88" s="52">
        <v>129.1</v>
      </c>
      <c r="M88" s="52">
        <v>128</v>
      </c>
      <c r="N88" s="52">
        <v>128</v>
      </c>
      <c r="O88" s="52">
        <v>127.9</v>
      </c>
      <c r="P88" s="52">
        <v>129.6</v>
      </c>
      <c r="Q88" s="52">
        <v>130.19999999999999</v>
      </c>
      <c r="R88" s="52">
        <v>133.30000000000001</v>
      </c>
      <c r="S88" s="52">
        <v>129.19999999999999</v>
      </c>
      <c r="T88" s="52">
        <v>134.4</v>
      </c>
      <c r="U88" s="52">
        <v>123.9</v>
      </c>
      <c r="V88" s="52">
        <v>130.80000000000001</v>
      </c>
      <c r="W88" s="52">
        <v>131.6</v>
      </c>
      <c r="X88" s="52">
        <v>132</v>
      </c>
      <c r="Y88" s="52">
        <v>131.6</v>
      </c>
      <c r="Z88" s="52">
        <v>134.69999999999999</v>
      </c>
      <c r="AA88" s="52">
        <v>131.30000000000001</v>
      </c>
      <c r="AB88" s="52">
        <v>130.30000000000001</v>
      </c>
      <c r="AC88" s="52">
        <v>130.30000000000001</v>
      </c>
      <c r="AD88" s="52">
        <v>132.9</v>
      </c>
      <c r="AE88" s="52">
        <v>134.1</v>
      </c>
      <c r="AF88" s="98">
        <v>132.9</v>
      </c>
      <c r="AG88" s="99"/>
      <c r="AH88" s="55">
        <f t="shared" si="16"/>
        <v>136.19999999999999</v>
      </c>
      <c r="AI88" s="56">
        <f t="shared" si="17"/>
        <v>123.9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5">
        <v>66.7</v>
      </c>
      <c r="C89" s="104">
        <v>67</v>
      </c>
      <c r="D89" s="104">
        <v>67.099999999999994</v>
      </c>
      <c r="E89" s="104">
        <v>66.5</v>
      </c>
      <c r="F89" s="104">
        <v>66.2</v>
      </c>
      <c r="G89" s="104">
        <v>65.900000000000006</v>
      </c>
      <c r="H89" s="104">
        <v>65.900000000000006</v>
      </c>
      <c r="I89" s="104">
        <v>65.400000000000006</v>
      </c>
      <c r="J89" s="104">
        <v>64.5</v>
      </c>
      <c r="K89" s="104">
        <v>63.9</v>
      </c>
      <c r="L89" s="104">
        <v>64.7</v>
      </c>
      <c r="M89" s="104">
        <v>64</v>
      </c>
      <c r="N89" s="104">
        <v>64</v>
      </c>
      <c r="O89" s="104">
        <v>63.5</v>
      </c>
      <c r="P89" s="104">
        <v>64.099999999999994</v>
      </c>
      <c r="Q89" s="104">
        <v>63.2</v>
      </c>
      <c r="R89" s="104">
        <v>62.6</v>
      </c>
      <c r="S89" s="104">
        <v>63.3</v>
      </c>
      <c r="T89" s="104">
        <v>63</v>
      </c>
      <c r="U89" s="104">
        <v>64.099999999999994</v>
      </c>
      <c r="V89" s="104">
        <v>64.2</v>
      </c>
      <c r="W89" s="104">
        <v>65.3</v>
      </c>
      <c r="X89" s="104">
        <v>65.3</v>
      </c>
      <c r="Y89" s="104">
        <v>65.3</v>
      </c>
      <c r="Z89" s="104">
        <v>66</v>
      </c>
      <c r="AA89" s="104">
        <v>64.900000000000006</v>
      </c>
      <c r="AB89" s="104">
        <v>65.400000000000006</v>
      </c>
      <c r="AC89" s="104">
        <v>65.5</v>
      </c>
      <c r="AD89" s="104">
        <v>66.2</v>
      </c>
      <c r="AE89" s="104">
        <v>65.7</v>
      </c>
      <c r="AF89" s="105">
        <v>65.900000000000006</v>
      </c>
      <c r="AG89" s="106"/>
      <c r="AH89" s="55">
        <f t="shared" si="16"/>
        <v>67.099999999999994</v>
      </c>
      <c r="AI89" s="56">
        <f t="shared" si="17"/>
        <v>62.6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146.03999999999996</v>
      </c>
      <c r="C91" s="178">
        <f t="shared" ref="C91:AF91" si="21">SUM(C14,C17,C20:C21,C40,C42:C43,C45,C47,C92:C95,C100,C106,C112,C121,C123,C135,C142,C145:C146,C153,C155,C157,C161:C163,C165:C167,C172,C178:C179,C181:C183,C191,C196)</f>
        <v>141.23999999999998</v>
      </c>
      <c r="D91" s="178">
        <f t="shared" si="21"/>
        <v>139.54</v>
      </c>
      <c r="E91" s="178">
        <f t="shared" si="21"/>
        <v>134.23999999999998</v>
      </c>
      <c r="F91" s="178">
        <f t="shared" si="21"/>
        <v>149.94</v>
      </c>
      <c r="G91" s="111">
        <f t="shared" si="21"/>
        <v>165.03999999999996</v>
      </c>
      <c r="H91" s="111">
        <f t="shared" si="21"/>
        <v>196.53999999999994</v>
      </c>
      <c r="I91" s="111">
        <f t="shared" si="21"/>
        <v>229.33999999999997</v>
      </c>
      <c r="J91" s="111">
        <f t="shared" si="21"/>
        <v>253.53999999999996</v>
      </c>
      <c r="K91" s="111">
        <f t="shared" si="21"/>
        <v>270.34000000000003</v>
      </c>
      <c r="L91" s="111">
        <f t="shared" si="21"/>
        <v>280.74</v>
      </c>
      <c r="M91" s="111">
        <f t="shared" si="21"/>
        <v>279.24</v>
      </c>
      <c r="N91" s="111">
        <f t="shared" si="21"/>
        <v>292.54000000000008</v>
      </c>
      <c r="O91" s="111">
        <f t="shared" si="21"/>
        <v>286.74</v>
      </c>
      <c r="P91" s="111">
        <f t="shared" si="21"/>
        <v>295.14000000000004</v>
      </c>
      <c r="Q91" s="111">
        <f t="shared" si="21"/>
        <v>284.34000000000003</v>
      </c>
      <c r="R91" s="111">
        <f t="shared" si="21"/>
        <v>251.64</v>
      </c>
      <c r="S91" s="111">
        <f t="shared" si="21"/>
        <v>279.14</v>
      </c>
      <c r="T91" s="111">
        <f t="shared" si="21"/>
        <v>298.84000000000003</v>
      </c>
      <c r="U91" s="111">
        <f t="shared" si="21"/>
        <v>292.74</v>
      </c>
      <c r="V91" s="111">
        <f t="shared" si="21"/>
        <v>301.74</v>
      </c>
      <c r="W91" s="111">
        <f t="shared" si="21"/>
        <v>333.14000000000004</v>
      </c>
      <c r="X91" s="111">
        <f t="shared" si="21"/>
        <v>334.14000000000004</v>
      </c>
      <c r="Y91" s="111">
        <f t="shared" si="21"/>
        <v>335.14000000000004</v>
      </c>
      <c r="Z91" s="111">
        <f t="shared" si="21"/>
        <v>329.04000000000008</v>
      </c>
      <c r="AA91" s="111">
        <f t="shared" si="21"/>
        <v>299.34000000000003</v>
      </c>
      <c r="AB91" s="111">
        <f t="shared" si="21"/>
        <v>278.74</v>
      </c>
      <c r="AC91" s="111">
        <f t="shared" si="21"/>
        <v>258.44000000000011</v>
      </c>
      <c r="AD91" s="111">
        <f t="shared" si="21"/>
        <v>207.93999999999997</v>
      </c>
      <c r="AE91" s="111">
        <f t="shared" si="21"/>
        <v>166.94</v>
      </c>
      <c r="AF91" s="111">
        <f t="shared" si="21"/>
        <v>166.14000000000001</v>
      </c>
      <c r="AG91" s="112"/>
      <c r="AH91" s="55">
        <f>MAX(B91:AF91)</f>
        <v>335.14000000000004</v>
      </c>
      <c r="AI91" s="56">
        <f>MIN(B91:AF91)</f>
        <v>134.23999999999998</v>
      </c>
    </row>
    <row r="92" spans="1:88" x14ac:dyDescent="0.25">
      <c r="A92" s="113" t="s">
        <v>95</v>
      </c>
      <c r="B92" s="51">
        <v>38.700000000000003</v>
      </c>
      <c r="C92" s="59">
        <v>35</v>
      </c>
      <c r="D92" s="59">
        <v>40.9</v>
      </c>
      <c r="E92" s="59">
        <v>42.8</v>
      </c>
      <c r="F92" s="59">
        <v>42.2</v>
      </c>
      <c r="G92" s="114">
        <v>39</v>
      </c>
      <c r="H92" s="114">
        <v>46.3</v>
      </c>
      <c r="I92" s="114">
        <v>45.6</v>
      </c>
      <c r="J92" s="114">
        <v>40.4</v>
      </c>
      <c r="K92" s="114">
        <v>38.1</v>
      </c>
      <c r="L92" s="115">
        <v>42.9</v>
      </c>
      <c r="M92" s="114">
        <v>40</v>
      </c>
      <c r="N92" s="114">
        <v>41.5</v>
      </c>
      <c r="O92" s="114">
        <v>31.6</v>
      </c>
      <c r="P92" s="114">
        <v>27.1</v>
      </c>
      <c r="Q92" s="114">
        <v>38</v>
      </c>
      <c r="R92" s="114">
        <v>36.5</v>
      </c>
      <c r="S92" s="114">
        <v>57.4</v>
      </c>
      <c r="T92" s="114">
        <v>34.6</v>
      </c>
      <c r="U92" s="115">
        <v>36.5</v>
      </c>
      <c r="V92" s="115">
        <v>30.3</v>
      </c>
      <c r="W92" s="115">
        <v>27.7</v>
      </c>
      <c r="X92" s="115">
        <v>28.7</v>
      </c>
      <c r="Y92" s="115">
        <v>29.7</v>
      </c>
      <c r="Z92" s="115">
        <v>25.5</v>
      </c>
      <c r="AA92" s="115">
        <v>24.2</v>
      </c>
      <c r="AB92" s="115">
        <v>23.2</v>
      </c>
      <c r="AC92" s="115">
        <v>18.7</v>
      </c>
      <c r="AD92" s="115">
        <v>23.9</v>
      </c>
      <c r="AE92" s="115">
        <v>32.9</v>
      </c>
      <c r="AF92" s="116">
        <v>17.899999999999999</v>
      </c>
      <c r="AG92" s="117">
        <v>75</v>
      </c>
      <c r="AH92" s="55">
        <f t="shared" ref="AH92:AH97" si="22">IF(ABS(MAX(B92:AF92))&gt;ABS(MIN(B92:AF92)),MAX(B92:AF92),MIN(B92:AF92))</f>
        <v>57.4</v>
      </c>
      <c r="AI92" s="118">
        <f t="shared" ref="AI92:AI97" si="23">INDEX($B$9:$AF$9,1,MATCH(AH92,B92:AF92,0))</f>
        <v>0.625</v>
      </c>
    </row>
    <row r="93" spans="1:88" x14ac:dyDescent="0.25">
      <c r="A93" s="119" t="s">
        <v>96</v>
      </c>
      <c r="B93" s="120">
        <f>-45.5-53.8</f>
        <v>-99.3</v>
      </c>
      <c r="C93" s="61">
        <f>-44-52.4</f>
        <v>-96.4</v>
      </c>
      <c r="D93" s="61">
        <v>-95.5</v>
      </c>
      <c r="E93" s="61">
        <v>-101</v>
      </c>
      <c r="F93" s="61">
        <v>-84</v>
      </c>
      <c r="G93" s="61">
        <v>-80</v>
      </c>
      <c r="H93" s="61">
        <v>-75.3</v>
      </c>
      <c r="I93" s="61">
        <v>-59</v>
      </c>
      <c r="J93" s="61">
        <v>-50</v>
      </c>
      <c r="K93" s="61">
        <v>-49.5</v>
      </c>
      <c r="L93" s="61">
        <v>-48</v>
      </c>
      <c r="M93" s="61">
        <v>-48</v>
      </c>
      <c r="N93" s="61">
        <v>-47</v>
      </c>
      <c r="O93" s="61">
        <v>-46.5</v>
      </c>
      <c r="P93" s="61">
        <v>-48.1</v>
      </c>
      <c r="Q93" s="61">
        <v>-53.2</v>
      </c>
      <c r="R93" s="61">
        <v>-75.599999999999994</v>
      </c>
      <c r="S93" s="61">
        <v>-67.599999999999994</v>
      </c>
      <c r="T93" s="61">
        <f>-22.9-26.9</f>
        <v>-49.8</v>
      </c>
      <c r="U93" s="61">
        <v>-46.4</v>
      </c>
      <c r="V93" s="61">
        <f>-19.8-24</f>
        <v>-43.8</v>
      </c>
      <c r="W93" s="61">
        <f>-15.2-18.8</f>
        <v>-34</v>
      </c>
      <c r="X93" s="61">
        <f>-15.2-18.8</f>
        <v>-34</v>
      </c>
      <c r="Y93" s="61">
        <f>-15.2-18.8</f>
        <v>-34</v>
      </c>
      <c r="Z93" s="61">
        <f>-17.1-29.7</f>
        <v>-46.8</v>
      </c>
      <c r="AA93" s="52">
        <v>-62.1</v>
      </c>
      <c r="AB93" s="52">
        <v>-63</v>
      </c>
      <c r="AC93" s="52">
        <v>-71.3</v>
      </c>
      <c r="AD93" s="52">
        <v>-93.4</v>
      </c>
      <c r="AE93" s="52">
        <v>-109.5</v>
      </c>
      <c r="AF93" s="120">
        <v>-108</v>
      </c>
      <c r="AG93" s="117">
        <v>240</v>
      </c>
      <c r="AH93" s="55">
        <f t="shared" si="22"/>
        <v>-109.5</v>
      </c>
      <c r="AI93" s="118">
        <f t="shared" si="23"/>
        <v>0.95833333333333304</v>
      </c>
    </row>
    <row r="94" spans="1:88" x14ac:dyDescent="0.25">
      <c r="A94" s="119" t="s">
        <v>97</v>
      </c>
      <c r="B94" s="120">
        <v>-15.8</v>
      </c>
      <c r="C94" s="61">
        <v>-6</v>
      </c>
      <c r="D94" s="61">
        <v>-13.4</v>
      </c>
      <c r="E94" s="61">
        <v>-14.2</v>
      </c>
      <c r="F94" s="61">
        <v>-7.6</v>
      </c>
      <c r="G94" s="61">
        <v>-7.2</v>
      </c>
      <c r="H94" s="61">
        <v>-5.3</v>
      </c>
      <c r="I94" s="61">
        <v>-2.6</v>
      </c>
      <c r="J94" s="61">
        <v>-0.8</v>
      </c>
      <c r="K94" s="61">
        <v>1.8</v>
      </c>
      <c r="L94" s="61">
        <v>6.4</v>
      </c>
      <c r="M94" s="61">
        <v>4.5999999999999996</v>
      </c>
      <c r="N94" s="61">
        <v>2</v>
      </c>
      <c r="O94" s="61">
        <v>1.8</v>
      </c>
      <c r="P94" s="61">
        <v>8.4</v>
      </c>
      <c r="Q94" s="61">
        <v>2.6</v>
      </c>
      <c r="R94" s="61">
        <v>-4.9000000000000004</v>
      </c>
      <c r="S94" s="61">
        <v>-3.6</v>
      </c>
      <c r="T94" s="61">
        <v>-2.8</v>
      </c>
      <c r="U94" s="61">
        <v>3.2</v>
      </c>
      <c r="V94" s="61">
        <v>-0.3</v>
      </c>
      <c r="W94" s="61">
        <v>16.3</v>
      </c>
      <c r="X94" s="61">
        <v>16.3</v>
      </c>
      <c r="Y94" s="61">
        <v>16.3</v>
      </c>
      <c r="Z94" s="61">
        <v>32.200000000000003</v>
      </c>
      <c r="AA94" s="52">
        <v>27.7</v>
      </c>
      <c r="AB94" s="52">
        <v>28.2</v>
      </c>
      <c r="AC94" s="52">
        <v>22.5</v>
      </c>
      <c r="AD94" s="52">
        <v>6.2</v>
      </c>
      <c r="AE94" s="52">
        <v>-6.4</v>
      </c>
      <c r="AF94" s="120">
        <v>-11.8</v>
      </c>
      <c r="AG94" s="117">
        <v>60</v>
      </c>
      <c r="AH94" s="55">
        <f t="shared" si="22"/>
        <v>32.200000000000003</v>
      </c>
      <c r="AI94" s="118">
        <f t="shared" si="23"/>
        <v>0.8125</v>
      </c>
    </row>
    <row r="95" spans="1:88" x14ac:dyDescent="0.25">
      <c r="A95" s="121" t="s">
        <v>98</v>
      </c>
      <c r="B95" s="123">
        <v>-5.4</v>
      </c>
      <c r="C95" s="84">
        <v>-8.6999999999999993</v>
      </c>
      <c r="D95" s="84">
        <v>-10.3</v>
      </c>
      <c r="E95" s="84">
        <v>-21.4</v>
      </c>
      <c r="F95" s="84">
        <v>-10.9</v>
      </c>
      <c r="G95" s="84">
        <v>3</v>
      </c>
      <c r="H95" s="84">
        <v>2.1</v>
      </c>
      <c r="I95" s="84">
        <v>16.600000000000001</v>
      </c>
      <c r="J95" s="84">
        <v>35.200000000000003</v>
      </c>
      <c r="K95" s="84">
        <v>42.2</v>
      </c>
      <c r="L95" s="84">
        <v>41.7</v>
      </c>
      <c r="M95" s="84">
        <v>44.6</v>
      </c>
      <c r="N95" s="84">
        <v>58</v>
      </c>
      <c r="O95" s="84">
        <v>62</v>
      </c>
      <c r="P95" s="84">
        <v>70.5</v>
      </c>
      <c r="Q95" s="84">
        <v>58.8</v>
      </c>
      <c r="R95" s="84">
        <v>57.6</v>
      </c>
      <c r="S95" s="84">
        <v>54.8</v>
      </c>
      <c r="T95" s="84">
        <v>78.7</v>
      </c>
      <c r="U95" s="84">
        <v>60.5</v>
      </c>
      <c r="V95" s="84">
        <v>76.599999999999994</v>
      </c>
      <c r="W95" s="84">
        <v>84.2</v>
      </c>
      <c r="X95" s="84">
        <v>84.2</v>
      </c>
      <c r="Y95" s="84">
        <v>84.2</v>
      </c>
      <c r="Z95" s="84">
        <v>78.900000000000006</v>
      </c>
      <c r="AA95" s="122">
        <v>70.3</v>
      </c>
      <c r="AB95" s="122">
        <v>51.1</v>
      </c>
      <c r="AC95" s="122">
        <v>49.3</v>
      </c>
      <c r="AD95" s="122">
        <v>32</v>
      </c>
      <c r="AE95" s="122">
        <v>11</v>
      </c>
      <c r="AF95" s="123">
        <v>29.1</v>
      </c>
      <c r="AG95" s="124">
        <v>120</v>
      </c>
      <c r="AH95" s="55">
        <f t="shared" si="22"/>
        <v>84.2</v>
      </c>
      <c r="AI95" s="118">
        <f t="shared" si="23"/>
        <v>0.75</v>
      </c>
    </row>
    <row r="96" spans="1:88" x14ac:dyDescent="0.25">
      <c r="A96" s="121" t="s">
        <v>99</v>
      </c>
      <c r="B96" s="123">
        <v>13.7</v>
      </c>
      <c r="C96" s="84">
        <v>12.3</v>
      </c>
      <c r="D96" s="84">
        <v>13.7</v>
      </c>
      <c r="E96" s="84">
        <v>6.6</v>
      </c>
      <c r="F96" s="84">
        <v>14</v>
      </c>
      <c r="G96" s="84">
        <v>20.7</v>
      </c>
      <c r="H96" s="84">
        <v>13.9</v>
      </c>
      <c r="I96" s="84">
        <v>24.4</v>
      </c>
      <c r="J96" s="84">
        <v>41</v>
      </c>
      <c r="K96" s="84">
        <v>44</v>
      </c>
      <c r="L96" s="84">
        <v>40.799999999999997</v>
      </c>
      <c r="M96" s="84">
        <v>47</v>
      </c>
      <c r="N96" s="84">
        <v>56</v>
      </c>
      <c r="O96" s="84">
        <v>59.1</v>
      </c>
      <c r="P96" s="84">
        <v>64.2</v>
      </c>
      <c r="Q96" s="84">
        <v>56</v>
      </c>
      <c r="R96" s="84">
        <v>59.5</v>
      </c>
      <c r="S96" s="84">
        <v>53.8</v>
      </c>
      <c r="T96" s="84">
        <v>71</v>
      </c>
      <c r="U96" s="84">
        <v>57.5</v>
      </c>
      <c r="V96" s="84">
        <v>64.099999999999994</v>
      </c>
      <c r="W96" s="84">
        <v>64.5</v>
      </c>
      <c r="X96" s="84">
        <v>64.5</v>
      </c>
      <c r="Y96" s="84">
        <v>64.5</v>
      </c>
      <c r="Z96" s="84">
        <v>61</v>
      </c>
      <c r="AA96" s="122">
        <v>68.5</v>
      </c>
      <c r="AB96" s="122">
        <v>41.6</v>
      </c>
      <c r="AC96" s="122">
        <v>43.3</v>
      </c>
      <c r="AD96" s="122">
        <v>35.6</v>
      </c>
      <c r="AE96" s="122">
        <v>23.6</v>
      </c>
      <c r="AF96" s="123">
        <v>40.200000000000003</v>
      </c>
      <c r="AG96" s="124"/>
      <c r="AH96" s="55">
        <f t="shared" si="22"/>
        <v>71</v>
      </c>
      <c r="AI96" s="118">
        <f t="shared" si="23"/>
        <v>0.66666666666666696</v>
      </c>
    </row>
    <row r="97" spans="1:37" ht="15.75" thickBot="1" x14ac:dyDescent="0.3">
      <c r="A97" s="121" t="s">
        <v>100</v>
      </c>
      <c r="B97" s="123">
        <v>56.9</v>
      </c>
      <c r="C97" s="84">
        <v>55.9</v>
      </c>
      <c r="D97" s="84">
        <v>48.8</v>
      </c>
      <c r="E97" s="84">
        <v>46.5</v>
      </c>
      <c r="F97" s="84">
        <v>44.8</v>
      </c>
      <c r="G97" s="84">
        <v>51.8</v>
      </c>
      <c r="H97" s="84">
        <v>44</v>
      </c>
      <c r="I97" s="84">
        <v>40.799999999999997</v>
      </c>
      <c r="J97" s="84">
        <v>44.2</v>
      </c>
      <c r="K97" s="84">
        <v>41</v>
      </c>
      <c r="L97" s="84">
        <v>39</v>
      </c>
      <c r="M97" s="84">
        <v>48</v>
      </c>
      <c r="N97" s="84">
        <v>40</v>
      </c>
      <c r="O97" s="84">
        <v>47.2</v>
      </c>
      <c r="P97" s="84">
        <v>60.2</v>
      </c>
      <c r="Q97" s="84">
        <v>50.5</v>
      </c>
      <c r="R97" s="84">
        <v>46.5</v>
      </c>
      <c r="S97" s="84">
        <v>50.8</v>
      </c>
      <c r="T97" s="84">
        <v>50.9</v>
      </c>
      <c r="U97" s="84">
        <v>63.7</v>
      </c>
      <c r="V97" s="84">
        <v>73.099999999999994</v>
      </c>
      <c r="W97" s="84">
        <v>49.7</v>
      </c>
      <c r="X97" s="84">
        <v>49.7</v>
      </c>
      <c r="Y97" s="84">
        <v>49.7</v>
      </c>
      <c r="Z97" s="84">
        <v>62.4</v>
      </c>
      <c r="AA97" s="122">
        <v>66.099999999999994</v>
      </c>
      <c r="AB97" s="122">
        <v>65.8</v>
      </c>
      <c r="AC97" s="122">
        <v>77.5</v>
      </c>
      <c r="AD97" s="122">
        <v>66.5</v>
      </c>
      <c r="AE97" s="122">
        <v>62.1</v>
      </c>
      <c r="AF97" s="123">
        <v>62.1</v>
      </c>
      <c r="AG97" s="125"/>
      <c r="AH97" s="55">
        <f t="shared" si="22"/>
        <v>77.5</v>
      </c>
      <c r="AI97" s="118">
        <f t="shared" si="23"/>
        <v>0.875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1227.04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7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2078/04/7)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2078/04/7)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1108.24</v>
      </c>
      <c r="U211" s="170">
        <f t="shared" si="52"/>
        <v>1078.24</v>
      </c>
      <c r="V211" s="170">
        <f t="shared" si="52"/>
        <v>1074.24</v>
      </c>
      <c r="W211" s="170">
        <f t="shared" si="52"/>
        <v>1032.54</v>
      </c>
      <c r="X211" s="170">
        <f t="shared" si="52"/>
        <v>1057.24</v>
      </c>
      <c r="Y211" s="170">
        <f t="shared" si="52"/>
        <v>1066.6400000000001</v>
      </c>
      <c r="Z211" s="170">
        <f t="shared" si="52"/>
        <v>1074.6399999999999</v>
      </c>
      <c r="AA211" s="170">
        <f t="shared" si="52"/>
        <v>1110.44</v>
      </c>
      <c r="AB211" s="170">
        <f t="shared" si="52"/>
        <v>1142.94</v>
      </c>
      <c r="AC211" s="170">
        <f t="shared" si="52"/>
        <v>1195.8399999999999</v>
      </c>
      <c r="AD211" s="170">
        <f t="shared" si="52"/>
        <v>1221.54</v>
      </c>
      <c r="AE211" s="170">
        <f t="shared" si="52"/>
        <v>1227.04</v>
      </c>
      <c r="AF211" s="170">
        <f t="shared" si="52"/>
        <v>1225.04</v>
      </c>
      <c r="AG211" s="170">
        <f t="shared" si="52"/>
        <v>1275.3399999999999</v>
      </c>
      <c r="AH211" s="170">
        <f t="shared" si="52"/>
        <v>1332.74</v>
      </c>
      <c r="AI211" s="170">
        <f t="shared" si="52"/>
        <v>1295.44</v>
      </c>
      <c r="AJ211" s="170">
        <f t="shared" si="52"/>
        <v>1279.04</v>
      </c>
      <c r="AK211" s="170">
        <f t="shared" si="52"/>
        <v>1230.6399999999999</v>
      </c>
      <c r="AL211" s="170">
        <f t="shared" si="52"/>
        <v>1279.24</v>
      </c>
      <c r="AM211" s="170">
        <f t="shared" si="52"/>
        <v>1200.74</v>
      </c>
      <c r="AN211" s="170">
        <f t="shared" si="52"/>
        <v>1254.6399999999999</v>
      </c>
      <c r="AO211" s="170">
        <f t="shared" si="52"/>
        <v>1343.74</v>
      </c>
      <c r="AP211" s="170">
        <f t="shared" si="52"/>
        <v>1483.44</v>
      </c>
      <c r="AQ211" s="170">
        <f t="shared" si="52"/>
        <v>1523.24</v>
      </c>
      <c r="AR211" s="170">
        <f t="shared" si="52"/>
        <v>1516.84</v>
      </c>
      <c r="AS211" s="170">
        <f t="shared" si="52"/>
        <v>1438.96</v>
      </c>
      <c r="AT211" s="170">
        <f t="shared" si="52"/>
        <v>1419.54</v>
      </c>
      <c r="AU211" s="170">
        <f t="shared" si="52"/>
        <v>1367.24</v>
      </c>
      <c r="AV211" s="170">
        <f t="shared" si="52"/>
        <v>1278.18</v>
      </c>
      <c r="AW211" s="170">
        <f t="shared" si="52"/>
        <v>1211.74</v>
      </c>
      <c r="AX211" s="170">
        <f t="shared" si="52"/>
        <v>1195.94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873" priority="379">
      <formula>S$9&gt;=20/24</formula>
    </cfRule>
    <cfRule type="expression" dxfId="8872" priority="380">
      <formula>AND(S$9&gt;=14/24,S$9&lt;20/24)</formula>
    </cfRule>
    <cfRule type="expression" dxfId="8871" priority="381">
      <formula>AND(S$9&gt;=8/24,S$9&lt;14/24)</formula>
    </cfRule>
    <cfRule type="expression" dxfId="8870" priority="382">
      <formula>S$9&lt;8/24</formula>
    </cfRule>
  </conditionalFormatting>
  <conditionalFormatting sqref="B8:AF10 AA79:AF79 C79:Q79 C54:AF54 C80:AF80 C191:AF197 O35:Q35 AE55:AF58 C66:AF70 T210:AX210 O37:Q37 O38:P40 Q40 O43:Q46 N12:Q13 O18:Q31 O17:S17 R18:S29 AA82:AF89 C72:AF76 C78:AF78 O15:Q16 C55:L59 M37:N40 C61:N65 M58:N59 O58:Q65 Q38:T39 M56:V57 W57:AA57 L51:AF53 N11:AF11 T17:AF29 U38:AF40">
    <cfRule type="expression" dxfId="8869" priority="375">
      <formula>B$9&gt;=20/24</formula>
    </cfRule>
    <cfRule type="expression" dxfId="8868" priority="376">
      <formula>AND(B$9&gt;=14/24,B$9&lt;20/24)</formula>
    </cfRule>
    <cfRule type="expression" dxfId="8867" priority="377">
      <formula>AND(B$9&gt;=8/24,B$9&lt;14/24)</formula>
    </cfRule>
    <cfRule type="expression" dxfId="8866" priority="378">
      <formula>B$9&lt;8/24</formula>
    </cfRule>
  </conditionalFormatting>
  <conditionalFormatting sqref="B189:AF189">
    <cfRule type="expression" dxfId="8865" priority="371">
      <formula>B$9&gt;=20/24</formula>
    </cfRule>
    <cfRule type="expression" dxfId="8864" priority="372">
      <formula>AND(B$9&gt;=14/24,B$9&lt;20/24)</formula>
    </cfRule>
    <cfRule type="expression" dxfId="8863" priority="373">
      <formula>AND(B$9&gt;=8/24,B$9&lt;14/24)</formula>
    </cfRule>
    <cfRule type="expression" dxfId="8862" priority="374">
      <formula>B$9&lt;8/24</formula>
    </cfRule>
  </conditionalFormatting>
  <conditionalFormatting sqref="AL4:AL6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M55:Q55">
    <cfRule type="expression" dxfId="8861" priority="366">
      <formula>M$9&gt;=20/24</formula>
    </cfRule>
    <cfRule type="expression" dxfId="8860" priority="367">
      <formula>AND(M$9&gt;=14/24,M$9&lt;20/24)</formula>
    </cfRule>
    <cfRule type="expression" dxfId="8859" priority="368">
      <formula>AND(M$9&gt;=8/24,M$9&lt;14/24)</formula>
    </cfRule>
    <cfRule type="expression" dxfId="8858" priority="369">
      <formula>M$9&lt;8/24</formula>
    </cfRule>
  </conditionalFormatting>
  <conditionalFormatting sqref="O41:Q41">
    <cfRule type="expression" dxfId="8857" priority="362">
      <formula>O$9&gt;=20/24</formula>
    </cfRule>
    <cfRule type="expression" dxfId="8856" priority="363">
      <formula>AND(O$9&gt;=14/24,O$9&lt;20/24)</formula>
    </cfRule>
    <cfRule type="expression" dxfId="8855" priority="364">
      <formula>AND(O$9&gt;=8/24,O$9&lt;14/24)</formula>
    </cfRule>
    <cfRule type="expression" dxfId="8854" priority="365">
      <formula>O$9&lt;8/24</formula>
    </cfRule>
  </conditionalFormatting>
  <conditionalFormatting sqref="R37:AF37">
    <cfRule type="expression" dxfId="8853" priority="354">
      <formula>R$9&gt;=20/24</formula>
    </cfRule>
    <cfRule type="expression" dxfId="8852" priority="355">
      <formula>AND(R$9&gt;=14/24,R$9&lt;20/24)</formula>
    </cfRule>
    <cfRule type="expression" dxfId="8851" priority="356">
      <formula>AND(R$9&gt;=8/24,R$9&lt;14/24)</formula>
    </cfRule>
    <cfRule type="expression" dxfId="8850" priority="357">
      <formula>R$9&lt;8/24</formula>
    </cfRule>
  </conditionalFormatting>
  <conditionalFormatting sqref="R55:AD55">
    <cfRule type="expression" dxfId="8849" priority="350">
      <formula>R$9&gt;=20/24</formula>
    </cfRule>
    <cfRule type="expression" dxfId="8848" priority="351">
      <formula>AND(R$9&gt;=14/24,R$9&lt;20/24)</formula>
    </cfRule>
    <cfRule type="expression" dxfId="8847" priority="352">
      <formula>AND(R$9&gt;=8/24,R$9&lt;14/24)</formula>
    </cfRule>
    <cfRule type="expression" dxfId="8846" priority="353">
      <formula>R$9&lt;8/24</formula>
    </cfRule>
  </conditionalFormatting>
  <conditionalFormatting sqref="R79:Z79">
    <cfRule type="expression" dxfId="8845" priority="346">
      <formula>R$9&gt;=20/24</formula>
    </cfRule>
    <cfRule type="expression" dxfId="8844" priority="347">
      <formula>AND(R$9&gt;=14/24,R$9&lt;20/24)</formula>
    </cfRule>
    <cfRule type="expression" dxfId="8843" priority="348">
      <formula>AND(R$9&gt;=8/24,R$9&lt;14/24)</formula>
    </cfRule>
    <cfRule type="expression" dxfId="8842" priority="349">
      <formula>R$9&lt;8/24</formula>
    </cfRule>
  </conditionalFormatting>
  <conditionalFormatting sqref="U82:Z82">
    <cfRule type="expression" dxfId="8841" priority="342">
      <formula>U$9&gt;=20/24</formula>
    </cfRule>
    <cfRule type="expression" dxfId="8840" priority="343">
      <formula>AND(U$9&gt;=14/24,U$9&lt;20/24)</formula>
    </cfRule>
    <cfRule type="expression" dxfId="8839" priority="344">
      <formula>AND(U$9&gt;=8/24,U$9&lt;14/24)</formula>
    </cfRule>
    <cfRule type="expression" dxfId="8838" priority="345">
      <formula>U$9&lt;8/24</formula>
    </cfRule>
  </conditionalFormatting>
  <conditionalFormatting sqref="O33:Q33">
    <cfRule type="expression" dxfId="8837" priority="338">
      <formula>O$9&gt;=20/24</formula>
    </cfRule>
    <cfRule type="expression" dxfId="8836" priority="339">
      <formula>AND(O$9&gt;=14/24,O$9&lt;20/24)</formula>
    </cfRule>
    <cfRule type="expression" dxfId="8835" priority="340">
      <formula>AND(O$9&gt;=8/24,O$9&lt;14/24)</formula>
    </cfRule>
    <cfRule type="expression" dxfId="8834" priority="341">
      <formula>O$9&lt;8/24</formula>
    </cfRule>
  </conditionalFormatting>
  <conditionalFormatting sqref="O47:T47">
    <cfRule type="expression" dxfId="8833" priority="334">
      <formula>O$9&gt;=20/24</formula>
    </cfRule>
    <cfRule type="expression" dxfId="8832" priority="335">
      <formula>AND(O$9&gt;=14/24,O$9&lt;20/24)</formula>
    </cfRule>
    <cfRule type="expression" dxfId="8831" priority="336">
      <formula>AND(O$9&gt;=8/24,O$9&lt;14/24)</formula>
    </cfRule>
    <cfRule type="expression" dxfId="8830" priority="337">
      <formula>O$9&lt;8/24</formula>
    </cfRule>
  </conditionalFormatting>
  <conditionalFormatting sqref="O48:Q48">
    <cfRule type="expression" dxfId="8829" priority="330">
      <formula>O$9&gt;=20/24</formula>
    </cfRule>
    <cfRule type="expression" dxfId="8828" priority="331">
      <formula>AND(O$9&gt;=14/24,O$9&lt;20/24)</formula>
    </cfRule>
    <cfRule type="expression" dxfId="8827" priority="332">
      <formula>AND(O$9&gt;=8/24,O$9&lt;14/24)</formula>
    </cfRule>
    <cfRule type="expression" dxfId="8826" priority="333">
      <formula>O$9&lt;8/24</formula>
    </cfRule>
  </conditionalFormatting>
  <conditionalFormatting sqref="O43:Q46">
    <cfRule type="expression" dxfId="8825" priority="326">
      <formula>O$9&gt;=20/24</formula>
    </cfRule>
    <cfRule type="expression" dxfId="8824" priority="327">
      <formula>AND(O$9&gt;=14/24,O$9&lt;20/24)</formula>
    </cfRule>
    <cfRule type="expression" dxfId="8823" priority="328">
      <formula>AND(O$9&gt;=8/24,O$9&lt;14/24)</formula>
    </cfRule>
    <cfRule type="expression" dxfId="8822" priority="329">
      <formula>O$9&lt;8/24</formula>
    </cfRule>
  </conditionalFormatting>
  <conditionalFormatting sqref="R35:AD35">
    <cfRule type="expression" dxfId="8821" priority="322">
      <formula>R$9&gt;=20/24</formula>
    </cfRule>
    <cfRule type="expression" dxfId="8820" priority="323">
      <formula>AND(R$9&gt;=14/24,R$9&lt;20/24)</formula>
    </cfRule>
    <cfRule type="expression" dxfId="8819" priority="324">
      <formula>AND(R$9&gt;=8/24,R$9&lt;14/24)</formula>
    </cfRule>
    <cfRule type="expression" dxfId="8818" priority="325">
      <formula>R$9&lt;8/24</formula>
    </cfRule>
  </conditionalFormatting>
  <conditionalFormatting sqref="R32:R33 R30:AF31 S33:AF33">
    <cfRule type="expression" dxfId="8817" priority="318">
      <formula>R$9&gt;=20/24</formula>
    </cfRule>
    <cfRule type="expression" dxfId="8816" priority="319">
      <formula>AND(R$9&gt;=14/24,R$9&lt;20/24)</formula>
    </cfRule>
    <cfRule type="expression" dxfId="8815" priority="320">
      <formula>AND(R$9&gt;=8/24,R$9&lt;14/24)</formula>
    </cfRule>
    <cfRule type="expression" dxfId="8814" priority="321">
      <formula>R$9&lt;8/24</formula>
    </cfRule>
  </conditionalFormatting>
  <conditionalFormatting sqref="R40:T41 U41:AF41 R43:AF46">
    <cfRule type="expression" dxfId="8813" priority="314">
      <formula>R$9&gt;=20/24</formula>
    </cfRule>
    <cfRule type="expression" dxfId="8812" priority="315">
      <formula>AND(R$9&gt;=14/24,R$9&lt;20/24)</formula>
    </cfRule>
    <cfRule type="expression" dxfId="8811" priority="316">
      <formula>AND(R$9&gt;=8/24,R$9&lt;14/24)</formula>
    </cfRule>
    <cfRule type="expression" dxfId="8810" priority="317">
      <formula>R$9&lt;8/24</formula>
    </cfRule>
  </conditionalFormatting>
  <conditionalFormatting sqref="R47:AF47">
    <cfRule type="expression" dxfId="8809" priority="310">
      <formula>R$9&gt;=20/24</formula>
    </cfRule>
    <cfRule type="expression" dxfId="8808" priority="311">
      <formula>AND(R$9&gt;=14/24,R$9&lt;20/24)</formula>
    </cfRule>
    <cfRule type="expression" dxfId="8807" priority="312">
      <formula>AND(R$9&gt;=8/24,R$9&lt;14/24)</formula>
    </cfRule>
    <cfRule type="expression" dxfId="8806" priority="313">
      <formula>R$9&lt;8/24</formula>
    </cfRule>
  </conditionalFormatting>
  <conditionalFormatting sqref="R48:AF48">
    <cfRule type="expression" dxfId="8805" priority="306">
      <formula>R$9&gt;=20/24</formula>
    </cfRule>
    <cfRule type="expression" dxfId="8804" priority="307">
      <formula>AND(R$9&gt;=14/24,R$9&lt;20/24)</formula>
    </cfRule>
    <cfRule type="expression" dxfId="8803" priority="308">
      <formula>AND(R$9&gt;=8/24,R$9&lt;14/24)</formula>
    </cfRule>
    <cfRule type="expression" dxfId="8802" priority="309">
      <formula>R$9&lt;8/24</formula>
    </cfRule>
  </conditionalFormatting>
  <conditionalFormatting sqref="R58:T65 AB58:AD65 AE59:AF65">
    <cfRule type="expression" dxfId="8801" priority="302">
      <formula>R$9&gt;=20/24</formula>
    </cfRule>
    <cfRule type="expression" dxfId="8800" priority="303">
      <formula>AND(R$9&gt;=14/24,R$9&lt;20/24)</formula>
    </cfRule>
    <cfRule type="expression" dxfId="8799" priority="304">
      <formula>AND(R$9&gt;=8/24,R$9&lt;14/24)</formula>
    </cfRule>
    <cfRule type="expression" dxfId="8798" priority="305">
      <formula>R$9&lt;8/24</formula>
    </cfRule>
  </conditionalFormatting>
  <conditionalFormatting sqref="AA92:AF95">
    <cfRule type="expression" dxfId="8797" priority="298">
      <formula>AA$9&gt;=20/24</formula>
    </cfRule>
    <cfRule type="expression" dxfId="8796" priority="299">
      <formula>AND(AA$9&gt;=14/24,AA$9&lt;20/24)</formula>
    </cfRule>
    <cfRule type="expression" dxfId="8795" priority="300">
      <formula>AND(AA$9&gt;=8/24,AA$9&lt;14/24)</formula>
    </cfRule>
    <cfRule type="expression" dxfId="8794" priority="301">
      <formula>AA$9&lt;8/24</formula>
    </cfRule>
  </conditionalFormatting>
  <conditionalFormatting sqref="C60:N60">
    <cfRule type="expression" dxfId="8793" priority="294">
      <formula>C$9&gt;=20/24</formula>
    </cfRule>
    <cfRule type="expression" dxfId="8792" priority="295">
      <formula>AND(C$9&gt;=14/24,C$9&lt;20/24)</formula>
    </cfRule>
    <cfRule type="expression" dxfId="8791" priority="296">
      <formula>AND(C$9&gt;=8/24,C$9&lt;14/24)</formula>
    </cfRule>
    <cfRule type="expression" dxfId="8790" priority="297">
      <formula>C$9&lt;8/24</formula>
    </cfRule>
  </conditionalFormatting>
  <conditionalFormatting sqref="U92:Z95">
    <cfRule type="expression" dxfId="8789" priority="290">
      <formula>U$9&gt;=20/24</formula>
    </cfRule>
    <cfRule type="expression" dxfId="8788" priority="291">
      <formula>AND(U$9&gt;=14/24,U$9&lt;20/24)</formula>
    </cfRule>
    <cfRule type="expression" dxfId="8787" priority="292">
      <formula>AND(U$9&gt;=8/24,U$9&lt;14/24)</formula>
    </cfRule>
    <cfRule type="expression" dxfId="8786" priority="293">
      <formula>U$9&lt;8/24</formula>
    </cfRule>
  </conditionalFormatting>
  <conditionalFormatting sqref="AG49 D35:K35 N12:Q13 K11:K13 K15:K25 C36:AF36 O15:Q16 O34:S35 C37:K41 C43:K48 M37:N40 O33:Q33 S33 R32:R33 C49:AF54 N11:AF11 O17:AF31 T33:AF35 O43:AF48 O37:AF41">
    <cfRule type="expression" dxfId="8785" priority="289">
      <formula>C11&gt;$AG11</formula>
    </cfRule>
  </conditionalFormatting>
  <conditionalFormatting sqref="A98:A154 A82:A95 A11:A13 A15:A31 A43:A70 A78:A80 A72:A76 A33:A41 A167:A198">
    <cfRule type="expression" dxfId="8784" priority="288">
      <formula>$AH11=0</formula>
    </cfRule>
  </conditionalFormatting>
  <conditionalFormatting sqref="AA96:AF96">
    <cfRule type="expression" dxfId="8783" priority="284">
      <formula>AA$9&gt;=20/24</formula>
    </cfRule>
    <cfRule type="expression" dxfId="8782" priority="285">
      <formula>AND(AA$9&gt;=14/24,AA$9&lt;20/24)</formula>
    </cfRule>
    <cfRule type="expression" dxfId="8781" priority="286">
      <formula>AND(AA$9&gt;=8/24,AA$9&lt;14/24)</formula>
    </cfRule>
    <cfRule type="expression" dxfId="8780" priority="287">
      <formula>AA$9&lt;8/24</formula>
    </cfRule>
  </conditionalFormatting>
  <conditionalFormatting sqref="U96:Z96">
    <cfRule type="expression" dxfId="8779" priority="280">
      <formula>U$9&gt;=20/24</formula>
    </cfRule>
    <cfRule type="expression" dxfId="8778" priority="281">
      <formula>AND(U$9&gt;=14/24,U$9&lt;20/24)</formula>
    </cfRule>
    <cfRule type="expression" dxfId="8777" priority="282">
      <formula>AND(U$9&gt;=8/24,U$9&lt;14/24)</formula>
    </cfRule>
    <cfRule type="expression" dxfId="8776" priority="283">
      <formula>U$9&lt;8/24</formula>
    </cfRule>
  </conditionalFormatting>
  <conditionalFormatting sqref="A96">
    <cfRule type="expression" dxfId="8775" priority="279">
      <formula>$AH96=0</formula>
    </cfRule>
  </conditionalFormatting>
  <conditionalFormatting sqref="O34:AF34">
    <cfRule type="expression" dxfId="8774" priority="275">
      <formula>O$9&gt;=20/24</formula>
    </cfRule>
    <cfRule type="expression" dxfId="8773" priority="276">
      <formula>AND(O$9&gt;=14/24,O$9&lt;20/24)</formula>
    </cfRule>
    <cfRule type="expression" dxfId="8772" priority="277">
      <formula>AND(O$9&gt;=8/24,O$9&lt;14/24)</formula>
    </cfRule>
    <cfRule type="expression" dxfId="8771" priority="278">
      <formula>O$9&lt;8/24</formula>
    </cfRule>
  </conditionalFormatting>
  <conditionalFormatting sqref="R34:AF34">
    <cfRule type="expression" dxfId="8770" priority="271">
      <formula>R$9&gt;=20/24</formula>
    </cfRule>
    <cfRule type="expression" dxfId="8769" priority="272">
      <formula>AND(R$9&gt;=14/24,R$9&lt;20/24)</formula>
    </cfRule>
    <cfRule type="expression" dxfId="8768" priority="273">
      <formula>AND(R$9&gt;=8/24,R$9&lt;14/24)</formula>
    </cfRule>
    <cfRule type="expression" dxfId="8767" priority="274">
      <formula>R$9&lt;8/24</formula>
    </cfRule>
  </conditionalFormatting>
  <conditionalFormatting sqref="AL31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O32:Q32">
    <cfRule type="expression" dxfId="8766" priority="250">
      <formula>O$9&gt;=20/24</formula>
    </cfRule>
    <cfRule type="expression" dxfId="8765" priority="251">
      <formula>AND(O$9&gt;=14/24,O$9&lt;20/24)</formula>
    </cfRule>
    <cfRule type="expression" dxfId="8764" priority="252">
      <formula>AND(O$9&gt;=8/24,O$9&lt;14/24)</formula>
    </cfRule>
    <cfRule type="expression" dxfId="8763" priority="253">
      <formula>O$9&lt;8/24</formula>
    </cfRule>
  </conditionalFormatting>
  <conditionalFormatting sqref="S32:AF32">
    <cfRule type="expression" dxfId="8762" priority="246">
      <formula>S$9&gt;=20/24</formula>
    </cfRule>
    <cfRule type="expression" dxfId="8761" priority="247">
      <formula>AND(S$9&gt;=14/24,S$9&lt;20/24)</formula>
    </cfRule>
    <cfRule type="expression" dxfId="8760" priority="248">
      <formula>AND(S$9&gt;=8/24,S$9&lt;14/24)</formula>
    </cfRule>
    <cfRule type="expression" dxfId="8759" priority="249">
      <formula>S$9&lt;8/24</formula>
    </cfRule>
  </conditionalFormatting>
  <conditionalFormatting sqref="O32:Q32 S32:AF32">
    <cfRule type="expression" dxfId="8758" priority="245">
      <formula>O32&gt;$AG32</formula>
    </cfRule>
  </conditionalFormatting>
  <conditionalFormatting sqref="A32">
    <cfRule type="expression" dxfId="8757" priority="244">
      <formula>$AH32=0</formula>
    </cfRule>
  </conditionalFormatting>
  <conditionalFormatting sqref="C81:AF81">
    <cfRule type="expression" dxfId="8756" priority="240">
      <formula>C$9&gt;=20/24</formula>
    </cfRule>
    <cfRule type="expression" dxfId="8755" priority="241">
      <formula>AND(C$9&gt;=14/24,C$9&lt;20/24)</formula>
    </cfRule>
    <cfRule type="expression" dxfId="8754" priority="242">
      <formula>AND(C$9&gt;=8/24,C$9&lt;14/24)</formula>
    </cfRule>
    <cfRule type="expression" dxfId="8753" priority="243">
      <formula>C$9&lt;8/24</formula>
    </cfRule>
  </conditionalFormatting>
  <conditionalFormatting sqref="A81">
    <cfRule type="expression" dxfId="8752" priority="239">
      <formula>$AH81=0</formula>
    </cfRule>
  </conditionalFormatting>
  <conditionalFormatting sqref="O14:Q14">
    <cfRule type="expression" dxfId="8751" priority="231">
      <formula>O$9&gt;=20/24</formula>
    </cfRule>
    <cfRule type="expression" dxfId="8750" priority="232">
      <formula>AND(O$9&gt;=14/24,O$9&lt;20/24)</formula>
    </cfRule>
    <cfRule type="expression" dxfId="8749" priority="233">
      <formula>AND(O$9&gt;=8/24,O$9&lt;14/24)</formula>
    </cfRule>
    <cfRule type="expression" dxfId="8748" priority="234">
      <formula>O$9&lt;8/24</formula>
    </cfRule>
  </conditionalFormatting>
  <conditionalFormatting sqref="K14 O14:Q14">
    <cfRule type="expression" dxfId="8747" priority="230">
      <formula>K14&gt;$AG14</formula>
    </cfRule>
  </conditionalFormatting>
  <conditionalFormatting sqref="A14">
    <cfRule type="expression" dxfId="8746" priority="229">
      <formula>$AH14=0</formula>
    </cfRule>
  </conditionalFormatting>
  <conditionalFormatting sqref="A161:A166">
    <cfRule type="expression" dxfId="8745" priority="228">
      <formula>$AH161=0</formula>
    </cfRule>
  </conditionalFormatting>
  <conditionalFormatting sqref="A155:A160">
    <cfRule type="expression" dxfId="8744" priority="227">
      <formula>$AH155=0</formula>
    </cfRule>
  </conditionalFormatting>
  <conditionalFormatting sqref="O42:Q42">
    <cfRule type="expression" dxfId="8743" priority="219">
      <formula>O$9&gt;=20/24</formula>
    </cfRule>
    <cfRule type="expression" dxfId="8742" priority="220">
      <formula>AND(O$9&gt;=14/24,O$9&lt;20/24)</formula>
    </cfRule>
    <cfRule type="expression" dxfId="8741" priority="221">
      <formula>AND(O$9&gt;=8/24,O$9&lt;14/24)</formula>
    </cfRule>
    <cfRule type="expression" dxfId="8740" priority="222">
      <formula>O$9&lt;8/24</formula>
    </cfRule>
  </conditionalFormatting>
  <conditionalFormatting sqref="R42:AF42">
    <cfRule type="expression" dxfId="8739" priority="215">
      <formula>R$9&gt;=20/24</formula>
    </cfRule>
    <cfRule type="expression" dxfId="8738" priority="216">
      <formula>AND(R$9&gt;=14/24,R$9&lt;20/24)</formula>
    </cfRule>
    <cfRule type="expression" dxfId="8737" priority="217">
      <formula>AND(R$9&gt;=8/24,R$9&lt;14/24)</formula>
    </cfRule>
    <cfRule type="expression" dxfId="8736" priority="218">
      <formula>R$9&lt;8/24</formula>
    </cfRule>
  </conditionalFormatting>
  <conditionalFormatting sqref="C42:K42 O42:AF42">
    <cfRule type="expression" dxfId="8735" priority="214">
      <formula>C42&gt;$AG42</formula>
    </cfRule>
  </conditionalFormatting>
  <conditionalFormatting sqref="A42">
    <cfRule type="expression" dxfId="8734" priority="213">
      <formula>$AH42=0</formula>
    </cfRule>
  </conditionalFormatting>
  <conditionalFormatting sqref="C77:AF77">
    <cfRule type="expression" dxfId="8733" priority="209">
      <formula>C$9&gt;=20/24</formula>
    </cfRule>
    <cfRule type="expression" dxfId="8732" priority="210">
      <formula>AND(C$9&gt;=14/24,C$9&lt;20/24)</formula>
    </cfRule>
    <cfRule type="expression" dxfId="8731" priority="211">
      <formula>AND(C$9&gt;=8/24,C$9&lt;14/24)</formula>
    </cfRule>
    <cfRule type="expression" dxfId="8730" priority="212">
      <formula>C$9&lt;8/24</formula>
    </cfRule>
  </conditionalFormatting>
  <conditionalFormatting sqref="A77">
    <cfRule type="expression" dxfId="8729" priority="208">
      <formula>$AH77=0</formula>
    </cfRule>
  </conditionalFormatting>
  <conditionalFormatting sqref="C71:AG71">
    <cfRule type="expression" dxfId="8728" priority="204">
      <formula>C$9&gt;=20/24</formula>
    </cfRule>
    <cfRule type="expression" dxfId="8727" priority="205">
      <formula>AND(C$9&gt;=14/24,C$9&lt;20/24)</formula>
    </cfRule>
    <cfRule type="expression" dxfId="8726" priority="206">
      <formula>AND(C$9&gt;=8/24,C$9&lt;14/24)</formula>
    </cfRule>
    <cfRule type="expression" dxfId="8725" priority="207">
      <formula>C$9&lt;8/24</formula>
    </cfRule>
  </conditionalFormatting>
  <conditionalFormatting sqref="A71">
    <cfRule type="expression" dxfId="8724" priority="203">
      <formula>$AH71=0</formula>
    </cfRule>
  </conditionalFormatting>
  <conditionalFormatting sqref="AL32:AL33 AL7:AL30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U58:AA65">
    <cfRule type="expression" dxfId="8723" priority="199">
      <formula>U$9&gt;=20/24</formula>
    </cfRule>
    <cfRule type="expression" dxfId="8722" priority="200">
      <formula>AND(U$9&gt;=14/24,U$9&lt;20/24)</formula>
    </cfRule>
    <cfRule type="expression" dxfId="8721" priority="201">
      <formula>AND(U$9&gt;=8/24,U$9&lt;14/24)</formula>
    </cfRule>
    <cfRule type="expression" dxfId="8720" priority="202">
      <formula>U$9&lt;8/24</formula>
    </cfRule>
  </conditionalFormatting>
  <conditionalFormatting sqref="U83:Z89">
    <cfRule type="expression" dxfId="8719" priority="195">
      <formula>U$9&gt;=20/24</formula>
    </cfRule>
    <cfRule type="expression" dxfId="8718" priority="196">
      <formula>AND(U$9&gt;=14/24,U$9&lt;20/24)</formula>
    </cfRule>
    <cfRule type="expression" dxfId="8717" priority="197">
      <formula>AND(U$9&gt;=8/24,U$9&lt;14/24)</formula>
    </cfRule>
    <cfRule type="expression" dxfId="8716" priority="198">
      <formula>U$9&lt;8/24</formula>
    </cfRule>
  </conditionalFormatting>
  <conditionalFormatting sqref="C82:Q89 R83:T89">
    <cfRule type="expression" dxfId="8715" priority="191">
      <formula>C$9&gt;=20/24</formula>
    </cfRule>
    <cfRule type="expression" dxfId="8714" priority="192">
      <formula>AND(C$9&gt;=14/24,C$9&lt;20/24)</formula>
    </cfRule>
    <cfRule type="expression" dxfId="8713" priority="193">
      <formula>AND(C$9&gt;=8/24,C$9&lt;14/24)</formula>
    </cfRule>
    <cfRule type="expression" dxfId="8712" priority="194">
      <formula>C$9&lt;8/24</formula>
    </cfRule>
  </conditionalFormatting>
  <conditionalFormatting sqref="R82:T82">
    <cfRule type="expression" dxfId="8711" priority="187">
      <formula>R$9&gt;=20/24</formula>
    </cfRule>
    <cfRule type="expression" dxfId="8710" priority="188">
      <formula>AND(R$9&gt;=14/24,R$9&lt;20/24)</formula>
    </cfRule>
    <cfRule type="expression" dxfId="8709" priority="189">
      <formula>AND(R$9&gt;=8/24,R$9&lt;14/24)</formula>
    </cfRule>
    <cfRule type="expression" dxfId="8708" priority="190">
      <formula>R$9&lt;8/24</formula>
    </cfRule>
  </conditionalFormatting>
  <conditionalFormatting sqref="C93:L95 C92:E92">
    <cfRule type="expression" dxfId="8707" priority="183">
      <formula>C$9&gt;=20/24</formula>
    </cfRule>
    <cfRule type="expression" dxfId="8706" priority="184">
      <formula>AND(C$9&gt;=14/24,C$9&lt;20/24)</formula>
    </cfRule>
    <cfRule type="expression" dxfId="8705" priority="185">
      <formula>AND(C$9&gt;=8/24,C$9&lt;14/24)</formula>
    </cfRule>
    <cfRule type="expression" dxfId="8704" priority="186">
      <formula>C$9&lt;8/24</formula>
    </cfRule>
  </conditionalFormatting>
  <conditionalFormatting sqref="M93:Q95 N92:Q92">
    <cfRule type="expression" dxfId="8703" priority="179">
      <formula>M$9&gt;=20/24</formula>
    </cfRule>
    <cfRule type="expression" dxfId="8702" priority="180">
      <formula>AND(M$9&gt;=14/24,M$9&lt;20/24)</formula>
    </cfRule>
    <cfRule type="expression" dxfId="8701" priority="181">
      <formula>AND(M$9&gt;=8/24,M$9&lt;14/24)</formula>
    </cfRule>
    <cfRule type="expression" dxfId="8700" priority="182">
      <formula>M$9&lt;8/24</formula>
    </cfRule>
  </conditionalFormatting>
  <conditionalFormatting sqref="R92:T95">
    <cfRule type="expression" dxfId="8699" priority="175">
      <formula>R$9&gt;=20/24</formula>
    </cfRule>
    <cfRule type="expression" dxfId="8698" priority="176">
      <formula>AND(R$9&gt;=14/24,R$9&lt;20/24)</formula>
    </cfRule>
    <cfRule type="expression" dxfId="8697" priority="177">
      <formula>AND(R$9&gt;=8/24,R$9&lt;14/24)</formula>
    </cfRule>
    <cfRule type="expression" dxfId="8696" priority="178">
      <formula>R$9&lt;8/24</formula>
    </cfRule>
  </conditionalFormatting>
  <conditionalFormatting sqref="C96:L96">
    <cfRule type="expression" dxfId="8695" priority="171">
      <formula>C$9&gt;=20/24</formula>
    </cfRule>
    <cfRule type="expression" dxfId="8694" priority="172">
      <formula>AND(C$9&gt;=14/24,C$9&lt;20/24)</formula>
    </cfRule>
    <cfRule type="expression" dxfId="8693" priority="173">
      <formula>AND(C$9&gt;=8/24,C$9&lt;14/24)</formula>
    </cfRule>
    <cfRule type="expression" dxfId="8692" priority="174">
      <formula>C$9&lt;8/24</formula>
    </cfRule>
  </conditionalFormatting>
  <conditionalFormatting sqref="M96:Q96">
    <cfRule type="expression" dxfId="8691" priority="167">
      <formula>M$9&gt;=20/24</formula>
    </cfRule>
    <cfRule type="expression" dxfId="8690" priority="168">
      <formula>AND(M$9&gt;=14/24,M$9&lt;20/24)</formula>
    </cfRule>
    <cfRule type="expression" dxfId="8689" priority="169">
      <formula>AND(M$9&gt;=8/24,M$9&lt;14/24)</formula>
    </cfRule>
    <cfRule type="expression" dxfId="8688" priority="170">
      <formula>M$9&lt;8/24</formula>
    </cfRule>
  </conditionalFormatting>
  <conditionalFormatting sqref="R96:T96">
    <cfRule type="expression" dxfId="8687" priority="163">
      <formula>R$9&gt;=20/24</formula>
    </cfRule>
    <cfRule type="expression" dxfId="8686" priority="164">
      <formula>AND(R$9&gt;=14/24,R$9&lt;20/24)</formula>
    </cfRule>
    <cfRule type="expression" dxfId="8685" priority="165">
      <formula>AND(R$9&gt;=8/24,R$9&lt;14/24)</formula>
    </cfRule>
    <cfRule type="expression" dxfId="8684" priority="166">
      <formula>R$9&lt;8/24</formula>
    </cfRule>
  </conditionalFormatting>
  <conditionalFormatting sqref="L92:M92">
    <cfRule type="expression" dxfId="8683" priority="159">
      <formula>L$9&gt;=20/24</formula>
    </cfRule>
    <cfRule type="expression" dxfId="8682" priority="160">
      <formula>AND(L$9&gt;=14/24,L$9&lt;20/24)</formula>
    </cfRule>
    <cfRule type="expression" dxfId="8681" priority="161">
      <formula>AND(L$9&gt;=8/24,L$9&lt;14/24)</formula>
    </cfRule>
    <cfRule type="expression" dxfId="8680" priority="162">
      <formula>L$9&lt;8/24</formula>
    </cfRule>
  </conditionalFormatting>
  <conditionalFormatting sqref="F92:K92">
    <cfRule type="expression" dxfId="8679" priority="155">
      <formula>F$9&gt;=20/24</formula>
    </cfRule>
    <cfRule type="expression" dxfId="8678" priority="156">
      <formula>AND(F$9&gt;=14/24,F$9&lt;20/24)</formula>
    </cfRule>
    <cfRule type="expression" dxfId="8677" priority="157">
      <formula>AND(F$9&gt;=8/24,F$9&lt;14/24)</formula>
    </cfRule>
    <cfRule type="expression" dxfId="8676" priority="158">
      <formula>F$9&lt;8/24</formula>
    </cfRule>
  </conditionalFormatting>
  <conditionalFormatting sqref="U92:Z92">
    <cfRule type="expression" dxfId="8675" priority="151">
      <formula>U$9&gt;=20/24</formula>
    </cfRule>
    <cfRule type="expression" dxfId="8674" priority="152">
      <formula>AND(U$9&gt;=14/24,U$9&lt;20/24)</formula>
    </cfRule>
    <cfRule type="expression" dxfId="8673" priority="153">
      <formula>AND(U$9&gt;=8/24,U$9&lt;14/24)</formula>
    </cfRule>
    <cfRule type="expression" dxfId="8672" priority="154">
      <formula>U$9&lt;8/24</formula>
    </cfRule>
  </conditionalFormatting>
  <conditionalFormatting sqref="M92:T92">
    <cfRule type="expression" dxfId="8671" priority="147">
      <formula>M$9&gt;=20/24</formula>
    </cfRule>
    <cfRule type="expression" dxfId="8670" priority="148">
      <formula>AND(M$9&gt;=14/24,M$9&lt;20/24)</formula>
    </cfRule>
    <cfRule type="expression" dxfId="8669" priority="149">
      <formula>AND(M$9&gt;=8/24,M$9&lt;14/24)</formula>
    </cfRule>
    <cfRule type="expression" dxfId="8668" priority="150">
      <formula>M$9&lt;8/24</formula>
    </cfRule>
  </conditionalFormatting>
  <conditionalFormatting sqref="AA97:AF97">
    <cfRule type="expression" dxfId="8667" priority="143">
      <formula>AA$9&gt;=20/24</formula>
    </cfRule>
    <cfRule type="expression" dxfId="8666" priority="144">
      <formula>AND(AA$9&gt;=14/24,AA$9&lt;20/24)</formula>
    </cfRule>
    <cfRule type="expression" dxfId="8665" priority="145">
      <formula>AND(AA$9&gt;=8/24,AA$9&lt;14/24)</formula>
    </cfRule>
    <cfRule type="expression" dxfId="8664" priority="146">
      <formula>AA$9&lt;8/24</formula>
    </cfRule>
  </conditionalFormatting>
  <conditionalFormatting sqref="U97:Z97">
    <cfRule type="expression" dxfId="8663" priority="139">
      <formula>U$9&gt;=20/24</formula>
    </cfRule>
    <cfRule type="expression" dxfId="8662" priority="140">
      <formula>AND(U$9&gt;=14/24,U$9&lt;20/24)</formula>
    </cfRule>
    <cfRule type="expression" dxfId="8661" priority="141">
      <formula>AND(U$9&gt;=8/24,U$9&lt;14/24)</formula>
    </cfRule>
    <cfRule type="expression" dxfId="8660" priority="142">
      <formula>U$9&lt;8/24</formula>
    </cfRule>
  </conditionalFormatting>
  <conditionalFormatting sqref="A97">
    <cfRule type="expression" dxfId="8659" priority="138">
      <formula>$AH97=0</formula>
    </cfRule>
  </conditionalFormatting>
  <conditionalFormatting sqref="C97:L97">
    <cfRule type="expression" dxfId="8658" priority="134">
      <formula>C$9&gt;=20/24</formula>
    </cfRule>
    <cfRule type="expression" dxfId="8657" priority="135">
      <formula>AND(C$9&gt;=14/24,C$9&lt;20/24)</formula>
    </cfRule>
    <cfRule type="expression" dxfId="8656" priority="136">
      <formula>AND(C$9&gt;=8/24,C$9&lt;14/24)</formula>
    </cfRule>
    <cfRule type="expression" dxfId="8655" priority="137">
      <formula>C$9&lt;8/24</formula>
    </cfRule>
  </conditionalFormatting>
  <conditionalFormatting sqref="M97:Q97">
    <cfRule type="expression" dxfId="8654" priority="130">
      <formula>M$9&gt;=20/24</formula>
    </cfRule>
    <cfRule type="expression" dxfId="8653" priority="131">
      <formula>AND(M$9&gt;=14/24,M$9&lt;20/24)</formula>
    </cfRule>
    <cfRule type="expression" dxfId="8652" priority="132">
      <formula>AND(M$9&gt;=8/24,M$9&lt;14/24)</formula>
    </cfRule>
    <cfRule type="expression" dxfId="8651" priority="133">
      <formula>M$9&lt;8/24</formula>
    </cfRule>
  </conditionalFormatting>
  <conditionalFormatting sqref="R97:T97">
    <cfRule type="expression" dxfId="8650" priority="126">
      <formula>R$9&gt;=20/24</formula>
    </cfRule>
    <cfRule type="expression" dxfId="8649" priority="127">
      <formula>AND(R$9&gt;=14/24,R$9&lt;20/24)</formula>
    </cfRule>
    <cfRule type="expression" dxfId="8648" priority="128">
      <formula>AND(R$9&gt;=8/24,R$9&lt;14/24)</formula>
    </cfRule>
    <cfRule type="expression" dxfId="8647" priority="129">
      <formula>R$9&lt;8/24</formula>
    </cfRule>
  </conditionalFormatting>
  <conditionalFormatting sqref="R12:AF15">
    <cfRule type="expression" dxfId="8646" priority="122">
      <formula>R$9&gt;=20/24</formula>
    </cfRule>
    <cfRule type="expression" dxfId="8645" priority="123">
      <formula>AND(R$9&gt;=14/24,R$9&lt;20/24)</formula>
    </cfRule>
    <cfRule type="expression" dxfId="8644" priority="124">
      <formula>AND(R$9&gt;=8/24,R$9&lt;14/24)</formula>
    </cfRule>
    <cfRule type="expression" dxfId="8643" priority="125">
      <formula>R$9&lt;8/24</formula>
    </cfRule>
  </conditionalFormatting>
  <conditionalFormatting sqref="R16:AF16">
    <cfRule type="expression" dxfId="8642" priority="118">
      <formula>R$9&gt;=20/24</formula>
    </cfRule>
    <cfRule type="expression" dxfId="8641" priority="119">
      <formula>AND(R$9&gt;=14/24,R$9&lt;20/24)</formula>
    </cfRule>
    <cfRule type="expression" dxfId="8640" priority="120">
      <formula>AND(R$9&gt;=8/24,R$9&lt;14/24)</formula>
    </cfRule>
    <cfRule type="expression" dxfId="8639" priority="121">
      <formula>R$9&lt;8/24</formula>
    </cfRule>
  </conditionalFormatting>
  <conditionalFormatting sqref="R12:AF12">
    <cfRule type="expression" dxfId="8638" priority="114">
      <formula>R$9&gt;=20/24</formula>
    </cfRule>
    <cfRule type="expression" dxfId="8637" priority="115">
      <formula>AND(R$9&gt;=14/24,R$9&lt;20/24)</formula>
    </cfRule>
    <cfRule type="expression" dxfId="8636" priority="116">
      <formula>AND(R$9&gt;=8/24,R$9&lt;14/24)</formula>
    </cfRule>
    <cfRule type="expression" dxfId="8635" priority="117">
      <formula>R$9&lt;8/24</formula>
    </cfRule>
  </conditionalFormatting>
  <conditionalFormatting sqref="AB56:AD57">
    <cfRule type="expression" dxfId="8634" priority="110">
      <formula>AB$9&gt;=20/24</formula>
    </cfRule>
    <cfRule type="expression" dxfId="8633" priority="111">
      <formula>AND(AB$9&gt;=14/24,AB$9&lt;20/24)</formula>
    </cfRule>
    <cfRule type="expression" dxfId="8632" priority="112">
      <formula>AND(AB$9&gt;=8/24,AB$9&lt;14/24)</formula>
    </cfRule>
    <cfRule type="expression" dxfId="8631" priority="113">
      <formula>AB$9&lt;8/24</formula>
    </cfRule>
  </conditionalFormatting>
  <conditionalFormatting sqref="B66:B70 B82:B89 B72:B76 B78:B80 B51:B58 B11:J13 B15:J30 K26:K30">
    <cfRule type="expression" dxfId="8630" priority="106">
      <formula>B$9&gt;=20/24</formula>
    </cfRule>
    <cfRule type="expression" dxfId="8629" priority="107">
      <formula>AND(B$9&gt;=14/24,B$9&lt;20/24)</formula>
    </cfRule>
    <cfRule type="expression" dxfId="8628" priority="108">
      <formula>AND(B$9&gt;=8/24,B$9&lt;14/24)</formula>
    </cfRule>
    <cfRule type="expression" dxfId="8627" priority="109">
      <formula>B$9&lt;8/24</formula>
    </cfRule>
  </conditionalFormatting>
  <conditionalFormatting sqref="B31:K31">
    <cfRule type="expression" dxfId="8626" priority="102">
      <formula>B$9&gt;=20/24</formula>
    </cfRule>
    <cfRule type="expression" dxfId="8625" priority="103">
      <formula>AND(B$9&gt;=14/24,B$9&lt;20/24)</formula>
    </cfRule>
    <cfRule type="expression" dxfId="8624" priority="104">
      <formula>AND(B$9&gt;=8/24,B$9&lt;14/24)</formula>
    </cfRule>
    <cfRule type="expression" dxfId="8623" priority="105">
      <formula>B$9&lt;8/24</formula>
    </cfRule>
  </conditionalFormatting>
  <conditionalFormatting sqref="B33:K33">
    <cfRule type="expression" dxfId="8622" priority="98">
      <formula>B$9&gt;=20/24</formula>
    </cfRule>
    <cfRule type="expression" dxfId="8621" priority="99">
      <formula>AND(B$9&gt;=14/24,B$9&lt;20/24)</formula>
    </cfRule>
    <cfRule type="expression" dxfId="8620" priority="100">
      <formula>AND(B$9&gt;=8/24,B$9&lt;14/24)</formula>
    </cfRule>
    <cfRule type="expression" dxfId="8619" priority="101">
      <formula>B$9&lt;8/24</formula>
    </cfRule>
  </conditionalFormatting>
  <conditionalFormatting sqref="B59:B65">
    <cfRule type="expression" dxfId="8618" priority="94">
      <formula>B$9&gt;=20/24</formula>
    </cfRule>
    <cfRule type="expression" dxfId="8617" priority="95">
      <formula>AND(B$9&gt;=14/24,B$9&lt;20/24)</formula>
    </cfRule>
    <cfRule type="expression" dxfId="8616" priority="96">
      <formula>AND(B$9&gt;=8/24,B$9&lt;14/24)</formula>
    </cfRule>
    <cfRule type="expression" dxfId="8615" priority="97">
      <formula>B$9&lt;8/24</formula>
    </cfRule>
  </conditionalFormatting>
  <conditionalFormatting sqref="B92:B95">
    <cfRule type="expression" dxfId="8614" priority="90">
      <formula>B$9&gt;=20/24</formula>
    </cfRule>
    <cfRule type="expression" dxfId="8613" priority="91">
      <formula>AND(B$9&gt;=14/24,B$9&lt;20/24)</formula>
    </cfRule>
    <cfRule type="expression" dxfId="8612" priority="92">
      <formula>AND(B$9&gt;=8/24,B$9&lt;14/24)</formula>
    </cfRule>
    <cfRule type="expression" dxfId="8611" priority="93">
      <formula>B$9&lt;8/24</formula>
    </cfRule>
  </conditionalFormatting>
  <conditionalFormatting sqref="B43:B54 B33:B41 C33:C35 B11:J13 B15:J31 K26:K31 D33:K34">
    <cfRule type="expression" dxfId="8610" priority="89">
      <formula>B11&gt;$AG11</formula>
    </cfRule>
  </conditionalFormatting>
  <conditionalFormatting sqref="B96">
    <cfRule type="expression" dxfId="8609" priority="85">
      <formula>B$9&gt;=20/24</formula>
    </cfRule>
    <cfRule type="expression" dxfId="8608" priority="86">
      <formula>AND(B$9&gt;=14/24,B$9&lt;20/24)</formula>
    </cfRule>
    <cfRule type="expression" dxfId="8607" priority="87">
      <formula>AND(B$9&gt;=8/24,B$9&lt;14/24)</formula>
    </cfRule>
    <cfRule type="expression" dxfId="8606" priority="88">
      <formula>B$9&lt;8/24</formula>
    </cfRule>
  </conditionalFormatting>
  <conditionalFormatting sqref="B34:K34">
    <cfRule type="expression" dxfId="8605" priority="81">
      <formula>B$9&gt;=20/24</formula>
    </cfRule>
    <cfRule type="expression" dxfId="8604" priority="82">
      <formula>AND(B$9&gt;=14/24,B$9&lt;20/24)</formula>
    </cfRule>
    <cfRule type="expression" dxfId="8603" priority="83">
      <formula>AND(B$9&gt;=8/24,B$9&lt;14/24)</formula>
    </cfRule>
    <cfRule type="expression" dxfId="8602" priority="84">
      <formula>B$9&lt;8/24</formula>
    </cfRule>
  </conditionalFormatting>
  <conditionalFormatting sqref="B34:K34">
    <cfRule type="expression" dxfId="8601" priority="77">
      <formula>B$9&gt;=20/24</formula>
    </cfRule>
    <cfRule type="expression" dxfId="8600" priority="78">
      <formula>AND(B$9&gt;=14/24,B$9&lt;20/24)</formula>
    </cfRule>
    <cfRule type="expression" dxfId="8599" priority="79">
      <formula>AND(B$9&gt;=8/24,B$9&lt;14/24)</formula>
    </cfRule>
    <cfRule type="expression" dxfId="8598" priority="80">
      <formula>B$9&lt;8/24</formula>
    </cfRule>
  </conditionalFormatting>
  <conditionalFormatting sqref="B32:K32">
    <cfRule type="expression" dxfId="8597" priority="73">
      <formula>B$9&gt;=20/24</formula>
    </cfRule>
    <cfRule type="expression" dxfId="8596" priority="74">
      <formula>AND(B$9&gt;=14/24,B$9&lt;20/24)</formula>
    </cfRule>
    <cfRule type="expression" dxfId="8595" priority="75">
      <formula>AND(B$9&gt;=8/24,B$9&lt;14/24)</formula>
    </cfRule>
    <cfRule type="expression" dxfId="8594" priority="76">
      <formula>B$9&lt;8/24</formula>
    </cfRule>
  </conditionalFormatting>
  <conditionalFormatting sqref="B32:K32">
    <cfRule type="expression" dxfId="8593" priority="72">
      <formula>B32&gt;$AG32</formula>
    </cfRule>
  </conditionalFormatting>
  <conditionalFormatting sqref="B81">
    <cfRule type="expression" dxfId="8592" priority="68">
      <formula>B$9&gt;=20/24</formula>
    </cfRule>
    <cfRule type="expression" dxfId="8591" priority="69">
      <formula>AND(B$9&gt;=14/24,B$9&lt;20/24)</formula>
    </cfRule>
    <cfRule type="expression" dxfId="8590" priority="70">
      <formula>AND(B$9&gt;=8/24,B$9&lt;14/24)</formula>
    </cfRule>
    <cfRule type="expression" dxfId="8589" priority="71">
      <formula>B$9&lt;8/24</formula>
    </cfRule>
  </conditionalFormatting>
  <conditionalFormatting sqref="B14:J14">
    <cfRule type="expression" dxfId="8588" priority="64">
      <formula>B$9&gt;=20/24</formula>
    </cfRule>
    <cfRule type="expression" dxfId="8587" priority="65">
      <formula>AND(B$9&gt;=14/24,B$9&lt;20/24)</formula>
    </cfRule>
    <cfRule type="expression" dxfId="8586" priority="66">
      <formula>AND(B$9&gt;=8/24,B$9&lt;14/24)</formula>
    </cfRule>
    <cfRule type="expression" dxfId="8585" priority="67">
      <formula>B$9&lt;8/24</formula>
    </cfRule>
  </conditionalFormatting>
  <conditionalFormatting sqref="B14:J14">
    <cfRule type="expression" dxfId="8584" priority="63">
      <formula>B14&gt;$AG14</formula>
    </cfRule>
  </conditionalFormatting>
  <conditionalFormatting sqref="B42">
    <cfRule type="expression" dxfId="8583" priority="62">
      <formula>B42&gt;$AG42</formula>
    </cfRule>
  </conditionalFormatting>
  <conditionalFormatting sqref="B77">
    <cfRule type="expression" dxfId="8582" priority="58">
      <formula>B$9&gt;=20/24</formula>
    </cfRule>
    <cfRule type="expression" dxfId="8581" priority="59">
      <formula>AND(B$9&gt;=14/24,B$9&lt;20/24)</formula>
    </cfRule>
    <cfRule type="expression" dxfId="8580" priority="60">
      <formula>AND(B$9&gt;=8/24,B$9&lt;14/24)</formula>
    </cfRule>
    <cfRule type="expression" dxfId="8579" priority="61">
      <formula>B$9&lt;8/24</formula>
    </cfRule>
  </conditionalFormatting>
  <conditionalFormatting sqref="B71">
    <cfRule type="expression" dxfId="8578" priority="54">
      <formula>B$9&gt;=20/24</formula>
    </cfRule>
    <cfRule type="expression" dxfId="8577" priority="55">
      <formula>AND(B$9&gt;=14/24,B$9&lt;20/24)</formula>
    </cfRule>
    <cfRule type="expression" dxfId="8576" priority="56">
      <formula>AND(B$9&gt;=8/24,B$9&lt;14/24)</formula>
    </cfRule>
    <cfRule type="expression" dxfId="8575" priority="57">
      <formula>B$9&lt;8/24</formula>
    </cfRule>
  </conditionalFormatting>
  <conditionalFormatting sqref="B97">
    <cfRule type="expression" dxfId="8574" priority="50">
      <formula>B$9&gt;=20/24</formula>
    </cfRule>
    <cfRule type="expression" dxfId="8573" priority="51">
      <formula>AND(B$9&gt;=14/24,B$9&lt;20/24)</formula>
    </cfRule>
    <cfRule type="expression" dxfId="8572" priority="52">
      <formula>AND(B$9&gt;=8/24,B$9&lt;14/24)</formula>
    </cfRule>
    <cfRule type="expression" dxfId="8571" priority="53">
      <formula>B$9&lt;8/24</formula>
    </cfRule>
  </conditionalFormatting>
  <conditionalFormatting sqref="L11:M13 L35:N35 L15:N31">
    <cfRule type="expression" dxfId="8570" priority="46">
      <formula>L$9&gt;=20/24</formula>
    </cfRule>
    <cfRule type="expression" dxfId="8569" priority="47">
      <formula>AND(L$9&gt;=14/24,L$9&lt;20/24)</formula>
    </cfRule>
    <cfRule type="expression" dxfId="8568" priority="48">
      <formula>AND(L$9&gt;=8/24,L$9&lt;14/24)</formula>
    </cfRule>
    <cfRule type="expression" dxfId="8567" priority="49">
      <formula>L$9&lt;8/24</formula>
    </cfRule>
  </conditionalFormatting>
  <conditionalFormatting sqref="L33:N33">
    <cfRule type="expression" dxfId="8566" priority="42">
      <formula>L$9&gt;=20/24</formula>
    </cfRule>
    <cfRule type="expression" dxfId="8565" priority="43">
      <formula>AND(L$9&gt;=14/24,L$9&lt;20/24)</formula>
    </cfRule>
    <cfRule type="expression" dxfId="8564" priority="44">
      <formula>AND(L$9&gt;=8/24,L$9&lt;14/24)</formula>
    </cfRule>
    <cfRule type="expression" dxfId="8563" priority="45">
      <formula>L$9&lt;8/24</formula>
    </cfRule>
  </conditionalFormatting>
  <conditionalFormatting sqref="L11:M13 L15:N31 L33:N35">
    <cfRule type="expression" dxfId="8562" priority="41">
      <formula>L11&gt;$AG11</formula>
    </cfRule>
  </conditionalFormatting>
  <conditionalFormatting sqref="L34:N34">
    <cfRule type="expression" dxfId="8561" priority="37">
      <formula>L$9&gt;=20/24</formula>
    </cfRule>
    <cfRule type="expression" dxfId="8560" priority="38">
      <formula>AND(L$9&gt;=14/24,L$9&lt;20/24)</formula>
    </cfRule>
    <cfRule type="expression" dxfId="8559" priority="39">
      <formula>AND(L$9&gt;=8/24,L$9&lt;14/24)</formula>
    </cfRule>
    <cfRule type="expression" dxfId="8558" priority="40">
      <formula>L$9&lt;8/24</formula>
    </cfRule>
  </conditionalFormatting>
  <conditionalFormatting sqref="L32:N32">
    <cfRule type="expression" dxfId="8557" priority="33">
      <formula>L$9&gt;=20/24</formula>
    </cfRule>
    <cfRule type="expression" dxfId="8556" priority="34">
      <formula>AND(L$9&gt;=14/24,L$9&lt;20/24)</formula>
    </cfRule>
    <cfRule type="expression" dxfId="8555" priority="35">
      <formula>AND(L$9&gt;=8/24,L$9&lt;14/24)</formula>
    </cfRule>
    <cfRule type="expression" dxfId="8554" priority="36">
      <formula>L$9&lt;8/24</formula>
    </cfRule>
  </conditionalFormatting>
  <conditionalFormatting sqref="L32:N32">
    <cfRule type="expression" dxfId="8553" priority="32">
      <formula>L32&gt;$AG32</formula>
    </cfRule>
  </conditionalFormatting>
  <conditionalFormatting sqref="L14:N14">
    <cfRule type="expression" dxfId="8552" priority="28">
      <formula>L$9&gt;=20/24</formula>
    </cfRule>
    <cfRule type="expression" dxfId="8551" priority="29">
      <formula>AND(L$9&gt;=14/24,L$9&lt;20/24)</formula>
    </cfRule>
    <cfRule type="expression" dxfId="8550" priority="30">
      <formula>AND(L$9&gt;=8/24,L$9&lt;14/24)</formula>
    </cfRule>
    <cfRule type="expression" dxfId="8549" priority="31">
      <formula>L$9&lt;8/24</formula>
    </cfRule>
  </conditionalFormatting>
  <conditionalFormatting sqref="L14:N14">
    <cfRule type="expression" dxfId="8548" priority="27">
      <formula>L14&gt;$AG14</formula>
    </cfRule>
  </conditionalFormatting>
  <conditionalFormatting sqref="L37:L40 L43:N46">
    <cfRule type="expression" dxfId="8547" priority="23">
      <formula>L$9&gt;=20/24</formula>
    </cfRule>
    <cfRule type="expression" dxfId="8546" priority="24">
      <formula>AND(L$9&gt;=14/24,L$9&lt;20/24)</formula>
    </cfRule>
    <cfRule type="expression" dxfId="8545" priority="25">
      <formula>AND(L$9&gt;=8/24,L$9&lt;14/24)</formula>
    </cfRule>
    <cfRule type="expression" dxfId="8544" priority="26">
      <formula>L$9&lt;8/24</formula>
    </cfRule>
  </conditionalFormatting>
  <conditionalFormatting sqref="L41:N41">
    <cfRule type="expression" dxfId="8543" priority="19">
      <formula>L$9&gt;=20/24</formula>
    </cfRule>
    <cfRule type="expression" dxfId="8542" priority="20">
      <formula>AND(L$9&gt;=14/24,L$9&lt;20/24)</formula>
    </cfRule>
    <cfRule type="expression" dxfId="8541" priority="21">
      <formula>AND(L$9&gt;=8/24,L$9&lt;14/24)</formula>
    </cfRule>
    <cfRule type="expression" dxfId="8540" priority="22">
      <formula>L$9&lt;8/24</formula>
    </cfRule>
  </conditionalFormatting>
  <conditionalFormatting sqref="L47:N47">
    <cfRule type="expression" dxfId="8539" priority="15">
      <formula>L$9&gt;=20/24</formula>
    </cfRule>
    <cfRule type="expression" dxfId="8538" priority="16">
      <formula>AND(L$9&gt;=14/24,L$9&lt;20/24)</formula>
    </cfRule>
    <cfRule type="expression" dxfId="8537" priority="17">
      <formula>AND(L$9&gt;=8/24,L$9&lt;14/24)</formula>
    </cfRule>
    <cfRule type="expression" dxfId="8536" priority="18">
      <formula>L$9&lt;8/24</formula>
    </cfRule>
  </conditionalFormatting>
  <conditionalFormatting sqref="L48:N48">
    <cfRule type="expression" dxfId="8535" priority="11">
      <formula>L$9&gt;=20/24</formula>
    </cfRule>
    <cfRule type="expression" dxfId="8534" priority="12">
      <formula>AND(L$9&gt;=14/24,L$9&lt;20/24)</formula>
    </cfRule>
    <cfRule type="expression" dxfId="8533" priority="13">
      <formula>AND(L$9&gt;=8/24,L$9&lt;14/24)</formula>
    </cfRule>
    <cfRule type="expression" dxfId="8532" priority="14">
      <formula>L$9&lt;8/24</formula>
    </cfRule>
  </conditionalFormatting>
  <conditionalFormatting sqref="L43:N46">
    <cfRule type="expression" dxfId="8531" priority="7">
      <formula>L$9&gt;=20/24</formula>
    </cfRule>
    <cfRule type="expression" dxfId="8530" priority="8">
      <formula>AND(L$9&gt;=14/24,L$9&lt;20/24)</formula>
    </cfRule>
    <cfRule type="expression" dxfId="8529" priority="9">
      <formula>AND(L$9&gt;=8/24,L$9&lt;14/24)</formula>
    </cfRule>
    <cfRule type="expression" dxfId="8528" priority="10">
      <formula>L$9&lt;8/24</formula>
    </cfRule>
  </conditionalFormatting>
  <conditionalFormatting sqref="L37:L41 M41:N41 L43:N48">
    <cfRule type="expression" dxfId="8527" priority="6">
      <formula>L37&gt;$AG37</formula>
    </cfRule>
  </conditionalFormatting>
  <conditionalFormatting sqref="L42:N42">
    <cfRule type="expression" dxfId="8526" priority="2">
      <formula>L$9&gt;=20/24</formula>
    </cfRule>
    <cfRule type="expression" dxfId="8525" priority="3">
      <formula>AND(L$9&gt;=14/24,L$9&lt;20/24)</formula>
    </cfRule>
    <cfRule type="expression" dxfId="8524" priority="4">
      <formula>AND(L$9&gt;=8/24,L$9&lt;14/24)</formula>
    </cfRule>
    <cfRule type="expression" dxfId="8523" priority="5">
      <formula>L$9&lt;8/24</formula>
    </cfRule>
  </conditionalFormatting>
  <conditionalFormatting sqref="L42:N42">
    <cfRule type="expression" dxfId="8522" priority="1">
      <formula>L42&gt;$AG42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55" sqref="B55:C6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2078/04/8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-134.6</v>
      </c>
      <c r="C5" s="32">
        <f t="shared" ref="C5:AF5" si="0">C66</f>
        <v>-106</v>
      </c>
      <c r="D5" s="32">
        <f t="shared" si="0"/>
        <v>-70</v>
      </c>
      <c r="E5" s="32">
        <f t="shared" si="0"/>
        <v>-35.299999999999997</v>
      </c>
      <c r="F5" s="32">
        <f t="shared" si="0"/>
        <v>-32</v>
      </c>
      <c r="G5" s="32">
        <f t="shared" si="0"/>
        <v>-39.5</v>
      </c>
      <c r="H5" s="32">
        <f t="shared" si="0"/>
        <v>-48</v>
      </c>
      <c r="I5" s="32">
        <f t="shared" si="0"/>
        <v>-30</v>
      </c>
      <c r="J5" s="32">
        <f t="shared" si="0"/>
        <v>-1.9</v>
      </c>
      <c r="K5" s="32">
        <f t="shared" si="0"/>
        <v>-8</v>
      </c>
      <c r="L5" s="32">
        <f t="shared" si="0"/>
        <v>-85</v>
      </c>
      <c r="M5" s="32">
        <f t="shared" si="0"/>
        <v>-60</v>
      </c>
      <c r="N5" s="32">
        <f t="shared" si="0"/>
        <v>-32</v>
      </c>
      <c r="O5" s="32">
        <f t="shared" si="0"/>
        <v>-8</v>
      </c>
      <c r="P5" s="32">
        <f t="shared" si="0"/>
        <v>-30.7</v>
      </c>
      <c r="Q5" s="32">
        <f t="shared" si="0"/>
        <v>-22</v>
      </c>
      <c r="R5" s="32">
        <f t="shared" si="0"/>
        <v>-30.9</v>
      </c>
      <c r="S5" s="32">
        <f t="shared" si="0"/>
        <v>-30.3</v>
      </c>
      <c r="T5" s="32">
        <f t="shared" si="0"/>
        <v>-34.630000000000003</v>
      </c>
      <c r="U5" s="32">
        <f t="shared" si="0"/>
        <v>-56.1</v>
      </c>
      <c r="V5" s="32">
        <f t="shared" si="0"/>
        <v>-56.1</v>
      </c>
      <c r="W5" s="32">
        <f t="shared" si="0"/>
        <v>-39</v>
      </c>
      <c r="X5" s="32">
        <f t="shared" si="0"/>
        <v>35.700000000000003</v>
      </c>
      <c r="Y5" s="32">
        <f t="shared" si="0"/>
        <v>-76.400000000000006</v>
      </c>
      <c r="Z5" s="32">
        <f t="shared" si="0"/>
        <v>-73.5</v>
      </c>
      <c r="AA5" s="32">
        <f t="shared" si="0"/>
        <v>-33.399999999999991</v>
      </c>
      <c r="AB5" s="32">
        <f t="shared" si="0"/>
        <v>-136.30000000000001</v>
      </c>
      <c r="AC5" s="32">
        <f t="shared" si="0"/>
        <v>-136.30000000000001</v>
      </c>
      <c r="AD5" s="32">
        <f t="shared" si="0"/>
        <v>-160.4</v>
      </c>
      <c r="AE5" s="32">
        <f t="shared" si="0"/>
        <v>-149.80000000000001</v>
      </c>
      <c r="AF5" s="32">
        <f t="shared" si="0"/>
        <v>-183.7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1263MW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2032.74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Load=1087</v>
      </c>
      <c r="B7" s="37">
        <f t="shared" ref="B7:AF7" si="1">B73</f>
        <v>1166.74</v>
      </c>
      <c r="C7" s="37">
        <f t="shared" si="1"/>
        <v>1165.3400000000001</v>
      </c>
      <c r="D7" s="37">
        <f t="shared" si="1"/>
        <v>1099.6399999999999</v>
      </c>
      <c r="E7" s="37">
        <f t="shared" si="1"/>
        <v>1087.04</v>
      </c>
      <c r="F7" s="37">
        <f t="shared" si="1"/>
        <v>1092.8399999999999</v>
      </c>
      <c r="G7" s="37">
        <f t="shared" si="1"/>
        <v>1090.8400000000001</v>
      </c>
      <c r="H7" s="37">
        <f t="shared" si="1"/>
        <v>1092.8400000000001</v>
      </c>
      <c r="I7" s="37">
        <f t="shared" si="1"/>
        <v>1148.6400000000001</v>
      </c>
      <c r="J7" s="37">
        <f t="shared" si="1"/>
        <v>1209.74</v>
      </c>
      <c r="K7" s="37">
        <f t="shared" si="1"/>
        <v>1262.6400000000001</v>
      </c>
      <c r="L7" s="37">
        <f>L73</f>
        <v>1211.04</v>
      </c>
      <c r="M7" s="37">
        <f t="shared" si="1"/>
        <v>1237.3400000000001</v>
      </c>
      <c r="N7" s="37">
        <f t="shared" si="1"/>
        <v>1275.3400000000001</v>
      </c>
      <c r="O7" s="37">
        <f t="shared" si="1"/>
        <v>1299.3400000000001</v>
      </c>
      <c r="P7" s="37">
        <f t="shared" si="1"/>
        <v>1296.44</v>
      </c>
      <c r="Q7" s="37">
        <f t="shared" si="1"/>
        <v>1325.94</v>
      </c>
      <c r="R7" s="37">
        <f t="shared" si="1"/>
        <v>1340.54</v>
      </c>
      <c r="S7" s="37">
        <f t="shared" si="1"/>
        <v>1318.04</v>
      </c>
      <c r="T7" s="37">
        <f t="shared" si="1"/>
        <v>1311.31</v>
      </c>
      <c r="U7" s="37">
        <f t="shared" si="1"/>
        <v>1289.74</v>
      </c>
      <c r="V7" s="37">
        <f t="shared" si="1"/>
        <v>1289.74</v>
      </c>
      <c r="W7" s="37">
        <f t="shared" si="1"/>
        <v>1300.2399999999998</v>
      </c>
      <c r="X7" s="37">
        <f t="shared" si="1"/>
        <v>1547.64</v>
      </c>
      <c r="Y7" s="37">
        <f t="shared" si="1"/>
        <v>1476</v>
      </c>
      <c r="Z7" s="37">
        <f t="shared" si="1"/>
        <v>1449.54</v>
      </c>
      <c r="AA7" s="37">
        <f t="shared" si="1"/>
        <v>1414.64</v>
      </c>
      <c r="AB7" s="37">
        <f t="shared" si="1"/>
        <v>1387.1399999999999</v>
      </c>
      <c r="AC7" s="37">
        <f t="shared" si="1"/>
        <v>1381.1399999999999</v>
      </c>
      <c r="AD7" s="37">
        <f t="shared" si="1"/>
        <v>1275.54</v>
      </c>
      <c r="AE7" s="37">
        <f t="shared" si="1"/>
        <v>1248.8400000000001</v>
      </c>
      <c r="AF7" s="37">
        <f t="shared" si="1"/>
        <v>1233.04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2">
        <v>280</v>
      </c>
      <c r="C11" s="52">
        <v>250</v>
      </c>
      <c r="D11" s="49">
        <v>180</v>
      </c>
      <c r="E11" s="49">
        <v>140</v>
      </c>
      <c r="F11" s="49">
        <v>180</v>
      </c>
      <c r="G11" s="49">
        <v>180</v>
      </c>
      <c r="H11" s="49">
        <v>180</v>
      </c>
      <c r="I11" s="49">
        <v>160</v>
      </c>
      <c r="J11" s="49">
        <v>191</v>
      </c>
      <c r="K11" s="49">
        <v>250</v>
      </c>
      <c r="L11" s="50">
        <v>280</v>
      </c>
      <c r="M11" s="50">
        <v>280</v>
      </c>
      <c r="N11" s="50">
        <v>280</v>
      </c>
      <c r="O11" s="50">
        <v>280</v>
      </c>
      <c r="P11" s="50">
        <v>303.5</v>
      </c>
      <c r="Q11" s="50">
        <v>303.5</v>
      </c>
      <c r="R11" s="53">
        <v>304</v>
      </c>
      <c r="S11" s="53">
        <v>303.3</v>
      </c>
      <c r="T11" s="53">
        <v>303.89999999999998</v>
      </c>
      <c r="U11" s="53">
        <v>304</v>
      </c>
      <c r="V11" s="53">
        <v>304</v>
      </c>
      <c r="W11" s="53">
        <v>296</v>
      </c>
      <c r="X11" s="53">
        <v>379</v>
      </c>
      <c r="Y11" s="53">
        <v>381</v>
      </c>
      <c r="Z11" s="115">
        <v>379</v>
      </c>
      <c r="AA11" s="115">
        <v>305</v>
      </c>
      <c r="AB11" s="115">
        <v>380</v>
      </c>
      <c r="AC11" s="115">
        <v>380</v>
      </c>
      <c r="AD11" s="115">
        <v>380</v>
      </c>
      <c r="AE11" s="49">
        <v>360</v>
      </c>
      <c r="AF11" s="49">
        <v>370</v>
      </c>
      <c r="AG11" s="54">
        <v>456</v>
      </c>
      <c r="AH11" s="55">
        <f>MAX(B11:AF11)</f>
        <v>381</v>
      </c>
      <c r="AI11" s="56">
        <f>MIN(B11:AF11)</f>
        <v>140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9">
        <v>60</v>
      </c>
      <c r="C12" s="5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61">
        <v>0</v>
      </c>
      <c r="C13" s="61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1">
        <v>45.8</v>
      </c>
      <c r="C14" s="61">
        <v>45.8</v>
      </c>
      <c r="D14" s="62">
        <v>36.6</v>
      </c>
      <c r="E14" s="62">
        <v>36.6</v>
      </c>
      <c r="F14" s="62">
        <v>36.6</v>
      </c>
      <c r="G14" s="62">
        <v>36.6</v>
      </c>
      <c r="H14" s="62">
        <v>44.1</v>
      </c>
      <c r="I14" s="62">
        <v>44.1</v>
      </c>
      <c r="J14" s="62">
        <v>44.1</v>
      </c>
      <c r="K14" s="62">
        <v>44.1</v>
      </c>
      <c r="L14" s="50">
        <v>44.1</v>
      </c>
      <c r="M14" s="50">
        <v>44.1</v>
      </c>
      <c r="N14" s="50">
        <v>44.1</v>
      </c>
      <c r="O14" s="50">
        <v>44.1</v>
      </c>
      <c r="P14" s="50">
        <v>45.9</v>
      </c>
      <c r="Q14" s="50">
        <v>45.9</v>
      </c>
      <c r="R14" s="61">
        <v>45.8</v>
      </c>
      <c r="S14" s="61">
        <v>45.9</v>
      </c>
      <c r="T14" s="61">
        <v>45.8</v>
      </c>
      <c r="U14" s="61">
        <v>45.8</v>
      </c>
      <c r="V14" s="61">
        <v>45.8</v>
      </c>
      <c r="W14" s="61">
        <v>45.7</v>
      </c>
      <c r="X14" s="61">
        <v>45.6</v>
      </c>
      <c r="Y14" s="50">
        <v>45.9</v>
      </c>
      <c r="Z14" s="50">
        <v>45.9</v>
      </c>
      <c r="AA14" s="50">
        <v>45.9</v>
      </c>
      <c r="AB14" s="50">
        <v>45.9</v>
      </c>
      <c r="AC14" s="50">
        <v>45.9</v>
      </c>
      <c r="AD14" s="50">
        <v>45.9</v>
      </c>
      <c r="AE14" s="62">
        <v>46</v>
      </c>
      <c r="AF14" s="62">
        <v>46</v>
      </c>
      <c r="AG14" s="63">
        <v>50</v>
      </c>
      <c r="AH14" s="55">
        <f t="shared" si="2"/>
        <v>46</v>
      </c>
      <c r="AI14" s="56">
        <f t="shared" si="3"/>
        <v>36.6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84">
        <v>28</v>
      </c>
      <c r="C15" s="84">
        <v>28</v>
      </c>
      <c r="D15" s="49">
        <v>28</v>
      </c>
      <c r="E15" s="49">
        <v>28</v>
      </c>
      <c r="F15" s="49">
        <v>28</v>
      </c>
      <c r="G15" s="49">
        <v>28</v>
      </c>
      <c r="H15" s="49">
        <v>28</v>
      </c>
      <c r="I15" s="49">
        <v>28</v>
      </c>
      <c r="J15" s="49">
        <v>28</v>
      </c>
      <c r="K15" s="49">
        <v>28</v>
      </c>
      <c r="L15" s="50">
        <v>28</v>
      </c>
      <c r="M15" s="50">
        <v>28</v>
      </c>
      <c r="N15" s="50">
        <v>28</v>
      </c>
      <c r="O15" s="50">
        <v>28</v>
      </c>
      <c r="P15" s="50">
        <v>28</v>
      </c>
      <c r="Q15" s="50">
        <v>28</v>
      </c>
      <c r="R15" s="84">
        <v>28</v>
      </c>
      <c r="S15" s="84">
        <v>28</v>
      </c>
      <c r="T15" s="84">
        <v>26</v>
      </c>
      <c r="U15" s="84">
        <v>26</v>
      </c>
      <c r="V15" s="84">
        <v>26</v>
      </c>
      <c r="W15" s="84">
        <v>26</v>
      </c>
      <c r="X15" s="84">
        <v>28</v>
      </c>
      <c r="Y15" s="50">
        <v>28</v>
      </c>
      <c r="Z15" s="50">
        <v>28</v>
      </c>
      <c r="AA15" s="50">
        <v>28</v>
      </c>
      <c r="AB15" s="50">
        <v>28</v>
      </c>
      <c r="AC15" s="50">
        <v>26</v>
      </c>
      <c r="AD15" s="50">
        <v>26</v>
      </c>
      <c r="AE15" s="49">
        <v>26</v>
      </c>
      <c r="AF15" s="49">
        <v>26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61">
        <v>25</v>
      </c>
      <c r="C16" s="61">
        <v>25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49">
        <v>25</v>
      </c>
      <c r="AF16" s="49">
        <v>25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49">
        <v>25</v>
      </c>
      <c r="E17" s="49">
        <v>17</v>
      </c>
      <c r="F17" s="49">
        <v>17</v>
      </c>
      <c r="G17" s="49">
        <v>17</v>
      </c>
      <c r="H17" s="49">
        <v>17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25</v>
      </c>
      <c r="AF17" s="49">
        <v>25</v>
      </c>
      <c r="AG17" s="60">
        <v>36</v>
      </c>
      <c r="AH17" s="55">
        <f t="shared" si="2"/>
        <v>25</v>
      </c>
      <c r="AI17" s="56">
        <f t="shared" si="3"/>
        <v>17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25</v>
      </c>
      <c r="C18" s="50">
        <v>25</v>
      </c>
      <c r="D18" s="49">
        <v>20</v>
      </c>
      <c r="E18" s="49">
        <v>20</v>
      </c>
      <c r="F18" s="49">
        <v>20</v>
      </c>
      <c r="G18" s="49">
        <v>25.2</v>
      </c>
      <c r="H18" s="49">
        <v>25.2</v>
      </c>
      <c r="I18" s="49">
        <v>25.2</v>
      </c>
      <c r="J18" s="49">
        <v>25.2</v>
      </c>
      <c r="K18" s="49">
        <v>25.2</v>
      </c>
      <c r="L18" s="50">
        <v>25.2</v>
      </c>
      <c r="M18" s="50">
        <v>25.2</v>
      </c>
      <c r="N18" s="50">
        <v>25.2</v>
      </c>
      <c r="O18" s="50">
        <v>25.2</v>
      </c>
      <c r="P18" s="50">
        <v>25.2</v>
      </c>
      <c r="Q18" s="50">
        <v>25.2</v>
      </c>
      <c r="R18" s="50">
        <v>25.2</v>
      </c>
      <c r="S18" s="50">
        <v>25.2</v>
      </c>
      <c r="T18" s="50">
        <v>25.2</v>
      </c>
      <c r="U18" s="50">
        <v>25.2</v>
      </c>
      <c r="V18" s="50">
        <v>25.2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49">
        <v>25.2</v>
      </c>
      <c r="AF18" s="49">
        <v>25.2</v>
      </c>
      <c r="AG18" s="60">
        <v>30</v>
      </c>
      <c r="AH18" s="55">
        <f t="shared" si="2"/>
        <v>25.2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49">
        <v>6.2</v>
      </c>
      <c r="AF19" s="49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49">
        <v>22</v>
      </c>
      <c r="AF21" s="49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49">
        <v>22</v>
      </c>
      <c r="AF22" s="49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50">
        <v>17</v>
      </c>
      <c r="E23" s="50">
        <v>17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16.8</v>
      </c>
      <c r="Q23" s="50">
        <v>16.8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49">
        <v>22</v>
      </c>
      <c r="AF23" s="49">
        <v>22</v>
      </c>
      <c r="AG23" s="60">
        <v>25</v>
      </c>
      <c r="AH23" s="55">
        <f t="shared" si="2"/>
        <v>22</v>
      </c>
      <c r="AI23" s="56">
        <f t="shared" si="3"/>
        <v>16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17</v>
      </c>
      <c r="E24" s="50">
        <v>17</v>
      </c>
      <c r="F24" s="50">
        <v>20</v>
      </c>
      <c r="G24" s="50">
        <v>20</v>
      </c>
      <c r="H24" s="50">
        <v>20</v>
      </c>
      <c r="I24" s="50">
        <v>20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49">
        <v>22</v>
      </c>
      <c r="AF24" s="49">
        <v>22</v>
      </c>
      <c r="AG24" s="60">
        <v>24.2</v>
      </c>
      <c r="AH24" s="55">
        <f t="shared" si="2"/>
        <v>22</v>
      </c>
      <c r="AI24" s="56">
        <f t="shared" si="3"/>
        <v>17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2.5</v>
      </c>
      <c r="C25" s="50">
        <v>2.5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16</v>
      </c>
      <c r="AD25" s="50">
        <v>16</v>
      </c>
      <c r="AE25" s="49">
        <v>16</v>
      </c>
      <c r="AF25" s="49">
        <v>16</v>
      </c>
      <c r="AG25" s="60">
        <v>20</v>
      </c>
      <c r="AH25" s="55">
        <f>MAX(B25:AF25)</f>
        <v>20</v>
      </c>
      <c r="AI25" s="56">
        <f>MIN(B25:AF25)</f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12.6</v>
      </c>
      <c r="C28" s="50">
        <v>12.6</v>
      </c>
      <c r="D28" s="50">
        <v>12.6</v>
      </c>
      <c r="E28" s="50">
        <v>12.6</v>
      </c>
      <c r="F28" s="50">
        <v>12.6</v>
      </c>
      <c r="G28" s="50">
        <v>12.6</v>
      </c>
      <c r="H28" s="50">
        <v>12.6</v>
      </c>
      <c r="I28" s="50">
        <v>12.6</v>
      </c>
      <c r="J28" s="50">
        <v>12.6</v>
      </c>
      <c r="K28" s="50">
        <v>12.6</v>
      </c>
      <c r="L28" s="50">
        <v>12.6</v>
      </c>
      <c r="M28" s="50">
        <v>12.6</v>
      </c>
      <c r="N28" s="50">
        <v>12.6</v>
      </c>
      <c r="O28" s="50">
        <v>12.6</v>
      </c>
      <c r="P28" s="50">
        <v>12.6</v>
      </c>
      <c r="Q28" s="50">
        <v>12.6</v>
      </c>
      <c r="R28" s="50">
        <v>12.6</v>
      </c>
      <c r="S28" s="50">
        <v>12.6</v>
      </c>
      <c r="T28" s="50">
        <v>12.6</v>
      </c>
      <c r="U28" s="50">
        <v>12.6</v>
      </c>
      <c r="V28" s="50">
        <v>12.6</v>
      </c>
      <c r="W28" s="50">
        <v>12.6</v>
      </c>
      <c r="X28" s="50">
        <v>12.6</v>
      </c>
      <c r="Y28" s="50">
        <v>12.6</v>
      </c>
      <c r="Z28" s="50">
        <v>12.6</v>
      </c>
      <c r="AA28" s="50">
        <v>12.6</v>
      </c>
      <c r="AB28" s="50">
        <v>12.6</v>
      </c>
      <c r="AC28" s="50">
        <v>12.6</v>
      </c>
      <c r="AD28" s="50">
        <v>12.6</v>
      </c>
      <c r="AE28" s="50">
        <v>12.6</v>
      </c>
      <c r="AF28" s="50">
        <v>12.6</v>
      </c>
      <c r="AG28" s="60">
        <v>22.1</v>
      </c>
      <c r="AH28" s="55">
        <f t="shared" si="2"/>
        <v>12.6</v>
      </c>
      <c r="AI28" s="56">
        <f t="shared" si="3"/>
        <v>12.6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12.3</v>
      </c>
      <c r="Z29" s="50">
        <v>12.3</v>
      </c>
      <c r="AA29" s="50">
        <v>12.3</v>
      </c>
      <c r="AB29" s="50">
        <v>12.3</v>
      </c>
      <c r="AC29" s="50">
        <v>12.3</v>
      </c>
      <c r="AD29" s="50">
        <v>12.3</v>
      </c>
      <c r="AE29" s="50">
        <v>12.3</v>
      </c>
      <c r="AF29" s="50">
        <v>12.3</v>
      </c>
      <c r="AG29" s="60">
        <v>22.1</v>
      </c>
      <c r="AH29" s="55">
        <f t="shared" si="2"/>
        <v>12.3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163.9</v>
      </c>
      <c r="C35" s="62">
        <v>171.2</v>
      </c>
      <c r="D35" s="62">
        <v>164</v>
      </c>
      <c r="E35" s="62">
        <v>164</v>
      </c>
      <c r="F35" s="62">
        <v>160</v>
      </c>
      <c r="G35" s="62">
        <v>160</v>
      </c>
      <c r="H35" s="62">
        <v>160</v>
      </c>
      <c r="I35" s="62">
        <v>160</v>
      </c>
      <c r="J35" s="62">
        <v>160</v>
      </c>
      <c r="K35" s="62">
        <v>167.5</v>
      </c>
      <c r="L35" s="70">
        <f>94.8+72.7</f>
        <v>167.5</v>
      </c>
      <c r="M35" s="70">
        <v>165</v>
      </c>
      <c r="N35" s="70">
        <v>165</v>
      </c>
      <c r="O35" s="70">
        <v>165</v>
      </c>
      <c r="P35" s="70">
        <v>166.3</v>
      </c>
      <c r="Q35" s="70">
        <v>166.3</v>
      </c>
      <c r="R35" s="70">
        <f>95.3+74</f>
        <v>169.3</v>
      </c>
      <c r="S35" s="70">
        <f>95.2+73</f>
        <v>168.2</v>
      </c>
      <c r="T35" s="70">
        <f>95+73</f>
        <v>168</v>
      </c>
      <c r="U35" s="70">
        <f>90+73.3</f>
        <v>163.30000000000001</v>
      </c>
      <c r="V35" s="70">
        <f>90+73.3</f>
        <v>163.30000000000001</v>
      </c>
      <c r="W35" s="70">
        <f>90+73.3</f>
        <v>163.30000000000001</v>
      </c>
      <c r="X35" s="70">
        <f>90+73.3</f>
        <v>163.30000000000001</v>
      </c>
      <c r="Y35" s="70">
        <v>166.6</v>
      </c>
      <c r="Z35" s="70">
        <v>165.7</v>
      </c>
      <c r="AA35" s="70">
        <v>167</v>
      </c>
      <c r="AB35" s="70">
        <v>168</v>
      </c>
      <c r="AC35" s="70">
        <v>168</v>
      </c>
      <c r="AD35" s="70">
        <v>168</v>
      </c>
      <c r="AE35" s="70">
        <v>170</v>
      </c>
      <c r="AF35" s="70">
        <v>171</v>
      </c>
      <c r="AG35" s="67">
        <v>240</v>
      </c>
      <c r="AH35" s="55">
        <f t="shared" si="2"/>
        <v>171.2</v>
      </c>
      <c r="AI35" s="56">
        <f t="shared" si="3"/>
        <v>160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866</v>
      </c>
      <c r="C36" s="72">
        <f t="shared" si="4"/>
        <v>836</v>
      </c>
      <c r="D36" s="72">
        <f t="shared" si="4"/>
        <v>734.3</v>
      </c>
      <c r="E36" s="72">
        <f t="shared" si="4"/>
        <v>686.3</v>
      </c>
      <c r="F36" s="72">
        <f t="shared" si="4"/>
        <v>734.3</v>
      </c>
      <c r="G36" s="72">
        <f t="shared" si="4"/>
        <v>739.5</v>
      </c>
      <c r="H36" s="72">
        <f t="shared" si="4"/>
        <v>747</v>
      </c>
      <c r="I36" s="72">
        <f t="shared" si="4"/>
        <v>740</v>
      </c>
      <c r="J36" s="72">
        <f t="shared" si="4"/>
        <v>773</v>
      </c>
      <c r="K36" s="72">
        <f t="shared" si="4"/>
        <v>832</v>
      </c>
      <c r="L36" s="72">
        <f t="shared" si="4"/>
        <v>862</v>
      </c>
      <c r="M36" s="72">
        <f t="shared" si="4"/>
        <v>862</v>
      </c>
      <c r="N36" s="72">
        <f t="shared" si="4"/>
        <v>872</v>
      </c>
      <c r="O36" s="72">
        <f t="shared" si="4"/>
        <v>872</v>
      </c>
      <c r="P36" s="72">
        <f t="shared" si="4"/>
        <v>892.1</v>
      </c>
      <c r="Q36" s="72">
        <f t="shared" si="4"/>
        <v>892.1</v>
      </c>
      <c r="R36" s="72">
        <f t="shared" si="4"/>
        <v>891.7</v>
      </c>
      <c r="S36" s="72">
        <f t="shared" si="4"/>
        <v>891.1</v>
      </c>
      <c r="T36" s="72">
        <f t="shared" si="4"/>
        <v>889.6</v>
      </c>
      <c r="U36" s="72">
        <f t="shared" si="4"/>
        <v>889.7</v>
      </c>
      <c r="V36" s="72">
        <f t="shared" si="4"/>
        <v>889.7</v>
      </c>
      <c r="W36" s="72">
        <f t="shared" si="4"/>
        <v>881.59999999999991</v>
      </c>
      <c r="X36" s="72">
        <f t="shared" si="4"/>
        <v>976.50000000000011</v>
      </c>
      <c r="Y36" s="72">
        <f t="shared" si="4"/>
        <v>991.1</v>
      </c>
      <c r="Z36" s="72">
        <f t="shared" si="4"/>
        <v>989.1</v>
      </c>
      <c r="AA36" s="72">
        <f t="shared" si="4"/>
        <v>915.1</v>
      </c>
      <c r="AB36" s="72">
        <f t="shared" si="4"/>
        <v>990.1</v>
      </c>
      <c r="AC36" s="72">
        <f t="shared" si="4"/>
        <v>984.1</v>
      </c>
      <c r="AD36" s="72">
        <f t="shared" si="4"/>
        <v>984.1</v>
      </c>
      <c r="AE36" s="72">
        <f t="shared" si="4"/>
        <v>970.2</v>
      </c>
      <c r="AF36" s="72">
        <f t="shared" si="4"/>
        <v>980.2</v>
      </c>
      <c r="AG36" s="67">
        <f>SUM(AG11:AG35)</f>
        <v>1436.83</v>
      </c>
      <c r="AH36" s="55">
        <f t="shared" si="2"/>
        <v>991.1</v>
      </c>
      <c r="AI36" s="56">
        <f t="shared" si="3"/>
        <v>686.3</v>
      </c>
      <c r="AK36" s="57"/>
    </row>
    <row r="37" spans="1:88" x14ac:dyDescent="0.25">
      <c r="A37" s="58" t="s">
        <v>44</v>
      </c>
      <c r="B37" s="50">
        <v>143.80000000000001</v>
      </c>
      <c r="C37" s="50">
        <v>143.80000000000001</v>
      </c>
      <c r="D37" s="50">
        <v>143.80000000000001</v>
      </c>
      <c r="E37" s="62">
        <v>143.6</v>
      </c>
      <c r="F37" s="62">
        <v>96.9</v>
      </c>
      <c r="G37" s="62">
        <v>97.2</v>
      </c>
      <c r="H37" s="62">
        <v>105</v>
      </c>
      <c r="I37" s="62">
        <v>144.4</v>
      </c>
      <c r="J37" s="62">
        <v>144.4</v>
      </c>
      <c r="K37" s="62">
        <v>144.4</v>
      </c>
      <c r="L37" s="50">
        <v>143.4</v>
      </c>
      <c r="M37" s="50">
        <v>143</v>
      </c>
      <c r="N37" s="50">
        <v>143</v>
      </c>
      <c r="O37" s="50">
        <v>143</v>
      </c>
      <c r="P37" s="50">
        <v>143.80000000000001</v>
      </c>
      <c r="Q37" s="50">
        <v>144</v>
      </c>
      <c r="R37" s="50">
        <v>144</v>
      </c>
      <c r="S37" s="50">
        <v>144.19999999999999</v>
      </c>
      <c r="T37" s="50">
        <v>144.19999999999999</v>
      </c>
      <c r="U37" s="50">
        <v>144</v>
      </c>
      <c r="V37" s="50">
        <v>144</v>
      </c>
      <c r="W37" s="50">
        <v>144.1</v>
      </c>
      <c r="X37" s="50">
        <v>144.19999999999999</v>
      </c>
      <c r="Y37" s="50">
        <v>143.9</v>
      </c>
      <c r="Z37" s="50">
        <v>143.9</v>
      </c>
      <c r="AA37" s="50">
        <v>143.9</v>
      </c>
      <c r="AB37" s="50">
        <v>144</v>
      </c>
      <c r="AC37" s="50">
        <v>144</v>
      </c>
      <c r="AD37" s="50">
        <v>144.30000000000001</v>
      </c>
      <c r="AE37" s="49">
        <v>144.5</v>
      </c>
      <c r="AF37" s="49">
        <v>145.1</v>
      </c>
      <c r="AG37" s="63">
        <v>144</v>
      </c>
      <c r="AH37" s="55">
        <f t="shared" si="2"/>
        <v>145.1</v>
      </c>
      <c r="AI37" s="56">
        <f t="shared" si="3"/>
        <v>96.9</v>
      </c>
      <c r="AK37" s="57"/>
    </row>
    <row r="38" spans="1:88" x14ac:dyDescent="0.25">
      <c r="A38" s="66" t="s">
        <v>45</v>
      </c>
      <c r="B38" s="52">
        <v>69.900000000000006</v>
      </c>
      <c r="C38" s="52">
        <v>69.900000000000006</v>
      </c>
      <c r="D38" s="52">
        <v>69.900000000000006</v>
      </c>
      <c r="E38" s="62">
        <v>70.599999999999994</v>
      </c>
      <c r="F38" s="62">
        <v>71.3</v>
      </c>
      <c r="G38" s="62">
        <v>71.2</v>
      </c>
      <c r="H38" s="62">
        <v>69</v>
      </c>
      <c r="I38" s="62">
        <v>71.400000000000006</v>
      </c>
      <c r="J38" s="62">
        <v>71.400000000000006</v>
      </c>
      <c r="K38" s="62">
        <v>71.400000000000006</v>
      </c>
      <c r="L38" s="52">
        <v>70.099999999999994</v>
      </c>
      <c r="M38" s="52">
        <v>71.5</v>
      </c>
      <c r="N38" s="52">
        <v>71.5</v>
      </c>
      <c r="O38" s="52">
        <v>71.5</v>
      </c>
      <c r="P38" s="52">
        <v>69.900000000000006</v>
      </c>
      <c r="Q38" s="52">
        <v>69.599999999999994</v>
      </c>
      <c r="R38" s="52">
        <v>70.099999999999994</v>
      </c>
      <c r="S38" s="52">
        <v>69.400000000000006</v>
      </c>
      <c r="T38" s="52">
        <v>69.8</v>
      </c>
      <c r="U38" s="52">
        <v>69.8</v>
      </c>
      <c r="V38" s="52">
        <v>69.8</v>
      </c>
      <c r="W38" s="52">
        <v>70.5</v>
      </c>
      <c r="X38" s="52">
        <v>72.3</v>
      </c>
      <c r="Y38" s="52">
        <v>69.400000000000006</v>
      </c>
      <c r="Z38" s="52">
        <v>71.3</v>
      </c>
      <c r="AA38" s="52">
        <v>70.5</v>
      </c>
      <c r="AB38" s="52">
        <v>71.7</v>
      </c>
      <c r="AC38" s="52">
        <v>71.7</v>
      </c>
      <c r="AD38" s="52">
        <v>71.099999999999994</v>
      </c>
      <c r="AE38" s="62">
        <v>71.3</v>
      </c>
      <c r="AF38" s="62">
        <v>71.099999999999994</v>
      </c>
      <c r="AG38" s="67">
        <v>70</v>
      </c>
      <c r="AH38" s="55">
        <f t="shared" si="2"/>
        <v>72.3</v>
      </c>
      <c r="AI38" s="56">
        <f t="shared" si="3"/>
        <v>69</v>
      </c>
      <c r="AK38" s="57"/>
    </row>
    <row r="39" spans="1:88" x14ac:dyDescent="0.25">
      <c r="A39" s="66" t="s">
        <v>46</v>
      </c>
      <c r="B39" s="52">
        <v>67.900000000000006</v>
      </c>
      <c r="C39" s="52">
        <v>67.900000000000006</v>
      </c>
      <c r="D39" s="52">
        <v>67.900000000000006</v>
      </c>
      <c r="E39" s="62">
        <v>68</v>
      </c>
      <c r="F39" s="62">
        <v>68.5</v>
      </c>
      <c r="G39" s="62">
        <v>68.599999999999994</v>
      </c>
      <c r="H39" s="62">
        <v>66</v>
      </c>
      <c r="I39" s="62">
        <v>69</v>
      </c>
      <c r="J39" s="62">
        <v>69</v>
      </c>
      <c r="K39" s="62">
        <v>69</v>
      </c>
      <c r="L39" s="52">
        <v>66.7</v>
      </c>
      <c r="M39" s="52">
        <v>68</v>
      </c>
      <c r="N39" s="52">
        <v>68</v>
      </c>
      <c r="O39" s="52">
        <v>68</v>
      </c>
      <c r="P39" s="52">
        <v>68.3</v>
      </c>
      <c r="Q39" s="52">
        <v>68.400000000000006</v>
      </c>
      <c r="R39" s="52">
        <v>68.400000000000006</v>
      </c>
      <c r="S39" s="52">
        <v>68.7</v>
      </c>
      <c r="T39" s="52">
        <v>69</v>
      </c>
      <c r="U39" s="52">
        <v>69</v>
      </c>
      <c r="V39" s="52">
        <v>69</v>
      </c>
      <c r="W39" s="52">
        <v>68.599999999999994</v>
      </c>
      <c r="X39" s="52">
        <v>68.5</v>
      </c>
      <c r="Y39" s="52">
        <v>69.2</v>
      </c>
      <c r="Z39" s="52">
        <v>69</v>
      </c>
      <c r="AA39" s="52">
        <v>68.900000000000006</v>
      </c>
      <c r="AB39" s="52">
        <v>69</v>
      </c>
      <c r="AC39" s="52">
        <v>69</v>
      </c>
      <c r="AD39" s="52">
        <v>68.599999999999994</v>
      </c>
      <c r="AE39" s="62">
        <v>60.8</v>
      </c>
      <c r="AF39" s="62">
        <v>68.5</v>
      </c>
      <c r="AG39" s="67">
        <v>69</v>
      </c>
      <c r="AH39" s="55">
        <f t="shared" si="2"/>
        <v>69.2</v>
      </c>
      <c r="AI39" s="56">
        <f t="shared" si="3"/>
        <v>60.8</v>
      </c>
      <c r="AK39" s="57"/>
    </row>
    <row r="40" spans="1:88" x14ac:dyDescent="0.25">
      <c r="A40" s="66" t="s">
        <v>47</v>
      </c>
      <c r="B40" s="52">
        <v>62</v>
      </c>
      <c r="C40" s="52">
        <v>62</v>
      </c>
      <c r="D40" s="52">
        <v>62</v>
      </c>
      <c r="E40" s="62">
        <v>62</v>
      </c>
      <c r="F40" s="62">
        <v>62</v>
      </c>
      <c r="G40" s="62">
        <v>62</v>
      </c>
      <c r="H40" s="62">
        <v>62</v>
      </c>
      <c r="I40" s="62">
        <v>62</v>
      </c>
      <c r="J40" s="62">
        <v>62</v>
      </c>
      <c r="K40" s="62">
        <v>62</v>
      </c>
      <c r="L40" s="52">
        <v>62</v>
      </c>
      <c r="M40" s="52">
        <v>61</v>
      </c>
      <c r="N40" s="52">
        <v>61</v>
      </c>
      <c r="O40" s="52">
        <v>61</v>
      </c>
      <c r="P40" s="52">
        <v>61.2</v>
      </c>
      <c r="Q40" s="52">
        <v>61.2</v>
      </c>
      <c r="R40" s="52">
        <v>61.2</v>
      </c>
      <c r="S40" s="52">
        <v>61.2</v>
      </c>
      <c r="T40" s="52">
        <v>61.2</v>
      </c>
      <c r="U40" s="52">
        <v>61.2</v>
      </c>
      <c r="V40" s="52">
        <v>61.2</v>
      </c>
      <c r="W40" s="52">
        <v>61.2</v>
      </c>
      <c r="X40" s="52">
        <v>61.2</v>
      </c>
      <c r="Y40" s="52">
        <v>68.8</v>
      </c>
      <c r="Z40" s="52">
        <v>60</v>
      </c>
      <c r="AA40" s="52">
        <v>60.4</v>
      </c>
      <c r="AB40" s="52">
        <v>60.4</v>
      </c>
      <c r="AC40" s="52">
        <v>60.4</v>
      </c>
      <c r="AD40" s="52">
        <v>60</v>
      </c>
      <c r="AE40" s="62">
        <v>60</v>
      </c>
      <c r="AF40" s="62">
        <v>60</v>
      </c>
      <c r="AG40" s="67">
        <v>60</v>
      </c>
      <c r="AH40" s="55">
        <f t="shared" si="2"/>
        <v>68.8</v>
      </c>
      <c r="AI40" s="56">
        <f t="shared" si="3"/>
        <v>60</v>
      </c>
      <c r="AK40" s="57"/>
    </row>
    <row r="41" spans="1:88" x14ac:dyDescent="0.25">
      <c r="A41" s="66" t="s">
        <v>48</v>
      </c>
      <c r="B41" s="50">
        <v>29.7</v>
      </c>
      <c r="C41" s="50">
        <v>29.7</v>
      </c>
      <c r="D41" s="50">
        <v>29.7</v>
      </c>
      <c r="E41" s="62">
        <v>29.8</v>
      </c>
      <c r="F41" s="62">
        <v>29.8</v>
      </c>
      <c r="G41" s="62">
        <v>29.8</v>
      </c>
      <c r="H41" s="62">
        <v>29.8</v>
      </c>
      <c r="I41" s="62">
        <v>29.8</v>
      </c>
      <c r="J41" s="62">
        <v>29.8</v>
      </c>
      <c r="K41" s="62">
        <v>29.8</v>
      </c>
      <c r="L41" s="50">
        <v>29.8</v>
      </c>
      <c r="M41" s="50">
        <v>29.8</v>
      </c>
      <c r="N41" s="50">
        <v>29.8</v>
      </c>
      <c r="O41" s="50">
        <v>29.8</v>
      </c>
      <c r="P41" s="50">
        <v>29.8</v>
      </c>
      <c r="Q41" s="50">
        <v>29.8</v>
      </c>
      <c r="R41" s="50">
        <v>29.7</v>
      </c>
      <c r="S41" s="50">
        <v>29.7</v>
      </c>
      <c r="T41" s="50">
        <v>29.7</v>
      </c>
      <c r="U41" s="50">
        <v>29.7</v>
      </c>
      <c r="V41" s="50">
        <v>29.7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29.6</v>
      </c>
      <c r="AC41" s="52">
        <v>29.6</v>
      </c>
      <c r="AD41" s="52">
        <v>29.6</v>
      </c>
      <c r="AE41" s="62">
        <v>29.8</v>
      </c>
      <c r="AF41" s="62">
        <v>29.8</v>
      </c>
      <c r="AG41" s="67">
        <v>30</v>
      </c>
      <c r="AH41" s="55">
        <f t="shared" si="2"/>
        <v>29.8</v>
      </c>
      <c r="AI41" s="56">
        <f t="shared" si="3"/>
        <v>29.6</v>
      </c>
      <c r="AK41" s="57"/>
    </row>
    <row r="42" spans="1:88" x14ac:dyDescent="0.25">
      <c r="A42" s="66" t="s">
        <v>49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50">
        <v>17</v>
      </c>
      <c r="C43" s="50">
        <v>17</v>
      </c>
      <c r="D43" s="50">
        <v>17</v>
      </c>
      <c r="E43" s="50">
        <v>17</v>
      </c>
      <c r="F43" s="50">
        <v>17</v>
      </c>
      <c r="G43" s="50">
        <v>17</v>
      </c>
      <c r="H43" s="50">
        <v>17</v>
      </c>
      <c r="I43" s="50">
        <v>17</v>
      </c>
      <c r="J43" s="50">
        <v>17</v>
      </c>
      <c r="K43" s="50">
        <v>17</v>
      </c>
      <c r="L43" s="50">
        <v>17</v>
      </c>
      <c r="M43" s="50">
        <v>17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62">
        <v>17</v>
      </c>
      <c r="AF43" s="62">
        <v>17</v>
      </c>
      <c r="AG43" s="67">
        <v>24</v>
      </c>
      <c r="AH43" s="55">
        <f t="shared" si="2"/>
        <v>17</v>
      </c>
      <c r="AI43" s="56">
        <f t="shared" si="3"/>
        <v>17</v>
      </c>
      <c r="AK43" s="57"/>
    </row>
    <row r="44" spans="1:88" x14ac:dyDescent="0.25">
      <c r="A44" s="66" t="s">
        <v>51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62">
        <v>0</v>
      </c>
      <c r="AF44" s="62">
        <v>0</v>
      </c>
      <c r="AG44" s="67">
        <v>15</v>
      </c>
      <c r="AH44" s="55">
        <f t="shared" si="2"/>
        <v>0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50">
        <v>12</v>
      </c>
      <c r="C45" s="50">
        <v>12</v>
      </c>
      <c r="D45" s="50">
        <v>12</v>
      </c>
      <c r="E45" s="50">
        <v>12</v>
      </c>
      <c r="F45" s="50">
        <v>12</v>
      </c>
      <c r="G45" s="50">
        <v>12</v>
      </c>
      <c r="H45" s="50">
        <v>12</v>
      </c>
      <c r="I45" s="50">
        <v>12</v>
      </c>
      <c r="J45" s="50">
        <v>12</v>
      </c>
      <c r="K45" s="50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50">
        <v>14</v>
      </c>
      <c r="C46" s="50">
        <v>14</v>
      </c>
      <c r="D46" s="50">
        <v>14</v>
      </c>
      <c r="E46" s="50">
        <v>14</v>
      </c>
      <c r="F46" s="50">
        <v>14</v>
      </c>
      <c r="G46" s="50">
        <v>14</v>
      </c>
      <c r="H46" s="50">
        <v>14</v>
      </c>
      <c r="I46" s="50">
        <v>14</v>
      </c>
      <c r="J46" s="50">
        <v>14</v>
      </c>
      <c r="K46" s="50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2">
        <v>14</v>
      </c>
      <c r="AF46" s="62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50">
        <v>9.3000000000000007</v>
      </c>
      <c r="C47" s="50">
        <v>9.3000000000000007</v>
      </c>
      <c r="D47" s="50">
        <v>9.3000000000000007</v>
      </c>
      <c r="E47" s="50">
        <v>9.3000000000000007</v>
      </c>
      <c r="F47" s="50">
        <v>9.3000000000000007</v>
      </c>
      <c r="G47" s="50">
        <v>9.3000000000000007</v>
      </c>
      <c r="H47" s="50">
        <v>9.3000000000000007</v>
      </c>
      <c r="I47" s="50">
        <v>9.3000000000000007</v>
      </c>
      <c r="J47" s="50">
        <v>9.3000000000000007</v>
      </c>
      <c r="K47" s="50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9.3000000000000007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62">
        <v>9.3000000000000007</v>
      </c>
      <c r="AF47" s="62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9.3000000000000007</v>
      </c>
      <c r="AK47" s="57"/>
    </row>
    <row r="48" spans="1:88" x14ac:dyDescent="0.25">
      <c r="A48" s="66" t="s">
        <v>55</v>
      </c>
      <c r="B48" s="50">
        <v>6.2</v>
      </c>
      <c r="C48" s="50">
        <v>6.2</v>
      </c>
      <c r="D48" s="50">
        <v>6.2</v>
      </c>
      <c r="E48" s="50">
        <v>6.2</v>
      </c>
      <c r="F48" s="50">
        <v>6.2</v>
      </c>
      <c r="G48" s="50">
        <v>6.2</v>
      </c>
      <c r="H48" s="50">
        <v>6.2</v>
      </c>
      <c r="I48" s="50">
        <v>6.2</v>
      </c>
      <c r="J48" s="50">
        <v>6.2</v>
      </c>
      <c r="K48" s="50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435.34000000000003</v>
      </c>
      <c r="C50" s="72">
        <f t="shared" si="6"/>
        <v>435.34000000000003</v>
      </c>
      <c r="D50" s="72">
        <f t="shared" si="6"/>
        <v>435.34000000000003</v>
      </c>
      <c r="E50" s="72">
        <f t="shared" si="6"/>
        <v>436.04</v>
      </c>
      <c r="F50" s="72">
        <f t="shared" si="6"/>
        <v>390.54</v>
      </c>
      <c r="G50" s="72">
        <f t="shared" si="6"/>
        <v>390.84000000000003</v>
      </c>
      <c r="H50" s="72">
        <f t="shared" si="6"/>
        <v>393.84000000000003</v>
      </c>
      <c r="I50" s="72">
        <f t="shared" si="6"/>
        <v>438.64000000000004</v>
      </c>
      <c r="J50" s="72">
        <f t="shared" si="6"/>
        <v>438.64000000000004</v>
      </c>
      <c r="K50" s="72">
        <f t="shared" si="6"/>
        <v>438.64000000000004</v>
      </c>
      <c r="L50" s="72">
        <f t="shared" si="6"/>
        <v>434.04</v>
      </c>
      <c r="M50" s="72">
        <f t="shared" si="6"/>
        <v>435.34000000000003</v>
      </c>
      <c r="N50" s="72">
        <f t="shared" si="6"/>
        <v>435.34000000000003</v>
      </c>
      <c r="O50" s="72">
        <f t="shared" si="6"/>
        <v>435.34000000000003</v>
      </c>
      <c r="P50" s="72">
        <f t="shared" si="6"/>
        <v>435.04</v>
      </c>
      <c r="Q50" s="72">
        <f t="shared" si="6"/>
        <v>435.04</v>
      </c>
      <c r="R50" s="72">
        <f t="shared" si="6"/>
        <v>435.44</v>
      </c>
      <c r="S50" s="72">
        <f t="shared" si="6"/>
        <v>435.24</v>
      </c>
      <c r="T50" s="72">
        <f t="shared" si="6"/>
        <v>435.94</v>
      </c>
      <c r="U50" s="72">
        <f t="shared" si="6"/>
        <v>435.74</v>
      </c>
      <c r="V50" s="72">
        <f t="shared" si="6"/>
        <v>435.74</v>
      </c>
      <c r="W50" s="72">
        <f t="shared" si="6"/>
        <v>436.14</v>
      </c>
      <c r="X50" s="72">
        <f t="shared" si="6"/>
        <v>437.94</v>
      </c>
      <c r="Y50" s="72">
        <f t="shared" si="6"/>
        <v>443</v>
      </c>
      <c r="Z50" s="72">
        <f t="shared" si="6"/>
        <v>435.94</v>
      </c>
      <c r="AA50" s="72">
        <f t="shared" si="6"/>
        <v>435.44</v>
      </c>
      <c r="AB50" s="72">
        <f t="shared" si="6"/>
        <v>436.74</v>
      </c>
      <c r="AC50" s="72">
        <f t="shared" si="6"/>
        <v>436.74</v>
      </c>
      <c r="AD50" s="72">
        <f t="shared" si="6"/>
        <v>435.64000000000004</v>
      </c>
      <c r="AE50" s="72">
        <f t="shared" si="6"/>
        <v>428.44000000000005</v>
      </c>
      <c r="AF50" s="72">
        <f t="shared" si="6"/>
        <v>436.54</v>
      </c>
      <c r="AG50" s="77">
        <f>SUM(AG37:AG49)</f>
        <v>489.91</v>
      </c>
      <c r="AH50" s="55">
        <f t="shared" si="2"/>
        <v>443</v>
      </c>
      <c r="AI50" s="56">
        <f t="shared" si="3"/>
        <v>390.54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50">
        <v>14</v>
      </c>
      <c r="R51" s="50">
        <v>31.1</v>
      </c>
      <c r="S51" s="50">
        <v>13.7</v>
      </c>
      <c r="T51" s="50">
        <v>13.7</v>
      </c>
      <c r="U51" s="50">
        <v>13.7</v>
      </c>
      <c r="V51" s="50">
        <v>13.7</v>
      </c>
      <c r="W51" s="50">
        <v>14.1</v>
      </c>
      <c r="X51" s="50">
        <v>59</v>
      </c>
      <c r="Y51" s="50">
        <v>59.7</v>
      </c>
      <c r="Z51" s="50">
        <v>60.2</v>
      </c>
      <c r="AA51" s="50">
        <v>59.7</v>
      </c>
      <c r="AB51" s="50">
        <v>60</v>
      </c>
      <c r="AC51" s="50">
        <v>60</v>
      </c>
      <c r="AD51" s="50">
        <v>10.9</v>
      </c>
      <c r="AE51" s="50">
        <v>0</v>
      </c>
      <c r="AF51" s="50">
        <v>0</v>
      </c>
      <c r="AG51" s="63">
        <v>60</v>
      </c>
      <c r="AH51" s="55">
        <f t="shared" si="2"/>
        <v>60.2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52">
        <v>5</v>
      </c>
      <c r="R52" s="50">
        <v>9.6999999999999993</v>
      </c>
      <c r="S52" s="50">
        <v>6.1</v>
      </c>
      <c r="T52" s="50">
        <v>4.9000000000000004</v>
      </c>
      <c r="U52" s="52">
        <v>4.9000000000000004</v>
      </c>
      <c r="V52" s="52">
        <v>4.9000000000000004</v>
      </c>
      <c r="W52" s="52">
        <v>5.4</v>
      </c>
      <c r="X52" s="52">
        <v>28.2</v>
      </c>
      <c r="Y52" s="52">
        <v>28.3</v>
      </c>
      <c r="Z52" s="52">
        <v>27.7</v>
      </c>
      <c r="AA52" s="52">
        <v>27.7</v>
      </c>
      <c r="AB52" s="52">
        <v>26.8</v>
      </c>
      <c r="AC52" s="52">
        <v>26.8</v>
      </c>
      <c r="AD52" s="52">
        <v>3.9</v>
      </c>
      <c r="AE52" s="52">
        <v>0</v>
      </c>
      <c r="AF52" s="52">
        <v>0</v>
      </c>
      <c r="AG52" s="67">
        <v>32</v>
      </c>
      <c r="AH52" s="55">
        <f t="shared" si="2"/>
        <v>28.3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175">
        <v>0</v>
      </c>
      <c r="Q53" s="78">
        <v>1.8</v>
      </c>
      <c r="R53" s="50">
        <v>3.5</v>
      </c>
      <c r="S53" s="50">
        <v>2.2000000000000002</v>
      </c>
      <c r="T53" s="50">
        <v>1.8</v>
      </c>
      <c r="U53" s="78">
        <v>1.8</v>
      </c>
      <c r="V53" s="78">
        <v>1.8</v>
      </c>
      <c r="W53" s="78">
        <v>2</v>
      </c>
      <c r="X53" s="78">
        <v>10.3</v>
      </c>
      <c r="Y53" s="78">
        <v>10.3</v>
      </c>
      <c r="Z53" s="78">
        <v>10.1</v>
      </c>
      <c r="AA53" s="78">
        <v>10.1</v>
      </c>
      <c r="AB53" s="78">
        <v>9.8000000000000007</v>
      </c>
      <c r="AC53" s="78">
        <v>9.8000000000000007</v>
      </c>
      <c r="AD53" s="78">
        <v>1.4</v>
      </c>
      <c r="AE53" s="78">
        <v>0</v>
      </c>
      <c r="AF53" s="78">
        <v>0</v>
      </c>
      <c r="AG53" s="79">
        <v>14</v>
      </c>
      <c r="AH53" s="55">
        <f t="shared" si="2"/>
        <v>10.3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20.8</v>
      </c>
      <c r="R54" s="72">
        <f t="shared" si="7"/>
        <v>44.3</v>
      </c>
      <c r="S54" s="72">
        <f t="shared" si="7"/>
        <v>21.999999999999996</v>
      </c>
      <c r="T54" s="72">
        <f t="shared" si="7"/>
        <v>20.400000000000002</v>
      </c>
      <c r="U54" s="72">
        <f t="shared" si="7"/>
        <v>20.400000000000002</v>
      </c>
      <c r="V54" s="72">
        <f t="shared" si="7"/>
        <v>20.400000000000002</v>
      </c>
      <c r="W54" s="72">
        <f t="shared" si="7"/>
        <v>21.5</v>
      </c>
      <c r="X54" s="72">
        <f t="shared" si="7"/>
        <v>97.5</v>
      </c>
      <c r="Y54" s="72">
        <f t="shared" si="7"/>
        <v>98.3</v>
      </c>
      <c r="Z54" s="72">
        <f t="shared" si="7"/>
        <v>98</v>
      </c>
      <c r="AA54" s="72">
        <f t="shared" si="7"/>
        <v>97.5</v>
      </c>
      <c r="AB54" s="72">
        <f t="shared" si="7"/>
        <v>96.6</v>
      </c>
      <c r="AC54" s="72">
        <f t="shared" si="7"/>
        <v>96.6</v>
      </c>
      <c r="AD54" s="72">
        <f t="shared" si="7"/>
        <v>16.2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98.3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46.2</v>
      </c>
      <c r="Z55" s="50">
        <v>39.6</v>
      </c>
      <c r="AA55" s="50">
        <v>20.2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46.2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-66</v>
      </c>
      <c r="C56" s="52">
        <v>-66.400000000000006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80">
        <v>0</v>
      </c>
      <c r="Y56" s="80">
        <v>-69.2</v>
      </c>
      <c r="Z56" s="80">
        <v>-71.2</v>
      </c>
      <c r="AA56" s="52">
        <v>-76</v>
      </c>
      <c r="AB56" s="52">
        <v>-67.8</v>
      </c>
      <c r="AC56" s="52">
        <v>-67.8</v>
      </c>
      <c r="AD56" s="52">
        <v>-69.599999999999994</v>
      </c>
      <c r="AE56" s="52">
        <v>-68.5</v>
      </c>
      <c r="AF56" s="52">
        <v>-70.5</v>
      </c>
      <c r="AG56" s="67"/>
      <c r="AH56" s="55">
        <f t="shared" si="2"/>
        <v>0</v>
      </c>
      <c r="AI56" s="56">
        <f t="shared" si="3"/>
        <v>-76</v>
      </c>
      <c r="AK56" s="57"/>
    </row>
    <row r="57" spans="1:37" x14ac:dyDescent="0.25">
      <c r="A57" s="66" t="s">
        <v>64</v>
      </c>
      <c r="B57" s="52">
        <v>-36.200000000000003</v>
      </c>
      <c r="C57" s="52">
        <v>-7.2</v>
      </c>
      <c r="D57" s="52">
        <v>-78</v>
      </c>
      <c r="E57" s="52">
        <v>-43.3</v>
      </c>
      <c r="F57" s="52">
        <v>-32</v>
      </c>
      <c r="G57" s="50">
        <v>-39.5</v>
      </c>
      <c r="H57" s="50">
        <v>-48</v>
      </c>
      <c r="I57" s="50">
        <v>-30</v>
      </c>
      <c r="J57" s="50">
        <v>-1.9</v>
      </c>
      <c r="K57" s="50">
        <v>-8</v>
      </c>
      <c r="L57" s="52">
        <v>-85</v>
      </c>
      <c r="M57" s="52">
        <v>-60</v>
      </c>
      <c r="N57" s="52">
        <v>-32</v>
      </c>
      <c r="O57" s="52">
        <v>-8</v>
      </c>
      <c r="P57" s="52">
        <v>-30.7</v>
      </c>
      <c r="Q57" s="52">
        <v>-22</v>
      </c>
      <c r="R57" s="52">
        <v>-30.9</v>
      </c>
      <c r="S57" s="52">
        <v>-30.3</v>
      </c>
      <c r="T57" s="52">
        <v>-34.630000000000003</v>
      </c>
      <c r="U57" s="52">
        <v>-56.1</v>
      </c>
      <c r="V57" s="52">
        <v>-56.1</v>
      </c>
      <c r="W57" s="81">
        <v>-39</v>
      </c>
      <c r="X57" s="81">
        <v>35.700000000000003</v>
      </c>
      <c r="Y57" s="81">
        <v>12.5</v>
      </c>
      <c r="Z57" s="81">
        <v>11.2</v>
      </c>
      <c r="AA57" s="52">
        <v>80</v>
      </c>
      <c r="AB57" s="52">
        <v>-12.7</v>
      </c>
      <c r="AC57" s="52">
        <v>-12.7</v>
      </c>
      <c r="AD57" s="52">
        <v>-28.4</v>
      </c>
      <c r="AE57" s="52">
        <v>-30</v>
      </c>
      <c r="AF57" s="52">
        <v>-60</v>
      </c>
      <c r="AG57" s="82"/>
      <c r="AH57" s="55">
        <f t="shared" si="2"/>
        <v>80</v>
      </c>
      <c r="AI57" s="56">
        <f t="shared" si="3"/>
        <v>-85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0">
        <v>-40.4</v>
      </c>
      <c r="C59" s="59">
        <v>-40.4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0">
        <v>-65.900000000000006</v>
      </c>
      <c r="Z59" s="50">
        <v>-61.1</v>
      </c>
      <c r="AA59" s="50">
        <v>-65.599999999999994</v>
      </c>
      <c r="AB59" s="50">
        <v>-63.8</v>
      </c>
      <c r="AC59" s="50">
        <v>-63.8</v>
      </c>
      <c r="AD59" s="50">
        <v>-70.400000000000006</v>
      </c>
      <c r="AE59" s="50">
        <v>-59.3</v>
      </c>
      <c r="AF59" s="50">
        <v>-61.2</v>
      </c>
      <c r="AG59" s="82"/>
      <c r="AH59" s="55">
        <f t="shared" si="2"/>
        <v>0</v>
      </c>
      <c r="AI59" s="56">
        <f t="shared" si="3"/>
        <v>-70.400000000000006</v>
      </c>
      <c r="AK59" s="57"/>
    </row>
    <row r="60" spans="1:37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9">
        <v>0</v>
      </c>
      <c r="Z62" s="59">
        <v>8</v>
      </c>
      <c r="AA62" s="59">
        <v>8</v>
      </c>
      <c r="AB62" s="59">
        <v>8</v>
      </c>
      <c r="AC62" s="59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-134.6</v>
      </c>
      <c r="C66" s="72">
        <f t="shared" ref="C66:AF66" si="8">SUM(C55:C65)</f>
        <v>-106</v>
      </c>
      <c r="D66" s="72">
        <f t="shared" si="8"/>
        <v>-70</v>
      </c>
      <c r="E66" s="72">
        <f t="shared" si="8"/>
        <v>-35.299999999999997</v>
      </c>
      <c r="F66" s="72">
        <f t="shared" si="8"/>
        <v>-32</v>
      </c>
      <c r="G66" s="72">
        <f t="shared" si="8"/>
        <v>-39.5</v>
      </c>
      <c r="H66" s="72">
        <f t="shared" si="8"/>
        <v>-48</v>
      </c>
      <c r="I66" s="72">
        <f t="shared" si="8"/>
        <v>-30</v>
      </c>
      <c r="J66" s="72">
        <f t="shared" si="8"/>
        <v>-1.9</v>
      </c>
      <c r="K66" s="72">
        <f t="shared" si="8"/>
        <v>-8</v>
      </c>
      <c r="L66" s="72">
        <f t="shared" si="8"/>
        <v>-85</v>
      </c>
      <c r="M66" s="72">
        <f t="shared" si="8"/>
        <v>-60</v>
      </c>
      <c r="N66" s="72">
        <f t="shared" si="8"/>
        <v>-32</v>
      </c>
      <c r="O66" s="72">
        <f t="shared" si="8"/>
        <v>-8</v>
      </c>
      <c r="P66" s="72">
        <f t="shared" si="8"/>
        <v>-30.7</v>
      </c>
      <c r="Q66" s="72">
        <f t="shared" si="8"/>
        <v>-22</v>
      </c>
      <c r="R66" s="72">
        <f t="shared" si="8"/>
        <v>-30.9</v>
      </c>
      <c r="S66" s="72">
        <f t="shared" si="8"/>
        <v>-30.3</v>
      </c>
      <c r="T66" s="72">
        <f t="shared" si="8"/>
        <v>-34.630000000000003</v>
      </c>
      <c r="U66" s="72">
        <f t="shared" si="8"/>
        <v>-56.1</v>
      </c>
      <c r="V66" s="72">
        <f t="shared" si="8"/>
        <v>-56.1</v>
      </c>
      <c r="W66" s="72">
        <f t="shared" si="8"/>
        <v>-39</v>
      </c>
      <c r="X66" s="72">
        <f t="shared" si="8"/>
        <v>35.700000000000003</v>
      </c>
      <c r="Y66" s="72">
        <f t="shared" si="8"/>
        <v>-76.400000000000006</v>
      </c>
      <c r="Z66" s="72">
        <f t="shared" si="8"/>
        <v>-73.5</v>
      </c>
      <c r="AA66" s="72">
        <f t="shared" si="8"/>
        <v>-33.399999999999991</v>
      </c>
      <c r="AB66" s="72">
        <f t="shared" si="8"/>
        <v>-136.30000000000001</v>
      </c>
      <c r="AC66" s="72">
        <f t="shared" si="8"/>
        <v>-136.30000000000001</v>
      </c>
      <c r="AD66" s="72">
        <f t="shared" si="8"/>
        <v>-160.4</v>
      </c>
      <c r="AE66" s="72">
        <f t="shared" si="8"/>
        <v>-149.80000000000001</v>
      </c>
      <c r="AF66" s="72">
        <f t="shared" si="8"/>
        <v>-183.7</v>
      </c>
      <c r="AG66" s="77">
        <f>SUM(AG55:AG65)</f>
        <v>0</v>
      </c>
      <c r="AH66" s="55">
        <f t="shared" si="2"/>
        <v>35.700000000000003</v>
      </c>
      <c r="AI66" s="56">
        <f t="shared" si="3"/>
        <v>-183.7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1166.74</v>
      </c>
      <c r="C71" s="87">
        <f t="shared" ref="C71:AG71" si="10">C66+C54+C50+C36+C70</f>
        <v>1165.3400000000001</v>
      </c>
      <c r="D71" s="87">
        <f t="shared" si="10"/>
        <v>1099.6399999999999</v>
      </c>
      <c r="E71" s="87">
        <f t="shared" si="10"/>
        <v>1087.04</v>
      </c>
      <c r="F71" s="87">
        <f t="shared" si="10"/>
        <v>1092.8399999999999</v>
      </c>
      <c r="G71" s="87">
        <f t="shared" si="10"/>
        <v>1090.8400000000001</v>
      </c>
      <c r="H71" s="87">
        <f t="shared" si="10"/>
        <v>1092.8400000000001</v>
      </c>
      <c r="I71" s="87">
        <f t="shared" si="10"/>
        <v>1148.6400000000001</v>
      </c>
      <c r="J71" s="87">
        <f t="shared" si="10"/>
        <v>1209.74</v>
      </c>
      <c r="K71" s="87">
        <f t="shared" si="10"/>
        <v>1262.6400000000001</v>
      </c>
      <c r="L71" s="87">
        <f t="shared" si="10"/>
        <v>1211.04</v>
      </c>
      <c r="M71" s="87">
        <f t="shared" si="10"/>
        <v>1237.3400000000001</v>
      </c>
      <c r="N71" s="87">
        <f t="shared" si="10"/>
        <v>1275.3400000000001</v>
      </c>
      <c r="O71" s="87">
        <f t="shared" si="10"/>
        <v>1299.3400000000001</v>
      </c>
      <c r="P71" s="87">
        <f t="shared" si="10"/>
        <v>1296.44</v>
      </c>
      <c r="Q71" s="87">
        <f t="shared" si="10"/>
        <v>1325.94</v>
      </c>
      <c r="R71" s="87">
        <f t="shared" si="10"/>
        <v>1340.54</v>
      </c>
      <c r="S71" s="87">
        <f t="shared" si="10"/>
        <v>1318.04</v>
      </c>
      <c r="T71" s="87">
        <f t="shared" si="10"/>
        <v>1311.31</v>
      </c>
      <c r="U71" s="87">
        <f t="shared" si="10"/>
        <v>1289.74</v>
      </c>
      <c r="V71" s="87">
        <f t="shared" si="10"/>
        <v>1289.74</v>
      </c>
      <c r="W71" s="87">
        <f t="shared" si="10"/>
        <v>1300.2399999999998</v>
      </c>
      <c r="X71" s="87">
        <f t="shared" si="10"/>
        <v>1547.64</v>
      </c>
      <c r="Y71" s="87">
        <f t="shared" si="10"/>
        <v>1456</v>
      </c>
      <c r="Z71" s="87">
        <f t="shared" si="10"/>
        <v>1449.54</v>
      </c>
      <c r="AA71" s="87">
        <f t="shared" si="10"/>
        <v>1414.64</v>
      </c>
      <c r="AB71" s="87">
        <f t="shared" si="10"/>
        <v>1387.1399999999999</v>
      </c>
      <c r="AC71" s="87">
        <f t="shared" si="10"/>
        <v>1381.1399999999999</v>
      </c>
      <c r="AD71" s="87">
        <f t="shared" si="10"/>
        <v>1275.54</v>
      </c>
      <c r="AE71" s="87">
        <f t="shared" si="10"/>
        <v>1248.8400000000001</v>
      </c>
      <c r="AF71" s="87">
        <f t="shared" si="10"/>
        <v>1233.04</v>
      </c>
      <c r="AG71" s="87">
        <f t="shared" si="10"/>
        <v>2088.14</v>
      </c>
      <c r="AH71" s="55">
        <f t="shared" si="2"/>
        <v>1547.64</v>
      </c>
      <c r="AI71" s="56">
        <f t="shared" si="3"/>
        <v>1087.04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>
        <v>20</v>
      </c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20</v>
      </c>
      <c r="AI72" s="56">
        <f t="shared" si="3"/>
        <v>20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1166.74</v>
      </c>
      <c r="C73" s="87">
        <f t="shared" ref="C73:AF73" si="11">C70+C66+C54+C50+C36+C72</f>
        <v>1165.3400000000001</v>
      </c>
      <c r="D73" s="87">
        <f t="shared" si="11"/>
        <v>1099.6399999999999</v>
      </c>
      <c r="E73" s="87">
        <f t="shared" si="11"/>
        <v>1087.04</v>
      </c>
      <c r="F73" s="87">
        <f t="shared" si="11"/>
        <v>1092.8399999999999</v>
      </c>
      <c r="G73" s="87">
        <f t="shared" si="11"/>
        <v>1090.8400000000001</v>
      </c>
      <c r="H73" s="87">
        <f t="shared" si="11"/>
        <v>1092.8400000000001</v>
      </c>
      <c r="I73" s="87">
        <f t="shared" si="11"/>
        <v>1148.6400000000001</v>
      </c>
      <c r="J73" s="87">
        <f t="shared" si="11"/>
        <v>1209.74</v>
      </c>
      <c r="K73" s="87">
        <f t="shared" si="11"/>
        <v>1262.6400000000001</v>
      </c>
      <c r="L73" s="87">
        <f t="shared" si="11"/>
        <v>1211.04</v>
      </c>
      <c r="M73" s="87">
        <f t="shared" si="11"/>
        <v>1237.3400000000001</v>
      </c>
      <c r="N73" s="87">
        <f t="shared" si="11"/>
        <v>1275.3400000000001</v>
      </c>
      <c r="O73" s="87">
        <f t="shared" si="11"/>
        <v>1299.3400000000001</v>
      </c>
      <c r="P73" s="87">
        <f t="shared" si="11"/>
        <v>1296.44</v>
      </c>
      <c r="Q73" s="87">
        <f t="shared" si="11"/>
        <v>1325.94</v>
      </c>
      <c r="R73" s="87">
        <f t="shared" si="11"/>
        <v>1340.54</v>
      </c>
      <c r="S73" s="87">
        <f t="shared" si="11"/>
        <v>1318.04</v>
      </c>
      <c r="T73" s="87">
        <f t="shared" si="11"/>
        <v>1311.31</v>
      </c>
      <c r="U73" s="87">
        <f t="shared" si="11"/>
        <v>1289.74</v>
      </c>
      <c r="V73" s="87">
        <f t="shared" si="11"/>
        <v>1289.74</v>
      </c>
      <c r="W73" s="87">
        <f t="shared" si="11"/>
        <v>1300.2399999999998</v>
      </c>
      <c r="X73" s="87">
        <f t="shared" si="11"/>
        <v>1547.64</v>
      </c>
      <c r="Y73" s="87">
        <f t="shared" si="11"/>
        <v>1476</v>
      </c>
      <c r="Z73" s="87">
        <f t="shared" si="11"/>
        <v>1449.54</v>
      </c>
      <c r="AA73" s="87">
        <f t="shared" si="11"/>
        <v>1414.64</v>
      </c>
      <c r="AB73" s="87">
        <f t="shared" si="11"/>
        <v>1387.1399999999999</v>
      </c>
      <c r="AC73" s="87">
        <f t="shared" si="11"/>
        <v>1381.1399999999999</v>
      </c>
      <c r="AD73" s="87">
        <f t="shared" si="11"/>
        <v>1275.54</v>
      </c>
      <c r="AE73" s="87">
        <f t="shared" si="11"/>
        <v>1248.8400000000001</v>
      </c>
      <c r="AF73" s="87">
        <f t="shared" si="11"/>
        <v>1233.04</v>
      </c>
      <c r="AG73" s="77">
        <f>AG70+AG66+AG54+AG50+AG36+AG72</f>
        <v>2088.14</v>
      </c>
      <c r="AH73" s="55">
        <f t="shared" si="2"/>
        <v>1547.64</v>
      </c>
      <c r="AI73" s="56">
        <f t="shared" si="3"/>
        <v>1087.04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66</v>
      </c>
      <c r="C75" s="59">
        <f t="shared" ref="C75:AF75" si="13">IF(C56&lt;0,C56*-1,0)</f>
        <v>66.400000000000006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69.2</v>
      </c>
      <c r="Z75" s="59">
        <f t="shared" si="13"/>
        <v>71.2</v>
      </c>
      <c r="AA75" s="59">
        <f t="shared" si="13"/>
        <v>76</v>
      </c>
      <c r="AB75" s="59">
        <f t="shared" si="13"/>
        <v>67.8</v>
      </c>
      <c r="AC75" s="59">
        <f t="shared" si="13"/>
        <v>67.8</v>
      </c>
      <c r="AD75" s="59">
        <f t="shared" si="13"/>
        <v>69.599999999999994</v>
      </c>
      <c r="AE75" s="59">
        <f t="shared" si="13"/>
        <v>68.5</v>
      </c>
      <c r="AF75" s="59">
        <f t="shared" si="13"/>
        <v>70.5</v>
      </c>
      <c r="AG75" s="67"/>
      <c r="AH75" s="55">
        <f t="shared" si="2"/>
        <v>76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40.4</v>
      </c>
      <c r="C76" s="59">
        <f t="shared" ref="C76:AF76" si="14">IF(C59&lt;0,C59*-1,0)</f>
        <v>40.4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65.900000000000006</v>
      </c>
      <c r="Z76" s="59">
        <f t="shared" si="14"/>
        <v>61.1</v>
      </c>
      <c r="AA76" s="59">
        <f t="shared" si="14"/>
        <v>65.599999999999994</v>
      </c>
      <c r="AB76" s="59">
        <f t="shared" si="14"/>
        <v>63.8</v>
      </c>
      <c r="AC76" s="59">
        <f t="shared" si="14"/>
        <v>63.8</v>
      </c>
      <c r="AD76" s="59">
        <f t="shared" si="14"/>
        <v>70.400000000000006</v>
      </c>
      <c r="AE76" s="59">
        <f t="shared" si="14"/>
        <v>59.3</v>
      </c>
      <c r="AF76" s="59">
        <f t="shared" si="14"/>
        <v>61.2</v>
      </c>
      <c r="AG76" s="90"/>
      <c r="AH76" s="55">
        <f t="shared" si="2"/>
        <v>70.400000000000006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36.200000000000003</v>
      </c>
      <c r="C77" s="59">
        <f t="shared" ref="C77:AF77" si="15">IF(C57&lt;0,C57*-1,0)</f>
        <v>7.2</v>
      </c>
      <c r="D77" s="59">
        <f t="shared" si="15"/>
        <v>78</v>
      </c>
      <c r="E77" s="59">
        <f t="shared" si="15"/>
        <v>43.3</v>
      </c>
      <c r="F77" s="59">
        <f t="shared" si="15"/>
        <v>32</v>
      </c>
      <c r="G77" s="59">
        <f t="shared" si="15"/>
        <v>39.5</v>
      </c>
      <c r="H77" s="59">
        <f t="shared" si="15"/>
        <v>48</v>
      </c>
      <c r="I77" s="59">
        <f t="shared" si="15"/>
        <v>30</v>
      </c>
      <c r="J77" s="59">
        <f t="shared" si="15"/>
        <v>1.9</v>
      </c>
      <c r="K77" s="59">
        <f t="shared" si="15"/>
        <v>8</v>
      </c>
      <c r="L77" s="59">
        <f t="shared" si="15"/>
        <v>85</v>
      </c>
      <c r="M77" s="59">
        <f t="shared" si="15"/>
        <v>60</v>
      </c>
      <c r="N77" s="59">
        <f t="shared" si="15"/>
        <v>32</v>
      </c>
      <c r="O77" s="59">
        <f t="shared" si="15"/>
        <v>8</v>
      </c>
      <c r="P77" s="59">
        <f t="shared" si="15"/>
        <v>30.7</v>
      </c>
      <c r="Q77" s="59">
        <f t="shared" si="15"/>
        <v>22</v>
      </c>
      <c r="R77" s="59">
        <f t="shared" si="15"/>
        <v>30.9</v>
      </c>
      <c r="S77" s="59">
        <f t="shared" si="15"/>
        <v>30.3</v>
      </c>
      <c r="T77" s="59">
        <f t="shared" si="15"/>
        <v>34.630000000000003</v>
      </c>
      <c r="U77" s="59">
        <f t="shared" si="15"/>
        <v>56.1</v>
      </c>
      <c r="V77" s="59">
        <f t="shared" si="15"/>
        <v>56.1</v>
      </c>
      <c r="W77" s="59">
        <f t="shared" si="15"/>
        <v>39</v>
      </c>
      <c r="X77" s="59">
        <f t="shared" si="15"/>
        <v>0</v>
      </c>
      <c r="Y77" s="59">
        <f t="shared" si="15"/>
        <v>0</v>
      </c>
      <c r="Z77" s="59">
        <f t="shared" si="15"/>
        <v>0</v>
      </c>
      <c r="AA77" s="59">
        <f t="shared" si="15"/>
        <v>0</v>
      </c>
      <c r="AB77" s="59">
        <f t="shared" si="15"/>
        <v>12.7</v>
      </c>
      <c r="AC77" s="59">
        <f t="shared" si="15"/>
        <v>12.7</v>
      </c>
      <c r="AD77" s="59">
        <f t="shared" si="15"/>
        <v>28.4</v>
      </c>
      <c r="AE77" s="59">
        <f t="shared" si="15"/>
        <v>30</v>
      </c>
      <c r="AF77" s="59">
        <f t="shared" si="15"/>
        <v>60</v>
      </c>
      <c r="AG77" s="90"/>
      <c r="AH77" s="55">
        <f t="shared" ref="AH77:AH89" si="16">MAX(B77:AF77)</f>
        <v>85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142.60000000000002</v>
      </c>
      <c r="C80" s="72">
        <f t="shared" si="19"/>
        <v>114.00000000000001</v>
      </c>
      <c r="D80" s="72">
        <f t="shared" si="19"/>
        <v>78</v>
      </c>
      <c r="E80" s="72">
        <f t="shared" si="19"/>
        <v>43.3</v>
      </c>
      <c r="F80" s="72">
        <f t="shared" si="19"/>
        <v>32</v>
      </c>
      <c r="G80" s="72">
        <f t="shared" si="19"/>
        <v>39.5</v>
      </c>
      <c r="H80" s="72">
        <f t="shared" si="19"/>
        <v>48</v>
      </c>
      <c r="I80" s="72">
        <f t="shared" si="19"/>
        <v>30</v>
      </c>
      <c r="J80" s="72">
        <f t="shared" si="19"/>
        <v>1.9</v>
      </c>
      <c r="K80" s="72">
        <f t="shared" si="19"/>
        <v>8</v>
      </c>
      <c r="L80" s="72">
        <f t="shared" si="19"/>
        <v>85</v>
      </c>
      <c r="M80" s="72">
        <f t="shared" si="19"/>
        <v>60</v>
      </c>
      <c r="N80" s="72">
        <f t="shared" si="19"/>
        <v>32</v>
      </c>
      <c r="O80" s="72">
        <f t="shared" si="19"/>
        <v>8</v>
      </c>
      <c r="P80" s="72">
        <f t="shared" si="19"/>
        <v>30.7</v>
      </c>
      <c r="Q80" s="72">
        <f t="shared" si="19"/>
        <v>22</v>
      </c>
      <c r="R80" s="72">
        <f t="shared" si="19"/>
        <v>30.9</v>
      </c>
      <c r="S80" s="72">
        <f t="shared" si="19"/>
        <v>30.3</v>
      </c>
      <c r="T80" s="72">
        <f t="shared" si="19"/>
        <v>34.630000000000003</v>
      </c>
      <c r="U80" s="72">
        <f t="shared" si="19"/>
        <v>56.1</v>
      </c>
      <c r="V80" s="72">
        <f t="shared" si="19"/>
        <v>56.1</v>
      </c>
      <c r="W80" s="72">
        <f t="shared" si="19"/>
        <v>39</v>
      </c>
      <c r="X80" s="72">
        <f t="shared" si="19"/>
        <v>0</v>
      </c>
      <c r="Y80" s="72">
        <f t="shared" si="19"/>
        <v>135.10000000000002</v>
      </c>
      <c r="Z80" s="72">
        <f t="shared" si="19"/>
        <v>132.30000000000001</v>
      </c>
      <c r="AA80" s="72">
        <f t="shared" si="19"/>
        <v>141.6</v>
      </c>
      <c r="AB80" s="72">
        <f t="shared" si="19"/>
        <v>144.29999999999998</v>
      </c>
      <c r="AC80" s="72">
        <f t="shared" si="19"/>
        <v>144.29999999999998</v>
      </c>
      <c r="AD80" s="72">
        <f t="shared" si="19"/>
        <v>168.4</v>
      </c>
      <c r="AE80" s="72">
        <f t="shared" si="19"/>
        <v>157.80000000000001</v>
      </c>
      <c r="AF80" s="72">
        <f t="shared" si="19"/>
        <v>191.7</v>
      </c>
      <c r="AG80" s="77">
        <f t="shared" si="19"/>
        <v>0</v>
      </c>
      <c r="AH80" s="55">
        <f t="shared" si="16"/>
        <v>191.7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2618.6799999999998</v>
      </c>
      <c r="C81" s="72">
        <f t="shared" si="20"/>
        <v>2558.6800000000003</v>
      </c>
      <c r="D81" s="72">
        <f t="shared" si="20"/>
        <v>2355.2799999999997</v>
      </c>
      <c r="E81" s="72">
        <f t="shared" si="20"/>
        <v>2260.6800000000003</v>
      </c>
      <c r="F81" s="72">
        <f t="shared" si="20"/>
        <v>2249.6799999999998</v>
      </c>
      <c r="G81" s="72">
        <f t="shared" si="20"/>
        <v>2260.6800000000003</v>
      </c>
      <c r="H81" s="72">
        <f t="shared" si="20"/>
        <v>2281.6800000000003</v>
      </c>
      <c r="I81" s="72">
        <f t="shared" si="20"/>
        <v>2357.2800000000002</v>
      </c>
      <c r="J81" s="72">
        <f t="shared" si="20"/>
        <v>2423.2800000000002</v>
      </c>
      <c r="K81" s="72">
        <f t="shared" si="20"/>
        <v>2541.2800000000002</v>
      </c>
      <c r="L81" s="72">
        <f t="shared" si="20"/>
        <v>2592.08</v>
      </c>
      <c r="M81" s="72">
        <f t="shared" si="20"/>
        <v>2594.6800000000003</v>
      </c>
      <c r="N81" s="72">
        <f t="shared" si="20"/>
        <v>2614.6800000000003</v>
      </c>
      <c r="O81" s="72">
        <f t="shared" si="20"/>
        <v>2614.6800000000003</v>
      </c>
      <c r="P81" s="72">
        <f t="shared" si="20"/>
        <v>2654.2799999999997</v>
      </c>
      <c r="Q81" s="72">
        <f t="shared" si="20"/>
        <v>2695.88</v>
      </c>
      <c r="R81" s="72">
        <f t="shared" si="20"/>
        <v>2742.88</v>
      </c>
      <c r="S81" s="72">
        <f t="shared" si="20"/>
        <v>2696.6800000000003</v>
      </c>
      <c r="T81" s="72">
        <f t="shared" si="20"/>
        <v>2691.88</v>
      </c>
      <c r="U81" s="72">
        <f t="shared" si="20"/>
        <v>2691.68</v>
      </c>
      <c r="V81" s="72">
        <f t="shared" si="20"/>
        <v>2691.68</v>
      </c>
      <c r="W81" s="72">
        <f t="shared" si="20"/>
        <v>2678.4799999999996</v>
      </c>
      <c r="X81" s="72">
        <f t="shared" si="20"/>
        <v>3095.28</v>
      </c>
      <c r="Y81" s="72">
        <f t="shared" si="20"/>
        <v>3222.2</v>
      </c>
      <c r="Z81" s="72">
        <f t="shared" si="20"/>
        <v>3163.68</v>
      </c>
      <c r="AA81" s="72">
        <f t="shared" si="20"/>
        <v>3112.48</v>
      </c>
      <c r="AB81" s="72">
        <f t="shared" si="20"/>
        <v>3062.88</v>
      </c>
      <c r="AC81" s="72">
        <f t="shared" si="20"/>
        <v>3050.88</v>
      </c>
      <c r="AD81" s="72">
        <f t="shared" si="20"/>
        <v>2887.88</v>
      </c>
      <c r="AE81" s="72">
        <f t="shared" si="20"/>
        <v>2813.2800000000007</v>
      </c>
      <c r="AF81" s="72">
        <f t="shared" si="20"/>
        <v>2849.4799999999996</v>
      </c>
      <c r="AG81" s="77">
        <f t="shared" si="20"/>
        <v>4248.08</v>
      </c>
      <c r="AH81" s="55">
        <f t="shared" si="16"/>
        <v>3222.2</v>
      </c>
      <c r="AI81" s="56">
        <f t="shared" si="17"/>
        <v>2249.6799999999998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50.069000000000003</v>
      </c>
      <c r="C82" s="93">
        <v>50.051000000000002</v>
      </c>
      <c r="D82" s="93">
        <v>49.927999999999997</v>
      </c>
      <c r="E82" s="93">
        <v>49.976999999999997</v>
      </c>
      <c r="F82" s="93">
        <v>49.987000000000002</v>
      </c>
      <c r="G82" s="93">
        <v>49.95</v>
      </c>
      <c r="H82" s="93">
        <v>50.023000000000003</v>
      </c>
      <c r="I82" s="93">
        <v>50.012999999999998</v>
      </c>
      <c r="J82" s="93">
        <v>50.000999999999998</v>
      </c>
      <c r="K82" s="93">
        <v>49.966000000000001</v>
      </c>
      <c r="L82" s="93">
        <v>50.003</v>
      </c>
      <c r="M82" s="93">
        <v>49.95</v>
      </c>
      <c r="N82" s="93">
        <v>49.99</v>
      </c>
      <c r="O82" s="93">
        <v>50</v>
      </c>
      <c r="P82" s="93">
        <v>50.055999999999997</v>
      </c>
      <c r="Q82" s="93">
        <v>49.99</v>
      </c>
      <c r="R82" s="93">
        <v>49.948</v>
      </c>
      <c r="S82" s="93">
        <v>50.015999999999998</v>
      </c>
      <c r="T82" s="93">
        <v>49.906999999999996</v>
      </c>
      <c r="U82" s="93">
        <v>49.960999999999999</v>
      </c>
      <c r="V82" s="93">
        <v>49.960999999999999</v>
      </c>
      <c r="W82" s="93">
        <v>49.802</v>
      </c>
      <c r="X82" s="93">
        <v>49.685000000000002</v>
      </c>
      <c r="Y82" s="93">
        <v>49.64</v>
      </c>
      <c r="Z82" s="93">
        <v>49.759</v>
      </c>
      <c r="AA82" s="93">
        <v>49.976999999999997</v>
      </c>
      <c r="AB82" s="93">
        <v>49.88</v>
      </c>
      <c r="AC82" s="93">
        <v>49.88</v>
      </c>
      <c r="AD82" s="93">
        <v>50</v>
      </c>
      <c r="AE82" s="93">
        <v>50.011000000000003</v>
      </c>
      <c r="AF82" s="94">
        <v>49.99</v>
      </c>
      <c r="AG82" s="95"/>
      <c r="AH82" s="55">
        <f t="shared" si="16"/>
        <v>50.069000000000003</v>
      </c>
      <c r="AI82" s="56">
        <f t="shared" si="17"/>
        <v>49.64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124.2</v>
      </c>
      <c r="C83" s="52">
        <v>125.7</v>
      </c>
      <c r="D83" s="52">
        <v>125.2</v>
      </c>
      <c r="E83" s="52">
        <v>125.4</v>
      </c>
      <c r="F83" s="52">
        <v>125.9</v>
      </c>
      <c r="G83" s="52">
        <v>126.6</v>
      </c>
      <c r="H83" s="52">
        <v>126.3</v>
      </c>
      <c r="I83" s="52">
        <v>124.2</v>
      </c>
      <c r="J83" s="52">
        <v>122.4</v>
      </c>
      <c r="K83" s="52">
        <v>122.5</v>
      </c>
      <c r="L83" s="52">
        <v>124.2</v>
      </c>
      <c r="M83" s="52">
        <v>122</v>
      </c>
      <c r="N83" s="52">
        <v>122</v>
      </c>
      <c r="O83" s="52">
        <v>121</v>
      </c>
      <c r="P83" s="52">
        <v>121</v>
      </c>
      <c r="Q83" s="52">
        <v>121</v>
      </c>
      <c r="R83" s="52">
        <v>122.4</v>
      </c>
      <c r="S83" s="52">
        <v>123.2</v>
      </c>
      <c r="T83" s="97">
        <v>123</v>
      </c>
      <c r="U83" s="97">
        <v>124.2</v>
      </c>
      <c r="V83" s="97">
        <v>124.2</v>
      </c>
      <c r="W83" s="97">
        <v>123.1</v>
      </c>
      <c r="X83" s="97">
        <v>122.6</v>
      </c>
      <c r="Y83" s="97">
        <v>124.2</v>
      </c>
      <c r="Z83" s="97">
        <v>124.9</v>
      </c>
      <c r="AA83" s="52">
        <v>125.3</v>
      </c>
      <c r="AB83" s="52">
        <v>124.4</v>
      </c>
      <c r="AC83" s="52">
        <v>123.8</v>
      </c>
      <c r="AD83" s="52">
        <v>123.4</v>
      </c>
      <c r="AE83" s="52">
        <v>122.9</v>
      </c>
      <c r="AF83" s="98">
        <v>124.1</v>
      </c>
      <c r="AG83" s="99"/>
      <c r="AH83" s="55">
        <f t="shared" si="16"/>
        <v>126.6</v>
      </c>
      <c r="AI83" s="56">
        <f t="shared" si="17"/>
        <v>121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128.69999999999999</v>
      </c>
      <c r="C84" s="52">
        <v>130</v>
      </c>
      <c r="D84" s="52">
        <v>129.4</v>
      </c>
      <c r="E84" s="52">
        <v>129.5</v>
      </c>
      <c r="F84" s="52">
        <v>129.80000000000001</v>
      </c>
      <c r="G84" s="52">
        <v>129.69999999999999</v>
      </c>
      <c r="H84" s="52">
        <v>129.4</v>
      </c>
      <c r="I84" s="52">
        <v>127.8</v>
      </c>
      <c r="J84" s="52">
        <v>126.3</v>
      </c>
      <c r="K84" s="52">
        <v>126.4</v>
      </c>
      <c r="L84" s="52">
        <v>127.4</v>
      </c>
      <c r="M84" s="52">
        <v>126</v>
      </c>
      <c r="N84" s="52">
        <v>126</v>
      </c>
      <c r="O84" s="52">
        <v>125</v>
      </c>
      <c r="P84" s="52">
        <v>125</v>
      </c>
      <c r="Q84" s="52">
        <v>125</v>
      </c>
      <c r="R84" s="52">
        <v>125.8</v>
      </c>
      <c r="S84" s="52">
        <v>126.6</v>
      </c>
      <c r="T84" s="97">
        <v>126.5</v>
      </c>
      <c r="U84" s="97">
        <v>127.6</v>
      </c>
      <c r="V84" s="97">
        <v>127.6</v>
      </c>
      <c r="W84" s="97">
        <v>127</v>
      </c>
      <c r="X84" s="97">
        <v>126.6</v>
      </c>
      <c r="Y84" s="97">
        <v>127.8</v>
      </c>
      <c r="Z84" s="97">
        <v>128.80000000000001</v>
      </c>
      <c r="AA84" s="52">
        <v>129.19999999999999</v>
      </c>
      <c r="AB84" s="52">
        <v>129</v>
      </c>
      <c r="AC84" s="52">
        <v>128.80000000000001</v>
      </c>
      <c r="AD84" s="52">
        <v>128.80000000000001</v>
      </c>
      <c r="AE84" s="52">
        <v>128.30000000000001</v>
      </c>
      <c r="AF84" s="98">
        <v>129.19999999999999</v>
      </c>
      <c r="AG84" s="99"/>
      <c r="AH84" s="55">
        <f t="shared" si="16"/>
        <v>130</v>
      </c>
      <c r="AI84" s="56">
        <f t="shared" si="17"/>
        <v>125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126.6</v>
      </c>
      <c r="C85" s="52">
        <v>127.4</v>
      </c>
      <c r="D85" s="52">
        <v>126.7</v>
      </c>
      <c r="E85" s="52">
        <v>125</v>
      </c>
      <c r="F85" s="52">
        <v>126.2</v>
      </c>
      <c r="G85" s="52">
        <v>126</v>
      </c>
      <c r="H85" s="52">
        <v>128.4</v>
      </c>
      <c r="I85" s="52">
        <v>126.5</v>
      </c>
      <c r="J85" s="52">
        <v>124.6</v>
      </c>
      <c r="K85" s="52">
        <v>122.6</v>
      </c>
      <c r="L85" s="52">
        <v>124.9</v>
      </c>
      <c r="M85" s="52">
        <v>124</v>
      </c>
      <c r="N85" s="52">
        <v>124</v>
      </c>
      <c r="O85" s="52">
        <v>120</v>
      </c>
      <c r="P85" s="52">
        <v>120</v>
      </c>
      <c r="Q85" s="52">
        <v>124</v>
      </c>
      <c r="R85" s="52">
        <v>129.19999999999999</v>
      </c>
      <c r="S85" s="52">
        <v>120.9</v>
      </c>
      <c r="T85" s="52">
        <v>123.1</v>
      </c>
      <c r="U85" s="52">
        <v>126.6</v>
      </c>
      <c r="V85" s="52">
        <v>126.6</v>
      </c>
      <c r="W85" s="97">
        <v>127.7</v>
      </c>
      <c r="X85" s="97">
        <v>123</v>
      </c>
      <c r="Y85" s="97">
        <v>125.8</v>
      </c>
      <c r="Z85" s="97">
        <v>123.4</v>
      </c>
      <c r="AA85" s="52">
        <v>125.4</v>
      </c>
      <c r="AB85" s="52">
        <v>118.7</v>
      </c>
      <c r="AC85" s="52">
        <v>117.4</v>
      </c>
      <c r="AD85" s="52">
        <v>122</v>
      </c>
      <c r="AE85" s="52">
        <v>121.8</v>
      </c>
      <c r="AF85" s="98">
        <v>124.6</v>
      </c>
      <c r="AG85" s="99"/>
      <c r="AH85" s="55">
        <f t="shared" si="16"/>
        <v>129.19999999999999</v>
      </c>
      <c r="AI85" s="56">
        <f t="shared" si="17"/>
        <v>117.4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131.19999999999999</v>
      </c>
      <c r="C86" s="52">
        <v>130.4</v>
      </c>
      <c r="D86" s="52">
        <v>130.69999999999999</v>
      </c>
      <c r="E86" s="52">
        <v>129.5</v>
      </c>
      <c r="F86" s="52">
        <v>130.5</v>
      </c>
      <c r="G86" s="52">
        <v>130.19999999999999</v>
      </c>
      <c r="H86" s="52">
        <v>131.9</v>
      </c>
      <c r="I86" s="52">
        <v>130.19999999999999</v>
      </c>
      <c r="J86" s="52">
        <v>127.4</v>
      </c>
      <c r="K86" s="52">
        <v>124.4</v>
      </c>
      <c r="L86" s="52">
        <v>127.4</v>
      </c>
      <c r="M86" s="52">
        <v>127</v>
      </c>
      <c r="N86" s="52">
        <v>127</v>
      </c>
      <c r="O86" s="52">
        <v>123</v>
      </c>
      <c r="P86" s="52">
        <v>123</v>
      </c>
      <c r="Q86" s="52">
        <v>127</v>
      </c>
      <c r="R86" s="52">
        <v>130.80000000000001</v>
      </c>
      <c r="S86" s="52">
        <v>122.9</v>
      </c>
      <c r="T86" s="52">
        <v>126.2</v>
      </c>
      <c r="U86" s="52">
        <v>129.4</v>
      </c>
      <c r="V86" s="52">
        <v>129.4</v>
      </c>
      <c r="W86" s="97">
        <v>129.5</v>
      </c>
      <c r="X86" s="97">
        <v>124.6</v>
      </c>
      <c r="Y86" s="97">
        <v>127.2</v>
      </c>
      <c r="Z86" s="97">
        <v>125.7</v>
      </c>
      <c r="AA86" s="52">
        <v>127.6</v>
      </c>
      <c r="AB86" s="52">
        <v>122.5</v>
      </c>
      <c r="AC86" s="52">
        <v>121.9</v>
      </c>
      <c r="AD86" s="52">
        <v>126.8</v>
      </c>
      <c r="AE86" s="52">
        <v>126.7</v>
      </c>
      <c r="AF86" s="98">
        <v>129</v>
      </c>
      <c r="AG86" s="99"/>
      <c r="AH86" s="55">
        <f t="shared" si="16"/>
        <v>131.9</v>
      </c>
      <c r="AI86" s="56">
        <f t="shared" si="17"/>
        <v>121.9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134.4</v>
      </c>
      <c r="C87" s="101">
        <v>133.9</v>
      </c>
      <c r="D87" s="101">
        <v>133.6</v>
      </c>
      <c r="E87" s="101">
        <v>134.4</v>
      </c>
      <c r="F87" s="101">
        <v>130.9</v>
      </c>
      <c r="G87" s="101">
        <v>132.1</v>
      </c>
      <c r="H87" s="101">
        <v>134.4</v>
      </c>
      <c r="I87" s="101">
        <v>135.4</v>
      </c>
      <c r="J87" s="101">
        <v>134.1</v>
      </c>
      <c r="K87" s="101">
        <v>132.80000000000001</v>
      </c>
      <c r="L87" s="101">
        <v>135.4</v>
      </c>
      <c r="M87" s="101">
        <v>132</v>
      </c>
      <c r="N87" s="101">
        <v>132</v>
      </c>
      <c r="O87" s="101">
        <v>133</v>
      </c>
      <c r="P87" s="101">
        <v>133</v>
      </c>
      <c r="Q87" s="101">
        <v>131</v>
      </c>
      <c r="R87" s="101">
        <v>129.80000000000001</v>
      </c>
      <c r="S87" s="101">
        <v>133.6</v>
      </c>
      <c r="T87" s="101">
        <v>132.19999999999999</v>
      </c>
      <c r="U87" s="101">
        <v>136.69999999999999</v>
      </c>
      <c r="V87" s="101">
        <v>136.69999999999999</v>
      </c>
      <c r="W87" s="97">
        <v>135.6</v>
      </c>
      <c r="X87" s="97">
        <v>134</v>
      </c>
      <c r="Y87" s="97">
        <v>134.69999999999999</v>
      </c>
      <c r="Z87" s="97">
        <v>133.1</v>
      </c>
      <c r="AA87" s="101">
        <v>132</v>
      </c>
      <c r="AB87" s="101">
        <v>143.9</v>
      </c>
      <c r="AC87" s="101">
        <v>132.1</v>
      </c>
      <c r="AD87" s="101">
        <v>132.6</v>
      </c>
      <c r="AE87" s="101">
        <v>132.6</v>
      </c>
      <c r="AF87" s="102">
        <v>135</v>
      </c>
      <c r="AG87" s="103"/>
      <c r="AH87" s="55">
        <f t="shared" si="16"/>
        <v>143.9</v>
      </c>
      <c r="AI87" s="56">
        <f t="shared" si="17"/>
        <v>129.80000000000001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134.69999999999999</v>
      </c>
      <c r="C88" s="52">
        <v>134.6</v>
      </c>
      <c r="D88" s="52">
        <v>135</v>
      </c>
      <c r="E88" s="52">
        <v>136.6</v>
      </c>
      <c r="F88" s="52">
        <v>134.4</v>
      </c>
      <c r="G88" s="52">
        <v>135.30000000000001</v>
      </c>
      <c r="H88" s="52">
        <v>136.9</v>
      </c>
      <c r="I88" s="52">
        <v>132.5</v>
      </c>
      <c r="J88" s="52">
        <v>129.9</v>
      </c>
      <c r="K88" s="52">
        <v>127.7</v>
      </c>
      <c r="L88" s="52">
        <v>130.19999999999999</v>
      </c>
      <c r="M88" s="52">
        <v>130</v>
      </c>
      <c r="N88" s="52">
        <v>130</v>
      </c>
      <c r="O88" s="52">
        <v>130</v>
      </c>
      <c r="P88" s="52">
        <v>130</v>
      </c>
      <c r="Q88" s="52">
        <v>128</v>
      </c>
      <c r="R88" s="52">
        <v>126.4</v>
      </c>
      <c r="S88" s="52">
        <v>130.6</v>
      </c>
      <c r="T88" s="52">
        <v>130.69999999999999</v>
      </c>
      <c r="U88" s="52">
        <v>135.69999999999999</v>
      </c>
      <c r="V88" s="52">
        <v>135.69999999999999</v>
      </c>
      <c r="W88" s="97">
        <v>136</v>
      </c>
      <c r="X88" s="97">
        <v>133.6</v>
      </c>
      <c r="Y88" s="97">
        <v>133.9</v>
      </c>
      <c r="Z88" s="97">
        <v>133.1</v>
      </c>
      <c r="AA88" s="52">
        <v>129.19999999999999</v>
      </c>
      <c r="AB88" s="52">
        <v>127.7</v>
      </c>
      <c r="AC88" s="52">
        <v>128.5</v>
      </c>
      <c r="AD88" s="52">
        <v>131.9</v>
      </c>
      <c r="AE88" s="52">
        <v>131.4</v>
      </c>
      <c r="AF88" s="98">
        <v>135.6</v>
      </c>
      <c r="AG88" s="99"/>
      <c r="AH88" s="55">
        <f t="shared" si="16"/>
        <v>136.9</v>
      </c>
      <c r="AI88" s="56">
        <f t="shared" si="17"/>
        <v>126.4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65.3</v>
      </c>
      <c r="C89" s="104">
        <v>66.099999999999994</v>
      </c>
      <c r="D89" s="104">
        <v>66</v>
      </c>
      <c r="E89" s="104">
        <v>65.7</v>
      </c>
      <c r="F89" s="104">
        <v>65.900000000000006</v>
      </c>
      <c r="G89" s="104">
        <v>65.900000000000006</v>
      </c>
      <c r="H89" s="104">
        <v>65.599999999999994</v>
      </c>
      <c r="I89" s="104">
        <v>64.7</v>
      </c>
      <c r="J89" s="104">
        <v>63.9</v>
      </c>
      <c r="K89" s="104">
        <v>63.9</v>
      </c>
      <c r="L89" s="104">
        <v>64.599999999999994</v>
      </c>
      <c r="M89" s="104">
        <v>64</v>
      </c>
      <c r="N89" s="104">
        <v>64</v>
      </c>
      <c r="O89" s="104">
        <v>63</v>
      </c>
      <c r="P89" s="104">
        <v>63</v>
      </c>
      <c r="Q89" s="104">
        <v>63</v>
      </c>
      <c r="R89" s="104">
        <v>63.5</v>
      </c>
      <c r="S89" s="104">
        <v>64</v>
      </c>
      <c r="T89" s="104">
        <v>63.8</v>
      </c>
      <c r="U89" s="104">
        <v>64.599999999999994</v>
      </c>
      <c r="V89" s="104">
        <v>64.599999999999994</v>
      </c>
      <c r="W89" s="104">
        <v>64.3</v>
      </c>
      <c r="X89" s="104">
        <v>64.3</v>
      </c>
      <c r="Y89" s="104">
        <v>64.8</v>
      </c>
      <c r="Z89" s="104">
        <v>65.400000000000006</v>
      </c>
      <c r="AA89" s="104">
        <v>65.599999999999994</v>
      </c>
      <c r="AB89" s="104">
        <v>65.5</v>
      </c>
      <c r="AC89" s="104">
        <v>65.3</v>
      </c>
      <c r="AD89" s="104">
        <v>65.5</v>
      </c>
      <c r="AE89" s="104">
        <v>65.3</v>
      </c>
      <c r="AF89" s="105">
        <v>65.7</v>
      </c>
      <c r="AG89" s="106"/>
      <c r="AH89" s="55">
        <f t="shared" si="16"/>
        <v>66.099999999999994</v>
      </c>
      <c r="AI89" s="56">
        <f t="shared" si="17"/>
        <v>63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153.13999999999999</v>
      </c>
      <c r="C91" s="178">
        <f t="shared" ref="C91:AF91" si="21">SUM(C14,C17,C20:C21,C40,C42:C43,C45,C47,C92:C95,C100,C106,C112,C121,C123,C135,C142,C145:C146,C153,C155,C157,C161:C163,C165:C167,C172,C178:C179,C181:C183,C191,C196)</f>
        <v>145.04</v>
      </c>
      <c r="D91" s="178">
        <f t="shared" si="21"/>
        <v>143.43999999999997</v>
      </c>
      <c r="E91" s="178">
        <f t="shared" si="21"/>
        <v>155.33999999999997</v>
      </c>
      <c r="F91" s="111">
        <f t="shared" si="21"/>
        <v>160.03999999999996</v>
      </c>
      <c r="G91" s="111">
        <f t="shared" si="21"/>
        <v>178.73999999999998</v>
      </c>
      <c r="H91" s="111">
        <f t="shared" si="21"/>
        <v>214.04</v>
      </c>
      <c r="I91" s="111">
        <f t="shared" si="21"/>
        <v>244.33999999999997</v>
      </c>
      <c r="J91" s="111">
        <f t="shared" si="21"/>
        <v>271.14000000000004</v>
      </c>
      <c r="K91" s="111">
        <f t="shared" si="21"/>
        <v>289.24</v>
      </c>
      <c r="L91" s="111">
        <f t="shared" si="21"/>
        <v>295.14000000000004</v>
      </c>
      <c r="M91" s="111">
        <f t="shared" si="21"/>
        <v>283.24</v>
      </c>
      <c r="N91" s="111">
        <f t="shared" si="21"/>
        <v>389.24</v>
      </c>
      <c r="O91" s="111">
        <f t="shared" si="21"/>
        <v>290.24</v>
      </c>
      <c r="P91" s="111">
        <f t="shared" si="21"/>
        <v>279.64000000000004</v>
      </c>
      <c r="Q91" s="111">
        <f t="shared" si="21"/>
        <v>279.74</v>
      </c>
      <c r="R91" s="111">
        <f t="shared" si="21"/>
        <v>278.94000000000005</v>
      </c>
      <c r="S91" s="111">
        <f t="shared" si="21"/>
        <v>268.24</v>
      </c>
      <c r="T91" s="111">
        <f t="shared" si="21"/>
        <v>294.34000000000003</v>
      </c>
      <c r="U91" s="111">
        <f t="shared" si="21"/>
        <v>280.34000000000003</v>
      </c>
      <c r="V91" s="111">
        <f t="shared" si="21"/>
        <v>280.34000000000003</v>
      </c>
      <c r="W91" s="111">
        <f t="shared" si="21"/>
        <v>304.84000000000003</v>
      </c>
      <c r="X91" s="111">
        <f t="shared" si="21"/>
        <v>352.04000000000008</v>
      </c>
      <c r="Y91" s="111">
        <f t="shared" si="21"/>
        <v>345.24</v>
      </c>
      <c r="Z91" s="111">
        <f t="shared" si="21"/>
        <v>307.44000000000005</v>
      </c>
      <c r="AA91" s="111">
        <f t="shared" si="21"/>
        <v>306.24000000000007</v>
      </c>
      <c r="AB91" s="111">
        <f t="shared" si="21"/>
        <v>259.74000000000012</v>
      </c>
      <c r="AC91" s="111">
        <f t="shared" si="21"/>
        <v>239.04000000000002</v>
      </c>
      <c r="AD91" s="111">
        <f t="shared" si="21"/>
        <v>200.04000000000002</v>
      </c>
      <c r="AE91" s="111">
        <f t="shared" si="21"/>
        <v>174.44</v>
      </c>
      <c r="AF91" s="111">
        <f t="shared" si="21"/>
        <v>170.73999999999998</v>
      </c>
      <c r="AG91" s="112"/>
      <c r="AH91" s="55">
        <f>MAX(B91:AF91)</f>
        <v>389.24</v>
      </c>
      <c r="AI91" s="56">
        <f>MIN(B91:AF91)</f>
        <v>143.43999999999997</v>
      </c>
    </row>
    <row r="92" spans="1:88" x14ac:dyDescent="0.25">
      <c r="A92" s="113" t="s">
        <v>95</v>
      </c>
      <c r="B92" s="59">
        <v>34.1</v>
      </c>
      <c r="C92" s="59">
        <v>28.7</v>
      </c>
      <c r="D92" s="59">
        <v>39.799999999999997</v>
      </c>
      <c r="E92" s="59">
        <v>41.8</v>
      </c>
      <c r="F92" s="114">
        <v>26.2</v>
      </c>
      <c r="G92" s="114">
        <v>28.9</v>
      </c>
      <c r="H92" s="114">
        <v>40.6</v>
      </c>
      <c r="I92" s="114">
        <v>50.4</v>
      </c>
      <c r="J92" s="114">
        <v>44.8</v>
      </c>
      <c r="K92" s="114">
        <v>44.9</v>
      </c>
      <c r="L92" s="115">
        <v>51.6</v>
      </c>
      <c r="M92" s="114">
        <v>53</v>
      </c>
      <c r="N92" s="114">
        <v>43</v>
      </c>
      <c r="O92" s="114">
        <v>42</v>
      </c>
      <c r="P92" s="114">
        <v>34.1</v>
      </c>
      <c r="Q92" s="114">
        <v>33.5</v>
      </c>
      <c r="R92" s="114">
        <v>18.600000000000001</v>
      </c>
      <c r="S92" s="114">
        <v>35.200000000000003</v>
      </c>
      <c r="T92" s="115">
        <v>33</v>
      </c>
      <c r="U92" s="115">
        <v>35.700000000000003</v>
      </c>
      <c r="V92" s="115">
        <v>35.700000000000003</v>
      </c>
      <c r="W92" s="114">
        <v>44.3</v>
      </c>
      <c r="X92" s="114">
        <v>39.9</v>
      </c>
      <c r="Y92" s="114">
        <v>42.4</v>
      </c>
      <c r="Z92" s="114">
        <v>40.6</v>
      </c>
      <c r="AA92" s="115">
        <v>35</v>
      </c>
      <c r="AB92" s="115">
        <v>29.2</v>
      </c>
      <c r="AC92" s="115">
        <v>29.8</v>
      </c>
      <c r="AD92" s="115">
        <v>33.200000000000003</v>
      </c>
      <c r="AE92" s="115">
        <v>33.4</v>
      </c>
      <c r="AF92" s="116">
        <v>34</v>
      </c>
      <c r="AG92" s="117">
        <v>75</v>
      </c>
      <c r="AH92" s="55">
        <f t="shared" ref="AH92:AH97" si="22">IF(ABS(MAX(B92:AF92))&gt;ABS(MIN(B92:AF92)),MAX(B92:AF92),MIN(B92:AF92))</f>
        <v>53</v>
      </c>
      <c r="AI92" s="118">
        <f t="shared" ref="AI92:AI97" si="23">INDEX($B$9:$AF$9,1,MATCH(AH92,B92:AF92,0))</f>
        <v>0.375</v>
      </c>
    </row>
    <row r="93" spans="1:88" x14ac:dyDescent="0.25">
      <c r="A93" s="119" t="s">
        <v>96</v>
      </c>
      <c r="B93" s="61">
        <v>-102.4</v>
      </c>
      <c r="C93" s="61">
        <v>-110</v>
      </c>
      <c r="D93" s="61">
        <v>-110</v>
      </c>
      <c r="E93" s="61">
        <v>-90</v>
      </c>
      <c r="F93" s="61">
        <v>-78</v>
      </c>
      <c r="G93" s="61">
        <v>-68</v>
      </c>
      <c r="H93" s="61">
        <v>-69</v>
      </c>
      <c r="I93" s="61">
        <v>-61</v>
      </c>
      <c r="J93" s="61">
        <v>-52</v>
      </c>
      <c r="K93" s="61">
        <v>-47.5</v>
      </c>
      <c r="L93" s="61">
        <v>-47</v>
      </c>
      <c r="M93" s="61">
        <v>-55</v>
      </c>
      <c r="N93" s="61">
        <f>--56</f>
        <v>56</v>
      </c>
      <c r="O93" s="61">
        <v>-50</v>
      </c>
      <c r="P93" s="61">
        <v>-55.8</v>
      </c>
      <c r="Q93" s="61">
        <v>-55</v>
      </c>
      <c r="R93" s="61">
        <v>-53</v>
      </c>
      <c r="S93" s="61">
        <v>-59</v>
      </c>
      <c r="T93" s="61">
        <v>-50</v>
      </c>
      <c r="U93" s="61">
        <v>-53</v>
      </c>
      <c r="V93" s="61">
        <v>-53</v>
      </c>
      <c r="W93" s="61">
        <v>-45</v>
      </c>
      <c r="X93" s="61">
        <v>-38</v>
      </c>
      <c r="Y93" s="61">
        <v>-45</v>
      </c>
      <c r="Z93" s="61">
        <v>-59</v>
      </c>
      <c r="AA93" s="52">
        <v>-59</v>
      </c>
      <c r="AB93" s="52">
        <f>-33.1-48</f>
        <v>-81.099999999999994</v>
      </c>
      <c r="AC93" s="52">
        <f>-36.9-52.9</f>
        <v>-89.8</v>
      </c>
      <c r="AD93" s="52">
        <f>-48.3-58.7</f>
        <v>-107</v>
      </c>
      <c r="AE93" s="52">
        <v>-117</v>
      </c>
      <c r="AF93" s="120">
        <v>-113</v>
      </c>
      <c r="AG93" s="117">
        <v>240</v>
      </c>
      <c r="AH93" s="55">
        <f t="shared" si="22"/>
        <v>-117</v>
      </c>
      <c r="AI93" s="118">
        <f t="shared" si="23"/>
        <v>0.95833333333333304</v>
      </c>
    </row>
    <row r="94" spans="1:88" x14ac:dyDescent="0.25">
      <c r="A94" s="119" t="s">
        <v>97</v>
      </c>
      <c r="B94" s="61">
        <v>-17.5</v>
      </c>
      <c r="C94" s="61">
        <v>-12.6</v>
      </c>
      <c r="D94" s="61">
        <v>-16.100000000000001</v>
      </c>
      <c r="E94" s="61">
        <v>-18.2</v>
      </c>
      <c r="F94" s="61">
        <v>-9.9</v>
      </c>
      <c r="G94" s="61">
        <v>-3.9</v>
      </c>
      <c r="H94" s="61">
        <v>-4.7</v>
      </c>
      <c r="I94" s="61">
        <v>-5.3</v>
      </c>
      <c r="J94" s="61">
        <v>0.8</v>
      </c>
      <c r="K94" s="61">
        <v>0.7</v>
      </c>
      <c r="L94" s="61">
        <v>4.3</v>
      </c>
      <c r="M94" s="61">
        <v>-1</v>
      </c>
      <c r="N94" s="61">
        <v>1</v>
      </c>
      <c r="O94" s="61">
        <v>-1</v>
      </c>
      <c r="P94" s="61">
        <v>1.1000000000000001</v>
      </c>
      <c r="Q94" s="61">
        <v>1</v>
      </c>
      <c r="R94" s="61">
        <v>13.9</v>
      </c>
      <c r="S94" s="61">
        <v>-1.2</v>
      </c>
      <c r="T94" s="61">
        <v>2.7</v>
      </c>
      <c r="U94" s="61">
        <v>5.5</v>
      </c>
      <c r="V94" s="61">
        <v>5.5</v>
      </c>
      <c r="W94" s="61">
        <v>3.5</v>
      </c>
      <c r="X94" s="61">
        <v>30.7</v>
      </c>
      <c r="Y94" s="61">
        <v>31.7</v>
      </c>
      <c r="Z94" s="61">
        <v>30.4</v>
      </c>
      <c r="AA94" s="52">
        <v>30.8</v>
      </c>
      <c r="AB94" s="52">
        <v>24</v>
      </c>
      <c r="AC94" s="52">
        <v>19.3</v>
      </c>
      <c r="AD94" s="52">
        <v>-6.9</v>
      </c>
      <c r="AE94" s="52">
        <v>-15.6</v>
      </c>
      <c r="AF94" s="120">
        <v>-18.600000000000001</v>
      </c>
      <c r="AG94" s="117">
        <v>60</v>
      </c>
      <c r="AH94" s="55">
        <f t="shared" si="22"/>
        <v>31.7</v>
      </c>
      <c r="AI94" s="118">
        <f t="shared" si="23"/>
        <v>0.79166666666666663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17.899999999999999</v>
      </c>
      <c r="I95" s="84">
        <v>23</v>
      </c>
      <c r="J95" s="84">
        <v>40.299999999999997</v>
      </c>
      <c r="K95" s="84">
        <v>53.9</v>
      </c>
      <c r="L95" s="84">
        <v>49</v>
      </c>
      <c r="M95" s="84">
        <v>50</v>
      </c>
      <c r="N95" s="84">
        <v>53</v>
      </c>
      <c r="O95" s="84">
        <v>63</v>
      </c>
      <c r="P95" s="84">
        <v>62</v>
      </c>
      <c r="Q95" s="84">
        <v>62</v>
      </c>
      <c r="R95" s="84">
        <v>61.3</v>
      </c>
      <c r="S95" s="84">
        <v>55</v>
      </c>
      <c r="T95" s="84">
        <v>70.5</v>
      </c>
      <c r="U95" s="84">
        <v>54</v>
      </c>
      <c r="V95" s="84">
        <v>54</v>
      </c>
      <c r="W95" s="84">
        <v>64</v>
      </c>
      <c r="X95" s="84">
        <v>81.5</v>
      </c>
      <c r="Y95" s="84">
        <v>70.3</v>
      </c>
      <c r="Z95" s="84">
        <v>58.4</v>
      </c>
      <c r="AA95" s="122">
        <v>62</v>
      </c>
      <c r="AB95" s="122">
        <v>50.2</v>
      </c>
      <c r="AC95" s="122">
        <v>42.3</v>
      </c>
      <c r="AD95" s="122">
        <v>43.7</v>
      </c>
      <c r="AE95" s="122">
        <v>36.5</v>
      </c>
      <c r="AF95" s="123">
        <v>31.2</v>
      </c>
      <c r="AG95" s="124">
        <v>120</v>
      </c>
      <c r="AH95" s="55">
        <f t="shared" si="22"/>
        <v>81.5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38.6</v>
      </c>
      <c r="C96" s="84">
        <v>34.5</v>
      </c>
      <c r="D96" s="84">
        <v>5.9</v>
      </c>
      <c r="E96" s="84">
        <v>18.899999999999999</v>
      </c>
      <c r="F96" s="84">
        <v>32</v>
      </c>
      <c r="G96" s="84">
        <v>32.1</v>
      </c>
      <c r="H96" s="84">
        <v>23.2</v>
      </c>
      <c r="I96" s="84">
        <v>27.1</v>
      </c>
      <c r="J96" s="84">
        <v>39.9</v>
      </c>
      <c r="K96" s="84">
        <v>41.8</v>
      </c>
      <c r="L96" s="84">
        <v>40</v>
      </c>
      <c r="M96" s="84">
        <v>45</v>
      </c>
      <c r="N96" s="84">
        <v>50</v>
      </c>
      <c r="O96" s="84">
        <v>59</v>
      </c>
      <c r="P96" s="84">
        <v>59</v>
      </c>
      <c r="Q96" s="84">
        <v>59</v>
      </c>
      <c r="R96" s="84">
        <v>56.3</v>
      </c>
      <c r="S96" s="84">
        <v>52.7</v>
      </c>
      <c r="T96" s="84">
        <v>63.3</v>
      </c>
      <c r="U96" s="84">
        <v>50.8</v>
      </c>
      <c r="V96" s="84">
        <v>50.8</v>
      </c>
      <c r="W96" s="84">
        <v>55.3</v>
      </c>
      <c r="X96" s="84">
        <v>68</v>
      </c>
      <c r="Y96" s="84">
        <v>64.3</v>
      </c>
      <c r="Z96" s="84">
        <v>54.5</v>
      </c>
      <c r="AA96" s="122">
        <v>60.5</v>
      </c>
      <c r="AB96" s="122">
        <v>50.3</v>
      </c>
      <c r="AC96" s="122">
        <v>45.7</v>
      </c>
      <c r="AD96" s="122">
        <v>51.6</v>
      </c>
      <c r="AE96" s="122">
        <v>47.6</v>
      </c>
      <c r="AF96" s="123">
        <v>42.8</v>
      </c>
      <c r="AG96" s="124"/>
      <c r="AH96" s="55">
        <f t="shared" si="22"/>
        <v>68</v>
      </c>
      <c r="AI96" s="118">
        <f t="shared" si="23"/>
        <v>0.77083333333333337</v>
      </c>
    </row>
    <row r="97" spans="1:37" ht="15.75" thickBot="1" x14ac:dyDescent="0.3">
      <c r="A97" s="121" t="s">
        <v>100</v>
      </c>
      <c r="B97" s="84">
        <v>61</v>
      </c>
      <c r="C97" s="84">
        <v>56.5</v>
      </c>
      <c r="D97" s="84">
        <v>52.3</v>
      </c>
      <c r="E97" s="84">
        <v>50.8</v>
      </c>
      <c r="F97" s="84">
        <v>72.400000000000006</v>
      </c>
      <c r="G97" s="84">
        <v>69.2</v>
      </c>
      <c r="H97" s="84">
        <v>49.7</v>
      </c>
      <c r="I97" s="84">
        <v>37</v>
      </c>
      <c r="J97" s="84">
        <v>38.9</v>
      </c>
      <c r="K97" s="84">
        <v>35.9</v>
      </c>
      <c r="L97" s="84">
        <v>23.6</v>
      </c>
      <c r="M97" s="84">
        <v>29</v>
      </c>
      <c r="N97" s="84">
        <v>42.5</v>
      </c>
      <c r="O97" s="84">
        <v>46</v>
      </c>
      <c r="P97" s="84">
        <v>50</v>
      </c>
      <c r="Q97" s="84">
        <v>56</v>
      </c>
      <c r="R97" s="84">
        <v>64.7</v>
      </c>
      <c r="S97" s="84">
        <v>54.4</v>
      </c>
      <c r="T97" s="84">
        <v>56.8</v>
      </c>
      <c r="U97" s="84">
        <v>49.8</v>
      </c>
      <c r="V97" s="84">
        <v>49.8</v>
      </c>
      <c r="W97" s="84">
        <v>36.5</v>
      </c>
      <c r="X97" s="84">
        <v>38.700000000000003</v>
      </c>
      <c r="Y97" s="84">
        <v>35.9</v>
      </c>
      <c r="Z97" s="84">
        <v>41.2</v>
      </c>
      <c r="AA97" s="122">
        <v>57.6</v>
      </c>
      <c r="AB97" s="122">
        <v>61.3</v>
      </c>
      <c r="AC97" s="122">
        <v>61.6</v>
      </c>
      <c r="AD97" s="122">
        <v>56.8</v>
      </c>
      <c r="AE97" s="122">
        <v>54.5</v>
      </c>
      <c r="AF97" s="123">
        <v>61.9</v>
      </c>
      <c r="AG97" s="125"/>
      <c r="AH97" s="55">
        <f t="shared" si="22"/>
        <v>72.400000000000006</v>
      </c>
      <c r="AI97" s="118">
        <f t="shared" si="23"/>
        <v>0.20833333333333301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1262.6400000000001</v>
      </c>
      <c r="C206" s="161">
        <f>INDEX(F9:M9,1,MATCH(MAX(F73:M73),F73:M73,0))</f>
        <v>0.3125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8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2078/04/8)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2078/04/8)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1166.74</v>
      </c>
      <c r="U211" s="170">
        <f t="shared" si="52"/>
        <v>1165.3400000000001</v>
      </c>
      <c r="V211" s="170">
        <f t="shared" si="52"/>
        <v>1099.6399999999999</v>
      </c>
      <c r="W211" s="170">
        <f t="shared" si="52"/>
        <v>1087.04</v>
      </c>
      <c r="X211" s="170">
        <f t="shared" si="52"/>
        <v>1092.8399999999999</v>
      </c>
      <c r="Y211" s="170">
        <f t="shared" si="52"/>
        <v>1090.8400000000001</v>
      </c>
      <c r="Z211" s="170">
        <f t="shared" si="52"/>
        <v>1092.8400000000001</v>
      </c>
      <c r="AA211" s="170">
        <f t="shared" si="52"/>
        <v>1148.6400000000001</v>
      </c>
      <c r="AB211" s="170">
        <f t="shared" si="52"/>
        <v>1209.74</v>
      </c>
      <c r="AC211" s="170">
        <f t="shared" si="52"/>
        <v>1262.6400000000001</v>
      </c>
      <c r="AD211" s="170">
        <f t="shared" si="52"/>
        <v>1211.04</v>
      </c>
      <c r="AE211" s="170">
        <f t="shared" si="52"/>
        <v>1237.3400000000001</v>
      </c>
      <c r="AF211" s="170">
        <f t="shared" si="52"/>
        <v>1275.3400000000001</v>
      </c>
      <c r="AG211" s="170">
        <f t="shared" si="52"/>
        <v>1299.3400000000001</v>
      </c>
      <c r="AH211" s="170">
        <f t="shared" si="52"/>
        <v>1296.44</v>
      </c>
      <c r="AI211" s="170">
        <f t="shared" si="52"/>
        <v>1325.94</v>
      </c>
      <c r="AJ211" s="170">
        <f t="shared" si="52"/>
        <v>1340.54</v>
      </c>
      <c r="AK211" s="170">
        <f t="shared" si="52"/>
        <v>1318.04</v>
      </c>
      <c r="AL211" s="170">
        <f t="shared" si="52"/>
        <v>1311.31</v>
      </c>
      <c r="AM211" s="170">
        <f t="shared" si="52"/>
        <v>1289.74</v>
      </c>
      <c r="AN211" s="170">
        <f t="shared" si="52"/>
        <v>1289.74</v>
      </c>
      <c r="AO211" s="170">
        <f t="shared" si="52"/>
        <v>1300.2399999999998</v>
      </c>
      <c r="AP211" s="170">
        <f t="shared" si="52"/>
        <v>1547.64</v>
      </c>
      <c r="AQ211" s="170">
        <f t="shared" si="52"/>
        <v>1476</v>
      </c>
      <c r="AR211" s="170">
        <f t="shared" si="52"/>
        <v>1449.54</v>
      </c>
      <c r="AS211" s="170">
        <f t="shared" si="52"/>
        <v>1414.64</v>
      </c>
      <c r="AT211" s="170">
        <f t="shared" si="52"/>
        <v>1387.1399999999999</v>
      </c>
      <c r="AU211" s="170">
        <f t="shared" si="52"/>
        <v>1381.1399999999999</v>
      </c>
      <c r="AV211" s="170">
        <f t="shared" si="52"/>
        <v>1275.54</v>
      </c>
      <c r="AW211" s="170">
        <f t="shared" si="52"/>
        <v>1248.8400000000001</v>
      </c>
      <c r="AX211" s="170">
        <f t="shared" si="52"/>
        <v>1233.04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521" priority="338">
      <formula>S$9&gt;=20/24</formula>
    </cfRule>
    <cfRule type="expression" dxfId="8520" priority="339">
      <formula>AND(S$9&gt;=14/24,S$9&lt;20/24)</formula>
    </cfRule>
    <cfRule type="expression" dxfId="8519" priority="340">
      <formula>AND(S$9&gt;=8/24,S$9&lt;14/24)</formula>
    </cfRule>
    <cfRule type="expression" dxfId="8518" priority="341">
      <formula>S$9&lt;8/24</formula>
    </cfRule>
  </conditionalFormatting>
  <conditionalFormatting sqref="B8:AF10 AA79:AF79 B79:Q79 B54:AF54 B80:AF80 C191:AF197 B66:AF70 T210:AX210 C61:C65 P37:Q37 P38:P40 Q38:U39 W83:Z89 B72:AF76 B78:AF78 C55:K59 L56:N59 L37:O40 L11:Q13 L35:Q35 Q40 O58:Q59 U40 V38:X40 O56:V57 W56 L15:Q31 R17:X29 R11:AA11 Y12:AA13 Y15:AD30 AB11:AD13 Y38:AD41 AA82:AF89 AE26:AF30 L51:AF53 AE55:AF58">
    <cfRule type="expression" dxfId="8517" priority="334">
      <formula>B$9&gt;=20/24</formula>
    </cfRule>
    <cfRule type="expression" dxfId="8516" priority="335">
      <formula>AND(B$9&gt;=14/24,B$9&lt;20/24)</formula>
    </cfRule>
    <cfRule type="expression" dxfId="8515" priority="336">
      <formula>AND(B$9&gt;=8/24,B$9&lt;14/24)</formula>
    </cfRule>
    <cfRule type="expression" dxfId="8514" priority="337">
      <formula>B$9&lt;8/24</formula>
    </cfRule>
  </conditionalFormatting>
  <conditionalFormatting sqref="B189:AF189">
    <cfRule type="expression" dxfId="8513" priority="330">
      <formula>B$9&gt;=20/24</formula>
    </cfRule>
    <cfRule type="expression" dxfId="8512" priority="331">
      <formula>AND(B$9&gt;=14/24,B$9&lt;20/24)</formula>
    </cfRule>
    <cfRule type="expression" dxfId="8511" priority="332">
      <formula>AND(B$9&gt;=8/24,B$9&lt;14/24)</formula>
    </cfRule>
    <cfRule type="expression" dxfId="8510" priority="333">
      <formula>B$9&lt;8/24</formula>
    </cfRule>
  </conditionalFormatting>
  <conditionalFormatting sqref="AL4:AL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8509" priority="325">
      <formula>L$9&gt;=20/24</formula>
    </cfRule>
    <cfRule type="expression" dxfId="8508" priority="326">
      <formula>AND(L$9&gt;=14/24,L$9&lt;20/24)</formula>
    </cfRule>
    <cfRule type="expression" dxfId="8507" priority="327">
      <formula>AND(L$9&gt;=8/24,L$9&lt;14/24)</formula>
    </cfRule>
    <cfRule type="expression" dxfId="8506" priority="328">
      <formula>L$9&lt;8/24</formula>
    </cfRule>
  </conditionalFormatting>
  <conditionalFormatting sqref="L41:Q41">
    <cfRule type="expression" dxfId="8505" priority="321">
      <formula>L$9&gt;=20/24</formula>
    </cfRule>
    <cfRule type="expression" dxfId="8504" priority="322">
      <formula>AND(L$9&gt;=14/24,L$9&lt;20/24)</formula>
    </cfRule>
    <cfRule type="expression" dxfId="8503" priority="323">
      <formula>AND(L$9&gt;=8/24,L$9&lt;14/24)</formula>
    </cfRule>
    <cfRule type="expression" dxfId="8502" priority="324">
      <formula>L$9&lt;8/24</formula>
    </cfRule>
  </conditionalFormatting>
  <conditionalFormatting sqref="Y31:AF31">
    <cfRule type="expression" dxfId="8501" priority="317">
      <formula>Y$9&gt;=20/24</formula>
    </cfRule>
    <cfRule type="expression" dxfId="8500" priority="318">
      <formula>AND(Y$9&gt;=14/24,Y$9&lt;20/24)</formula>
    </cfRule>
    <cfRule type="expression" dxfId="8499" priority="319">
      <formula>AND(Y$9&gt;=8/24,Y$9&lt;14/24)</formula>
    </cfRule>
    <cfRule type="expression" dxfId="8498" priority="320">
      <formula>Y$9&lt;8/24</formula>
    </cfRule>
  </conditionalFormatting>
  <conditionalFormatting sqref="R37:AD37">
    <cfRule type="expression" dxfId="8497" priority="313">
      <formula>R$9&gt;=20/24</formula>
    </cfRule>
    <cfRule type="expression" dxfId="8496" priority="314">
      <formula>AND(R$9&gt;=14/24,R$9&lt;20/24)</formula>
    </cfRule>
    <cfRule type="expression" dxfId="8495" priority="315">
      <formula>AND(R$9&gt;=8/24,R$9&lt;14/24)</formula>
    </cfRule>
    <cfRule type="expression" dxfId="8494" priority="316">
      <formula>R$9&lt;8/24</formula>
    </cfRule>
  </conditionalFormatting>
  <conditionalFormatting sqref="R55:AD55">
    <cfRule type="expression" dxfId="8493" priority="309">
      <formula>R$9&gt;=20/24</formula>
    </cfRule>
    <cfRule type="expression" dxfId="8492" priority="310">
      <formula>AND(R$9&gt;=14/24,R$9&lt;20/24)</formula>
    </cfRule>
    <cfRule type="expression" dxfId="8491" priority="311">
      <formula>AND(R$9&gt;=8/24,R$9&lt;14/24)</formula>
    </cfRule>
    <cfRule type="expression" dxfId="8490" priority="312">
      <formula>R$9&lt;8/24</formula>
    </cfRule>
  </conditionalFormatting>
  <conditionalFormatting sqref="R79:Z79">
    <cfRule type="expression" dxfId="8489" priority="305">
      <formula>R$9&gt;=20/24</formula>
    </cfRule>
    <cfRule type="expression" dxfId="8488" priority="306">
      <formula>AND(R$9&gt;=14/24,R$9&lt;20/24)</formula>
    </cfRule>
    <cfRule type="expression" dxfId="8487" priority="307">
      <formula>AND(R$9&gt;=8/24,R$9&lt;14/24)</formula>
    </cfRule>
    <cfRule type="expression" dxfId="8486" priority="308">
      <formula>R$9&lt;8/24</formula>
    </cfRule>
  </conditionalFormatting>
  <conditionalFormatting sqref="T82:Z82">
    <cfRule type="expression" dxfId="8485" priority="301">
      <formula>T$9&gt;=20/24</formula>
    </cfRule>
    <cfRule type="expression" dxfId="8484" priority="302">
      <formula>AND(T$9&gt;=14/24,T$9&lt;20/24)</formula>
    </cfRule>
    <cfRule type="expression" dxfId="8483" priority="303">
      <formula>AND(T$9&gt;=8/24,T$9&lt;14/24)</formula>
    </cfRule>
    <cfRule type="expression" dxfId="8482" priority="304">
      <formula>T$9&lt;8/24</formula>
    </cfRule>
  </conditionalFormatting>
  <conditionalFormatting sqref="L33:Q33">
    <cfRule type="expression" dxfId="8481" priority="297">
      <formula>L$9&gt;=20/24</formula>
    </cfRule>
    <cfRule type="expression" dxfId="8480" priority="298">
      <formula>AND(L$9&gt;=14/24,L$9&lt;20/24)</formula>
    </cfRule>
    <cfRule type="expression" dxfId="8479" priority="299">
      <formula>AND(L$9&gt;=8/24,L$9&lt;14/24)</formula>
    </cfRule>
    <cfRule type="expression" dxfId="8478" priority="300">
      <formula>L$9&lt;8/24</formula>
    </cfRule>
  </conditionalFormatting>
  <conditionalFormatting sqref="L47:X47">
    <cfRule type="expression" dxfId="8477" priority="293">
      <formula>L$9&gt;=20/24</formula>
    </cfRule>
    <cfRule type="expression" dxfId="8476" priority="294">
      <formula>AND(L$9&gt;=14/24,L$9&lt;20/24)</formula>
    </cfRule>
    <cfRule type="expression" dxfId="8475" priority="295">
      <formula>AND(L$9&gt;=8/24,L$9&lt;14/24)</formula>
    </cfRule>
    <cfRule type="expression" dxfId="8474" priority="296">
      <formula>L$9&lt;8/24</formula>
    </cfRule>
  </conditionalFormatting>
  <conditionalFormatting sqref="L48:Q48">
    <cfRule type="expression" dxfId="8473" priority="289">
      <formula>L$9&gt;=20/24</formula>
    </cfRule>
    <cfRule type="expression" dxfId="8472" priority="290">
      <formula>AND(L$9&gt;=14/24,L$9&lt;20/24)</formula>
    </cfRule>
    <cfRule type="expression" dxfId="8471" priority="291">
      <formula>AND(L$9&gt;=8/24,L$9&lt;14/24)</formula>
    </cfRule>
    <cfRule type="expression" dxfId="8470" priority="292">
      <formula>L$9&lt;8/24</formula>
    </cfRule>
  </conditionalFormatting>
  <conditionalFormatting sqref="L43:Q46">
    <cfRule type="expression" dxfId="8469" priority="285">
      <formula>L$9&gt;=20/24</formula>
    </cfRule>
    <cfRule type="expression" dxfId="8468" priority="286">
      <formula>AND(L$9&gt;=14/24,L$9&lt;20/24)</formula>
    </cfRule>
    <cfRule type="expression" dxfId="8467" priority="287">
      <formula>AND(L$9&gt;=8/24,L$9&lt;14/24)</formula>
    </cfRule>
    <cfRule type="expression" dxfId="8466" priority="288">
      <formula>L$9&lt;8/24</formula>
    </cfRule>
  </conditionalFormatting>
  <conditionalFormatting sqref="R35:AF35">
    <cfRule type="expression" dxfId="8465" priority="281">
      <formula>R$9&gt;=20/24</formula>
    </cfRule>
    <cfRule type="expression" dxfId="8464" priority="282">
      <formula>AND(R$9&gt;=14/24,R$9&lt;20/24)</formula>
    </cfRule>
    <cfRule type="expression" dxfId="8463" priority="283">
      <formula>AND(R$9&gt;=8/24,R$9&lt;14/24)</formula>
    </cfRule>
    <cfRule type="expression" dxfId="8462" priority="284">
      <formula>R$9&lt;8/24</formula>
    </cfRule>
  </conditionalFormatting>
  <conditionalFormatting sqref="R30:X31 R33:AF33">
    <cfRule type="expression" dxfId="8461" priority="277">
      <formula>R$9&gt;=20/24</formula>
    </cfRule>
    <cfRule type="expression" dxfId="8460" priority="278">
      <formula>AND(R$9&gt;=14/24,R$9&lt;20/24)</formula>
    </cfRule>
    <cfRule type="expression" dxfId="8459" priority="279">
      <formula>AND(R$9&gt;=8/24,R$9&lt;14/24)</formula>
    </cfRule>
    <cfRule type="expression" dxfId="8458" priority="280">
      <formula>R$9&lt;8/24</formula>
    </cfRule>
  </conditionalFormatting>
  <conditionalFormatting sqref="R40:T41 U41:X41 R43:AD46">
    <cfRule type="expression" dxfId="8457" priority="273">
      <formula>R$9&gt;=20/24</formula>
    </cfRule>
    <cfRule type="expression" dxfId="8456" priority="274">
      <formula>AND(R$9&gt;=14/24,R$9&lt;20/24)</formula>
    </cfRule>
    <cfRule type="expression" dxfId="8455" priority="275">
      <formula>AND(R$9&gt;=8/24,R$9&lt;14/24)</formula>
    </cfRule>
    <cfRule type="expression" dxfId="8454" priority="276">
      <formula>R$9&lt;8/24</formula>
    </cfRule>
  </conditionalFormatting>
  <conditionalFormatting sqref="R47:AD47">
    <cfRule type="expression" dxfId="8453" priority="269">
      <formula>R$9&gt;=20/24</formula>
    </cfRule>
    <cfRule type="expression" dxfId="8452" priority="270">
      <formula>AND(R$9&gt;=14/24,R$9&lt;20/24)</formula>
    </cfRule>
    <cfRule type="expression" dxfId="8451" priority="271">
      <formula>AND(R$9&gt;=8/24,R$9&lt;14/24)</formula>
    </cfRule>
    <cfRule type="expression" dxfId="8450" priority="272">
      <formula>R$9&lt;8/24</formula>
    </cfRule>
  </conditionalFormatting>
  <conditionalFormatting sqref="R48:AD48">
    <cfRule type="expression" dxfId="8449" priority="265">
      <formula>R$9&gt;=20/24</formula>
    </cfRule>
    <cfRule type="expression" dxfId="8448" priority="266">
      <formula>AND(R$9&gt;=14/24,R$9&lt;20/24)</formula>
    </cfRule>
    <cfRule type="expression" dxfId="8447" priority="267">
      <formula>AND(R$9&gt;=8/24,R$9&lt;14/24)</formula>
    </cfRule>
    <cfRule type="expression" dxfId="8446" priority="268">
      <formula>R$9&lt;8/24</formula>
    </cfRule>
  </conditionalFormatting>
  <conditionalFormatting sqref="R58:AD65 AE59:AF65">
    <cfRule type="expression" dxfId="8445" priority="261">
      <formula>R$9&gt;=20/24</formula>
    </cfRule>
    <cfRule type="expression" dxfId="8444" priority="262">
      <formula>AND(R$9&gt;=14/24,R$9&lt;20/24)</formula>
    </cfRule>
    <cfRule type="expression" dxfId="8443" priority="263">
      <formula>AND(R$9&gt;=8/24,R$9&lt;14/24)</formula>
    </cfRule>
    <cfRule type="expression" dxfId="8442" priority="264">
      <formula>R$9&lt;8/24</formula>
    </cfRule>
  </conditionalFormatting>
  <conditionalFormatting sqref="AA92:AF95">
    <cfRule type="expression" dxfId="8441" priority="257">
      <formula>AA$9&gt;=20/24</formula>
    </cfRule>
    <cfRule type="expression" dxfId="8440" priority="258">
      <formula>AND(AA$9&gt;=14/24,AA$9&lt;20/24)</formula>
    </cfRule>
    <cfRule type="expression" dxfId="8439" priority="259">
      <formula>AND(AA$9&gt;=8/24,AA$9&lt;14/24)</formula>
    </cfRule>
    <cfRule type="expression" dxfId="8438" priority="260">
      <formula>AA$9&lt;8/24</formula>
    </cfRule>
  </conditionalFormatting>
  <conditionalFormatting sqref="C60:K60">
    <cfRule type="expression" dxfId="8437" priority="253">
      <formula>C$9&gt;=20/24</formula>
    </cfRule>
    <cfRule type="expression" dxfId="8436" priority="254">
      <formula>AND(C$9&gt;=14/24,C$9&lt;20/24)</formula>
    </cfRule>
    <cfRule type="expression" dxfId="8435" priority="255">
      <formula>AND(C$9&gt;=8/24,C$9&lt;14/24)</formula>
    </cfRule>
    <cfRule type="expression" dxfId="8434" priority="256">
      <formula>C$9&lt;8/24</formula>
    </cfRule>
  </conditionalFormatting>
  <conditionalFormatting sqref="T92:Z95">
    <cfRule type="expression" dxfId="8433" priority="249">
      <formula>T$9&gt;=20/24</formula>
    </cfRule>
    <cfRule type="expression" dxfId="8432" priority="250">
      <formula>AND(T$9&gt;=14/24,T$9&lt;20/24)</formula>
    </cfRule>
    <cfRule type="expression" dxfId="8431" priority="251">
      <formula>AND(T$9&gt;=8/24,T$9&lt;14/24)</formula>
    </cfRule>
    <cfRule type="expression" dxfId="8430" priority="252">
      <formula>T$9&lt;8/24</formula>
    </cfRule>
  </conditionalFormatting>
  <conditionalFormatting sqref="B36:AF36 C49:AG49 D15:K18 D11:Q13 L15:Q31 Y15:Y24 R17:X24 C35:Z35 R25:Y31 L33:Z34 R11:AF11 AA33:AF35 Z15:AF31 Y12:AF13 L43:AF48 E37:AF41 B50:AF54">
    <cfRule type="expression" dxfId="8429" priority="248">
      <formula>B11&gt;$AG11</formula>
    </cfRule>
  </conditionalFormatting>
  <conditionalFormatting sqref="A98:A154 A82:A95 A11:A13 A15:A31 A43:A70 A78:A80 A72:A76 A33:A41 A167:A198">
    <cfRule type="expression" dxfId="8428" priority="247">
      <formula>$AH11=0</formula>
    </cfRule>
  </conditionalFormatting>
  <conditionalFormatting sqref="AA96:AF96">
    <cfRule type="expression" dxfId="8427" priority="243">
      <formula>AA$9&gt;=20/24</formula>
    </cfRule>
    <cfRule type="expression" dxfId="8426" priority="244">
      <formula>AND(AA$9&gt;=14/24,AA$9&lt;20/24)</formula>
    </cfRule>
    <cfRule type="expression" dxfId="8425" priority="245">
      <formula>AND(AA$9&gt;=8/24,AA$9&lt;14/24)</formula>
    </cfRule>
    <cfRule type="expression" dxfId="8424" priority="246">
      <formula>AA$9&lt;8/24</formula>
    </cfRule>
  </conditionalFormatting>
  <conditionalFormatting sqref="T96:Z96">
    <cfRule type="expression" dxfId="8423" priority="239">
      <formula>T$9&gt;=20/24</formula>
    </cfRule>
    <cfRule type="expression" dxfId="8422" priority="240">
      <formula>AND(T$9&gt;=14/24,T$9&lt;20/24)</formula>
    </cfRule>
    <cfRule type="expression" dxfId="8421" priority="241">
      <formula>AND(T$9&gt;=8/24,T$9&lt;14/24)</formula>
    </cfRule>
    <cfRule type="expression" dxfId="8420" priority="242">
      <formula>T$9&lt;8/24</formula>
    </cfRule>
  </conditionalFormatting>
  <conditionalFormatting sqref="A96">
    <cfRule type="expression" dxfId="8419" priority="238">
      <formula>$AH96=0</formula>
    </cfRule>
  </conditionalFormatting>
  <conditionalFormatting sqref="L34:AF34">
    <cfRule type="expression" dxfId="8418" priority="234">
      <formula>L$9&gt;=20/24</formula>
    </cfRule>
    <cfRule type="expression" dxfId="8417" priority="235">
      <formula>AND(L$9&gt;=14/24,L$9&lt;20/24)</formula>
    </cfRule>
    <cfRule type="expression" dxfId="8416" priority="236">
      <formula>AND(L$9&gt;=8/24,L$9&lt;14/24)</formula>
    </cfRule>
    <cfRule type="expression" dxfId="8415" priority="237">
      <formula>L$9&lt;8/24</formula>
    </cfRule>
  </conditionalFormatting>
  <conditionalFormatting sqref="R34:AF34">
    <cfRule type="expression" dxfId="8414" priority="230">
      <formula>R$9&gt;=20/24</formula>
    </cfRule>
    <cfRule type="expression" dxfId="8413" priority="231">
      <formula>AND(R$9&gt;=14/24,R$9&lt;20/24)</formula>
    </cfRule>
    <cfRule type="expression" dxfId="8412" priority="232">
      <formula>AND(R$9&gt;=8/24,R$9&lt;14/24)</formula>
    </cfRule>
    <cfRule type="expression" dxfId="8411" priority="233">
      <formula>R$9&lt;8/24</formula>
    </cfRule>
  </conditionalFormatting>
  <conditionalFormatting sqref="D61:K65">
    <cfRule type="expression" dxfId="8410" priority="222">
      <formula>D$9&gt;=20/24</formula>
    </cfRule>
    <cfRule type="expression" dxfId="8409" priority="223">
      <formula>AND(D$9&gt;=14/24,D$9&lt;20/24)</formula>
    </cfRule>
    <cfRule type="expression" dxfId="8408" priority="224">
      <formula>AND(D$9&gt;=8/24,D$9&lt;14/24)</formula>
    </cfRule>
    <cfRule type="expression" dxfId="8407" priority="225">
      <formula>D$9&lt;8/24</formula>
    </cfRule>
  </conditionalFormatting>
  <conditionalFormatting sqref="L60:Q65">
    <cfRule type="expression" dxfId="8406" priority="218">
      <formula>L$9&gt;=20/24</formula>
    </cfRule>
    <cfRule type="expression" dxfId="8405" priority="219">
      <formula>AND(L$9&gt;=14/24,L$9&lt;20/24)</formula>
    </cfRule>
    <cfRule type="expression" dxfId="8404" priority="220">
      <formula>AND(L$9&gt;=8/24,L$9&lt;14/24)</formula>
    </cfRule>
    <cfRule type="expression" dxfId="8403" priority="221">
      <formula>L$9&lt;8/24</formula>
    </cfRule>
  </conditionalFormatting>
  <conditionalFormatting sqref="AL31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8402" priority="213">
      <formula>Y$9&gt;=20/24</formula>
    </cfRule>
    <cfRule type="expression" dxfId="8401" priority="214">
      <formula>AND(Y$9&gt;=14/24,Y$9&lt;20/24)</formula>
    </cfRule>
    <cfRule type="expression" dxfId="8400" priority="215">
      <formula>AND(Y$9&gt;=8/24,Y$9&lt;14/24)</formula>
    </cfRule>
    <cfRule type="expression" dxfId="8399" priority="216">
      <formula>Y$9&lt;8/24</formula>
    </cfRule>
  </conditionalFormatting>
  <conditionalFormatting sqref="L32:Q32">
    <cfRule type="expression" dxfId="8398" priority="209">
      <formula>L$9&gt;=20/24</formula>
    </cfRule>
    <cfRule type="expression" dxfId="8397" priority="210">
      <formula>AND(L$9&gt;=14/24,L$9&lt;20/24)</formula>
    </cfRule>
    <cfRule type="expression" dxfId="8396" priority="211">
      <formula>AND(L$9&gt;=8/24,L$9&lt;14/24)</formula>
    </cfRule>
    <cfRule type="expression" dxfId="8395" priority="212">
      <formula>L$9&lt;8/24</formula>
    </cfRule>
  </conditionalFormatting>
  <conditionalFormatting sqref="R32:X32">
    <cfRule type="expression" dxfId="8394" priority="205">
      <formula>R$9&gt;=20/24</formula>
    </cfRule>
    <cfRule type="expression" dxfId="8393" priority="206">
      <formula>AND(R$9&gt;=14/24,R$9&lt;20/24)</formula>
    </cfRule>
    <cfRule type="expression" dxfId="8392" priority="207">
      <formula>AND(R$9&gt;=8/24,R$9&lt;14/24)</formula>
    </cfRule>
    <cfRule type="expression" dxfId="8391" priority="208">
      <formula>R$9&lt;8/24</formula>
    </cfRule>
  </conditionalFormatting>
  <conditionalFormatting sqref="L32:AF32">
    <cfRule type="expression" dxfId="8390" priority="204">
      <formula>L32&gt;$AG32</formula>
    </cfRule>
  </conditionalFormatting>
  <conditionalFormatting sqref="A32">
    <cfRule type="expression" dxfId="8389" priority="203">
      <formula>$AH32=0</formula>
    </cfRule>
  </conditionalFormatting>
  <conditionalFormatting sqref="B81:AF81">
    <cfRule type="expression" dxfId="8388" priority="199">
      <formula>B$9&gt;=20/24</formula>
    </cfRule>
    <cfRule type="expression" dxfId="8387" priority="200">
      <formula>AND(B$9&gt;=14/24,B$9&lt;20/24)</formula>
    </cfRule>
    <cfRule type="expression" dxfId="8386" priority="201">
      <formula>AND(B$9&gt;=8/24,B$9&lt;14/24)</formula>
    </cfRule>
    <cfRule type="expression" dxfId="8385" priority="202">
      <formula>B$9&lt;8/24</formula>
    </cfRule>
  </conditionalFormatting>
  <conditionalFormatting sqref="A81">
    <cfRule type="expression" dxfId="8384" priority="198">
      <formula>$AH81=0</formula>
    </cfRule>
  </conditionalFormatting>
  <conditionalFormatting sqref="Y14:AD14">
    <cfRule type="expression" dxfId="8383" priority="194">
      <formula>Y$9&gt;=20/24</formula>
    </cfRule>
    <cfRule type="expression" dxfId="8382" priority="195">
      <formula>AND(Y$9&gt;=14/24,Y$9&lt;20/24)</formula>
    </cfRule>
    <cfRule type="expression" dxfId="8381" priority="196">
      <formula>AND(Y$9&gt;=8/24,Y$9&lt;14/24)</formula>
    </cfRule>
    <cfRule type="expression" dxfId="8380" priority="197">
      <formula>Y$9&lt;8/24</formula>
    </cfRule>
  </conditionalFormatting>
  <conditionalFormatting sqref="L14:Q14">
    <cfRule type="expression" dxfId="8379" priority="190">
      <formula>L$9&gt;=20/24</formula>
    </cfRule>
    <cfRule type="expression" dxfId="8378" priority="191">
      <formula>AND(L$9&gt;=14/24,L$9&lt;20/24)</formula>
    </cfRule>
    <cfRule type="expression" dxfId="8377" priority="192">
      <formula>AND(L$9&gt;=8/24,L$9&lt;14/24)</formula>
    </cfRule>
    <cfRule type="expression" dxfId="8376" priority="193">
      <formula>L$9&lt;8/24</formula>
    </cfRule>
  </conditionalFormatting>
  <conditionalFormatting sqref="D14:Q14 Y14:AF14">
    <cfRule type="expression" dxfId="8375" priority="189">
      <formula>D14&gt;$AG14</formula>
    </cfRule>
  </conditionalFormatting>
  <conditionalFormatting sqref="A14">
    <cfRule type="expression" dxfId="8374" priority="188">
      <formula>$AH14=0</formula>
    </cfRule>
  </conditionalFormatting>
  <conditionalFormatting sqref="A161:A166">
    <cfRule type="expression" dxfId="8373" priority="187">
      <formula>$AH161=0</formula>
    </cfRule>
  </conditionalFormatting>
  <conditionalFormatting sqref="A155:A160">
    <cfRule type="expression" dxfId="8372" priority="186">
      <formula>$AH155=0</formula>
    </cfRule>
  </conditionalFormatting>
  <conditionalFormatting sqref="Y42:AD42">
    <cfRule type="expression" dxfId="8371" priority="182">
      <formula>Y$9&gt;=20/24</formula>
    </cfRule>
    <cfRule type="expression" dxfId="8370" priority="183">
      <formula>AND(Y$9&gt;=14/24,Y$9&lt;20/24)</formula>
    </cfRule>
    <cfRule type="expression" dxfId="8369" priority="184">
      <formula>AND(Y$9&gt;=8/24,Y$9&lt;14/24)</formula>
    </cfRule>
    <cfRule type="expression" dxfId="8368" priority="185">
      <formula>Y$9&lt;8/24</formula>
    </cfRule>
  </conditionalFormatting>
  <conditionalFormatting sqref="L42:Q42">
    <cfRule type="expression" dxfId="8367" priority="178">
      <formula>L$9&gt;=20/24</formula>
    </cfRule>
    <cfRule type="expression" dxfId="8366" priority="179">
      <formula>AND(L$9&gt;=14/24,L$9&lt;20/24)</formula>
    </cfRule>
    <cfRule type="expression" dxfId="8365" priority="180">
      <formula>AND(L$9&gt;=8/24,L$9&lt;14/24)</formula>
    </cfRule>
    <cfRule type="expression" dxfId="8364" priority="181">
      <formula>L$9&lt;8/24</formula>
    </cfRule>
  </conditionalFormatting>
  <conditionalFormatting sqref="R42:X42">
    <cfRule type="expression" dxfId="8363" priority="174">
      <formula>R$9&gt;=20/24</formula>
    </cfRule>
    <cfRule type="expression" dxfId="8362" priority="175">
      <formula>AND(R$9&gt;=14/24,R$9&lt;20/24)</formula>
    </cfRule>
    <cfRule type="expression" dxfId="8361" priority="176">
      <formula>AND(R$9&gt;=8/24,R$9&lt;14/24)</formula>
    </cfRule>
    <cfRule type="expression" dxfId="8360" priority="177">
      <formula>R$9&lt;8/24</formula>
    </cfRule>
  </conditionalFormatting>
  <conditionalFormatting sqref="L42:AF42">
    <cfRule type="expression" dxfId="8359" priority="173">
      <formula>L42&gt;$AG42</formula>
    </cfRule>
  </conditionalFormatting>
  <conditionalFormatting sqref="A42">
    <cfRule type="expression" dxfId="8358" priority="172">
      <formula>$AH42=0</formula>
    </cfRule>
  </conditionalFormatting>
  <conditionalFormatting sqref="B77:AF77">
    <cfRule type="expression" dxfId="8357" priority="168">
      <formula>B$9&gt;=20/24</formula>
    </cfRule>
    <cfRule type="expression" dxfId="8356" priority="169">
      <formula>AND(B$9&gt;=14/24,B$9&lt;20/24)</formula>
    </cfRule>
    <cfRule type="expression" dxfId="8355" priority="170">
      <formula>AND(B$9&gt;=8/24,B$9&lt;14/24)</formula>
    </cfRule>
    <cfRule type="expression" dxfId="8354" priority="171">
      <formula>B$9&lt;8/24</formula>
    </cfRule>
  </conditionalFormatting>
  <conditionalFormatting sqref="A77">
    <cfRule type="expression" dxfId="8353" priority="167">
      <formula>$AH77=0</formula>
    </cfRule>
  </conditionalFormatting>
  <conditionalFormatting sqref="B71:AG71">
    <cfRule type="expression" dxfId="8352" priority="163">
      <formula>B$9&gt;=20/24</formula>
    </cfRule>
    <cfRule type="expression" dxfId="8351" priority="164">
      <formula>AND(B$9&gt;=14/24,B$9&lt;20/24)</formula>
    </cfRule>
    <cfRule type="expression" dxfId="8350" priority="165">
      <formula>AND(B$9&gt;=8/24,B$9&lt;14/24)</formula>
    </cfRule>
    <cfRule type="expression" dxfId="8349" priority="166">
      <formula>B$9&lt;8/24</formula>
    </cfRule>
  </conditionalFormatting>
  <conditionalFormatting sqref="A71">
    <cfRule type="expression" dxfId="8348" priority="162">
      <formula>$AH71=0</formula>
    </cfRule>
  </conditionalFormatting>
  <conditionalFormatting sqref="AL32:AL33 AL7:AL30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8347" priority="154">
      <formula>T$9&gt;=20/24</formula>
    </cfRule>
    <cfRule type="expression" dxfId="8346" priority="155">
      <formula>AND(T$9&gt;=14/24,T$9&lt;20/24)</formula>
    </cfRule>
    <cfRule type="expression" dxfId="8345" priority="156">
      <formula>AND(T$9&gt;=8/24,T$9&lt;14/24)</formula>
    </cfRule>
    <cfRule type="expression" dxfId="8344" priority="157">
      <formula>T$9&lt;8/24</formula>
    </cfRule>
  </conditionalFormatting>
  <conditionalFormatting sqref="R83:S89 B82:Q89">
    <cfRule type="expression" dxfId="8343" priority="150">
      <formula>B$9&gt;=20/24</formula>
    </cfRule>
    <cfRule type="expression" dxfId="8342" priority="151">
      <formula>AND(B$9&gt;=14/24,B$9&lt;20/24)</formula>
    </cfRule>
    <cfRule type="expression" dxfId="8341" priority="152">
      <formula>AND(B$9&gt;=8/24,B$9&lt;14/24)</formula>
    </cfRule>
    <cfRule type="expression" dxfId="8340" priority="153">
      <formula>B$9&lt;8/24</formula>
    </cfRule>
  </conditionalFormatting>
  <conditionalFormatting sqref="R82:S82">
    <cfRule type="expression" dxfId="8339" priority="146">
      <formula>R$9&gt;=20/24</formula>
    </cfRule>
    <cfRule type="expression" dxfId="8338" priority="147">
      <formula>AND(R$9&gt;=14/24,R$9&lt;20/24)</formula>
    </cfRule>
    <cfRule type="expression" dxfId="8337" priority="148">
      <formula>AND(R$9&gt;=8/24,R$9&lt;14/24)</formula>
    </cfRule>
    <cfRule type="expression" dxfId="8336" priority="149">
      <formula>R$9&lt;8/24</formula>
    </cfRule>
  </conditionalFormatting>
  <conditionalFormatting sqref="B93:L95 B92:E92">
    <cfRule type="expression" dxfId="8335" priority="142">
      <formula>B$9&gt;=20/24</formula>
    </cfRule>
    <cfRule type="expression" dxfId="8334" priority="143">
      <formula>AND(B$9&gt;=14/24,B$9&lt;20/24)</formula>
    </cfRule>
    <cfRule type="expression" dxfId="8333" priority="144">
      <formula>AND(B$9&gt;=8/24,B$9&lt;14/24)</formula>
    </cfRule>
    <cfRule type="expression" dxfId="8332" priority="145">
      <formula>B$9&lt;8/24</formula>
    </cfRule>
  </conditionalFormatting>
  <conditionalFormatting sqref="M93:Q95 N92:Q92">
    <cfRule type="expression" dxfId="8331" priority="138">
      <formula>M$9&gt;=20/24</formula>
    </cfRule>
    <cfRule type="expression" dxfId="8330" priority="139">
      <formula>AND(M$9&gt;=14/24,M$9&lt;20/24)</formula>
    </cfRule>
    <cfRule type="expression" dxfId="8329" priority="140">
      <formula>AND(M$9&gt;=8/24,M$9&lt;14/24)</formula>
    </cfRule>
    <cfRule type="expression" dxfId="8328" priority="141">
      <formula>M$9&lt;8/24</formula>
    </cfRule>
  </conditionalFormatting>
  <conditionalFormatting sqref="R92:S95">
    <cfRule type="expression" dxfId="8327" priority="134">
      <formula>R$9&gt;=20/24</formula>
    </cfRule>
    <cfRule type="expression" dxfId="8326" priority="135">
      <formula>AND(R$9&gt;=14/24,R$9&lt;20/24)</formula>
    </cfRule>
    <cfRule type="expression" dxfId="8325" priority="136">
      <formula>AND(R$9&gt;=8/24,R$9&lt;14/24)</formula>
    </cfRule>
    <cfRule type="expression" dxfId="8324" priority="137">
      <formula>R$9&lt;8/24</formula>
    </cfRule>
  </conditionalFormatting>
  <conditionalFormatting sqref="B96:L96">
    <cfRule type="expression" dxfId="8323" priority="130">
      <formula>B$9&gt;=20/24</formula>
    </cfRule>
    <cfRule type="expression" dxfId="8322" priority="131">
      <formula>AND(B$9&gt;=14/24,B$9&lt;20/24)</formula>
    </cfRule>
    <cfRule type="expression" dxfId="8321" priority="132">
      <formula>AND(B$9&gt;=8/24,B$9&lt;14/24)</formula>
    </cfRule>
    <cfRule type="expression" dxfId="8320" priority="133">
      <formula>B$9&lt;8/24</formula>
    </cfRule>
  </conditionalFormatting>
  <conditionalFormatting sqref="M96:Q96">
    <cfRule type="expression" dxfId="8319" priority="126">
      <formula>M$9&gt;=20/24</formula>
    </cfRule>
    <cfRule type="expression" dxfId="8318" priority="127">
      <formula>AND(M$9&gt;=14/24,M$9&lt;20/24)</formula>
    </cfRule>
    <cfRule type="expression" dxfId="8317" priority="128">
      <formula>AND(M$9&gt;=8/24,M$9&lt;14/24)</formula>
    </cfRule>
    <cfRule type="expression" dxfId="8316" priority="129">
      <formula>M$9&lt;8/24</formula>
    </cfRule>
  </conditionalFormatting>
  <conditionalFormatting sqref="R96:S96">
    <cfRule type="expression" dxfId="8315" priority="122">
      <formula>R$9&gt;=20/24</formula>
    </cfRule>
    <cfRule type="expression" dxfId="8314" priority="123">
      <formula>AND(R$9&gt;=14/24,R$9&lt;20/24)</formula>
    </cfRule>
    <cfRule type="expression" dxfId="8313" priority="124">
      <formula>AND(R$9&gt;=8/24,R$9&lt;14/24)</formula>
    </cfRule>
    <cfRule type="expression" dxfId="8312" priority="125">
      <formula>R$9&lt;8/24</formula>
    </cfRule>
  </conditionalFormatting>
  <conditionalFormatting sqref="L92:M92">
    <cfRule type="expression" dxfId="8311" priority="118">
      <formula>L$9&gt;=20/24</formula>
    </cfRule>
    <cfRule type="expression" dxfId="8310" priority="119">
      <formula>AND(L$9&gt;=14/24,L$9&lt;20/24)</formula>
    </cfRule>
    <cfRule type="expression" dxfId="8309" priority="120">
      <formula>AND(L$9&gt;=8/24,L$9&lt;14/24)</formula>
    </cfRule>
    <cfRule type="expression" dxfId="8308" priority="121">
      <formula>L$9&lt;8/24</formula>
    </cfRule>
  </conditionalFormatting>
  <conditionalFormatting sqref="F92:K92">
    <cfRule type="expression" dxfId="8307" priority="114">
      <formula>F$9&gt;=20/24</formula>
    </cfRule>
    <cfRule type="expression" dxfId="8306" priority="115">
      <formula>AND(F$9&gt;=14/24,F$9&lt;20/24)</formula>
    </cfRule>
    <cfRule type="expression" dxfId="8305" priority="116">
      <formula>AND(F$9&gt;=8/24,F$9&lt;14/24)</formula>
    </cfRule>
    <cfRule type="expression" dxfId="8304" priority="117">
      <formula>F$9&lt;8/24</formula>
    </cfRule>
  </conditionalFormatting>
  <conditionalFormatting sqref="T92:V92">
    <cfRule type="expression" dxfId="8303" priority="110">
      <formula>T$9&gt;=20/24</formula>
    </cfRule>
    <cfRule type="expression" dxfId="8302" priority="111">
      <formula>AND(T$9&gt;=14/24,T$9&lt;20/24)</formula>
    </cfRule>
    <cfRule type="expression" dxfId="8301" priority="112">
      <formula>AND(T$9&gt;=8/24,T$9&lt;14/24)</formula>
    </cfRule>
    <cfRule type="expression" dxfId="8300" priority="113">
      <formula>T$9&lt;8/24</formula>
    </cfRule>
  </conditionalFormatting>
  <conditionalFormatting sqref="M92:S92">
    <cfRule type="expression" dxfId="8299" priority="106">
      <formula>M$9&gt;=20/24</formula>
    </cfRule>
    <cfRule type="expression" dxfId="8298" priority="107">
      <formula>AND(M$9&gt;=14/24,M$9&lt;20/24)</formula>
    </cfRule>
    <cfRule type="expression" dxfId="8297" priority="108">
      <formula>AND(M$9&gt;=8/24,M$9&lt;14/24)</formula>
    </cfRule>
    <cfRule type="expression" dxfId="8296" priority="109">
      <formula>M$9&lt;8/24</formula>
    </cfRule>
  </conditionalFormatting>
  <conditionalFormatting sqref="AA97:AF97">
    <cfRule type="expression" dxfId="8295" priority="102">
      <formula>AA$9&gt;=20/24</formula>
    </cfRule>
    <cfRule type="expression" dxfId="8294" priority="103">
      <formula>AND(AA$9&gt;=14/24,AA$9&lt;20/24)</formula>
    </cfRule>
    <cfRule type="expression" dxfId="8293" priority="104">
      <formula>AND(AA$9&gt;=8/24,AA$9&lt;14/24)</formula>
    </cfRule>
    <cfRule type="expression" dxfId="8292" priority="105">
      <formula>AA$9&lt;8/24</formula>
    </cfRule>
  </conditionalFormatting>
  <conditionalFormatting sqref="T97:Z97">
    <cfRule type="expression" dxfId="8291" priority="98">
      <formula>T$9&gt;=20/24</formula>
    </cfRule>
    <cfRule type="expression" dxfId="8290" priority="99">
      <formula>AND(T$9&gt;=14/24,T$9&lt;20/24)</formula>
    </cfRule>
    <cfRule type="expression" dxfId="8289" priority="100">
      <formula>AND(T$9&gt;=8/24,T$9&lt;14/24)</formula>
    </cfRule>
    <cfRule type="expression" dxfId="8288" priority="101">
      <formula>T$9&lt;8/24</formula>
    </cfRule>
  </conditionalFormatting>
  <conditionalFormatting sqref="A97">
    <cfRule type="expression" dxfId="8287" priority="97">
      <formula>$AH97=0</formula>
    </cfRule>
  </conditionalFormatting>
  <conditionalFormatting sqref="B97:L97">
    <cfRule type="expression" dxfId="8286" priority="93">
      <formula>B$9&gt;=20/24</formula>
    </cfRule>
    <cfRule type="expression" dxfId="8285" priority="94">
      <formula>AND(B$9&gt;=14/24,B$9&lt;20/24)</formula>
    </cfRule>
    <cfRule type="expression" dxfId="8284" priority="95">
      <formula>AND(B$9&gt;=8/24,B$9&lt;14/24)</formula>
    </cfRule>
    <cfRule type="expression" dxfId="8283" priority="96">
      <formula>B$9&lt;8/24</formula>
    </cfRule>
  </conditionalFormatting>
  <conditionalFormatting sqref="M97:Q97">
    <cfRule type="expression" dxfId="8282" priority="89">
      <formula>M$9&gt;=20/24</formula>
    </cfRule>
    <cfRule type="expression" dxfId="8281" priority="90">
      <formula>AND(M$9&gt;=14/24,M$9&lt;20/24)</formula>
    </cfRule>
    <cfRule type="expression" dxfId="8280" priority="91">
      <formula>AND(M$9&gt;=8/24,M$9&lt;14/24)</formula>
    </cfRule>
    <cfRule type="expression" dxfId="8279" priority="92">
      <formula>M$9&lt;8/24</formula>
    </cfRule>
  </conditionalFormatting>
  <conditionalFormatting sqref="R97:S97">
    <cfRule type="expression" dxfId="8278" priority="85">
      <formula>R$9&gt;=20/24</formula>
    </cfRule>
    <cfRule type="expression" dxfId="8277" priority="86">
      <formula>AND(R$9&gt;=14/24,R$9&lt;20/24)</formula>
    </cfRule>
    <cfRule type="expression" dxfId="8276" priority="87">
      <formula>AND(R$9&gt;=8/24,R$9&lt;14/24)</formula>
    </cfRule>
    <cfRule type="expression" dxfId="8275" priority="88">
      <formula>R$9&lt;8/24</formula>
    </cfRule>
  </conditionalFormatting>
  <conditionalFormatting sqref="R12:X15">
    <cfRule type="expression" dxfId="8274" priority="81">
      <formula>R$9&gt;=20/24</formula>
    </cfRule>
    <cfRule type="expression" dxfId="8273" priority="82">
      <formula>AND(R$9&gt;=14/24,R$9&lt;20/24)</formula>
    </cfRule>
    <cfRule type="expression" dxfId="8272" priority="83">
      <formula>AND(R$9&gt;=8/24,R$9&lt;14/24)</formula>
    </cfRule>
    <cfRule type="expression" dxfId="8271" priority="84">
      <formula>R$9&lt;8/24</formula>
    </cfRule>
  </conditionalFormatting>
  <conditionalFormatting sqref="R16:X16">
    <cfRule type="expression" dxfId="8270" priority="77">
      <formula>R$9&gt;=20/24</formula>
    </cfRule>
    <cfRule type="expression" dxfId="8269" priority="78">
      <formula>AND(R$9&gt;=14/24,R$9&lt;20/24)</formula>
    </cfRule>
    <cfRule type="expression" dxfId="8268" priority="79">
      <formula>AND(R$9&gt;=8/24,R$9&lt;14/24)</formula>
    </cfRule>
    <cfRule type="expression" dxfId="8267" priority="80">
      <formula>R$9&lt;8/24</formula>
    </cfRule>
  </conditionalFormatting>
  <conditionalFormatting sqref="R12:X12">
    <cfRule type="expression" dxfId="8266" priority="73">
      <formula>R$9&gt;=20/24</formula>
    </cfRule>
    <cfRule type="expression" dxfId="8265" priority="74">
      <formula>AND(R$9&gt;=14/24,R$9&lt;20/24)</formula>
    </cfRule>
    <cfRule type="expression" dxfId="8264" priority="75">
      <formula>AND(R$9&gt;=8/24,R$9&lt;14/24)</formula>
    </cfRule>
    <cfRule type="expression" dxfId="8263" priority="76">
      <formula>R$9&lt;8/24</formula>
    </cfRule>
  </conditionalFormatting>
  <conditionalFormatting sqref="AA56:AD57">
    <cfRule type="expression" dxfId="8262" priority="69">
      <formula>AA$9&gt;=20/24</formula>
    </cfRule>
    <cfRule type="expression" dxfId="8261" priority="70">
      <formula>AND(AA$9&gt;=14/24,AA$9&lt;20/24)</formula>
    </cfRule>
    <cfRule type="expression" dxfId="8260" priority="71">
      <formula>AND(AA$9&gt;=8/24,AA$9&lt;14/24)</formula>
    </cfRule>
    <cfRule type="expression" dxfId="8259" priority="72">
      <formula>AA$9&lt;8/24</formula>
    </cfRule>
  </conditionalFormatting>
  <conditionalFormatting sqref="B11:C11 B17:C29 D19:K29">
    <cfRule type="expression" dxfId="8258" priority="65">
      <formula>B$9&gt;=20/24</formula>
    </cfRule>
    <cfRule type="expression" dxfId="8257" priority="66">
      <formula>AND(B$9&gt;=14/24,B$9&lt;20/24)</formula>
    </cfRule>
    <cfRule type="expression" dxfId="8256" priority="67">
      <formula>AND(B$9&gt;=8/24,B$9&lt;14/24)</formula>
    </cfRule>
    <cfRule type="expression" dxfId="8255" priority="68">
      <formula>B$9&lt;8/24</formula>
    </cfRule>
  </conditionalFormatting>
  <conditionalFormatting sqref="B30:K31 B33:K33">
    <cfRule type="expression" dxfId="8254" priority="61">
      <formula>B$9&gt;=20/24</formula>
    </cfRule>
    <cfRule type="expression" dxfId="8253" priority="62">
      <formula>AND(B$9&gt;=14/24,B$9&lt;20/24)</formula>
    </cfRule>
    <cfRule type="expression" dxfId="8252" priority="63">
      <formula>AND(B$9&gt;=8/24,B$9&lt;14/24)</formula>
    </cfRule>
    <cfRule type="expression" dxfId="8251" priority="64">
      <formula>B$9&lt;8/24</formula>
    </cfRule>
  </conditionalFormatting>
  <conditionalFormatting sqref="B33:B35 B11:C11 B17:C31 C33:K34 D19:K31">
    <cfRule type="expression" dxfId="8250" priority="60">
      <formula>B11&gt;$AG11</formula>
    </cfRule>
  </conditionalFormatting>
  <conditionalFormatting sqref="B34:K34">
    <cfRule type="expression" dxfId="8249" priority="56">
      <formula>B$9&gt;=20/24</formula>
    </cfRule>
    <cfRule type="expression" dxfId="8248" priority="57">
      <formula>AND(B$9&gt;=14/24,B$9&lt;20/24)</formula>
    </cfRule>
    <cfRule type="expression" dxfId="8247" priority="58">
      <formula>AND(B$9&gt;=8/24,B$9&lt;14/24)</formula>
    </cfRule>
    <cfRule type="expression" dxfId="8246" priority="59">
      <formula>B$9&lt;8/24</formula>
    </cfRule>
  </conditionalFormatting>
  <conditionalFormatting sqref="B34:K34">
    <cfRule type="expression" dxfId="8245" priority="52">
      <formula>B$9&gt;=20/24</formula>
    </cfRule>
    <cfRule type="expression" dxfId="8244" priority="53">
      <formula>AND(B$9&gt;=14/24,B$9&lt;20/24)</formula>
    </cfRule>
    <cfRule type="expression" dxfId="8243" priority="54">
      <formula>AND(B$9&gt;=8/24,B$9&lt;14/24)</formula>
    </cfRule>
    <cfRule type="expression" dxfId="8242" priority="55">
      <formula>B$9&lt;8/24</formula>
    </cfRule>
  </conditionalFormatting>
  <conditionalFormatting sqref="B32:K32">
    <cfRule type="expression" dxfId="8241" priority="48">
      <formula>B$9&gt;=20/24</formula>
    </cfRule>
    <cfRule type="expression" dxfId="8240" priority="49">
      <formula>AND(B$9&gt;=14/24,B$9&lt;20/24)</formula>
    </cfRule>
    <cfRule type="expression" dxfId="8239" priority="50">
      <formula>AND(B$9&gt;=8/24,B$9&lt;14/24)</formula>
    </cfRule>
    <cfRule type="expression" dxfId="8238" priority="51">
      <formula>B$9&lt;8/24</formula>
    </cfRule>
  </conditionalFormatting>
  <conditionalFormatting sqref="B32:K32">
    <cfRule type="expression" dxfId="8237" priority="47">
      <formula>B32&gt;$AG32</formula>
    </cfRule>
  </conditionalFormatting>
  <conditionalFormatting sqref="B12:C15">
    <cfRule type="expression" dxfId="8236" priority="43">
      <formula>B$9&gt;=20/24</formula>
    </cfRule>
    <cfRule type="expression" dxfId="8235" priority="44">
      <formula>AND(B$9&gt;=14/24,B$9&lt;20/24)</formula>
    </cfRule>
    <cfRule type="expression" dxfId="8234" priority="45">
      <formula>AND(B$9&gt;=8/24,B$9&lt;14/24)</formula>
    </cfRule>
    <cfRule type="expression" dxfId="8233" priority="46">
      <formula>B$9&lt;8/24</formula>
    </cfRule>
  </conditionalFormatting>
  <conditionalFormatting sqref="B16:C16">
    <cfRule type="expression" dxfId="8232" priority="39">
      <formula>B$9&gt;=20/24</formula>
    </cfRule>
    <cfRule type="expression" dxfId="8231" priority="40">
      <formula>AND(B$9&gt;=14/24,B$9&lt;20/24)</formula>
    </cfRule>
    <cfRule type="expression" dxfId="8230" priority="41">
      <formula>AND(B$9&gt;=8/24,B$9&lt;14/24)</formula>
    </cfRule>
    <cfRule type="expression" dxfId="8229" priority="42">
      <formula>B$9&lt;8/24</formula>
    </cfRule>
  </conditionalFormatting>
  <conditionalFormatting sqref="B12:C12">
    <cfRule type="expression" dxfId="8228" priority="35">
      <formula>B$9&gt;=20/24</formula>
    </cfRule>
    <cfRule type="expression" dxfId="8227" priority="36">
      <formula>AND(B$9&gt;=14/24,B$9&lt;20/24)</formula>
    </cfRule>
    <cfRule type="expression" dxfId="8226" priority="37">
      <formula>AND(B$9&gt;=8/24,B$9&lt;14/24)</formula>
    </cfRule>
    <cfRule type="expression" dxfId="8225" priority="38">
      <formula>B$9&lt;8/24</formula>
    </cfRule>
  </conditionalFormatting>
  <conditionalFormatting sqref="B38:D40">
    <cfRule type="expression" dxfId="8224" priority="31">
      <formula>B$9&gt;=20/24</formula>
    </cfRule>
    <cfRule type="expression" dxfId="8223" priority="32">
      <formula>AND(B$9&gt;=14/24,B$9&lt;20/24)</formula>
    </cfRule>
    <cfRule type="expression" dxfId="8222" priority="33">
      <formula>AND(B$9&gt;=8/24,B$9&lt;14/24)</formula>
    </cfRule>
    <cfRule type="expression" dxfId="8221" priority="34">
      <formula>B$9&lt;8/24</formula>
    </cfRule>
  </conditionalFormatting>
  <conditionalFormatting sqref="B37:D37">
    <cfRule type="expression" dxfId="8220" priority="27">
      <formula>B$9&gt;=20/24</formula>
    </cfRule>
    <cfRule type="expression" dxfId="8219" priority="28">
      <formula>AND(B$9&gt;=14/24,B$9&lt;20/24)</formula>
    </cfRule>
    <cfRule type="expression" dxfId="8218" priority="29">
      <formula>AND(B$9&gt;=8/24,B$9&lt;14/24)</formula>
    </cfRule>
    <cfRule type="expression" dxfId="8217" priority="30">
      <formula>B$9&lt;8/24</formula>
    </cfRule>
  </conditionalFormatting>
  <conditionalFormatting sqref="B41:D41 B43:K46">
    <cfRule type="expression" dxfId="8216" priority="23">
      <formula>B$9&gt;=20/24</formula>
    </cfRule>
    <cfRule type="expression" dxfId="8215" priority="24">
      <formula>AND(B$9&gt;=14/24,B$9&lt;20/24)</formula>
    </cfRule>
    <cfRule type="expression" dxfId="8214" priority="25">
      <formula>AND(B$9&gt;=8/24,B$9&lt;14/24)</formula>
    </cfRule>
    <cfRule type="expression" dxfId="8213" priority="26">
      <formula>B$9&lt;8/24</formula>
    </cfRule>
  </conditionalFormatting>
  <conditionalFormatting sqref="B47:K47">
    <cfRule type="expression" dxfId="8212" priority="19">
      <formula>B$9&gt;=20/24</formula>
    </cfRule>
    <cfRule type="expression" dxfId="8211" priority="20">
      <formula>AND(B$9&gt;=14/24,B$9&lt;20/24)</formula>
    </cfRule>
    <cfRule type="expression" dxfId="8210" priority="21">
      <formula>AND(B$9&gt;=8/24,B$9&lt;14/24)</formula>
    </cfRule>
    <cfRule type="expression" dxfId="8209" priority="22">
      <formula>B$9&lt;8/24</formula>
    </cfRule>
  </conditionalFormatting>
  <conditionalFormatting sqref="B48:K48">
    <cfRule type="expression" dxfId="8208" priority="15">
      <formula>B$9&gt;=20/24</formula>
    </cfRule>
    <cfRule type="expression" dxfId="8207" priority="16">
      <formula>AND(B$9&gt;=14/24,B$9&lt;20/24)</formula>
    </cfRule>
    <cfRule type="expression" dxfId="8206" priority="17">
      <formula>AND(B$9&gt;=8/24,B$9&lt;14/24)</formula>
    </cfRule>
    <cfRule type="expression" dxfId="8205" priority="18">
      <formula>B$9&lt;8/24</formula>
    </cfRule>
  </conditionalFormatting>
  <conditionalFormatting sqref="B43:B49 B37:D41 C43:K48">
    <cfRule type="expression" dxfId="8204" priority="14">
      <formula>B37&gt;$AG37</formula>
    </cfRule>
  </conditionalFormatting>
  <conditionalFormatting sqref="B42:K42">
    <cfRule type="expression" dxfId="8203" priority="10">
      <formula>B$9&gt;=20/24</formula>
    </cfRule>
    <cfRule type="expression" dxfId="8202" priority="11">
      <formula>AND(B$9&gt;=14/24,B$9&lt;20/24)</formula>
    </cfRule>
    <cfRule type="expression" dxfId="8201" priority="12">
      <formula>AND(B$9&gt;=8/24,B$9&lt;14/24)</formula>
    </cfRule>
    <cfRule type="expression" dxfId="8200" priority="13">
      <formula>B$9&lt;8/24</formula>
    </cfRule>
  </conditionalFormatting>
  <conditionalFormatting sqref="B42:K42">
    <cfRule type="expression" dxfId="8199" priority="9">
      <formula>B42&gt;$AG42</formula>
    </cfRule>
  </conditionalFormatting>
  <conditionalFormatting sqref="B55:B58">
    <cfRule type="expression" dxfId="8198" priority="5">
      <formula>B$9&gt;=20/24</formula>
    </cfRule>
    <cfRule type="expression" dxfId="8197" priority="6">
      <formula>AND(B$9&gt;=14/24,B$9&lt;20/24)</formula>
    </cfRule>
    <cfRule type="expression" dxfId="8196" priority="7">
      <formula>AND(B$9&gt;=8/24,B$9&lt;14/24)</formula>
    </cfRule>
    <cfRule type="expression" dxfId="8195" priority="8">
      <formula>B$9&lt;8/24</formula>
    </cfRule>
  </conditionalFormatting>
  <conditionalFormatting sqref="B59:B65">
    <cfRule type="expression" dxfId="8194" priority="1">
      <formula>B$9&gt;=20/24</formula>
    </cfRule>
    <cfRule type="expression" dxfId="8193" priority="2">
      <formula>AND(B$9&gt;=14/24,B$9&lt;20/24)</formula>
    </cfRule>
    <cfRule type="expression" dxfId="8192" priority="3">
      <formula>AND(B$9&gt;=8/24,B$9&lt;14/24)</formula>
    </cfRule>
    <cfRule type="expression" dxfId="8191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I40" sqref="I40"/>
    </sheetView>
  </sheetViews>
  <sheetFormatPr defaultRowHeight="15" x14ac:dyDescent="0.25"/>
  <cols>
    <col min="1" max="1" width="32.85546875" bestFit="1" customWidth="1"/>
    <col min="2" max="2" width="8.28515625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2078/04/9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-183.7</v>
      </c>
      <c r="C5" s="32">
        <f t="shared" ref="C5:AF5" si="0">C66</f>
        <v>-147.5</v>
      </c>
      <c r="D5" s="32">
        <f t="shared" si="0"/>
        <v>-152.9</v>
      </c>
      <c r="E5" s="32">
        <f t="shared" si="0"/>
        <v>-193.7</v>
      </c>
      <c r="F5" s="32">
        <f t="shared" si="0"/>
        <v>-141.69999999999999</v>
      </c>
      <c r="G5" s="32">
        <f t="shared" si="0"/>
        <v>-172.8</v>
      </c>
      <c r="H5" s="32">
        <f t="shared" si="0"/>
        <v>-166.7</v>
      </c>
      <c r="I5" s="32">
        <f t="shared" si="0"/>
        <v>-115.39999999999999</v>
      </c>
      <c r="J5" s="32">
        <f t="shared" si="0"/>
        <v>-97.1</v>
      </c>
      <c r="K5" s="32">
        <f t="shared" si="0"/>
        <v>-129.5</v>
      </c>
      <c r="L5" s="32">
        <f t="shared" si="0"/>
        <v>-115.9</v>
      </c>
      <c r="M5" s="32">
        <f t="shared" si="0"/>
        <v>-98.300000000000011</v>
      </c>
      <c r="N5" s="32">
        <f t="shared" si="0"/>
        <v>-95.4</v>
      </c>
      <c r="O5" s="32">
        <f t="shared" si="0"/>
        <v>-171</v>
      </c>
      <c r="P5" s="32">
        <f t="shared" si="0"/>
        <v>-87.9</v>
      </c>
      <c r="Q5" s="32">
        <f t="shared" si="0"/>
        <v>-65</v>
      </c>
      <c r="R5" s="32">
        <f t="shared" si="0"/>
        <v>-57.2</v>
      </c>
      <c r="S5" s="32">
        <f t="shared" si="0"/>
        <v>-16.2</v>
      </c>
      <c r="T5" s="32">
        <f t="shared" si="0"/>
        <v>-67.2</v>
      </c>
      <c r="U5" s="32">
        <f t="shared" si="0"/>
        <v>-67.2</v>
      </c>
      <c r="V5" s="32">
        <f t="shared" si="0"/>
        <v>-5</v>
      </c>
      <c r="W5" s="32">
        <f t="shared" si="0"/>
        <v>-6</v>
      </c>
      <c r="X5" s="32">
        <f t="shared" si="0"/>
        <v>-151.69999999999999</v>
      </c>
      <c r="Y5" s="32">
        <f t="shared" si="0"/>
        <v>-115.19999999999999</v>
      </c>
      <c r="Z5" s="32">
        <f t="shared" si="0"/>
        <v>0</v>
      </c>
      <c r="AA5" s="32">
        <f t="shared" si="0"/>
        <v>-102.19999999999999</v>
      </c>
      <c r="AB5" s="32">
        <f t="shared" si="0"/>
        <v>-189</v>
      </c>
      <c r="AC5" s="32">
        <f t="shared" si="0"/>
        <v>-164</v>
      </c>
      <c r="AD5" s="32">
        <f t="shared" si="0"/>
        <v>-181</v>
      </c>
      <c r="AE5" s="32">
        <f t="shared" si="0"/>
        <v>-163</v>
      </c>
      <c r="AF5" s="32">
        <f t="shared" si="0"/>
        <v>-191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1212MW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Load=31</v>
      </c>
      <c r="B7" s="37">
        <f t="shared" ref="B7:AF7" si="1">B73</f>
        <v>1233.04</v>
      </c>
      <c r="C7" s="37">
        <f t="shared" si="1"/>
        <v>1167.94</v>
      </c>
      <c r="D7" s="37">
        <f t="shared" si="1"/>
        <v>1173.94</v>
      </c>
      <c r="E7" s="37">
        <f t="shared" si="1"/>
        <v>1130.04</v>
      </c>
      <c r="F7" s="37">
        <f t="shared" si="1"/>
        <v>1145.44</v>
      </c>
      <c r="G7" s="37">
        <f t="shared" si="1"/>
        <v>1133.1400000000001</v>
      </c>
      <c r="H7" s="37">
        <f t="shared" si="1"/>
        <v>1093.44</v>
      </c>
      <c r="I7" s="37">
        <f t="shared" si="1"/>
        <v>1128.54</v>
      </c>
      <c r="J7" s="37">
        <f t="shared" si="1"/>
        <v>1138.1400000000001</v>
      </c>
      <c r="K7" s="37">
        <f t="shared" si="1"/>
        <v>1167.94</v>
      </c>
      <c r="L7" s="37">
        <f>L73</f>
        <v>1187.6399999999999</v>
      </c>
      <c r="M7" s="37">
        <f t="shared" si="1"/>
        <v>1211.54</v>
      </c>
      <c r="N7" s="37">
        <f t="shared" si="1"/>
        <v>1173.3399999999999</v>
      </c>
      <c r="O7" s="37">
        <f t="shared" si="1"/>
        <v>1107.94</v>
      </c>
      <c r="P7" s="37">
        <f t="shared" si="1"/>
        <v>1078.44</v>
      </c>
      <c r="Q7" s="37">
        <f t="shared" si="1"/>
        <v>1092.8399999999999</v>
      </c>
      <c r="R7" s="37">
        <f t="shared" si="1"/>
        <v>1112.04</v>
      </c>
      <c r="S7" s="37">
        <f t="shared" si="1"/>
        <v>1126.44</v>
      </c>
      <c r="T7" s="37">
        <f t="shared" si="1"/>
        <v>1084.74</v>
      </c>
      <c r="U7" s="37">
        <f t="shared" si="1"/>
        <v>1084.74</v>
      </c>
      <c r="V7" s="37">
        <f t="shared" si="1"/>
        <v>1146.94</v>
      </c>
      <c r="W7" s="37">
        <f t="shared" si="1"/>
        <v>1200.44</v>
      </c>
      <c r="X7" s="37">
        <f t="shared" si="1"/>
        <v>1371.94</v>
      </c>
      <c r="Y7" s="37">
        <f t="shared" si="1"/>
        <v>1400.3</v>
      </c>
      <c r="Z7" s="37">
        <f t="shared" si="1"/>
        <v>30.54</v>
      </c>
      <c r="AA7" s="37">
        <f t="shared" si="1"/>
        <v>1325.04</v>
      </c>
      <c r="AB7" s="37">
        <f t="shared" si="1"/>
        <v>1295.54</v>
      </c>
      <c r="AC7" s="37">
        <f t="shared" si="1"/>
        <v>1284.74</v>
      </c>
      <c r="AD7" s="37">
        <f t="shared" si="1"/>
        <v>1241.74</v>
      </c>
      <c r="AE7" s="37">
        <f t="shared" si="1"/>
        <v>1189.74</v>
      </c>
      <c r="AF7" s="37">
        <f t="shared" si="1"/>
        <v>1151.74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300</v>
      </c>
      <c r="C11" s="49">
        <v>300</v>
      </c>
      <c r="D11" s="49">
        <v>300</v>
      </c>
      <c r="E11" s="49">
        <v>300</v>
      </c>
      <c r="F11" s="49">
        <v>270</v>
      </c>
      <c r="G11" s="49">
        <v>285</v>
      </c>
      <c r="H11" s="49">
        <v>285</v>
      </c>
      <c r="I11" s="49">
        <v>285</v>
      </c>
      <c r="J11" s="49">
        <v>280</v>
      </c>
      <c r="K11" s="49">
        <v>280</v>
      </c>
      <c r="L11" s="50">
        <v>290</v>
      </c>
      <c r="M11" s="50">
        <v>305</v>
      </c>
      <c r="N11" s="50">
        <v>305</v>
      </c>
      <c r="O11" s="50">
        <v>315</v>
      </c>
      <c r="P11" s="50">
        <v>235</v>
      </c>
      <c r="Q11" s="50">
        <v>190</v>
      </c>
      <c r="R11" s="52">
        <v>200</v>
      </c>
      <c r="S11" s="52">
        <v>188</v>
      </c>
      <c r="T11" s="52">
        <v>186</v>
      </c>
      <c r="U11" s="52">
        <v>186</v>
      </c>
      <c r="V11" s="52">
        <v>186</v>
      </c>
      <c r="W11" s="52">
        <v>200.2</v>
      </c>
      <c r="X11" s="52">
        <v>378</v>
      </c>
      <c r="Y11" s="53">
        <v>378</v>
      </c>
      <c r="Z11" s="115"/>
      <c r="AA11" s="115">
        <v>380</v>
      </c>
      <c r="AB11" s="115">
        <v>380</v>
      </c>
      <c r="AC11" s="115">
        <v>380</v>
      </c>
      <c r="AD11" s="115">
        <v>380</v>
      </c>
      <c r="AE11" s="49">
        <v>320</v>
      </c>
      <c r="AF11" s="49">
        <v>320</v>
      </c>
      <c r="AG11" s="54">
        <v>456</v>
      </c>
      <c r="AH11" s="55">
        <f>MAX(B11:AF11)</f>
        <v>380</v>
      </c>
      <c r="AI11" s="56">
        <f>MIN(B11:AF11)</f>
        <v>186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50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59">
        <v>50</v>
      </c>
      <c r="S12" s="59">
        <v>50</v>
      </c>
      <c r="T12" s="59">
        <v>50</v>
      </c>
      <c r="U12" s="59">
        <v>50</v>
      </c>
      <c r="V12" s="59">
        <v>50</v>
      </c>
      <c r="W12" s="59">
        <v>60</v>
      </c>
      <c r="X12" s="59">
        <v>60</v>
      </c>
      <c r="Y12" s="50">
        <v>60</v>
      </c>
      <c r="Z12" s="50"/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/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46</v>
      </c>
      <c r="C14" s="62">
        <v>46</v>
      </c>
      <c r="D14" s="62">
        <v>46</v>
      </c>
      <c r="E14" s="62">
        <v>46</v>
      </c>
      <c r="F14" s="62">
        <v>46</v>
      </c>
      <c r="G14" s="62">
        <v>45.8</v>
      </c>
      <c r="H14" s="62">
        <v>45.8</v>
      </c>
      <c r="I14" s="62">
        <v>45.8</v>
      </c>
      <c r="J14" s="62">
        <v>45.8</v>
      </c>
      <c r="K14" s="62">
        <v>45.8</v>
      </c>
      <c r="L14" s="50">
        <v>45.7</v>
      </c>
      <c r="M14" s="50">
        <v>45.7</v>
      </c>
      <c r="N14" s="50">
        <v>45.7</v>
      </c>
      <c r="O14" s="50">
        <v>45.9</v>
      </c>
      <c r="P14" s="50">
        <v>45.6</v>
      </c>
      <c r="Q14" s="50">
        <v>45.6</v>
      </c>
      <c r="R14" s="61">
        <v>46</v>
      </c>
      <c r="S14" s="61">
        <v>46</v>
      </c>
      <c r="T14" s="61">
        <v>45.6</v>
      </c>
      <c r="U14" s="61">
        <v>45.6</v>
      </c>
      <c r="V14" s="61">
        <v>45.6</v>
      </c>
      <c r="W14" s="61">
        <v>23.6</v>
      </c>
      <c r="X14" s="61">
        <v>45.1</v>
      </c>
      <c r="Y14" s="50">
        <v>45.8</v>
      </c>
      <c r="Z14" s="50"/>
      <c r="AA14" s="50">
        <v>45.8</v>
      </c>
      <c r="AB14" s="50">
        <v>45.8</v>
      </c>
      <c r="AC14" s="50">
        <v>45.8</v>
      </c>
      <c r="AD14" s="50">
        <v>45.8</v>
      </c>
      <c r="AE14" s="50">
        <v>45.8</v>
      </c>
      <c r="AF14" s="50">
        <v>45.8</v>
      </c>
      <c r="AG14" s="63">
        <v>45</v>
      </c>
      <c r="AH14" s="55">
        <f t="shared" si="2"/>
        <v>46</v>
      </c>
      <c r="AI14" s="56">
        <f t="shared" si="3"/>
        <v>23.6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28</v>
      </c>
      <c r="Y15" s="50">
        <v>28</v>
      </c>
      <c r="Z15" s="50"/>
      <c r="AA15" s="50">
        <v>28</v>
      </c>
      <c r="AB15" s="50">
        <v>28</v>
      </c>
      <c r="AC15" s="50">
        <v>28</v>
      </c>
      <c r="AD15" s="50">
        <v>28</v>
      </c>
      <c r="AE15" s="50">
        <v>28</v>
      </c>
      <c r="AF15" s="50">
        <v>28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20</v>
      </c>
      <c r="I16" s="49">
        <v>20</v>
      </c>
      <c r="J16" s="49">
        <v>20</v>
      </c>
      <c r="K16" s="49">
        <v>20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/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/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25.2</v>
      </c>
      <c r="E18" s="49">
        <v>25.2</v>
      </c>
      <c r="F18" s="49">
        <v>25.2</v>
      </c>
      <c r="G18" s="49">
        <v>25.2</v>
      </c>
      <c r="H18" s="49">
        <v>25.2</v>
      </c>
      <c r="I18" s="49">
        <v>25.2</v>
      </c>
      <c r="J18" s="49">
        <v>25.2</v>
      </c>
      <c r="K18" s="49">
        <v>25.2</v>
      </c>
      <c r="L18" s="50">
        <v>25.2</v>
      </c>
      <c r="M18" s="50">
        <v>25.1</v>
      </c>
      <c r="N18" s="50">
        <v>25.1</v>
      </c>
      <c r="O18" s="50">
        <v>25.1</v>
      </c>
      <c r="P18" s="50">
        <v>25.2</v>
      </c>
      <c r="Q18" s="50">
        <v>25.2</v>
      </c>
      <c r="R18" s="50">
        <v>25.1</v>
      </c>
      <c r="S18" s="50">
        <v>25.1</v>
      </c>
      <c r="T18" s="50">
        <v>25.1</v>
      </c>
      <c r="U18" s="50">
        <v>25.1</v>
      </c>
      <c r="V18" s="50">
        <v>25.1</v>
      </c>
      <c r="W18" s="50">
        <v>25.1</v>
      </c>
      <c r="X18" s="50">
        <v>25.1</v>
      </c>
      <c r="Y18" s="50">
        <v>25.1</v>
      </c>
      <c r="Z18" s="50"/>
      <c r="AA18" s="50">
        <v>25.1</v>
      </c>
      <c r="AB18" s="50">
        <v>25.1</v>
      </c>
      <c r="AC18" s="50">
        <v>25.1</v>
      </c>
      <c r="AD18" s="50">
        <v>25.1</v>
      </c>
      <c r="AE18" s="50">
        <v>25.1</v>
      </c>
      <c r="AF18" s="50">
        <v>25.1</v>
      </c>
      <c r="AG18" s="60">
        <v>30</v>
      </c>
      <c r="AH18" s="55">
        <f t="shared" si="2"/>
        <v>25.2</v>
      </c>
      <c r="AI18" s="56">
        <f t="shared" si="3"/>
        <v>25.1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/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/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/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/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18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/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18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/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16</v>
      </c>
      <c r="C25" s="49">
        <v>16</v>
      </c>
      <c r="D25" s="49">
        <v>16</v>
      </c>
      <c r="E25" s="49">
        <v>16</v>
      </c>
      <c r="F25" s="49">
        <v>16</v>
      </c>
      <c r="G25" s="49">
        <v>16</v>
      </c>
      <c r="H25" s="49">
        <v>16</v>
      </c>
      <c r="I25" s="49">
        <v>16</v>
      </c>
      <c r="J25" s="49">
        <v>16</v>
      </c>
      <c r="K25" s="49">
        <v>16</v>
      </c>
      <c r="L25" s="50">
        <v>20</v>
      </c>
      <c r="M25" s="50">
        <v>20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20</v>
      </c>
      <c r="Y25" s="50">
        <v>20</v>
      </c>
      <c r="Z25" s="50"/>
      <c r="AA25" s="50">
        <v>20</v>
      </c>
      <c r="AB25" s="50">
        <v>20</v>
      </c>
      <c r="AC25" s="50">
        <v>20</v>
      </c>
      <c r="AD25" s="50">
        <v>20</v>
      </c>
      <c r="AE25" s="50">
        <v>10</v>
      </c>
      <c r="AF25" s="50">
        <v>0</v>
      </c>
      <c r="AG25" s="60">
        <v>20</v>
      </c>
      <c r="AH25" s="55">
        <f t="shared" si="2"/>
        <v>20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/>
      <c r="AA26" s="49">
        <v>14.9</v>
      </c>
      <c r="AB26" s="49">
        <v>14.9</v>
      </c>
      <c r="AC26" s="49">
        <v>14.9</v>
      </c>
      <c r="AD26" s="49">
        <v>14.9</v>
      </c>
      <c r="AE26" s="49">
        <v>14.9</v>
      </c>
      <c r="AF26" s="49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0</v>
      </c>
      <c r="X27" s="50">
        <v>0</v>
      </c>
      <c r="Y27" s="50">
        <v>0</v>
      </c>
      <c r="Z27" s="50"/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0">
        <v>22.2</v>
      </c>
      <c r="AH27" s="55">
        <f t="shared" si="2"/>
        <v>10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12.6</v>
      </c>
      <c r="C28" s="49">
        <v>12.6</v>
      </c>
      <c r="D28" s="49">
        <v>12.6</v>
      </c>
      <c r="E28" s="49">
        <v>12.6</v>
      </c>
      <c r="F28" s="49">
        <v>12.6</v>
      </c>
      <c r="G28" s="49">
        <v>12.6</v>
      </c>
      <c r="H28" s="49">
        <v>12.6</v>
      </c>
      <c r="I28" s="49">
        <v>12.6</v>
      </c>
      <c r="J28" s="49">
        <v>12.6</v>
      </c>
      <c r="K28" s="49">
        <v>12.6</v>
      </c>
      <c r="L28" s="50">
        <v>12.6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/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12.6</v>
      </c>
      <c r="AI28" s="56">
        <f t="shared" si="3"/>
        <v>12.4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12.3</v>
      </c>
      <c r="C29" s="49">
        <v>12.3</v>
      </c>
      <c r="D29" s="49">
        <v>12.3</v>
      </c>
      <c r="E29" s="49">
        <v>12.3</v>
      </c>
      <c r="F29" s="49">
        <v>12.3</v>
      </c>
      <c r="G29" s="49">
        <v>12.3</v>
      </c>
      <c r="H29" s="49">
        <v>12.3</v>
      </c>
      <c r="I29" s="49">
        <v>12.3</v>
      </c>
      <c r="J29" s="49">
        <v>12.3</v>
      </c>
      <c r="K29" s="49">
        <v>12.3</v>
      </c>
      <c r="L29" s="50">
        <v>12.3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/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12.3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/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/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/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/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/>
      <c r="AA34" s="62">
        <v>160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160</v>
      </c>
      <c r="AK34" s="57"/>
    </row>
    <row r="35" spans="1:88" ht="15.75" thickBot="1" x14ac:dyDescent="0.3">
      <c r="A35" s="69" t="s">
        <v>42</v>
      </c>
      <c r="B35" s="62">
        <v>171</v>
      </c>
      <c r="C35" s="62">
        <v>167</v>
      </c>
      <c r="D35" s="62">
        <v>151</v>
      </c>
      <c r="E35" s="62">
        <v>171.9</v>
      </c>
      <c r="F35" s="62">
        <v>171.4</v>
      </c>
      <c r="G35" s="62">
        <v>171.4</v>
      </c>
      <c r="H35" s="62">
        <v>166</v>
      </c>
      <c r="I35" s="62">
        <v>166</v>
      </c>
      <c r="J35" s="62">
        <v>166</v>
      </c>
      <c r="K35" s="62">
        <v>171.4</v>
      </c>
      <c r="L35" s="70">
        <v>170</v>
      </c>
      <c r="M35" s="70">
        <f>74.2+95.1</f>
        <v>169.3</v>
      </c>
      <c r="N35" s="70">
        <f>74.6+95.3</f>
        <v>169.89999999999998</v>
      </c>
      <c r="O35" s="70">
        <f>74.8+95.6</f>
        <v>170.39999999999998</v>
      </c>
      <c r="P35" s="70">
        <f>74.7+96.2</f>
        <v>170.9</v>
      </c>
      <c r="Q35" s="70">
        <f>74.7+95.1</f>
        <v>169.8</v>
      </c>
      <c r="R35" s="70">
        <f>74.9+92.9</f>
        <v>167.8</v>
      </c>
      <c r="S35" s="70">
        <f>89+74.9</f>
        <v>163.9</v>
      </c>
      <c r="T35" s="70">
        <f>92.5+74.9</f>
        <v>167.4</v>
      </c>
      <c r="U35" s="70">
        <f>92.5+74.9</f>
        <v>167.4</v>
      </c>
      <c r="V35" s="70">
        <f>92.5+74.9</f>
        <v>167.4</v>
      </c>
      <c r="W35" s="70">
        <f>93.6+74</f>
        <v>167.6</v>
      </c>
      <c r="X35" s="70">
        <f>93.6+74</f>
        <v>167.6</v>
      </c>
      <c r="Y35" s="70">
        <v>166.7</v>
      </c>
      <c r="Z35" s="70"/>
      <c r="AA35" s="70">
        <f>56.4+55</f>
        <v>111.4</v>
      </c>
      <c r="AB35" s="70">
        <v>167</v>
      </c>
      <c r="AC35" s="70">
        <v>169</v>
      </c>
      <c r="AD35" s="70">
        <v>169</v>
      </c>
      <c r="AE35" s="70">
        <v>170</v>
      </c>
      <c r="AF35" s="70">
        <v>170</v>
      </c>
      <c r="AG35" s="67">
        <v>240</v>
      </c>
      <c r="AH35" s="55">
        <f t="shared" si="2"/>
        <v>171.9</v>
      </c>
      <c r="AI35" s="56">
        <f t="shared" si="3"/>
        <v>111.4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910.19999999999993</v>
      </c>
      <c r="C36" s="72">
        <f t="shared" si="4"/>
        <v>910.19999999999993</v>
      </c>
      <c r="D36" s="72">
        <f t="shared" si="4"/>
        <v>910.19999999999993</v>
      </c>
      <c r="E36" s="72">
        <f t="shared" si="4"/>
        <v>906.19999999999993</v>
      </c>
      <c r="F36" s="72">
        <f t="shared" si="4"/>
        <v>880.19999999999993</v>
      </c>
      <c r="G36" s="72">
        <f t="shared" si="4"/>
        <v>895</v>
      </c>
      <c r="H36" s="72">
        <f t="shared" si="4"/>
        <v>890</v>
      </c>
      <c r="I36" s="72">
        <f t="shared" si="4"/>
        <v>890</v>
      </c>
      <c r="J36" s="72">
        <f t="shared" si="4"/>
        <v>885</v>
      </c>
      <c r="K36" s="72">
        <f t="shared" si="4"/>
        <v>885</v>
      </c>
      <c r="L36" s="72">
        <f t="shared" si="4"/>
        <v>893.89999999999986</v>
      </c>
      <c r="M36" s="72">
        <f>SUM(M11:M34)</f>
        <v>908.3</v>
      </c>
      <c r="N36" s="72">
        <f t="shared" si="4"/>
        <v>898.3</v>
      </c>
      <c r="O36" s="72">
        <f t="shared" si="4"/>
        <v>908.5</v>
      </c>
      <c r="P36" s="72">
        <f t="shared" si="4"/>
        <v>828.3</v>
      </c>
      <c r="Q36" s="72">
        <f t="shared" si="4"/>
        <v>783.3</v>
      </c>
      <c r="R36" s="72">
        <f t="shared" si="4"/>
        <v>793.59999999999991</v>
      </c>
      <c r="S36" s="72">
        <f t="shared" si="4"/>
        <v>781.6</v>
      </c>
      <c r="T36" s="72">
        <f t="shared" si="4"/>
        <v>779.2</v>
      </c>
      <c r="U36" s="72">
        <f t="shared" si="4"/>
        <v>779.2</v>
      </c>
      <c r="V36" s="72">
        <f t="shared" si="4"/>
        <v>779.2</v>
      </c>
      <c r="W36" s="72">
        <f t="shared" si="4"/>
        <v>771.4</v>
      </c>
      <c r="X36" s="72">
        <f t="shared" si="4"/>
        <v>982.7</v>
      </c>
      <c r="Y36" s="72">
        <f t="shared" si="4"/>
        <v>983.4</v>
      </c>
      <c r="Z36" s="72">
        <f t="shared" si="4"/>
        <v>0</v>
      </c>
      <c r="AA36" s="72">
        <f t="shared" si="4"/>
        <v>925.4</v>
      </c>
      <c r="AB36" s="72">
        <f t="shared" si="4"/>
        <v>985.4</v>
      </c>
      <c r="AC36" s="72">
        <f t="shared" si="4"/>
        <v>985.4</v>
      </c>
      <c r="AD36" s="72">
        <f t="shared" si="4"/>
        <v>985.4</v>
      </c>
      <c r="AE36" s="72">
        <f t="shared" si="4"/>
        <v>915.4</v>
      </c>
      <c r="AF36" s="72">
        <f t="shared" si="4"/>
        <v>905.4</v>
      </c>
      <c r="AG36" s="67">
        <f>SUM(AG11:AG35)</f>
        <v>1431.83</v>
      </c>
      <c r="AH36" s="55">
        <f t="shared" si="2"/>
        <v>985.4</v>
      </c>
      <c r="AI36" s="56">
        <f t="shared" si="3"/>
        <v>0</v>
      </c>
      <c r="AK36" s="57"/>
    </row>
    <row r="37" spans="1:88" x14ac:dyDescent="0.25">
      <c r="A37" s="58" t="s">
        <v>44</v>
      </c>
      <c r="B37" s="62">
        <v>144.9</v>
      </c>
      <c r="C37" s="62">
        <v>130</v>
      </c>
      <c r="D37" s="62">
        <v>131.5</v>
      </c>
      <c r="E37" s="62">
        <v>131.30000000000001</v>
      </c>
      <c r="F37" s="62">
        <v>131.30000000000001</v>
      </c>
      <c r="G37" s="62">
        <v>131.1</v>
      </c>
      <c r="H37" s="62">
        <v>131.1</v>
      </c>
      <c r="I37" s="62">
        <v>126.6</v>
      </c>
      <c r="J37" s="62">
        <v>141.30000000000001</v>
      </c>
      <c r="K37" s="62">
        <v>144.19999999999999</v>
      </c>
      <c r="L37" s="50">
        <v>144.1</v>
      </c>
      <c r="M37" s="50">
        <v>136.30000000000001</v>
      </c>
      <c r="N37" s="50">
        <v>111.2</v>
      </c>
      <c r="O37" s="50">
        <v>113.3</v>
      </c>
      <c r="P37" s="50">
        <v>113.2</v>
      </c>
      <c r="Q37" s="50">
        <v>144.30000000000001</v>
      </c>
      <c r="R37" s="50">
        <v>130.9</v>
      </c>
      <c r="S37" s="50">
        <v>107</v>
      </c>
      <c r="T37" s="50">
        <v>106.3</v>
      </c>
      <c r="U37" s="50">
        <v>106.3</v>
      </c>
      <c r="V37" s="50">
        <v>106.3</v>
      </c>
      <c r="W37" s="50">
        <v>144.4</v>
      </c>
      <c r="X37" s="50">
        <v>144.5</v>
      </c>
      <c r="Y37" s="50">
        <v>144.4</v>
      </c>
      <c r="Z37" s="50"/>
      <c r="AA37" s="50">
        <v>144.5</v>
      </c>
      <c r="AB37" s="50">
        <v>144.5</v>
      </c>
      <c r="AC37" s="50">
        <v>144.4</v>
      </c>
      <c r="AD37" s="50">
        <v>144.4</v>
      </c>
      <c r="AE37" s="50">
        <v>144.4</v>
      </c>
      <c r="AF37" s="50">
        <v>144.4</v>
      </c>
      <c r="AG37" s="63">
        <v>144</v>
      </c>
      <c r="AH37" s="55">
        <f t="shared" si="2"/>
        <v>144.9</v>
      </c>
      <c r="AI37" s="56">
        <f t="shared" si="3"/>
        <v>106.3</v>
      </c>
      <c r="AK37" s="57"/>
    </row>
    <row r="38" spans="1:88" x14ac:dyDescent="0.25">
      <c r="A38" s="66" t="s">
        <v>45</v>
      </c>
      <c r="B38" s="62">
        <v>71.099999999999994</v>
      </c>
      <c r="C38" s="62">
        <v>61.1</v>
      </c>
      <c r="D38" s="62">
        <v>70</v>
      </c>
      <c r="E38" s="62">
        <v>71.2</v>
      </c>
      <c r="F38" s="62">
        <v>70.5</v>
      </c>
      <c r="G38" s="62">
        <v>69.7</v>
      </c>
      <c r="H38" s="62">
        <v>70.400000000000006</v>
      </c>
      <c r="I38" s="62">
        <v>50.5</v>
      </c>
      <c r="J38" s="62">
        <v>55.1</v>
      </c>
      <c r="K38" s="62">
        <v>69.900000000000006</v>
      </c>
      <c r="L38" s="52">
        <v>70.7</v>
      </c>
      <c r="M38" s="52">
        <v>71.3</v>
      </c>
      <c r="N38" s="52">
        <v>71</v>
      </c>
      <c r="O38" s="52">
        <v>71.8</v>
      </c>
      <c r="P38" s="52">
        <v>71.7</v>
      </c>
      <c r="Q38" s="52">
        <v>69.099999999999994</v>
      </c>
      <c r="R38" s="52">
        <v>55.1</v>
      </c>
      <c r="S38" s="52">
        <v>55.6</v>
      </c>
      <c r="T38" s="52">
        <v>55.6</v>
      </c>
      <c r="U38" s="52">
        <v>55.6</v>
      </c>
      <c r="V38" s="52">
        <v>55.6</v>
      </c>
      <c r="W38" s="52">
        <v>69.099999999999994</v>
      </c>
      <c r="X38" s="52">
        <v>69.2</v>
      </c>
      <c r="Y38" s="52">
        <v>69.599999999999994</v>
      </c>
      <c r="Z38" s="52"/>
      <c r="AA38" s="52">
        <v>69.5</v>
      </c>
      <c r="AB38" s="52">
        <v>70.3</v>
      </c>
      <c r="AC38" s="52">
        <v>71</v>
      </c>
      <c r="AD38" s="52">
        <v>71</v>
      </c>
      <c r="AE38" s="52">
        <v>71</v>
      </c>
      <c r="AF38" s="52">
        <v>71</v>
      </c>
      <c r="AG38" s="67">
        <v>70</v>
      </c>
      <c r="AH38" s="55">
        <f t="shared" si="2"/>
        <v>71.8</v>
      </c>
      <c r="AI38" s="56">
        <f t="shared" si="3"/>
        <v>50.5</v>
      </c>
      <c r="AK38" s="57"/>
    </row>
    <row r="39" spans="1:88" x14ac:dyDescent="0.25">
      <c r="A39" s="66" t="s">
        <v>46</v>
      </c>
      <c r="B39" s="62">
        <v>68.599999999999994</v>
      </c>
      <c r="C39" s="62">
        <v>62.3</v>
      </c>
      <c r="D39" s="62">
        <v>63.5</v>
      </c>
      <c r="E39" s="62">
        <v>63</v>
      </c>
      <c r="F39" s="62">
        <v>63</v>
      </c>
      <c r="G39" s="62">
        <v>68</v>
      </c>
      <c r="H39" s="62">
        <v>56.8</v>
      </c>
      <c r="I39" s="62">
        <v>65</v>
      </c>
      <c r="J39" s="62">
        <v>49</v>
      </c>
      <c r="K39" s="62">
        <v>68.5</v>
      </c>
      <c r="L39" s="52">
        <v>69.3</v>
      </c>
      <c r="M39" s="52">
        <v>68.400000000000006</v>
      </c>
      <c r="N39" s="52">
        <v>68.7</v>
      </c>
      <c r="O39" s="52">
        <v>68.900000000000006</v>
      </c>
      <c r="P39" s="52">
        <v>68.7</v>
      </c>
      <c r="Q39" s="52">
        <v>67.7</v>
      </c>
      <c r="R39" s="52">
        <v>67.900000000000006</v>
      </c>
      <c r="S39" s="52">
        <v>60.7</v>
      </c>
      <c r="T39" s="52">
        <v>61.8</v>
      </c>
      <c r="U39" s="52">
        <v>61.8</v>
      </c>
      <c r="V39" s="52">
        <v>61.8</v>
      </c>
      <c r="W39" s="52">
        <v>68.5</v>
      </c>
      <c r="X39" s="52">
        <v>68.599999999999994</v>
      </c>
      <c r="Y39" s="52">
        <v>68.099999999999994</v>
      </c>
      <c r="Z39" s="52"/>
      <c r="AA39" s="52">
        <v>68.2</v>
      </c>
      <c r="AB39" s="52">
        <v>68.400000000000006</v>
      </c>
      <c r="AC39" s="52">
        <v>68.400000000000006</v>
      </c>
      <c r="AD39" s="52">
        <v>68.400000000000006</v>
      </c>
      <c r="AE39" s="52">
        <v>68.400000000000006</v>
      </c>
      <c r="AF39" s="52">
        <v>68.400000000000006</v>
      </c>
      <c r="AG39" s="67">
        <v>69</v>
      </c>
      <c r="AH39" s="55">
        <f t="shared" si="2"/>
        <v>69.3</v>
      </c>
      <c r="AI39" s="56">
        <f t="shared" si="3"/>
        <v>49</v>
      </c>
      <c r="AK39" s="57"/>
    </row>
    <row r="40" spans="1:88" x14ac:dyDescent="0.25">
      <c r="A40" s="66" t="s">
        <v>47</v>
      </c>
      <c r="B40" s="62">
        <v>60</v>
      </c>
      <c r="C40" s="62">
        <v>60</v>
      </c>
      <c r="D40" s="62">
        <v>60</v>
      </c>
      <c r="E40" s="62">
        <v>60.4</v>
      </c>
      <c r="F40" s="62">
        <v>50.5</v>
      </c>
      <c r="G40" s="62">
        <v>50.5</v>
      </c>
      <c r="H40" s="62">
        <v>20.2</v>
      </c>
      <c r="I40" s="62">
        <v>20.2</v>
      </c>
      <c r="J40" s="62">
        <v>20.2</v>
      </c>
      <c r="K40" s="62">
        <v>60.9</v>
      </c>
      <c r="L40" s="52">
        <v>60.4</v>
      </c>
      <c r="M40" s="52">
        <v>60.4</v>
      </c>
      <c r="N40" s="52">
        <v>60.7</v>
      </c>
      <c r="O40" s="52">
        <v>60.7</v>
      </c>
      <c r="P40" s="52">
        <v>60.7</v>
      </c>
      <c r="Q40" s="52">
        <v>60.7</v>
      </c>
      <c r="R40" s="52">
        <v>60.4</v>
      </c>
      <c r="S40" s="52">
        <v>60.4</v>
      </c>
      <c r="T40" s="52">
        <v>60.7</v>
      </c>
      <c r="U40" s="52">
        <v>60.7</v>
      </c>
      <c r="V40" s="52">
        <v>60.7</v>
      </c>
      <c r="W40" s="52">
        <v>60.7</v>
      </c>
      <c r="X40" s="52">
        <v>60.7</v>
      </c>
      <c r="Y40" s="52">
        <v>60.7</v>
      </c>
      <c r="Z40" s="52"/>
      <c r="AA40" s="52">
        <v>60.7</v>
      </c>
      <c r="AB40" s="52">
        <v>60.4</v>
      </c>
      <c r="AC40" s="52">
        <v>60.4</v>
      </c>
      <c r="AD40" s="52">
        <v>60.4</v>
      </c>
      <c r="AE40" s="52">
        <v>60.4</v>
      </c>
      <c r="AF40" s="52">
        <v>60.4</v>
      </c>
      <c r="AG40" s="67">
        <v>60</v>
      </c>
      <c r="AH40" s="55">
        <f t="shared" si="2"/>
        <v>60.9</v>
      </c>
      <c r="AI40" s="56">
        <f t="shared" si="3"/>
        <v>20.2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29.6</v>
      </c>
      <c r="E41" s="62">
        <v>29.6</v>
      </c>
      <c r="F41" s="62">
        <v>29.6</v>
      </c>
      <c r="G41" s="62">
        <v>29.6</v>
      </c>
      <c r="H41" s="62">
        <v>29.6</v>
      </c>
      <c r="I41" s="62">
        <v>29.6</v>
      </c>
      <c r="J41" s="62">
        <v>29.6</v>
      </c>
      <c r="K41" s="62">
        <v>29.9</v>
      </c>
      <c r="L41" s="50">
        <v>29.6</v>
      </c>
      <c r="M41" s="50">
        <v>29.6</v>
      </c>
      <c r="N41" s="50">
        <v>23.3</v>
      </c>
      <c r="O41" s="50">
        <v>22.7</v>
      </c>
      <c r="P41" s="50">
        <v>0</v>
      </c>
      <c r="Q41" s="50">
        <v>0</v>
      </c>
      <c r="R41" s="50">
        <v>30</v>
      </c>
      <c r="S41" s="50">
        <v>30</v>
      </c>
      <c r="T41" s="50">
        <v>30</v>
      </c>
      <c r="U41" s="50">
        <v>30</v>
      </c>
      <c r="V41" s="50">
        <v>30</v>
      </c>
      <c r="W41" s="50">
        <v>30</v>
      </c>
      <c r="X41" s="50">
        <v>30</v>
      </c>
      <c r="Y41" s="52">
        <v>30</v>
      </c>
      <c r="Z41" s="52"/>
      <c r="AA41" s="52">
        <v>30</v>
      </c>
      <c r="AB41" s="52">
        <v>30</v>
      </c>
      <c r="AC41" s="52">
        <v>30</v>
      </c>
      <c r="AD41" s="52">
        <v>30</v>
      </c>
      <c r="AE41" s="52">
        <v>30</v>
      </c>
      <c r="AF41" s="52">
        <v>30</v>
      </c>
      <c r="AG41" s="67">
        <v>30</v>
      </c>
      <c r="AH41" s="55">
        <f t="shared" si="2"/>
        <v>30</v>
      </c>
      <c r="AI41" s="56">
        <f t="shared" si="3"/>
        <v>0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/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17</v>
      </c>
      <c r="C43" s="73">
        <v>17</v>
      </c>
      <c r="D43" s="73">
        <v>17</v>
      </c>
      <c r="E43" s="73">
        <v>17</v>
      </c>
      <c r="F43" s="73">
        <v>17</v>
      </c>
      <c r="G43" s="73">
        <v>17</v>
      </c>
      <c r="H43" s="73">
        <v>17</v>
      </c>
      <c r="I43" s="73">
        <v>17</v>
      </c>
      <c r="J43" s="73">
        <v>10</v>
      </c>
      <c r="K43" s="7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16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</v>
      </c>
      <c r="AI43" s="56">
        <f t="shared" si="3"/>
        <v>0</v>
      </c>
      <c r="AK43" s="57"/>
    </row>
    <row r="44" spans="1:88" x14ac:dyDescent="0.25">
      <c r="A44" s="66" t="s">
        <v>51</v>
      </c>
      <c r="B44" s="62">
        <v>0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50">
        <v>2.5</v>
      </c>
      <c r="M44" s="50">
        <v>2.5</v>
      </c>
      <c r="N44" s="50">
        <v>2.5</v>
      </c>
      <c r="O44" s="50">
        <v>0</v>
      </c>
      <c r="P44" s="50">
        <v>0</v>
      </c>
      <c r="Q44" s="50">
        <v>0</v>
      </c>
      <c r="R44" s="50">
        <v>2.5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>
        <v>2.5</v>
      </c>
      <c r="Z44" s="50"/>
      <c r="AA44" s="50">
        <v>2.5</v>
      </c>
      <c r="AB44" s="50">
        <v>2.5</v>
      </c>
      <c r="AC44" s="50">
        <v>2.5</v>
      </c>
      <c r="AD44" s="50">
        <v>2.5</v>
      </c>
      <c r="AE44" s="50">
        <v>2.5</v>
      </c>
      <c r="AF44" s="50">
        <v>2.5</v>
      </c>
      <c r="AG44" s="67">
        <v>15</v>
      </c>
      <c r="AH44" s="55">
        <f t="shared" si="2"/>
        <v>2.5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6</v>
      </c>
      <c r="L45" s="50">
        <v>6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10</v>
      </c>
      <c r="U45" s="50">
        <v>10</v>
      </c>
      <c r="V45" s="50">
        <v>10</v>
      </c>
      <c r="W45" s="50">
        <v>10</v>
      </c>
      <c r="X45" s="50">
        <v>10</v>
      </c>
      <c r="Y45" s="50">
        <v>10</v>
      </c>
      <c r="Z45" s="50">
        <v>10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0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8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10</v>
      </c>
      <c r="S46" s="50">
        <v>10</v>
      </c>
      <c r="T46" s="50">
        <v>10</v>
      </c>
      <c r="U46" s="50">
        <v>10</v>
      </c>
      <c r="V46" s="50">
        <v>10</v>
      </c>
      <c r="W46" s="50">
        <v>14</v>
      </c>
      <c r="X46" s="50">
        <v>14</v>
      </c>
      <c r="Y46" s="50">
        <v>14</v>
      </c>
      <c r="Z46" s="50"/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8</v>
      </c>
      <c r="AK46" s="57"/>
    </row>
    <row r="47" spans="1:88" x14ac:dyDescent="0.25">
      <c r="A47" s="66" t="s">
        <v>54</v>
      </c>
      <c r="B47" s="62">
        <v>9.3000000000000007</v>
      </c>
      <c r="C47" s="62">
        <v>9.3000000000000007</v>
      </c>
      <c r="D47" s="62">
        <v>9.3000000000000007</v>
      </c>
      <c r="E47" s="62">
        <v>9.3000000000000007</v>
      </c>
      <c r="F47" s="62">
        <v>9.3000000000000007</v>
      </c>
      <c r="G47" s="62">
        <v>9.3000000000000007</v>
      </c>
      <c r="H47" s="62">
        <v>9.3000000000000007</v>
      </c>
      <c r="I47" s="62">
        <v>9.3000000000000007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0</v>
      </c>
      <c r="Q47" s="50">
        <v>9</v>
      </c>
      <c r="R47" s="50">
        <v>9.1</v>
      </c>
      <c r="S47" s="50">
        <v>9.1</v>
      </c>
      <c r="T47" s="50">
        <v>9.1</v>
      </c>
      <c r="U47" s="50">
        <v>9.1</v>
      </c>
      <c r="V47" s="50">
        <v>9.1</v>
      </c>
      <c r="W47" s="50">
        <v>9.1</v>
      </c>
      <c r="X47" s="50">
        <v>9.1</v>
      </c>
      <c r="Y47" s="50">
        <v>9.1</v>
      </c>
      <c r="Z47" s="50"/>
      <c r="AA47" s="50">
        <v>6.9</v>
      </c>
      <c r="AB47" s="50">
        <v>6.9</v>
      </c>
      <c r="AC47" s="50">
        <v>6.9</v>
      </c>
      <c r="AD47" s="50">
        <v>6.9</v>
      </c>
      <c r="AE47" s="50">
        <v>6.9</v>
      </c>
      <c r="AF47" s="50">
        <v>6.9</v>
      </c>
      <c r="AG47" s="67">
        <v>10.050000000000001</v>
      </c>
      <c r="AH47" s="55">
        <f t="shared" si="2"/>
        <v>9.3000000000000007</v>
      </c>
      <c r="AI47" s="56">
        <f t="shared" si="3"/>
        <v>0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/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436.44000000000005</v>
      </c>
      <c r="C50" s="72">
        <f t="shared" si="6"/>
        <v>405.24</v>
      </c>
      <c r="D50" s="72">
        <f t="shared" si="6"/>
        <v>416.64000000000004</v>
      </c>
      <c r="E50" s="72">
        <f t="shared" si="6"/>
        <v>417.54</v>
      </c>
      <c r="F50" s="72">
        <f t="shared" si="6"/>
        <v>406.94000000000005</v>
      </c>
      <c r="G50" s="72">
        <f t="shared" si="6"/>
        <v>410.94000000000005</v>
      </c>
      <c r="H50" s="72">
        <f t="shared" si="6"/>
        <v>370.14000000000004</v>
      </c>
      <c r="I50" s="72">
        <f t="shared" si="6"/>
        <v>353.94000000000005</v>
      </c>
      <c r="J50" s="72">
        <f t="shared" si="6"/>
        <v>350.24000000000007</v>
      </c>
      <c r="K50" s="72">
        <f t="shared" si="6"/>
        <v>412.44</v>
      </c>
      <c r="L50" s="72">
        <f t="shared" si="6"/>
        <v>409.64000000000004</v>
      </c>
      <c r="M50" s="72">
        <f t="shared" si="6"/>
        <v>401.54</v>
      </c>
      <c r="N50" s="72">
        <f t="shared" si="6"/>
        <v>370.44</v>
      </c>
      <c r="O50" s="72">
        <f t="shared" si="6"/>
        <v>370.44</v>
      </c>
      <c r="P50" s="72">
        <f t="shared" si="6"/>
        <v>338.04</v>
      </c>
      <c r="Q50" s="72">
        <f t="shared" si="6"/>
        <v>374.54</v>
      </c>
      <c r="R50" s="72">
        <f t="shared" si="6"/>
        <v>375.64000000000004</v>
      </c>
      <c r="S50" s="72">
        <f t="shared" si="6"/>
        <v>361.04</v>
      </c>
      <c r="T50" s="72">
        <f t="shared" si="6"/>
        <v>372.74</v>
      </c>
      <c r="U50" s="72">
        <f t="shared" si="6"/>
        <v>372.74</v>
      </c>
      <c r="V50" s="72">
        <f t="shared" si="6"/>
        <v>372.74</v>
      </c>
      <c r="W50" s="72">
        <f t="shared" si="6"/>
        <v>435.04</v>
      </c>
      <c r="X50" s="72">
        <f t="shared" si="6"/>
        <v>435.34</v>
      </c>
      <c r="Y50" s="72">
        <f t="shared" si="6"/>
        <v>435.1</v>
      </c>
      <c r="Z50" s="72">
        <f t="shared" si="6"/>
        <v>30.54</v>
      </c>
      <c r="AA50" s="72">
        <f t="shared" si="6"/>
        <v>436.03999999999996</v>
      </c>
      <c r="AB50" s="72">
        <f t="shared" si="6"/>
        <v>436.74</v>
      </c>
      <c r="AC50" s="72">
        <f t="shared" si="6"/>
        <v>437.34</v>
      </c>
      <c r="AD50" s="72">
        <f t="shared" si="6"/>
        <v>437.34</v>
      </c>
      <c r="AE50" s="72">
        <f t="shared" si="6"/>
        <v>437.34</v>
      </c>
      <c r="AF50" s="72">
        <f t="shared" si="6"/>
        <v>437.34</v>
      </c>
      <c r="AG50" s="77">
        <f>SUM(AG37:AG49)</f>
        <v>489.91</v>
      </c>
      <c r="AH50" s="55">
        <f t="shared" si="2"/>
        <v>437.34</v>
      </c>
      <c r="AI50" s="56">
        <f t="shared" si="3"/>
        <v>30.54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59.4</v>
      </c>
      <c r="Y51" s="50">
        <v>59.6</v>
      </c>
      <c r="Z51" s="50"/>
      <c r="AA51" s="50">
        <v>39.5</v>
      </c>
      <c r="AB51" s="50">
        <v>40</v>
      </c>
      <c r="AC51" s="50">
        <v>10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59.6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2">
        <v>28</v>
      </c>
      <c r="Y52" s="52">
        <v>27.4</v>
      </c>
      <c r="Z52" s="52"/>
      <c r="AA52" s="52">
        <v>19.2</v>
      </c>
      <c r="AB52" s="52">
        <v>16.399999999999999</v>
      </c>
      <c r="AC52" s="52">
        <v>12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78">
        <v>10.199999999999999</v>
      </c>
      <c r="Y53" s="78">
        <v>10</v>
      </c>
      <c r="Z53" s="78"/>
      <c r="AA53" s="78">
        <v>7.1</v>
      </c>
      <c r="AB53" s="78">
        <v>6</v>
      </c>
      <c r="AC53" s="78">
        <v>4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10.199999999999999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 t="shared" ref="B54:AF54" si="7">SUM(B51:B53)</f>
        <v>0</v>
      </c>
      <c r="C54" s="72">
        <f t="shared" si="7"/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97.600000000000009</v>
      </c>
      <c r="Y54" s="72">
        <f t="shared" si="7"/>
        <v>97</v>
      </c>
      <c r="Z54" s="72">
        <f t="shared" si="7"/>
        <v>0</v>
      </c>
      <c r="AA54" s="72">
        <f t="shared" si="7"/>
        <v>65.8</v>
      </c>
      <c r="AB54" s="72">
        <f t="shared" si="7"/>
        <v>62.4</v>
      </c>
      <c r="AC54" s="72">
        <f t="shared" si="7"/>
        <v>26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97.600000000000009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-5</v>
      </c>
      <c r="W55" s="50">
        <v>-6</v>
      </c>
      <c r="X55" s="50">
        <v>-2.1</v>
      </c>
      <c r="Y55" s="50">
        <v>8.3000000000000007</v>
      </c>
      <c r="Z55" s="50"/>
      <c r="AA55" s="50">
        <v>9.6</v>
      </c>
      <c r="AB55" s="50">
        <v>8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9.6</v>
      </c>
      <c r="AI55" s="56">
        <f t="shared" si="3"/>
        <v>-6</v>
      </c>
      <c r="AK55" s="57"/>
    </row>
    <row r="56" spans="1:37" x14ac:dyDescent="0.25">
      <c r="A56" s="66" t="s">
        <v>63</v>
      </c>
      <c r="B56" s="52">
        <f>-73.2</f>
        <v>-73.2</v>
      </c>
      <c r="C56" s="52">
        <v>-68.900000000000006</v>
      </c>
      <c r="D56" s="52">
        <v>-69.5</v>
      </c>
      <c r="E56" s="52">
        <v>-67.5</v>
      </c>
      <c r="F56" s="52">
        <v>-65.5</v>
      </c>
      <c r="G56" s="52">
        <v>-60.2</v>
      </c>
      <c r="H56" s="52">
        <v>-45</v>
      </c>
      <c r="I56" s="52">
        <v>-37.1</v>
      </c>
      <c r="J56" s="52">
        <v>-34.4</v>
      </c>
      <c r="K56" s="52">
        <v>-33.700000000000003</v>
      </c>
      <c r="L56" s="50">
        <v>-33.5</v>
      </c>
      <c r="M56" s="50">
        <v>-40.1</v>
      </c>
      <c r="N56" s="50">
        <v>-44.8</v>
      </c>
      <c r="O56" s="50">
        <v>-47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-99.3</v>
      </c>
      <c r="Y56" s="80">
        <v>-72.599999999999994</v>
      </c>
      <c r="Z56" s="80"/>
      <c r="AA56" s="52">
        <v>0</v>
      </c>
      <c r="AB56" s="52">
        <v>-83</v>
      </c>
      <c r="AC56" s="52">
        <v>-86</v>
      </c>
      <c r="AD56" s="52">
        <v>-80</v>
      </c>
      <c r="AE56" s="52">
        <v>-88</v>
      </c>
      <c r="AF56" s="52">
        <v>-85</v>
      </c>
      <c r="AG56" s="67"/>
      <c r="AH56" s="55">
        <f t="shared" si="2"/>
        <v>0</v>
      </c>
      <c r="AI56" s="56">
        <f t="shared" si="3"/>
        <v>-99.3</v>
      </c>
      <c r="AK56" s="57"/>
    </row>
    <row r="57" spans="1:37" x14ac:dyDescent="0.25">
      <c r="A57" s="66" t="s">
        <v>64</v>
      </c>
      <c r="B57" s="52">
        <v>-17.600000000000001</v>
      </c>
      <c r="C57" s="52">
        <v>-33</v>
      </c>
      <c r="D57" s="52">
        <v>-27.4</v>
      </c>
      <c r="E57" s="52">
        <v>-64</v>
      </c>
      <c r="F57" s="52">
        <v>-22</v>
      </c>
      <c r="G57" s="52">
        <v>-68.3</v>
      </c>
      <c r="H57" s="52">
        <v>-77.400000000000006</v>
      </c>
      <c r="I57" s="52">
        <v>-35</v>
      </c>
      <c r="J57" s="52">
        <v>-21.7</v>
      </c>
      <c r="K57" s="52">
        <v>-63.6</v>
      </c>
      <c r="L57" s="52">
        <v>-37.9</v>
      </c>
      <c r="M57" s="52">
        <v>-13.3</v>
      </c>
      <c r="N57" s="52">
        <v>-0.5</v>
      </c>
      <c r="O57" s="52">
        <v>-71.599999999999994</v>
      </c>
      <c r="P57" s="52">
        <v>-87.9</v>
      </c>
      <c r="Q57" s="52">
        <v>-65</v>
      </c>
      <c r="R57" s="52">
        <v>-57.2</v>
      </c>
      <c r="S57" s="52">
        <v>-16.2</v>
      </c>
      <c r="T57" s="52">
        <v>-67.2</v>
      </c>
      <c r="U57" s="52">
        <v>-67.2</v>
      </c>
      <c r="V57" s="52">
        <v>0</v>
      </c>
      <c r="W57" s="81">
        <v>0</v>
      </c>
      <c r="X57" s="81">
        <v>9.6999999999999993</v>
      </c>
      <c r="Y57" s="81">
        <v>5.0999999999999996</v>
      </c>
      <c r="Z57" s="81"/>
      <c r="AA57" s="52">
        <v>-46</v>
      </c>
      <c r="AB57" s="52">
        <v>-50</v>
      </c>
      <c r="AC57" s="52">
        <v>-19</v>
      </c>
      <c r="AD57" s="52">
        <v>-50</v>
      </c>
      <c r="AE57" s="52">
        <v>-8</v>
      </c>
      <c r="AF57" s="52">
        <v>-40</v>
      </c>
      <c r="AG57" s="82"/>
      <c r="AH57" s="55">
        <f t="shared" si="2"/>
        <v>9.6999999999999993</v>
      </c>
      <c r="AI57" s="56">
        <f t="shared" si="3"/>
        <v>-87.9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/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-55.3</v>
      </c>
      <c r="C59" s="59">
        <v>-53.6</v>
      </c>
      <c r="D59" s="59">
        <v>-64</v>
      </c>
      <c r="E59" s="59">
        <v>-70.2</v>
      </c>
      <c r="F59" s="59">
        <v>-62.2</v>
      </c>
      <c r="G59" s="59">
        <v>-52.3</v>
      </c>
      <c r="H59" s="59">
        <v>-52.3</v>
      </c>
      <c r="I59" s="59">
        <v>-43.3</v>
      </c>
      <c r="J59" s="59">
        <v>-41</v>
      </c>
      <c r="K59" s="59">
        <v>-32.200000000000003</v>
      </c>
      <c r="L59" s="50">
        <v>-44.5</v>
      </c>
      <c r="M59" s="50">
        <v>-44.9</v>
      </c>
      <c r="N59" s="50">
        <v>-50.1</v>
      </c>
      <c r="O59" s="50">
        <v>-52.4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2">
        <v>0</v>
      </c>
      <c r="X59" s="52">
        <v>-60</v>
      </c>
      <c r="Y59" s="50">
        <v>-56</v>
      </c>
      <c r="Z59" s="50"/>
      <c r="AA59" s="50">
        <v>-65.8</v>
      </c>
      <c r="AB59" s="50">
        <v>-64</v>
      </c>
      <c r="AC59" s="50">
        <v>-59</v>
      </c>
      <c r="AD59" s="50">
        <v>-51</v>
      </c>
      <c r="AE59" s="50">
        <v>-67</v>
      </c>
      <c r="AF59" s="50">
        <v>-66</v>
      </c>
      <c r="AG59" s="82"/>
      <c r="AH59" s="55">
        <f t="shared" si="2"/>
        <v>0</v>
      </c>
      <c r="AI59" s="56">
        <f t="shared" si="3"/>
        <v>-70.2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52">
        <v>0</v>
      </c>
      <c r="X60" s="52">
        <v>0</v>
      </c>
      <c r="Y60" s="61">
        <v>0</v>
      </c>
      <c r="Z60" s="61"/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52">
        <v>0</v>
      </c>
      <c r="X61" s="52">
        <v>0</v>
      </c>
      <c r="Y61" s="61">
        <v>0</v>
      </c>
      <c r="Z61" s="61"/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8</v>
      </c>
      <c r="H62" s="59">
        <v>8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2">
        <v>0</v>
      </c>
      <c r="X62" s="52">
        <v>0</v>
      </c>
      <c r="Y62" s="59">
        <v>0</v>
      </c>
      <c r="Z62" s="59"/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2">
        <v>0</v>
      </c>
      <c r="X63" s="52">
        <v>0</v>
      </c>
      <c r="Y63" s="59">
        <v>0</v>
      </c>
      <c r="Z63" s="59"/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52">
        <v>0</v>
      </c>
      <c r="X64" s="52">
        <v>0</v>
      </c>
      <c r="Y64" s="84">
        <v>0</v>
      </c>
      <c r="Z64" s="84"/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52">
        <v>0</v>
      </c>
      <c r="X65" s="52">
        <v>0</v>
      </c>
      <c r="Y65" s="84">
        <v>0</v>
      </c>
      <c r="Z65" s="84"/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v>-183.7</v>
      </c>
      <c r="C66" s="72">
        <f t="shared" ref="C66:AF66" si="8">SUM(C55:C65)</f>
        <v>-147.5</v>
      </c>
      <c r="D66" s="72">
        <f t="shared" si="8"/>
        <v>-152.9</v>
      </c>
      <c r="E66" s="72">
        <f t="shared" si="8"/>
        <v>-193.7</v>
      </c>
      <c r="F66" s="72">
        <f t="shared" si="8"/>
        <v>-141.69999999999999</v>
      </c>
      <c r="G66" s="72">
        <f t="shared" si="8"/>
        <v>-172.8</v>
      </c>
      <c r="H66" s="72">
        <f t="shared" si="8"/>
        <v>-166.7</v>
      </c>
      <c r="I66" s="72">
        <f t="shared" si="8"/>
        <v>-115.39999999999999</v>
      </c>
      <c r="J66" s="72">
        <f t="shared" si="8"/>
        <v>-97.1</v>
      </c>
      <c r="K66" s="72">
        <f t="shared" si="8"/>
        <v>-129.5</v>
      </c>
      <c r="L66" s="72">
        <f t="shared" si="8"/>
        <v>-115.9</v>
      </c>
      <c r="M66" s="72">
        <f t="shared" si="8"/>
        <v>-98.300000000000011</v>
      </c>
      <c r="N66" s="72">
        <f t="shared" si="8"/>
        <v>-95.4</v>
      </c>
      <c r="O66" s="72">
        <f t="shared" si="8"/>
        <v>-171</v>
      </c>
      <c r="P66" s="72">
        <f t="shared" si="8"/>
        <v>-87.9</v>
      </c>
      <c r="Q66" s="72">
        <f t="shared" si="8"/>
        <v>-65</v>
      </c>
      <c r="R66" s="72">
        <f t="shared" si="8"/>
        <v>-57.2</v>
      </c>
      <c r="S66" s="72">
        <f t="shared" si="8"/>
        <v>-16.2</v>
      </c>
      <c r="T66" s="72">
        <f t="shared" si="8"/>
        <v>-67.2</v>
      </c>
      <c r="U66" s="72">
        <f t="shared" si="8"/>
        <v>-67.2</v>
      </c>
      <c r="V66" s="72">
        <f t="shared" si="8"/>
        <v>-5</v>
      </c>
      <c r="W66" s="72">
        <f t="shared" si="8"/>
        <v>-6</v>
      </c>
      <c r="X66" s="72">
        <f t="shared" si="8"/>
        <v>-151.69999999999999</v>
      </c>
      <c r="Y66" s="72">
        <f t="shared" si="8"/>
        <v>-115.19999999999999</v>
      </c>
      <c r="Z66" s="72">
        <f t="shared" si="8"/>
        <v>0</v>
      </c>
      <c r="AA66" s="72">
        <f t="shared" si="8"/>
        <v>-102.19999999999999</v>
      </c>
      <c r="AB66" s="72">
        <f t="shared" si="8"/>
        <v>-189</v>
      </c>
      <c r="AC66" s="72">
        <f t="shared" si="8"/>
        <v>-164</v>
      </c>
      <c r="AD66" s="72">
        <f t="shared" si="8"/>
        <v>-181</v>
      </c>
      <c r="AE66" s="72">
        <f t="shared" si="8"/>
        <v>-163</v>
      </c>
      <c r="AF66" s="72">
        <f t="shared" si="8"/>
        <v>-191</v>
      </c>
      <c r="AG66" s="77">
        <f>SUM(AG55:AG65)</f>
        <v>0</v>
      </c>
      <c r="AH66" s="55">
        <f t="shared" si="2"/>
        <v>0</v>
      </c>
      <c r="AI66" s="56">
        <f t="shared" si="3"/>
        <v>-193.7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 t="shared" ref="B70:AF70" si="9">SUM(B67:B69)</f>
        <v>0</v>
      </c>
      <c r="C70" s="72">
        <f t="shared" si="9"/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 t="shared" ref="B71:AG71" si="10">B66+B54+B50+B36+B70</f>
        <v>1162.94</v>
      </c>
      <c r="C71" s="87">
        <f t="shared" si="10"/>
        <v>1167.94</v>
      </c>
      <c r="D71" s="87">
        <f t="shared" si="10"/>
        <v>1173.94</v>
      </c>
      <c r="E71" s="87">
        <f t="shared" si="10"/>
        <v>1130.04</v>
      </c>
      <c r="F71" s="87">
        <f t="shared" si="10"/>
        <v>1145.44</v>
      </c>
      <c r="G71" s="87">
        <f t="shared" si="10"/>
        <v>1133.1400000000001</v>
      </c>
      <c r="H71" s="87">
        <f t="shared" si="10"/>
        <v>1093.44</v>
      </c>
      <c r="I71" s="87">
        <f t="shared" si="10"/>
        <v>1128.54</v>
      </c>
      <c r="J71" s="87">
        <f t="shared" si="10"/>
        <v>1138.1400000000001</v>
      </c>
      <c r="K71" s="87">
        <f t="shared" si="10"/>
        <v>1167.94</v>
      </c>
      <c r="L71" s="87">
        <f t="shared" si="10"/>
        <v>1187.6399999999999</v>
      </c>
      <c r="M71" s="87">
        <f t="shared" si="10"/>
        <v>1211.54</v>
      </c>
      <c r="N71" s="87">
        <f t="shared" si="10"/>
        <v>1173.3399999999999</v>
      </c>
      <c r="O71" s="87">
        <f t="shared" si="10"/>
        <v>1107.94</v>
      </c>
      <c r="P71" s="87">
        <f t="shared" si="10"/>
        <v>1078.44</v>
      </c>
      <c r="Q71" s="87">
        <f t="shared" si="10"/>
        <v>1092.8399999999999</v>
      </c>
      <c r="R71" s="87">
        <f t="shared" si="10"/>
        <v>1112.04</v>
      </c>
      <c r="S71" s="87">
        <f t="shared" si="10"/>
        <v>1126.44</v>
      </c>
      <c r="T71" s="87">
        <f t="shared" si="10"/>
        <v>1084.74</v>
      </c>
      <c r="U71" s="87">
        <f t="shared" si="10"/>
        <v>1084.74</v>
      </c>
      <c r="V71" s="87">
        <f t="shared" si="10"/>
        <v>1146.94</v>
      </c>
      <c r="W71" s="87">
        <f t="shared" si="10"/>
        <v>1200.44</v>
      </c>
      <c r="X71" s="87">
        <f t="shared" si="10"/>
        <v>1363.94</v>
      </c>
      <c r="Y71" s="87">
        <f t="shared" si="10"/>
        <v>1400.3</v>
      </c>
      <c r="Z71" s="87">
        <f t="shared" si="10"/>
        <v>30.54</v>
      </c>
      <c r="AA71" s="87">
        <f t="shared" si="10"/>
        <v>1325.04</v>
      </c>
      <c r="AB71" s="87">
        <f t="shared" si="10"/>
        <v>1295.54</v>
      </c>
      <c r="AC71" s="87">
        <f t="shared" si="10"/>
        <v>1284.74</v>
      </c>
      <c r="AD71" s="87">
        <f t="shared" si="10"/>
        <v>1241.74</v>
      </c>
      <c r="AE71" s="87">
        <f t="shared" si="10"/>
        <v>1189.74</v>
      </c>
      <c r="AF71" s="87">
        <f t="shared" si="10"/>
        <v>1151.74</v>
      </c>
      <c r="AG71" s="87">
        <f t="shared" si="10"/>
        <v>2083.14</v>
      </c>
      <c r="AH71" s="55">
        <f t="shared" si="2"/>
        <v>1400.3</v>
      </c>
      <c r="AI71" s="56">
        <f t="shared" si="3"/>
        <v>30.54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>
        <v>8</v>
      </c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8</v>
      </c>
      <c r="AI72" s="56">
        <f t="shared" si="3"/>
        <v>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v>1233.04</v>
      </c>
      <c r="C73" s="87">
        <f t="shared" ref="C73:AF73" si="11">C70+C66+C54+C50+C36+C72</f>
        <v>1167.94</v>
      </c>
      <c r="D73" s="87">
        <f t="shared" si="11"/>
        <v>1173.94</v>
      </c>
      <c r="E73" s="87">
        <f t="shared" si="11"/>
        <v>1130.04</v>
      </c>
      <c r="F73" s="87">
        <f t="shared" si="11"/>
        <v>1145.44</v>
      </c>
      <c r="G73" s="87">
        <f t="shared" si="11"/>
        <v>1133.1400000000001</v>
      </c>
      <c r="H73" s="87">
        <f t="shared" si="11"/>
        <v>1093.44</v>
      </c>
      <c r="I73" s="87">
        <f t="shared" si="11"/>
        <v>1128.54</v>
      </c>
      <c r="J73" s="87">
        <f t="shared" si="11"/>
        <v>1138.1400000000001</v>
      </c>
      <c r="K73" s="87">
        <f t="shared" si="11"/>
        <v>1167.94</v>
      </c>
      <c r="L73" s="87">
        <f t="shared" si="11"/>
        <v>1187.6399999999999</v>
      </c>
      <c r="M73" s="87">
        <f t="shared" si="11"/>
        <v>1211.54</v>
      </c>
      <c r="N73" s="87">
        <f t="shared" si="11"/>
        <v>1173.3399999999999</v>
      </c>
      <c r="O73" s="87">
        <f t="shared" si="11"/>
        <v>1107.94</v>
      </c>
      <c r="P73" s="87">
        <f t="shared" si="11"/>
        <v>1078.44</v>
      </c>
      <c r="Q73" s="87">
        <f t="shared" si="11"/>
        <v>1092.8399999999999</v>
      </c>
      <c r="R73" s="87">
        <f t="shared" si="11"/>
        <v>1112.04</v>
      </c>
      <c r="S73" s="87">
        <f t="shared" si="11"/>
        <v>1126.44</v>
      </c>
      <c r="T73" s="87">
        <f t="shared" si="11"/>
        <v>1084.74</v>
      </c>
      <c r="U73" s="87">
        <f t="shared" si="11"/>
        <v>1084.74</v>
      </c>
      <c r="V73" s="87">
        <f t="shared" si="11"/>
        <v>1146.94</v>
      </c>
      <c r="W73" s="87">
        <f t="shared" si="11"/>
        <v>1200.44</v>
      </c>
      <c r="X73" s="87">
        <f t="shared" si="11"/>
        <v>1371.94</v>
      </c>
      <c r="Y73" s="87">
        <f t="shared" si="11"/>
        <v>1400.3</v>
      </c>
      <c r="Z73" s="87">
        <f t="shared" si="11"/>
        <v>30.54</v>
      </c>
      <c r="AA73" s="87">
        <f t="shared" si="11"/>
        <v>1325.04</v>
      </c>
      <c r="AB73" s="87">
        <f t="shared" si="11"/>
        <v>1295.54</v>
      </c>
      <c r="AC73" s="87">
        <f t="shared" si="11"/>
        <v>1284.74</v>
      </c>
      <c r="AD73" s="87">
        <f t="shared" si="11"/>
        <v>1241.74</v>
      </c>
      <c r="AE73" s="87">
        <f t="shared" si="11"/>
        <v>1189.74</v>
      </c>
      <c r="AF73" s="87">
        <f t="shared" si="11"/>
        <v>1151.74</v>
      </c>
      <c r="AG73" s="77">
        <f>AG70+AG66+AG54+AG50+AG36+AG72</f>
        <v>2083.14</v>
      </c>
      <c r="AH73" s="55">
        <f t="shared" si="2"/>
        <v>1400.3</v>
      </c>
      <c r="AI73" s="56">
        <f t="shared" si="3"/>
        <v>30.54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73.2</v>
      </c>
      <c r="C75" s="59">
        <f t="shared" ref="C75:AF75" si="13">IF(C56&lt;0,C56*-1,0)</f>
        <v>68.900000000000006</v>
      </c>
      <c r="D75" s="59">
        <f t="shared" si="13"/>
        <v>69.5</v>
      </c>
      <c r="E75" s="59">
        <f t="shared" si="13"/>
        <v>67.5</v>
      </c>
      <c r="F75" s="59">
        <f t="shared" si="13"/>
        <v>65.5</v>
      </c>
      <c r="G75" s="59">
        <f t="shared" si="13"/>
        <v>60.2</v>
      </c>
      <c r="H75" s="59">
        <f t="shared" si="13"/>
        <v>45</v>
      </c>
      <c r="I75" s="59">
        <f t="shared" si="13"/>
        <v>37.1</v>
      </c>
      <c r="J75" s="59">
        <f t="shared" si="13"/>
        <v>34.4</v>
      </c>
      <c r="K75" s="59">
        <f t="shared" si="13"/>
        <v>33.700000000000003</v>
      </c>
      <c r="L75" s="59">
        <f t="shared" si="13"/>
        <v>33.5</v>
      </c>
      <c r="M75" s="59">
        <f t="shared" si="13"/>
        <v>40.1</v>
      </c>
      <c r="N75" s="59">
        <f t="shared" si="13"/>
        <v>44.8</v>
      </c>
      <c r="O75" s="59">
        <f t="shared" si="13"/>
        <v>47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99.3</v>
      </c>
      <c r="Y75" s="59">
        <f t="shared" si="13"/>
        <v>72.599999999999994</v>
      </c>
      <c r="Z75" s="59">
        <f t="shared" si="13"/>
        <v>0</v>
      </c>
      <c r="AA75" s="59">
        <f t="shared" si="13"/>
        <v>0</v>
      </c>
      <c r="AB75" s="59">
        <f t="shared" si="13"/>
        <v>83</v>
      </c>
      <c r="AC75" s="59">
        <f t="shared" si="13"/>
        <v>86</v>
      </c>
      <c r="AD75" s="59">
        <f t="shared" si="13"/>
        <v>80</v>
      </c>
      <c r="AE75" s="59">
        <f t="shared" si="13"/>
        <v>88</v>
      </c>
      <c r="AF75" s="59">
        <f t="shared" si="13"/>
        <v>85</v>
      </c>
      <c r="AG75" s="67"/>
      <c r="AH75" s="55">
        <f t="shared" si="2"/>
        <v>99.3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55.3</v>
      </c>
      <c r="C76" s="59">
        <f t="shared" ref="C76:AF76" si="14">IF(C59&lt;0,C59*-1,0)</f>
        <v>53.6</v>
      </c>
      <c r="D76" s="59">
        <f t="shared" si="14"/>
        <v>64</v>
      </c>
      <c r="E76" s="59">
        <f t="shared" si="14"/>
        <v>70.2</v>
      </c>
      <c r="F76" s="59">
        <f t="shared" si="14"/>
        <v>62.2</v>
      </c>
      <c r="G76" s="59">
        <f t="shared" si="14"/>
        <v>52.3</v>
      </c>
      <c r="H76" s="59">
        <f t="shared" si="14"/>
        <v>52.3</v>
      </c>
      <c r="I76" s="59">
        <f t="shared" si="14"/>
        <v>43.3</v>
      </c>
      <c r="J76" s="59">
        <f t="shared" si="14"/>
        <v>41</v>
      </c>
      <c r="K76" s="59">
        <f t="shared" si="14"/>
        <v>32.200000000000003</v>
      </c>
      <c r="L76" s="59">
        <f t="shared" si="14"/>
        <v>44.5</v>
      </c>
      <c r="M76" s="59">
        <f t="shared" si="14"/>
        <v>44.9</v>
      </c>
      <c r="N76" s="59">
        <f t="shared" si="14"/>
        <v>50.1</v>
      </c>
      <c r="O76" s="59">
        <f t="shared" si="14"/>
        <v>52.4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60</v>
      </c>
      <c r="Y76" s="59">
        <f t="shared" si="14"/>
        <v>56</v>
      </c>
      <c r="Z76" s="59">
        <f t="shared" si="14"/>
        <v>0</v>
      </c>
      <c r="AA76" s="59">
        <f t="shared" si="14"/>
        <v>65.8</v>
      </c>
      <c r="AB76" s="59">
        <f t="shared" si="14"/>
        <v>64</v>
      </c>
      <c r="AC76" s="59">
        <f t="shared" si="14"/>
        <v>59</v>
      </c>
      <c r="AD76" s="59">
        <f t="shared" si="14"/>
        <v>51</v>
      </c>
      <c r="AE76" s="59">
        <f t="shared" si="14"/>
        <v>67</v>
      </c>
      <c r="AF76" s="59">
        <f t="shared" si="14"/>
        <v>66</v>
      </c>
      <c r="AG76" s="90"/>
      <c r="AH76" s="55">
        <f t="shared" si="2"/>
        <v>70.2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17.600000000000001</v>
      </c>
      <c r="C77" s="59">
        <f t="shared" ref="C77:AF77" si="15">IF(C57&lt;0,C57*-1,0)</f>
        <v>33</v>
      </c>
      <c r="D77" s="59">
        <f t="shared" si="15"/>
        <v>27.4</v>
      </c>
      <c r="E77" s="59">
        <f t="shared" si="15"/>
        <v>64</v>
      </c>
      <c r="F77" s="59">
        <f t="shared" si="15"/>
        <v>22</v>
      </c>
      <c r="G77" s="59">
        <f t="shared" si="15"/>
        <v>68.3</v>
      </c>
      <c r="H77" s="59">
        <f t="shared" si="15"/>
        <v>77.400000000000006</v>
      </c>
      <c r="I77" s="59">
        <f t="shared" si="15"/>
        <v>35</v>
      </c>
      <c r="J77" s="59">
        <f t="shared" si="15"/>
        <v>21.7</v>
      </c>
      <c r="K77" s="59">
        <f t="shared" si="15"/>
        <v>63.6</v>
      </c>
      <c r="L77" s="59">
        <f t="shared" si="15"/>
        <v>37.9</v>
      </c>
      <c r="M77" s="59">
        <f t="shared" si="15"/>
        <v>13.3</v>
      </c>
      <c r="N77" s="59">
        <f t="shared" si="15"/>
        <v>0.5</v>
      </c>
      <c r="O77" s="59">
        <f t="shared" si="15"/>
        <v>71.599999999999994</v>
      </c>
      <c r="P77" s="59">
        <f t="shared" si="15"/>
        <v>87.9</v>
      </c>
      <c r="Q77" s="59">
        <f t="shared" si="15"/>
        <v>65</v>
      </c>
      <c r="R77" s="59">
        <f t="shared" si="15"/>
        <v>57.2</v>
      </c>
      <c r="S77" s="59">
        <f t="shared" si="15"/>
        <v>16.2</v>
      </c>
      <c r="T77" s="59">
        <f t="shared" si="15"/>
        <v>67.2</v>
      </c>
      <c r="U77" s="59">
        <f t="shared" si="15"/>
        <v>67.2</v>
      </c>
      <c r="V77" s="59">
        <f t="shared" si="15"/>
        <v>0</v>
      </c>
      <c r="W77" s="59">
        <f t="shared" si="15"/>
        <v>0</v>
      </c>
      <c r="X77" s="59">
        <f t="shared" si="15"/>
        <v>0</v>
      </c>
      <c r="Y77" s="59">
        <f t="shared" si="15"/>
        <v>0</v>
      </c>
      <c r="Z77" s="59">
        <f t="shared" si="15"/>
        <v>0</v>
      </c>
      <c r="AA77" s="59">
        <f t="shared" si="15"/>
        <v>46</v>
      </c>
      <c r="AB77" s="59">
        <f t="shared" si="15"/>
        <v>50</v>
      </c>
      <c r="AC77" s="59">
        <f t="shared" si="15"/>
        <v>19</v>
      </c>
      <c r="AD77" s="59">
        <f t="shared" si="15"/>
        <v>50</v>
      </c>
      <c r="AE77" s="59">
        <f t="shared" si="15"/>
        <v>8</v>
      </c>
      <c r="AF77" s="59">
        <f t="shared" si="15"/>
        <v>40</v>
      </c>
      <c r="AG77" s="90"/>
      <c r="AH77" s="55">
        <f t="shared" ref="AH77:AH89" si="16">MAX(B77:AF77)</f>
        <v>87.9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5</v>
      </c>
      <c r="W78" s="59">
        <f t="shared" si="18"/>
        <v>6</v>
      </c>
      <c r="X78" s="59">
        <f t="shared" si="18"/>
        <v>2.1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6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146.1</v>
      </c>
      <c r="C80" s="72">
        <f t="shared" ref="C80:AG80" si="19">SUM(C74:C79)</f>
        <v>155.5</v>
      </c>
      <c r="D80" s="72">
        <f t="shared" si="19"/>
        <v>160.9</v>
      </c>
      <c r="E80" s="72">
        <f t="shared" si="19"/>
        <v>201.7</v>
      </c>
      <c r="F80" s="72">
        <f t="shared" si="19"/>
        <v>149.69999999999999</v>
      </c>
      <c r="G80" s="72">
        <f t="shared" si="19"/>
        <v>180.8</v>
      </c>
      <c r="H80" s="72">
        <f t="shared" si="19"/>
        <v>174.7</v>
      </c>
      <c r="I80" s="72">
        <f t="shared" si="19"/>
        <v>115.4</v>
      </c>
      <c r="J80" s="72">
        <f t="shared" si="19"/>
        <v>97.100000000000009</v>
      </c>
      <c r="K80" s="72">
        <f t="shared" si="19"/>
        <v>129.5</v>
      </c>
      <c r="L80" s="72">
        <f t="shared" si="19"/>
        <v>115.9</v>
      </c>
      <c r="M80" s="72">
        <f t="shared" si="19"/>
        <v>98.3</v>
      </c>
      <c r="N80" s="72">
        <f t="shared" si="19"/>
        <v>95.4</v>
      </c>
      <c r="O80" s="72">
        <f t="shared" si="19"/>
        <v>171</v>
      </c>
      <c r="P80" s="72">
        <f t="shared" si="19"/>
        <v>87.9</v>
      </c>
      <c r="Q80" s="72">
        <f t="shared" si="19"/>
        <v>65</v>
      </c>
      <c r="R80" s="72">
        <f t="shared" si="19"/>
        <v>57.2</v>
      </c>
      <c r="S80" s="72">
        <f t="shared" si="19"/>
        <v>16.2</v>
      </c>
      <c r="T80" s="72">
        <f t="shared" si="19"/>
        <v>67.2</v>
      </c>
      <c r="U80" s="72">
        <f t="shared" si="19"/>
        <v>67.2</v>
      </c>
      <c r="V80" s="72">
        <f t="shared" si="19"/>
        <v>5</v>
      </c>
      <c r="W80" s="72">
        <f t="shared" si="19"/>
        <v>6</v>
      </c>
      <c r="X80" s="72">
        <f t="shared" si="19"/>
        <v>161.4</v>
      </c>
      <c r="Y80" s="72">
        <f t="shared" si="19"/>
        <v>128.6</v>
      </c>
      <c r="Z80" s="72">
        <f t="shared" si="19"/>
        <v>0</v>
      </c>
      <c r="AA80" s="72">
        <f t="shared" si="19"/>
        <v>111.8</v>
      </c>
      <c r="AB80" s="72">
        <f t="shared" si="19"/>
        <v>197</v>
      </c>
      <c r="AC80" s="72">
        <f t="shared" si="19"/>
        <v>164</v>
      </c>
      <c r="AD80" s="72">
        <f t="shared" si="19"/>
        <v>181</v>
      </c>
      <c r="AE80" s="72">
        <f t="shared" si="19"/>
        <v>163</v>
      </c>
      <c r="AF80" s="72">
        <f t="shared" si="19"/>
        <v>191</v>
      </c>
      <c r="AG80" s="77">
        <f t="shared" si="19"/>
        <v>0</v>
      </c>
      <c r="AH80" s="55">
        <f t="shared" si="16"/>
        <v>201.7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2688.18</v>
      </c>
      <c r="C81" s="72">
        <f t="shared" si="20"/>
        <v>2646.88</v>
      </c>
      <c r="D81" s="72">
        <f t="shared" si="20"/>
        <v>2669.6800000000003</v>
      </c>
      <c r="E81" s="72">
        <f t="shared" si="20"/>
        <v>2663.4799999999996</v>
      </c>
      <c r="F81" s="72">
        <f t="shared" si="20"/>
        <v>2590.2799999999997</v>
      </c>
      <c r="G81" s="72">
        <f t="shared" si="20"/>
        <v>2627.8800000000006</v>
      </c>
      <c r="H81" s="72">
        <f t="shared" si="20"/>
        <v>2536.2800000000002</v>
      </c>
      <c r="I81" s="72">
        <f t="shared" si="20"/>
        <v>2487.88</v>
      </c>
      <c r="J81" s="72">
        <f t="shared" si="20"/>
        <v>2470.48</v>
      </c>
      <c r="K81" s="72">
        <f t="shared" si="20"/>
        <v>2594.8799999999997</v>
      </c>
      <c r="L81" s="72">
        <f t="shared" si="20"/>
        <v>2607.08</v>
      </c>
      <c r="M81" s="72">
        <f t="shared" si="20"/>
        <v>2619.6800000000003</v>
      </c>
      <c r="N81" s="72">
        <f t="shared" si="20"/>
        <v>2537.48</v>
      </c>
      <c r="O81" s="72">
        <f t="shared" si="20"/>
        <v>2557.88</v>
      </c>
      <c r="P81" s="72">
        <f t="shared" si="20"/>
        <v>2332.6800000000003</v>
      </c>
      <c r="Q81" s="72">
        <f t="shared" si="20"/>
        <v>2315.6799999999998</v>
      </c>
      <c r="R81" s="72">
        <f t="shared" si="20"/>
        <v>2338.4799999999996</v>
      </c>
      <c r="S81" s="72">
        <f t="shared" si="20"/>
        <v>2285.2799999999997</v>
      </c>
      <c r="T81" s="72">
        <f t="shared" si="20"/>
        <v>2303.8799999999997</v>
      </c>
      <c r="U81" s="72">
        <f t="shared" si="20"/>
        <v>2303.8799999999997</v>
      </c>
      <c r="V81" s="72">
        <f t="shared" si="20"/>
        <v>2303.88</v>
      </c>
      <c r="W81" s="72">
        <f t="shared" si="20"/>
        <v>2412.88</v>
      </c>
      <c r="X81" s="72">
        <f t="shared" si="20"/>
        <v>3066.6800000000003</v>
      </c>
      <c r="Y81" s="72">
        <f t="shared" si="20"/>
        <v>3057.7999999999997</v>
      </c>
      <c r="Z81" s="72">
        <f t="shared" si="20"/>
        <v>61.08</v>
      </c>
      <c r="AA81" s="72">
        <f t="shared" si="20"/>
        <v>2873.6800000000003</v>
      </c>
      <c r="AB81" s="72">
        <f t="shared" si="20"/>
        <v>2985.08</v>
      </c>
      <c r="AC81" s="72">
        <f t="shared" si="20"/>
        <v>2897.48</v>
      </c>
      <c r="AD81" s="72">
        <f t="shared" si="20"/>
        <v>2845.48</v>
      </c>
      <c r="AE81" s="72">
        <f t="shared" si="20"/>
        <v>2705.48</v>
      </c>
      <c r="AF81" s="72">
        <f t="shared" si="20"/>
        <v>2685.48</v>
      </c>
      <c r="AG81" s="77">
        <f t="shared" si="20"/>
        <v>4238.08</v>
      </c>
      <c r="AH81" s="55">
        <f t="shared" si="16"/>
        <v>3066.6800000000003</v>
      </c>
      <c r="AI81" s="56">
        <f t="shared" si="17"/>
        <v>61.08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50.034999999999997</v>
      </c>
      <c r="C82" s="93">
        <v>50.06</v>
      </c>
      <c r="D82" s="93">
        <v>49.98</v>
      </c>
      <c r="E82" s="93">
        <v>49.96</v>
      </c>
      <c r="F82" s="93">
        <v>49.96</v>
      </c>
      <c r="G82" s="93">
        <v>50.02</v>
      </c>
      <c r="H82" s="93">
        <v>49.99</v>
      </c>
      <c r="I82" s="93">
        <v>50.03</v>
      </c>
      <c r="J82" s="93">
        <v>50.04</v>
      </c>
      <c r="K82" s="93">
        <v>50</v>
      </c>
      <c r="L82" s="93">
        <v>50.066000000000003</v>
      </c>
      <c r="M82" s="93">
        <v>50.051000000000002</v>
      </c>
      <c r="N82" s="93">
        <v>50.076999999999998</v>
      </c>
      <c r="O82" s="93">
        <v>50.003</v>
      </c>
      <c r="P82" s="93">
        <v>50.029000000000003</v>
      </c>
      <c r="Q82" s="93">
        <v>50.04</v>
      </c>
      <c r="R82" s="93">
        <v>50.087000000000003</v>
      </c>
      <c r="S82" s="93">
        <v>50.015000000000001</v>
      </c>
      <c r="T82" s="93">
        <v>50.018000000000001</v>
      </c>
      <c r="U82" s="93">
        <v>50.018000000000001</v>
      </c>
      <c r="V82" s="93">
        <v>50.045000000000002</v>
      </c>
      <c r="W82" s="93">
        <v>50.034999999999997</v>
      </c>
      <c r="X82" s="93">
        <v>50.037999999999997</v>
      </c>
      <c r="Y82" s="93">
        <v>50.03</v>
      </c>
      <c r="Z82" s="93"/>
      <c r="AA82" s="93">
        <v>50.076000000000001</v>
      </c>
      <c r="AB82" s="93">
        <v>50.06</v>
      </c>
      <c r="AC82" s="93">
        <v>50</v>
      </c>
      <c r="AD82" s="93">
        <v>50.03</v>
      </c>
      <c r="AE82" s="93">
        <v>50</v>
      </c>
      <c r="AF82" s="94">
        <v>50.03</v>
      </c>
      <c r="AG82" s="95"/>
      <c r="AH82" s="55">
        <f t="shared" si="16"/>
        <v>50.087000000000003</v>
      </c>
      <c r="AI82" s="56">
        <f t="shared" si="17"/>
        <v>49.96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</v>
      </c>
      <c r="C83" s="52">
        <v>125.4</v>
      </c>
      <c r="D83" s="52">
        <v>124.8</v>
      </c>
      <c r="E83" s="52">
        <v>124.3</v>
      </c>
      <c r="F83" s="52">
        <v>124.6</v>
      </c>
      <c r="G83" s="52">
        <v>126</v>
      </c>
      <c r="H83" s="52">
        <v>126.7</v>
      </c>
      <c r="I83" s="52">
        <v>126.1</v>
      </c>
      <c r="J83" s="52">
        <v>124.4</v>
      </c>
      <c r="K83" s="52">
        <v>124.2</v>
      </c>
      <c r="L83" s="52">
        <v>123.5</v>
      </c>
      <c r="M83" s="52">
        <v>122.9</v>
      </c>
      <c r="N83" s="52">
        <v>122.4</v>
      </c>
      <c r="O83" s="52">
        <v>123.3</v>
      </c>
      <c r="P83" s="52">
        <v>124.9</v>
      </c>
      <c r="Q83" s="52">
        <v>124.8</v>
      </c>
      <c r="R83" s="52">
        <v>124.9</v>
      </c>
      <c r="S83" s="52">
        <v>124</v>
      </c>
      <c r="T83" s="97">
        <v>125.2</v>
      </c>
      <c r="U83" s="97">
        <v>125.2</v>
      </c>
      <c r="V83" s="97">
        <v>124.8</v>
      </c>
      <c r="W83" s="97">
        <v>124.8</v>
      </c>
      <c r="X83" s="97">
        <v>122.9</v>
      </c>
      <c r="Y83" s="97">
        <v>124.8</v>
      </c>
      <c r="Z83" s="97"/>
      <c r="AA83" s="52">
        <v>125.5</v>
      </c>
      <c r="AB83" s="52">
        <v>125</v>
      </c>
      <c r="AC83" s="52">
        <v>123</v>
      </c>
      <c r="AD83" s="52">
        <v>123.4</v>
      </c>
      <c r="AE83" s="52">
        <v>122.6</v>
      </c>
      <c r="AF83" s="98">
        <v>124</v>
      </c>
      <c r="AG83" s="99"/>
      <c r="AH83" s="55">
        <f t="shared" si="16"/>
        <v>126.7</v>
      </c>
      <c r="AI83" s="56">
        <f t="shared" si="17"/>
        <v>122.4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129.9</v>
      </c>
      <c r="C84" s="52">
        <v>130</v>
      </c>
      <c r="D84" s="52">
        <v>129.69999999999999</v>
      </c>
      <c r="E84" s="52">
        <v>129.30000000000001</v>
      </c>
      <c r="F84" s="52">
        <v>129.30000000000001</v>
      </c>
      <c r="G84" s="52">
        <v>129.9</v>
      </c>
      <c r="H84" s="52">
        <v>130</v>
      </c>
      <c r="I84" s="52">
        <v>129.30000000000001</v>
      </c>
      <c r="J84" s="52">
        <v>127.9</v>
      </c>
      <c r="K84" s="52">
        <v>127.3</v>
      </c>
      <c r="L84" s="52">
        <v>126.5</v>
      </c>
      <c r="M84" s="52">
        <v>126.5</v>
      </c>
      <c r="N84" s="52">
        <v>125.9</v>
      </c>
      <c r="O84" s="52">
        <v>127.1</v>
      </c>
      <c r="P84" s="52">
        <v>128.19999999999999</v>
      </c>
      <c r="Q84" s="52">
        <v>128.6</v>
      </c>
      <c r="R84" s="52">
        <v>128.5</v>
      </c>
      <c r="S84" s="52">
        <v>127.8</v>
      </c>
      <c r="T84" s="97">
        <v>128.69999999999999</v>
      </c>
      <c r="U84" s="97">
        <v>128.69999999999999</v>
      </c>
      <c r="V84" s="97">
        <v>128.30000000000001</v>
      </c>
      <c r="W84" s="97">
        <v>126.4</v>
      </c>
      <c r="X84" s="97">
        <v>126.8</v>
      </c>
      <c r="Y84" s="97">
        <v>128.19999999999999</v>
      </c>
      <c r="Z84" s="97"/>
      <c r="AA84" s="52">
        <v>129.30000000000001</v>
      </c>
      <c r="AB84" s="52">
        <v>129.19999999999999</v>
      </c>
      <c r="AC84" s="52">
        <v>127</v>
      </c>
      <c r="AD84" s="52">
        <v>128.5</v>
      </c>
      <c r="AE84" s="52">
        <v>127.5</v>
      </c>
      <c r="AF84" s="98">
        <v>128.6</v>
      </c>
      <c r="AG84" s="99"/>
      <c r="AH84" s="55">
        <f t="shared" si="16"/>
        <v>130</v>
      </c>
      <c r="AI84" s="56">
        <f t="shared" si="17"/>
        <v>125.9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128.19999999999999</v>
      </c>
      <c r="C85" s="52">
        <v>127.7</v>
      </c>
      <c r="D85" s="52">
        <v>129</v>
      </c>
      <c r="E85" s="52">
        <v>128.69999999999999</v>
      </c>
      <c r="F85" s="52">
        <v>128</v>
      </c>
      <c r="G85" s="52">
        <v>131.4</v>
      </c>
      <c r="H85" s="52">
        <v>129.19999999999999</v>
      </c>
      <c r="I85" s="52">
        <v>128.5</v>
      </c>
      <c r="J85" s="52">
        <v>128.1</v>
      </c>
      <c r="K85" s="52">
        <v>128</v>
      </c>
      <c r="L85" s="52">
        <v>128.80000000000001</v>
      </c>
      <c r="M85" s="52">
        <v>127</v>
      </c>
      <c r="N85" s="52">
        <v>129.80000000000001</v>
      </c>
      <c r="O85" s="52">
        <v>128.69999999999999</v>
      </c>
      <c r="P85" s="52">
        <v>125.3</v>
      </c>
      <c r="Q85" s="52">
        <v>1281</v>
      </c>
      <c r="R85" s="52">
        <v>128.6</v>
      </c>
      <c r="S85" s="52">
        <v>125.6</v>
      </c>
      <c r="T85" s="52">
        <v>126.1</v>
      </c>
      <c r="U85" s="52">
        <v>126.1</v>
      </c>
      <c r="V85" s="52">
        <v>127.3</v>
      </c>
      <c r="W85" s="97">
        <v>128.9</v>
      </c>
      <c r="X85" s="97">
        <v>120.4</v>
      </c>
      <c r="Y85" s="97">
        <v>120.3</v>
      </c>
      <c r="Z85" s="97"/>
      <c r="AA85" s="52">
        <v>129.19999999999999</v>
      </c>
      <c r="AB85" s="52">
        <v>122</v>
      </c>
      <c r="AC85" s="52">
        <v>120</v>
      </c>
      <c r="AD85" s="52">
        <v>126.5</v>
      </c>
      <c r="AE85" s="52">
        <v>125.3</v>
      </c>
      <c r="AF85" s="98">
        <v>125</v>
      </c>
      <c r="AG85" s="99"/>
      <c r="AH85" s="55">
        <f t="shared" si="16"/>
        <v>1281</v>
      </c>
      <c r="AI85" s="56">
        <f t="shared" si="17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132.1</v>
      </c>
      <c r="C86" s="52">
        <v>131.69999999999999</v>
      </c>
      <c r="D86" s="52">
        <v>133.1</v>
      </c>
      <c r="E86" s="52">
        <v>133</v>
      </c>
      <c r="F86" s="52">
        <v>131</v>
      </c>
      <c r="G86" s="52">
        <v>133.1</v>
      </c>
      <c r="H86" s="52">
        <v>131.69999999999999</v>
      </c>
      <c r="I86" s="52">
        <v>131.19999999999999</v>
      </c>
      <c r="J86" s="52">
        <v>130.30000000000001</v>
      </c>
      <c r="K86" s="52">
        <v>128.19999999999999</v>
      </c>
      <c r="L86" s="52">
        <v>130.80000000000001</v>
      </c>
      <c r="M86" s="52">
        <v>128.80000000000001</v>
      </c>
      <c r="N86" s="52">
        <v>133.5</v>
      </c>
      <c r="O86" s="52">
        <v>132.5</v>
      </c>
      <c r="P86" s="52">
        <v>129.69999999999999</v>
      </c>
      <c r="Q86" s="52">
        <v>131</v>
      </c>
      <c r="R86" s="52">
        <v>131.6</v>
      </c>
      <c r="S86" s="52">
        <v>128.6</v>
      </c>
      <c r="T86" s="52">
        <v>129.5</v>
      </c>
      <c r="U86" s="52">
        <v>129.5</v>
      </c>
      <c r="V86" s="52">
        <v>130</v>
      </c>
      <c r="W86" s="97">
        <v>128.9</v>
      </c>
      <c r="X86" s="97">
        <v>123.6</v>
      </c>
      <c r="Y86" s="97">
        <v>124</v>
      </c>
      <c r="Z86" s="97"/>
      <c r="AA86" s="52">
        <v>132.30000000000001</v>
      </c>
      <c r="AB86" s="52">
        <v>127</v>
      </c>
      <c r="AC86" s="52">
        <v>126</v>
      </c>
      <c r="AD86" s="52">
        <v>131.4</v>
      </c>
      <c r="AE86" s="52">
        <v>131</v>
      </c>
      <c r="AF86" s="98">
        <v>130</v>
      </c>
      <c r="AG86" s="99"/>
      <c r="AH86" s="55">
        <f t="shared" si="16"/>
        <v>133.5</v>
      </c>
      <c r="AI86" s="56">
        <f t="shared" si="17"/>
        <v>123.6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133.1</v>
      </c>
      <c r="C87" s="101">
        <v>134.1</v>
      </c>
      <c r="D87" s="101">
        <v>132.19999999999999</v>
      </c>
      <c r="E87" s="101">
        <v>132.4</v>
      </c>
      <c r="F87" s="101">
        <v>133.80000000000001</v>
      </c>
      <c r="G87" s="101">
        <v>133.19999999999999</v>
      </c>
      <c r="H87" s="101">
        <v>136.19999999999999</v>
      </c>
      <c r="I87" s="101">
        <v>135.6</v>
      </c>
      <c r="J87" s="101">
        <v>136</v>
      </c>
      <c r="K87" s="101">
        <v>132.80000000000001</v>
      </c>
      <c r="L87" s="101">
        <v>132.80000000000001</v>
      </c>
      <c r="M87" s="101">
        <v>131.9</v>
      </c>
      <c r="N87" s="101">
        <v>133.30000000000001</v>
      </c>
      <c r="O87" s="101">
        <v>133.30000000000001</v>
      </c>
      <c r="P87" s="101">
        <v>130.4</v>
      </c>
      <c r="Q87" s="101">
        <v>135.30000000000001</v>
      </c>
      <c r="R87" s="101">
        <v>135.30000000000001</v>
      </c>
      <c r="S87" s="101">
        <v>132</v>
      </c>
      <c r="T87" s="101">
        <v>131.80000000000001</v>
      </c>
      <c r="U87" s="101">
        <v>131.80000000000001</v>
      </c>
      <c r="V87" s="101">
        <v>133.5</v>
      </c>
      <c r="W87" s="97">
        <v>133.80000000000001</v>
      </c>
      <c r="X87" s="97">
        <v>132.1</v>
      </c>
      <c r="Y87" s="97">
        <v>134.9</v>
      </c>
      <c r="Z87" s="97"/>
      <c r="AA87" s="101">
        <v>134.19999999999999</v>
      </c>
      <c r="AB87" s="101">
        <v>132.5</v>
      </c>
      <c r="AC87" s="101">
        <v>132.5</v>
      </c>
      <c r="AD87" s="101">
        <v>135</v>
      </c>
      <c r="AE87" s="101">
        <v>133.9</v>
      </c>
      <c r="AF87" s="102">
        <v>133</v>
      </c>
      <c r="AG87" s="103"/>
      <c r="AH87" s="55">
        <f t="shared" si="16"/>
        <v>136.19999999999999</v>
      </c>
      <c r="AI87" s="56">
        <f t="shared" si="17"/>
        <v>130.4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133.6</v>
      </c>
      <c r="C88" s="52">
        <v>136.4</v>
      </c>
      <c r="D88" s="52">
        <v>133.19999999999999</v>
      </c>
      <c r="E88" s="52">
        <v>134.6</v>
      </c>
      <c r="F88" s="52">
        <v>133.4</v>
      </c>
      <c r="G88" s="52">
        <v>133.1</v>
      </c>
      <c r="H88" s="52">
        <v>136</v>
      </c>
      <c r="I88" s="52">
        <v>135.69999999999999</v>
      </c>
      <c r="J88" s="52">
        <v>136</v>
      </c>
      <c r="K88" s="52">
        <v>132.80000000000001</v>
      </c>
      <c r="L88" s="52">
        <v>131.19999999999999</v>
      </c>
      <c r="M88" s="52">
        <v>130.19999999999999</v>
      </c>
      <c r="N88" s="52">
        <v>133.69999999999999</v>
      </c>
      <c r="O88" s="52">
        <v>132.1</v>
      </c>
      <c r="P88" s="52">
        <v>127.5</v>
      </c>
      <c r="Q88" s="52">
        <v>134.19999999999999</v>
      </c>
      <c r="R88" s="52">
        <v>134.69999999999999</v>
      </c>
      <c r="S88" s="52">
        <v>129</v>
      </c>
      <c r="T88" s="52">
        <v>127.4</v>
      </c>
      <c r="U88" s="52">
        <v>127.4</v>
      </c>
      <c r="V88" s="52">
        <v>131.1</v>
      </c>
      <c r="W88" s="97">
        <v>131.4</v>
      </c>
      <c r="X88" s="97">
        <v>126.4</v>
      </c>
      <c r="Y88" s="97">
        <v>133.30000000000001</v>
      </c>
      <c r="Z88" s="97"/>
      <c r="AA88" s="52">
        <v>129.30000000000001</v>
      </c>
      <c r="AB88" s="52">
        <v>127</v>
      </c>
      <c r="AC88" s="52">
        <v>130</v>
      </c>
      <c r="AD88" s="52">
        <v>133</v>
      </c>
      <c r="AE88" s="52">
        <v>132</v>
      </c>
      <c r="AF88" s="98">
        <v>132</v>
      </c>
      <c r="AG88" s="99"/>
      <c r="AH88" s="55">
        <f t="shared" si="16"/>
        <v>136.4</v>
      </c>
      <c r="AI88" s="56">
        <f t="shared" si="17"/>
        <v>126.4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66.099999999999994</v>
      </c>
      <c r="C89" s="104">
        <v>66</v>
      </c>
      <c r="D89" s="104">
        <v>65.7</v>
      </c>
      <c r="E89" s="104">
        <v>65.7</v>
      </c>
      <c r="F89" s="104">
        <v>65.5</v>
      </c>
      <c r="G89" s="104">
        <v>65.7</v>
      </c>
      <c r="H89" s="104">
        <v>65.599999999999994</v>
      </c>
      <c r="I89" s="104">
        <v>65.7</v>
      </c>
      <c r="J89" s="104">
        <v>64.8</v>
      </c>
      <c r="K89" s="104">
        <v>64.8</v>
      </c>
      <c r="L89" s="104">
        <v>64.2</v>
      </c>
      <c r="M89" s="104">
        <v>63.7</v>
      </c>
      <c r="N89" s="104">
        <v>63.9</v>
      </c>
      <c r="O89" s="104">
        <v>64.5</v>
      </c>
      <c r="P89" s="104">
        <v>64.900000000000006</v>
      </c>
      <c r="Q89" s="104">
        <v>65.099999999999994</v>
      </c>
      <c r="R89" s="104">
        <v>64.900000000000006</v>
      </c>
      <c r="S89" s="104">
        <v>64.7</v>
      </c>
      <c r="T89" s="104">
        <v>65</v>
      </c>
      <c r="U89" s="104">
        <v>65</v>
      </c>
      <c r="V89" s="104">
        <v>65</v>
      </c>
      <c r="W89" s="104">
        <v>65.099999999999994</v>
      </c>
      <c r="X89" s="104">
        <v>64.5</v>
      </c>
      <c r="Y89" s="104">
        <v>65</v>
      </c>
      <c r="Z89" s="104"/>
      <c r="AA89" s="104">
        <v>65.8</v>
      </c>
      <c r="AB89" s="104">
        <v>65.599999999999994</v>
      </c>
      <c r="AC89" s="104">
        <v>64.5</v>
      </c>
      <c r="AD89" s="104">
        <v>64.900000000000006</v>
      </c>
      <c r="AE89" s="104">
        <v>64.7</v>
      </c>
      <c r="AF89" s="105">
        <v>65</v>
      </c>
      <c r="AG89" s="106"/>
      <c r="AH89" s="55">
        <f t="shared" si="16"/>
        <v>66.099999999999994</v>
      </c>
      <c r="AI89" s="56">
        <f t="shared" si="17"/>
        <v>63.7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 t="shared" ref="B91:AF91" si="21">SUM(B14,B17,B20:B21,B40,B42:B43,B45,B47,B92:B95,B100,B106,B112,B121,B123,B135,B142,B145:B146,B153,B155,B157,B161:B163,B165:B167,B172,B178:B179,B181:B183,B191,B196)</f>
        <v>149.04</v>
      </c>
      <c r="C91" s="178">
        <f t="shared" si="21"/>
        <v>144.63999999999999</v>
      </c>
      <c r="D91" s="178">
        <f t="shared" si="21"/>
        <v>143.53999999999996</v>
      </c>
      <c r="E91" s="178">
        <f t="shared" si="21"/>
        <v>144.63999999999999</v>
      </c>
      <c r="F91" s="111">
        <f t="shared" si="21"/>
        <v>156.54</v>
      </c>
      <c r="G91" s="111">
        <f t="shared" si="21"/>
        <v>194.44</v>
      </c>
      <c r="H91" s="111">
        <f t="shared" si="21"/>
        <v>201.74</v>
      </c>
      <c r="I91" s="111">
        <f t="shared" si="21"/>
        <v>230.33999999999997</v>
      </c>
      <c r="J91" s="111">
        <f t="shared" si="21"/>
        <v>242.83999999999997</v>
      </c>
      <c r="K91" s="111">
        <f t="shared" si="21"/>
        <v>260.44000000000005</v>
      </c>
      <c r="L91" s="111">
        <f t="shared" si="21"/>
        <v>271.34000000000003</v>
      </c>
      <c r="M91" s="111">
        <f t="shared" si="21"/>
        <v>264.84000000000003</v>
      </c>
      <c r="N91" s="111">
        <f t="shared" si="21"/>
        <v>258.84000000000009</v>
      </c>
      <c r="O91" s="111">
        <f t="shared" si="21"/>
        <v>253.94</v>
      </c>
      <c r="P91" s="111">
        <f t="shared" si="21"/>
        <v>228.14</v>
      </c>
      <c r="Q91" s="111">
        <f t="shared" si="21"/>
        <v>207.94</v>
      </c>
      <c r="R91" s="111">
        <f t="shared" si="21"/>
        <v>224.83999999999997</v>
      </c>
      <c r="S91" s="111">
        <f t="shared" si="21"/>
        <v>248.23999999999998</v>
      </c>
      <c r="T91" s="111">
        <f t="shared" si="21"/>
        <v>226.93999999999997</v>
      </c>
      <c r="U91" s="111">
        <f t="shared" si="21"/>
        <v>226.93999999999997</v>
      </c>
      <c r="V91" s="111">
        <f t="shared" si="21"/>
        <v>278.94000000000005</v>
      </c>
      <c r="W91" s="111">
        <f t="shared" si="21"/>
        <v>268.14</v>
      </c>
      <c r="X91" s="111">
        <f t="shared" si="21"/>
        <v>322.34000000000003</v>
      </c>
      <c r="Y91" s="111">
        <f t="shared" si="21"/>
        <v>321.64</v>
      </c>
      <c r="Z91" s="111">
        <f t="shared" si="21"/>
        <v>61.839999999999996</v>
      </c>
      <c r="AA91" s="111">
        <f t="shared" si="21"/>
        <v>272.24</v>
      </c>
      <c r="AB91" s="111">
        <f t="shared" si="21"/>
        <v>252.93999999999997</v>
      </c>
      <c r="AC91" s="111">
        <f t="shared" si="21"/>
        <v>227.93999999999997</v>
      </c>
      <c r="AD91" s="111">
        <f t="shared" si="21"/>
        <v>188.93999999999997</v>
      </c>
      <c r="AE91" s="111">
        <f t="shared" si="21"/>
        <v>156.93999999999997</v>
      </c>
      <c r="AF91" s="111">
        <f t="shared" si="21"/>
        <v>140.93999999999997</v>
      </c>
      <c r="AG91" s="112"/>
      <c r="AH91" s="55">
        <f>MAX(B91:AF91)</f>
        <v>322.34000000000003</v>
      </c>
      <c r="AI91" s="56">
        <f>MIN(B91:AF91)</f>
        <v>61.839999999999996</v>
      </c>
    </row>
    <row r="92" spans="1:88" x14ac:dyDescent="0.25">
      <c r="A92" s="113" t="s">
        <v>95</v>
      </c>
      <c r="B92" s="59">
        <v>34.799999999999997</v>
      </c>
      <c r="C92" s="59">
        <v>34.9</v>
      </c>
      <c r="D92" s="59">
        <v>36.200000000000003</v>
      </c>
      <c r="E92" s="59">
        <v>39</v>
      </c>
      <c r="F92" s="59">
        <v>36.6</v>
      </c>
      <c r="G92" s="59">
        <v>41.9</v>
      </c>
      <c r="H92" s="59">
        <v>48.8</v>
      </c>
      <c r="I92" s="59">
        <v>43.2</v>
      </c>
      <c r="J92" s="59">
        <v>45.6</v>
      </c>
      <c r="K92" s="59">
        <v>59.6</v>
      </c>
      <c r="L92" s="115">
        <v>56.7</v>
      </c>
      <c r="M92" s="114">
        <v>56.7</v>
      </c>
      <c r="N92" s="114">
        <v>60.4</v>
      </c>
      <c r="O92" s="114">
        <v>63.4</v>
      </c>
      <c r="P92" s="114">
        <v>51.7</v>
      </c>
      <c r="Q92" s="114">
        <v>68</v>
      </c>
      <c r="R92" s="114">
        <v>60.5</v>
      </c>
      <c r="S92" s="114">
        <v>44.9</v>
      </c>
      <c r="T92" s="115">
        <v>38.9</v>
      </c>
      <c r="U92" s="115">
        <v>38.9</v>
      </c>
      <c r="V92" s="115">
        <v>47.4</v>
      </c>
      <c r="W92" s="114">
        <v>48.6</v>
      </c>
      <c r="X92" s="114">
        <v>26.5</v>
      </c>
      <c r="Y92" s="114">
        <v>29.7</v>
      </c>
      <c r="Z92" s="114"/>
      <c r="AA92" s="115">
        <v>36.9</v>
      </c>
      <c r="AB92" s="115">
        <v>37</v>
      </c>
      <c r="AC92" s="115">
        <v>39</v>
      </c>
      <c r="AD92" s="115">
        <v>38</v>
      </c>
      <c r="AE92" s="115">
        <v>41</v>
      </c>
      <c r="AF92" s="116">
        <v>34</v>
      </c>
      <c r="AG92" s="117">
        <v>75</v>
      </c>
      <c r="AH92" s="55">
        <f t="shared" ref="AH92:AH97" si="22">IF(ABS(MAX(B92:AF92))&gt;ABS(MIN(B92:AF92)),MAX(B92:AF92),MIN(B92:AF92))</f>
        <v>68</v>
      </c>
      <c r="AI92" s="118">
        <f t="shared" ref="AI92:AI97" si="23">INDEX($B$9:$AF$9,1,MATCH(AH92,B92:AF92,0))</f>
        <v>0.54166666666666696</v>
      </c>
    </row>
    <row r="93" spans="1:88" x14ac:dyDescent="0.25">
      <c r="A93" s="119" t="s">
        <v>96</v>
      </c>
      <c r="B93" s="61">
        <v>-123</v>
      </c>
      <c r="C93" s="61">
        <v>-124</v>
      </c>
      <c r="D93" s="61">
        <f>-56.7-67.5</f>
        <v>-124.2</v>
      </c>
      <c r="E93" s="61">
        <f>-56.7-67.7</f>
        <v>-124.4</v>
      </c>
      <c r="F93" s="61">
        <f>-51.7-61.5</f>
        <v>-113.2</v>
      </c>
      <c r="G93" s="61">
        <f>-41.7-50.2</f>
        <v>-91.9</v>
      </c>
      <c r="H93" s="61">
        <f>-33.3-40.2</f>
        <v>-73.5</v>
      </c>
      <c r="I93" s="61">
        <f>-26.4-31.7</f>
        <v>-58.099999999999994</v>
      </c>
      <c r="J93" s="61">
        <f>-22.1-26.5</f>
        <v>-48.6</v>
      </c>
      <c r="K93" s="61">
        <f>-23.8-29.6</f>
        <v>-53.400000000000006</v>
      </c>
      <c r="L93" s="61">
        <v>-53.9</v>
      </c>
      <c r="M93" s="61">
        <v>-54.9</v>
      </c>
      <c r="N93" s="61">
        <v>-59</v>
      </c>
      <c r="O93" s="61">
        <v>-64.400000000000006</v>
      </c>
      <c r="P93" s="61">
        <v>-55.7</v>
      </c>
      <c r="Q93" s="61">
        <f>-31.9-38.3</f>
        <v>-70.199999999999989</v>
      </c>
      <c r="R93" s="61">
        <v>-60</v>
      </c>
      <c r="S93" s="61">
        <v>-51</v>
      </c>
      <c r="T93" s="61">
        <v>-60</v>
      </c>
      <c r="U93" s="61">
        <v>-60</v>
      </c>
      <c r="V93" s="61">
        <v>-48</v>
      </c>
      <c r="W93" s="61">
        <v>-48</v>
      </c>
      <c r="X93" s="61">
        <v>-42</v>
      </c>
      <c r="Y93" s="61">
        <v>-47</v>
      </c>
      <c r="Z93" s="61"/>
      <c r="AA93" s="52">
        <v>-70</v>
      </c>
      <c r="AB93" s="52">
        <v>-80</v>
      </c>
      <c r="AC93" s="52">
        <v>-90</v>
      </c>
      <c r="AD93" s="52">
        <v>-107</v>
      </c>
      <c r="AE93" s="52">
        <v>-104</v>
      </c>
      <c r="AF93" s="120">
        <v>-116</v>
      </c>
      <c r="AG93" s="117">
        <v>240</v>
      </c>
      <c r="AH93" s="55">
        <f t="shared" si="22"/>
        <v>-124.4</v>
      </c>
      <c r="AI93" s="118">
        <f t="shared" si="23"/>
        <v>0.16666666666666699</v>
      </c>
    </row>
    <row r="94" spans="1:88" x14ac:dyDescent="0.25">
      <c r="A94" s="119" t="s">
        <v>97</v>
      </c>
      <c r="B94" s="61">
        <v>-16.2</v>
      </c>
      <c r="C94" s="61">
        <v>-16.5</v>
      </c>
      <c r="D94" s="61">
        <v>-19.7</v>
      </c>
      <c r="E94" s="61">
        <v>-19.7</v>
      </c>
      <c r="F94" s="61">
        <v>-19</v>
      </c>
      <c r="G94" s="61">
        <v>-12.9</v>
      </c>
      <c r="H94" s="61">
        <v>-8.5</v>
      </c>
      <c r="I94" s="61">
        <v>-1.7</v>
      </c>
      <c r="J94" s="61">
        <v>-3.4</v>
      </c>
      <c r="K94" s="61">
        <v>-4.8</v>
      </c>
      <c r="L94" s="61">
        <v>5.2</v>
      </c>
      <c r="M94" s="61">
        <v>1.6</v>
      </c>
      <c r="N94" s="61">
        <v>0</v>
      </c>
      <c r="O94" s="61">
        <v>0.6</v>
      </c>
      <c r="P94" s="61">
        <v>2.4</v>
      </c>
      <c r="Q94" s="61">
        <v>-1.8</v>
      </c>
      <c r="R94" s="61">
        <v>-1.4</v>
      </c>
      <c r="S94" s="61">
        <v>0</v>
      </c>
      <c r="T94" s="61">
        <v>-1.3</v>
      </c>
      <c r="U94" s="61">
        <v>-1.3</v>
      </c>
      <c r="V94" s="61">
        <v>-0.2</v>
      </c>
      <c r="W94" s="61">
        <v>21.9</v>
      </c>
      <c r="X94" s="61">
        <v>34.700000000000003</v>
      </c>
      <c r="Y94" s="61">
        <v>28.2</v>
      </c>
      <c r="Z94" s="61"/>
      <c r="AA94" s="52">
        <v>16.100000000000001</v>
      </c>
      <c r="AB94" s="52">
        <v>17</v>
      </c>
      <c r="AC94" s="52">
        <v>-4</v>
      </c>
      <c r="AD94" s="52">
        <v>-16</v>
      </c>
      <c r="AE94" s="52">
        <v>-16</v>
      </c>
      <c r="AF94" s="120">
        <v>-13</v>
      </c>
      <c r="AG94" s="117">
        <v>60</v>
      </c>
      <c r="AH94" s="55">
        <f t="shared" si="22"/>
        <v>34.700000000000003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16.3</v>
      </c>
      <c r="C95" s="84">
        <v>13.1</v>
      </c>
      <c r="D95" s="84">
        <v>14.1</v>
      </c>
      <c r="E95" s="84">
        <v>12.2</v>
      </c>
      <c r="F95" s="84">
        <v>24.5</v>
      </c>
      <c r="G95" s="84">
        <v>29.9</v>
      </c>
      <c r="H95" s="84">
        <v>37.799999999999997</v>
      </c>
      <c r="I95" s="84">
        <v>49.8</v>
      </c>
      <c r="J95" s="84">
        <v>59.1</v>
      </c>
      <c r="K95" s="84">
        <v>44.2</v>
      </c>
      <c r="L95" s="84">
        <v>49.1</v>
      </c>
      <c r="M95" s="84">
        <v>53.2</v>
      </c>
      <c r="N95" s="84">
        <v>48.9</v>
      </c>
      <c r="O95" s="84">
        <v>45.6</v>
      </c>
      <c r="P95" s="84">
        <v>30.6</v>
      </c>
      <c r="Q95" s="84">
        <v>3.8</v>
      </c>
      <c r="R95" s="84">
        <v>17.399999999999999</v>
      </c>
      <c r="S95" s="84">
        <v>30</v>
      </c>
      <c r="T95" s="84">
        <v>14.1</v>
      </c>
      <c r="U95" s="84">
        <v>14.1</v>
      </c>
      <c r="V95" s="84">
        <v>44.5</v>
      </c>
      <c r="W95" s="84">
        <v>32.4</v>
      </c>
      <c r="X95" s="84">
        <v>68.400000000000006</v>
      </c>
      <c r="Y95" s="84">
        <v>75.3</v>
      </c>
      <c r="Z95" s="84"/>
      <c r="AA95" s="122">
        <v>53</v>
      </c>
      <c r="AB95" s="122">
        <v>43</v>
      </c>
      <c r="AC95" s="122">
        <v>47</v>
      </c>
      <c r="AD95" s="122">
        <v>38</v>
      </c>
      <c r="AE95" s="122">
        <v>0</v>
      </c>
      <c r="AF95" s="123">
        <v>0</v>
      </c>
      <c r="AG95" s="124">
        <v>120</v>
      </c>
      <c r="AH95" s="55">
        <f t="shared" si="22"/>
        <v>75.3</v>
      </c>
      <c r="AI95" s="118">
        <f t="shared" si="23"/>
        <v>0.79166666666666663</v>
      </c>
    </row>
    <row r="96" spans="1:88" x14ac:dyDescent="0.25">
      <c r="A96" s="121" t="s">
        <v>99</v>
      </c>
      <c r="B96" s="84">
        <v>35.4</v>
      </c>
      <c r="C96" s="84">
        <v>33.9</v>
      </c>
      <c r="D96" s="84">
        <v>34</v>
      </c>
      <c r="E96" s="84">
        <v>33.5</v>
      </c>
      <c r="F96" s="84">
        <v>44.6</v>
      </c>
      <c r="G96" s="84">
        <v>43.4</v>
      </c>
      <c r="H96" s="84">
        <v>45.5</v>
      </c>
      <c r="I96" s="84">
        <v>51.7</v>
      </c>
      <c r="J96" s="84">
        <v>58.3</v>
      </c>
      <c r="K96" s="84">
        <v>58.3</v>
      </c>
      <c r="L96" s="84">
        <v>52</v>
      </c>
      <c r="M96" s="84">
        <v>52.9</v>
      </c>
      <c r="N96" s="84">
        <v>52.8</v>
      </c>
      <c r="O96" s="84">
        <v>53.7</v>
      </c>
      <c r="P96" s="84">
        <v>40.700000000000003</v>
      </c>
      <c r="Q96" s="84">
        <v>18.899999999999999</v>
      </c>
      <c r="R96" s="84">
        <v>26.8</v>
      </c>
      <c r="S96" s="84">
        <v>39.799999999999997</v>
      </c>
      <c r="T96" s="84">
        <v>27.8</v>
      </c>
      <c r="U96" s="84">
        <v>27.8</v>
      </c>
      <c r="V96" s="84">
        <v>40.9</v>
      </c>
      <c r="W96" s="84">
        <v>31.9</v>
      </c>
      <c r="X96" s="84">
        <v>58.5</v>
      </c>
      <c r="Y96" s="84">
        <v>71.099999999999994</v>
      </c>
      <c r="Z96" s="84"/>
      <c r="AA96" s="122">
        <v>51</v>
      </c>
      <c r="AB96" s="122">
        <v>46</v>
      </c>
      <c r="AC96" s="122">
        <v>49</v>
      </c>
      <c r="AD96" s="122">
        <v>51</v>
      </c>
      <c r="AE96" s="122">
        <v>50</v>
      </c>
      <c r="AF96" s="123">
        <v>39</v>
      </c>
      <c r="AG96" s="124"/>
      <c r="AH96" s="55">
        <f t="shared" si="22"/>
        <v>71.099999999999994</v>
      </c>
      <c r="AI96" s="118">
        <f t="shared" si="23"/>
        <v>0.79166666666666663</v>
      </c>
    </row>
    <row r="97" spans="1:37" ht="15.75" thickBot="1" x14ac:dyDescent="0.3">
      <c r="A97" s="121" t="s">
        <v>100</v>
      </c>
      <c r="B97" s="84">
        <v>61.3</v>
      </c>
      <c r="C97" s="84">
        <v>51.2</v>
      </c>
      <c r="D97" s="84">
        <v>56</v>
      </c>
      <c r="E97" s="84">
        <v>52.7</v>
      </c>
      <c r="F97" s="84">
        <v>45.4</v>
      </c>
      <c r="G97" s="84">
        <v>46.3</v>
      </c>
      <c r="H97" s="84">
        <v>34.4</v>
      </c>
      <c r="I97" s="84">
        <v>37.200000000000003</v>
      </c>
      <c r="J97" s="84">
        <v>22.8</v>
      </c>
      <c r="K97" s="84">
        <v>23.5</v>
      </c>
      <c r="L97" s="84">
        <v>26.9</v>
      </c>
      <c r="M97" s="84">
        <v>24.1</v>
      </c>
      <c r="N97" s="84">
        <v>18.7</v>
      </c>
      <c r="O97" s="84">
        <v>27.1</v>
      </c>
      <c r="P97" s="84">
        <v>46</v>
      </c>
      <c r="Q97" s="84">
        <v>27.3</v>
      </c>
      <c r="R97" s="84">
        <v>26.2</v>
      </c>
      <c r="S97" s="84">
        <v>34.200000000000003</v>
      </c>
      <c r="T97" s="84">
        <v>43</v>
      </c>
      <c r="U97" s="84">
        <v>43</v>
      </c>
      <c r="V97" s="84">
        <v>27.7</v>
      </c>
      <c r="W97" s="84">
        <v>28.8</v>
      </c>
      <c r="X97" s="84">
        <v>51.1</v>
      </c>
      <c r="Y97" s="84">
        <v>52.4</v>
      </c>
      <c r="Z97" s="84"/>
      <c r="AA97" s="122">
        <v>45.7</v>
      </c>
      <c r="AB97" s="122">
        <v>48</v>
      </c>
      <c r="AC97" s="122">
        <v>47</v>
      </c>
      <c r="AD97" s="122">
        <v>45</v>
      </c>
      <c r="AE97" s="122">
        <v>45</v>
      </c>
      <c r="AF97" s="123">
        <v>52</v>
      </c>
      <c r="AG97" s="125"/>
      <c r="AH97" s="55">
        <f t="shared" si="22"/>
        <v>61.3</v>
      </c>
      <c r="AI97" s="118">
        <f t="shared" si="23"/>
        <v>4.1666666666666664E-2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1211.54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9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2078/04/9)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2078/04/9)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1233.04</v>
      </c>
      <c r="U211" s="170">
        <f t="shared" si="52"/>
        <v>1167.94</v>
      </c>
      <c r="V211" s="170">
        <f t="shared" si="52"/>
        <v>1173.94</v>
      </c>
      <c r="W211" s="170">
        <f t="shared" si="52"/>
        <v>1130.04</v>
      </c>
      <c r="X211" s="170">
        <f t="shared" si="52"/>
        <v>1145.44</v>
      </c>
      <c r="Y211" s="170">
        <f t="shared" si="52"/>
        <v>1133.1400000000001</v>
      </c>
      <c r="Z211" s="170">
        <f t="shared" si="52"/>
        <v>1093.44</v>
      </c>
      <c r="AA211" s="170">
        <f t="shared" si="52"/>
        <v>1128.54</v>
      </c>
      <c r="AB211" s="170">
        <f t="shared" si="52"/>
        <v>1138.1400000000001</v>
      </c>
      <c r="AC211" s="170">
        <f t="shared" si="52"/>
        <v>1167.94</v>
      </c>
      <c r="AD211" s="170">
        <f t="shared" si="52"/>
        <v>1187.6399999999999</v>
      </c>
      <c r="AE211" s="170">
        <f t="shared" si="52"/>
        <v>1211.54</v>
      </c>
      <c r="AF211" s="170">
        <f t="shared" si="52"/>
        <v>1173.3399999999999</v>
      </c>
      <c r="AG211" s="170">
        <f t="shared" si="52"/>
        <v>1107.94</v>
      </c>
      <c r="AH211" s="170">
        <f t="shared" si="52"/>
        <v>1078.44</v>
      </c>
      <c r="AI211" s="170">
        <f t="shared" si="52"/>
        <v>1092.8399999999999</v>
      </c>
      <c r="AJ211" s="170">
        <f t="shared" si="52"/>
        <v>1112.04</v>
      </c>
      <c r="AK211" s="170">
        <f t="shared" si="52"/>
        <v>1126.44</v>
      </c>
      <c r="AL211" s="170">
        <f t="shared" si="52"/>
        <v>1084.74</v>
      </c>
      <c r="AM211" s="170">
        <f t="shared" si="52"/>
        <v>1084.74</v>
      </c>
      <c r="AN211" s="170">
        <f t="shared" si="52"/>
        <v>1146.94</v>
      </c>
      <c r="AO211" s="170">
        <f t="shared" si="52"/>
        <v>1200.44</v>
      </c>
      <c r="AP211" s="170">
        <f t="shared" si="52"/>
        <v>1371.94</v>
      </c>
      <c r="AQ211" s="170">
        <f t="shared" si="52"/>
        <v>1400.3</v>
      </c>
      <c r="AR211" s="170">
        <f t="shared" si="52"/>
        <v>30.54</v>
      </c>
      <c r="AS211" s="170">
        <f t="shared" si="52"/>
        <v>1325.04</v>
      </c>
      <c r="AT211" s="170">
        <f t="shared" si="52"/>
        <v>1295.54</v>
      </c>
      <c r="AU211" s="170">
        <f t="shared" si="52"/>
        <v>1284.74</v>
      </c>
      <c r="AV211" s="170">
        <f t="shared" si="52"/>
        <v>1241.74</v>
      </c>
      <c r="AW211" s="170">
        <f t="shared" si="52"/>
        <v>1189.74</v>
      </c>
      <c r="AX211" s="170">
        <f t="shared" si="52"/>
        <v>1151.74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190" priority="270">
      <formula>S$9&gt;=20/24</formula>
    </cfRule>
    <cfRule type="expression" dxfId="8189" priority="271">
      <formula>AND(S$9&gt;=14/24,S$9&lt;20/24)</formula>
    </cfRule>
    <cfRule type="expression" dxfId="8188" priority="272">
      <formula>AND(S$9&gt;=8/24,S$9&lt;14/24)</formula>
    </cfRule>
    <cfRule type="expression" dxfId="8187" priority="273">
      <formula>S$9&lt;8/24</formula>
    </cfRule>
  </conditionalFormatting>
  <conditionalFormatting sqref="B8:AF10 AA79:AF79 B79:Q79 C191:AF197 AE55:AF58 M60:M65 T210:AX210 O37:Q37 L37:N40 N59:N65 O38:P40 Q40 O58:Q65 Y12:Y13 W83:Z89 Y26:Z26 AA82:AF89 B78:AF78 B72:AF76 B80:AF80 B66:AF70 B54:AF54 B61:E65 L58:N58 L59:M59 B55:K59 L35:Q35 L15:Q31 L11:Q13 M43:Q46 L56:V57 R11:Y11 Q38:X39 T40:X40 R17:X26 Z11:AD13 AE12:AF13 Y15:AF25 Y28:AF30 Y38:AF41 L51:AF53 R28:X29 R27:AF27">
    <cfRule type="expression" dxfId="8186" priority="266">
      <formula>B$9&gt;=20/24</formula>
    </cfRule>
    <cfRule type="expression" dxfId="8185" priority="267">
      <formula>AND(B$9&gt;=14/24,B$9&lt;20/24)</formula>
    </cfRule>
    <cfRule type="expression" dxfId="8184" priority="268">
      <formula>AND(B$9&gt;=8/24,B$9&lt;14/24)</formula>
    </cfRule>
    <cfRule type="expression" dxfId="8183" priority="269">
      <formula>B$9&lt;8/24</formula>
    </cfRule>
  </conditionalFormatting>
  <conditionalFormatting sqref="B189:AF189">
    <cfRule type="expression" dxfId="8182" priority="262">
      <formula>B$9&gt;=20/24</formula>
    </cfRule>
    <cfRule type="expression" dxfId="8181" priority="263">
      <formula>AND(B$9&gt;=14/24,B$9&lt;20/24)</formula>
    </cfRule>
    <cfRule type="expression" dxfId="8180" priority="264">
      <formula>AND(B$9&gt;=8/24,B$9&lt;14/24)</formula>
    </cfRule>
    <cfRule type="expression" dxfId="8179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8178" priority="257">
      <formula>L$9&gt;=20/24</formula>
    </cfRule>
    <cfRule type="expression" dxfId="8177" priority="258">
      <formula>AND(L$9&gt;=14/24,L$9&lt;20/24)</formula>
    </cfRule>
    <cfRule type="expression" dxfId="8176" priority="259">
      <formula>AND(L$9&gt;=8/24,L$9&lt;14/24)</formula>
    </cfRule>
    <cfRule type="expression" dxfId="8175" priority="260">
      <formula>L$9&lt;8/24</formula>
    </cfRule>
  </conditionalFormatting>
  <conditionalFormatting sqref="L41:Q41">
    <cfRule type="expression" dxfId="8174" priority="253">
      <formula>L$9&gt;=20/24</formula>
    </cfRule>
    <cfRule type="expression" dxfId="8173" priority="254">
      <formula>AND(L$9&gt;=14/24,L$9&lt;20/24)</formula>
    </cfRule>
    <cfRule type="expression" dxfId="8172" priority="255">
      <formula>AND(L$9&gt;=8/24,L$9&lt;14/24)</formula>
    </cfRule>
    <cfRule type="expression" dxfId="8171" priority="256">
      <formula>L$9&lt;8/24</formula>
    </cfRule>
  </conditionalFormatting>
  <conditionalFormatting sqref="Y31:AF31">
    <cfRule type="expression" dxfId="8170" priority="249">
      <formula>Y$9&gt;=20/24</formula>
    </cfRule>
    <cfRule type="expression" dxfId="8169" priority="250">
      <formula>AND(Y$9&gt;=14/24,Y$9&lt;20/24)</formula>
    </cfRule>
    <cfRule type="expression" dxfId="8168" priority="251">
      <formula>AND(Y$9&gt;=8/24,Y$9&lt;14/24)</formula>
    </cfRule>
    <cfRule type="expression" dxfId="8167" priority="252">
      <formula>Y$9&lt;8/24</formula>
    </cfRule>
  </conditionalFormatting>
  <conditionalFormatting sqref="R37:AF37">
    <cfRule type="expression" dxfId="8166" priority="245">
      <formula>R$9&gt;=20/24</formula>
    </cfRule>
    <cfRule type="expression" dxfId="8165" priority="246">
      <formula>AND(R$9&gt;=14/24,R$9&lt;20/24)</formula>
    </cfRule>
    <cfRule type="expression" dxfId="8164" priority="247">
      <formula>AND(R$9&gt;=8/24,R$9&lt;14/24)</formula>
    </cfRule>
    <cfRule type="expression" dxfId="8163" priority="248">
      <formula>R$9&lt;8/24</formula>
    </cfRule>
  </conditionalFormatting>
  <conditionalFormatting sqref="R55:AD55">
    <cfRule type="expression" dxfId="8162" priority="241">
      <formula>R$9&gt;=20/24</formula>
    </cfRule>
    <cfRule type="expression" dxfId="8161" priority="242">
      <formula>AND(R$9&gt;=14/24,R$9&lt;20/24)</formula>
    </cfRule>
    <cfRule type="expression" dxfId="8160" priority="243">
      <formula>AND(R$9&gt;=8/24,R$9&lt;14/24)</formula>
    </cfRule>
    <cfRule type="expression" dxfId="8159" priority="244">
      <formula>R$9&lt;8/24</formula>
    </cfRule>
  </conditionalFormatting>
  <conditionalFormatting sqref="R79:Z79">
    <cfRule type="expression" dxfId="8158" priority="237">
      <formula>R$9&gt;=20/24</formula>
    </cfRule>
    <cfRule type="expression" dxfId="8157" priority="238">
      <formula>AND(R$9&gt;=14/24,R$9&lt;20/24)</formula>
    </cfRule>
    <cfRule type="expression" dxfId="8156" priority="239">
      <formula>AND(R$9&gt;=8/24,R$9&lt;14/24)</formula>
    </cfRule>
    <cfRule type="expression" dxfId="8155" priority="240">
      <formula>R$9&lt;8/24</formula>
    </cfRule>
  </conditionalFormatting>
  <conditionalFormatting sqref="T82:Z82">
    <cfRule type="expression" dxfId="8154" priority="233">
      <formula>T$9&gt;=20/24</formula>
    </cfRule>
    <cfRule type="expression" dxfId="8153" priority="234">
      <formula>AND(T$9&gt;=14/24,T$9&lt;20/24)</formula>
    </cfRule>
    <cfRule type="expression" dxfId="8152" priority="235">
      <formula>AND(T$9&gt;=8/24,T$9&lt;14/24)</formula>
    </cfRule>
    <cfRule type="expression" dxfId="8151" priority="236">
      <formula>T$9&lt;8/24</formula>
    </cfRule>
  </conditionalFormatting>
  <conditionalFormatting sqref="L33:Q33">
    <cfRule type="expression" dxfId="8150" priority="229">
      <formula>L$9&gt;=20/24</formula>
    </cfRule>
    <cfRule type="expression" dxfId="8149" priority="230">
      <formula>AND(L$9&gt;=14/24,L$9&lt;20/24)</formula>
    </cfRule>
    <cfRule type="expression" dxfId="8148" priority="231">
      <formula>AND(L$9&gt;=8/24,L$9&lt;14/24)</formula>
    </cfRule>
    <cfRule type="expression" dxfId="8147" priority="232">
      <formula>L$9&lt;8/24</formula>
    </cfRule>
  </conditionalFormatting>
  <conditionalFormatting sqref="L47:X47">
    <cfRule type="expression" dxfId="8146" priority="225">
      <formula>L$9&gt;=20/24</formula>
    </cfRule>
    <cfRule type="expression" dxfId="8145" priority="226">
      <formula>AND(L$9&gt;=14/24,L$9&lt;20/24)</formula>
    </cfRule>
    <cfRule type="expression" dxfId="8144" priority="227">
      <formula>AND(L$9&gt;=8/24,L$9&lt;14/24)</formula>
    </cfRule>
    <cfRule type="expression" dxfId="8143" priority="228">
      <formula>L$9&lt;8/24</formula>
    </cfRule>
  </conditionalFormatting>
  <conditionalFormatting sqref="L48:Q48">
    <cfRule type="expression" dxfId="8142" priority="221">
      <formula>L$9&gt;=20/24</formula>
    </cfRule>
    <cfRule type="expression" dxfId="8141" priority="222">
      <formula>AND(L$9&gt;=14/24,L$9&lt;20/24)</formula>
    </cfRule>
    <cfRule type="expression" dxfId="8140" priority="223">
      <formula>AND(L$9&gt;=8/24,L$9&lt;14/24)</formula>
    </cfRule>
    <cfRule type="expression" dxfId="8139" priority="224">
      <formula>L$9&lt;8/24</formula>
    </cfRule>
  </conditionalFormatting>
  <conditionalFormatting sqref="L43:Q46">
    <cfRule type="expression" dxfId="8138" priority="217">
      <formula>L$9&gt;=20/24</formula>
    </cfRule>
    <cfRule type="expression" dxfId="8137" priority="218">
      <formula>AND(L$9&gt;=14/24,L$9&lt;20/24)</formula>
    </cfRule>
    <cfRule type="expression" dxfId="8136" priority="219">
      <formula>AND(L$9&gt;=8/24,L$9&lt;14/24)</formula>
    </cfRule>
    <cfRule type="expression" dxfId="8135" priority="220">
      <formula>L$9&lt;8/24</formula>
    </cfRule>
  </conditionalFormatting>
  <conditionalFormatting sqref="R35:AF35">
    <cfRule type="expression" dxfId="8134" priority="213">
      <formula>R$9&gt;=20/24</formula>
    </cfRule>
    <cfRule type="expression" dxfId="8133" priority="214">
      <formula>AND(R$9&gt;=14/24,R$9&lt;20/24)</formula>
    </cfRule>
    <cfRule type="expression" dxfId="8132" priority="215">
      <formula>AND(R$9&gt;=8/24,R$9&lt;14/24)</formula>
    </cfRule>
    <cfRule type="expression" dxfId="8131" priority="216">
      <formula>R$9&lt;8/24</formula>
    </cfRule>
  </conditionalFormatting>
  <conditionalFormatting sqref="R30:X31 R33:AF33">
    <cfRule type="expression" dxfId="8130" priority="209">
      <formula>R$9&gt;=20/24</formula>
    </cfRule>
    <cfRule type="expression" dxfId="8129" priority="210">
      <formula>AND(R$9&gt;=14/24,R$9&lt;20/24)</formula>
    </cfRule>
    <cfRule type="expression" dxfId="8128" priority="211">
      <formula>AND(R$9&gt;=8/24,R$9&lt;14/24)</formula>
    </cfRule>
    <cfRule type="expression" dxfId="8127" priority="212">
      <formula>R$9&lt;8/24</formula>
    </cfRule>
  </conditionalFormatting>
  <conditionalFormatting sqref="R40:S41 T41:X41 R43:AF46">
    <cfRule type="expression" dxfId="8126" priority="205">
      <formula>R$9&gt;=20/24</formula>
    </cfRule>
    <cfRule type="expression" dxfId="8125" priority="206">
      <formula>AND(R$9&gt;=14/24,R$9&lt;20/24)</formula>
    </cfRule>
    <cfRule type="expression" dxfId="8124" priority="207">
      <formula>AND(R$9&gt;=8/24,R$9&lt;14/24)</formula>
    </cfRule>
    <cfRule type="expression" dxfId="8123" priority="208">
      <formula>R$9&lt;8/24</formula>
    </cfRule>
  </conditionalFormatting>
  <conditionalFormatting sqref="R47:AF47">
    <cfRule type="expression" dxfId="8122" priority="201">
      <formula>R$9&gt;=20/24</formula>
    </cfRule>
    <cfRule type="expression" dxfId="8121" priority="202">
      <formula>AND(R$9&gt;=14/24,R$9&lt;20/24)</formula>
    </cfRule>
    <cfRule type="expression" dxfId="8120" priority="203">
      <formula>AND(R$9&gt;=8/24,R$9&lt;14/24)</formula>
    </cfRule>
    <cfRule type="expression" dxfId="8119" priority="204">
      <formula>R$9&lt;8/24</formula>
    </cfRule>
  </conditionalFormatting>
  <conditionalFormatting sqref="R48:AF48">
    <cfRule type="expression" dxfId="8118" priority="197">
      <formula>R$9&gt;=20/24</formula>
    </cfRule>
    <cfRule type="expression" dxfId="8117" priority="198">
      <formula>AND(R$9&gt;=14/24,R$9&lt;20/24)</formula>
    </cfRule>
    <cfRule type="expression" dxfId="8116" priority="199">
      <formula>AND(R$9&gt;=8/24,R$9&lt;14/24)</formula>
    </cfRule>
    <cfRule type="expression" dxfId="8115" priority="200">
      <formula>R$9&lt;8/24</formula>
    </cfRule>
  </conditionalFormatting>
  <conditionalFormatting sqref="R58:AD65 AE59:AF65">
    <cfRule type="expression" dxfId="8114" priority="193">
      <formula>R$9&gt;=20/24</formula>
    </cfRule>
    <cfRule type="expression" dxfId="8113" priority="194">
      <formula>AND(R$9&gt;=14/24,R$9&lt;20/24)</formula>
    </cfRule>
    <cfRule type="expression" dxfId="8112" priority="195">
      <formula>AND(R$9&gt;=8/24,R$9&lt;14/24)</formula>
    </cfRule>
    <cfRule type="expression" dxfId="8111" priority="196">
      <formula>R$9&lt;8/24</formula>
    </cfRule>
  </conditionalFormatting>
  <conditionalFormatting sqref="AA92:AF95">
    <cfRule type="expression" dxfId="8110" priority="189">
      <formula>AA$9&gt;=20/24</formula>
    </cfRule>
    <cfRule type="expression" dxfId="8109" priority="190">
      <formula>AND(AA$9&gt;=14/24,AA$9&lt;20/24)</formula>
    </cfRule>
    <cfRule type="expression" dxfId="8108" priority="191">
      <formula>AND(AA$9&gt;=8/24,AA$9&lt;14/24)</formula>
    </cfRule>
    <cfRule type="expression" dxfId="8107" priority="192">
      <formula>AA$9&lt;8/24</formula>
    </cfRule>
  </conditionalFormatting>
  <conditionalFormatting sqref="B60:K60">
    <cfRule type="expression" dxfId="8106" priority="185">
      <formula>B$9&gt;=20/24</formula>
    </cfRule>
    <cfRule type="expression" dxfId="8105" priority="186">
      <formula>AND(B$9&gt;=14/24,B$9&lt;20/24)</formula>
    </cfRule>
    <cfRule type="expression" dxfId="8104" priority="187">
      <formula>AND(B$9&gt;=8/24,B$9&lt;14/24)</formula>
    </cfRule>
    <cfRule type="expression" dxfId="8103" priority="188">
      <formula>B$9&lt;8/24</formula>
    </cfRule>
  </conditionalFormatting>
  <conditionalFormatting sqref="T92:Z95">
    <cfRule type="expression" dxfId="8102" priority="181">
      <formula>T$9&gt;=20/24</formula>
    </cfRule>
    <cfRule type="expression" dxfId="8101" priority="182">
      <formula>AND(T$9&gt;=14/24,T$9&lt;20/24)</formula>
    </cfRule>
    <cfRule type="expression" dxfId="8100" priority="183">
      <formula>AND(T$9&gt;=8/24,T$9&lt;14/24)</formula>
    </cfRule>
    <cfRule type="expression" dxfId="8099" priority="184">
      <formula>T$9&lt;8/24</formula>
    </cfRule>
  </conditionalFormatting>
  <conditionalFormatting sqref="AG49 B15:Q31 B11:Q13 R17:X26 R11:AE11 Y12:AE13 Y15:AF26 AF11:AF13 B43:AF54 B33:AF41 R27:AF31">
    <cfRule type="expression" dxfId="8098" priority="180">
      <formula>B11&gt;$AG11</formula>
    </cfRule>
  </conditionalFormatting>
  <conditionalFormatting sqref="A98:A154 A82:A95 A11:A13 A15:A31 A43:A70 A78:A80 A72:A76 A33:A41 A167:A198">
    <cfRule type="expression" dxfId="8097" priority="179">
      <formula>$AH11=0</formula>
    </cfRule>
  </conditionalFormatting>
  <conditionalFormatting sqref="AA96:AF96">
    <cfRule type="expression" dxfId="8096" priority="175">
      <formula>AA$9&gt;=20/24</formula>
    </cfRule>
    <cfRule type="expression" dxfId="8095" priority="176">
      <formula>AND(AA$9&gt;=14/24,AA$9&lt;20/24)</formula>
    </cfRule>
    <cfRule type="expression" dxfId="8094" priority="177">
      <formula>AND(AA$9&gt;=8/24,AA$9&lt;14/24)</formula>
    </cfRule>
    <cfRule type="expression" dxfId="8093" priority="178">
      <formula>AA$9&lt;8/24</formula>
    </cfRule>
  </conditionalFormatting>
  <conditionalFormatting sqref="T96:Z96">
    <cfRule type="expression" dxfId="8092" priority="171">
      <formula>T$9&gt;=20/24</formula>
    </cfRule>
    <cfRule type="expression" dxfId="8091" priority="172">
      <formula>AND(T$9&gt;=14/24,T$9&lt;20/24)</formula>
    </cfRule>
    <cfRule type="expression" dxfId="8090" priority="173">
      <formula>AND(T$9&gt;=8/24,T$9&lt;14/24)</formula>
    </cfRule>
    <cfRule type="expression" dxfId="8089" priority="174">
      <formula>T$9&lt;8/24</formula>
    </cfRule>
  </conditionalFormatting>
  <conditionalFormatting sqref="A96">
    <cfRule type="expression" dxfId="8088" priority="170">
      <formula>$AH96=0</formula>
    </cfRule>
  </conditionalFormatting>
  <conditionalFormatting sqref="F34:AF34">
    <cfRule type="expression" dxfId="8087" priority="166">
      <formula>F$9&gt;=20/24</formula>
    </cfRule>
    <cfRule type="expression" dxfId="8086" priority="167">
      <formula>AND(F$9&gt;=14/24,F$9&lt;20/24)</formula>
    </cfRule>
    <cfRule type="expression" dxfId="8085" priority="168">
      <formula>AND(F$9&gt;=8/24,F$9&lt;14/24)</formula>
    </cfRule>
    <cfRule type="expression" dxfId="8084" priority="169">
      <formula>F$9&lt;8/24</formula>
    </cfRule>
  </conditionalFormatting>
  <conditionalFormatting sqref="AB35:AB71 R34:AF34">
    <cfRule type="expression" dxfId="8083" priority="162">
      <formula>R$9&gt;=20/24</formula>
    </cfRule>
    <cfRule type="expression" dxfId="8082" priority="163">
      <formula>AND(R$9&gt;=14/24,R$9&lt;20/24)</formula>
    </cfRule>
    <cfRule type="expression" dxfId="8081" priority="164">
      <formula>AND(R$9&gt;=8/24,R$9&lt;14/24)</formula>
    </cfRule>
    <cfRule type="expression" dxfId="8080" priority="165">
      <formula>R$9&lt;8/24</formula>
    </cfRule>
  </conditionalFormatting>
  <conditionalFormatting sqref="B34:E34">
    <cfRule type="expression" dxfId="8079" priority="158">
      <formula>B$9&gt;=20/24</formula>
    </cfRule>
    <cfRule type="expression" dxfId="8078" priority="159">
      <formula>AND(B$9&gt;=14/24,B$9&lt;20/24)</formula>
    </cfRule>
    <cfRule type="expression" dxfId="8077" priority="160">
      <formula>AND(B$9&gt;=8/24,B$9&lt;14/24)</formula>
    </cfRule>
    <cfRule type="expression" dxfId="8076" priority="161">
      <formula>B$9&lt;8/24</formula>
    </cfRule>
  </conditionalFormatting>
  <conditionalFormatting sqref="F61:K65">
    <cfRule type="expression" dxfId="8075" priority="154">
      <formula>F$9&gt;=20/24</formula>
    </cfRule>
    <cfRule type="expression" dxfId="8074" priority="155">
      <formula>AND(F$9&gt;=14/24,F$9&lt;20/24)</formula>
    </cfRule>
    <cfRule type="expression" dxfId="8073" priority="156">
      <formula>AND(F$9&gt;=8/24,F$9&lt;14/24)</formula>
    </cfRule>
    <cfRule type="expression" dxfId="8072" priority="157">
      <formula>F$9&lt;8/24</formula>
    </cfRule>
  </conditionalFormatting>
  <conditionalFormatting sqref="L60:L65">
    <cfRule type="expression" dxfId="8071" priority="150">
      <formula>L$9&gt;=20/24</formula>
    </cfRule>
    <cfRule type="expression" dxfId="8070" priority="151">
      <formula>AND(L$9&gt;=14/24,L$9&lt;20/24)</formula>
    </cfRule>
    <cfRule type="expression" dxfId="8069" priority="152">
      <formula>AND(L$9&gt;=8/24,L$9&lt;14/24)</formula>
    </cfRule>
    <cfRule type="expression" dxfId="8068" priority="153">
      <formula>L$9&lt;8/24</formula>
    </cfRule>
  </conditionalFormatting>
  <conditionalFormatting sqref="AL31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8067" priority="145">
      <formula>Y$9&gt;=20/24</formula>
    </cfRule>
    <cfRule type="expression" dxfId="8066" priority="146">
      <formula>AND(Y$9&gt;=14/24,Y$9&lt;20/24)</formula>
    </cfRule>
    <cfRule type="expression" dxfId="8065" priority="147">
      <formula>AND(Y$9&gt;=8/24,Y$9&lt;14/24)</formula>
    </cfRule>
    <cfRule type="expression" dxfId="8064" priority="148">
      <formula>Y$9&lt;8/24</formula>
    </cfRule>
  </conditionalFormatting>
  <conditionalFormatting sqref="L32:Q32">
    <cfRule type="expression" dxfId="8063" priority="141">
      <formula>L$9&gt;=20/24</formula>
    </cfRule>
    <cfRule type="expression" dxfId="8062" priority="142">
      <formula>AND(L$9&gt;=14/24,L$9&lt;20/24)</formula>
    </cfRule>
    <cfRule type="expression" dxfId="8061" priority="143">
      <formula>AND(L$9&gt;=8/24,L$9&lt;14/24)</formula>
    </cfRule>
    <cfRule type="expression" dxfId="8060" priority="144">
      <formula>L$9&lt;8/24</formula>
    </cfRule>
  </conditionalFormatting>
  <conditionalFormatting sqref="R32:X32">
    <cfRule type="expression" dxfId="8059" priority="137">
      <formula>R$9&gt;=20/24</formula>
    </cfRule>
    <cfRule type="expression" dxfId="8058" priority="138">
      <formula>AND(R$9&gt;=14/24,R$9&lt;20/24)</formula>
    </cfRule>
    <cfRule type="expression" dxfId="8057" priority="139">
      <formula>AND(R$9&gt;=8/24,R$9&lt;14/24)</formula>
    </cfRule>
    <cfRule type="expression" dxfId="8056" priority="140">
      <formula>R$9&lt;8/24</formula>
    </cfRule>
  </conditionalFormatting>
  <conditionalFormatting sqref="B32:AF32">
    <cfRule type="expression" dxfId="8055" priority="136">
      <formula>B32&gt;$AG32</formula>
    </cfRule>
  </conditionalFormatting>
  <conditionalFormatting sqref="A32">
    <cfRule type="expression" dxfId="8054" priority="135">
      <formula>$AH32=0</formula>
    </cfRule>
  </conditionalFormatting>
  <conditionalFormatting sqref="B81:AF81">
    <cfRule type="expression" dxfId="8053" priority="131">
      <formula>B$9&gt;=20/24</formula>
    </cfRule>
    <cfRule type="expression" dxfId="8052" priority="132">
      <formula>AND(B$9&gt;=14/24,B$9&lt;20/24)</formula>
    </cfRule>
    <cfRule type="expression" dxfId="8051" priority="133">
      <formula>AND(B$9&gt;=8/24,B$9&lt;14/24)</formula>
    </cfRule>
    <cfRule type="expression" dxfId="8050" priority="134">
      <formula>B$9&lt;8/24</formula>
    </cfRule>
  </conditionalFormatting>
  <conditionalFormatting sqref="A81">
    <cfRule type="expression" dxfId="8049" priority="130">
      <formula>$AH81=0</formula>
    </cfRule>
  </conditionalFormatting>
  <conditionalFormatting sqref="Y14:AF14">
    <cfRule type="expression" dxfId="8048" priority="126">
      <formula>Y$9&gt;=20/24</formula>
    </cfRule>
    <cfRule type="expression" dxfId="8047" priority="127">
      <formula>AND(Y$9&gt;=14/24,Y$9&lt;20/24)</formula>
    </cfRule>
    <cfRule type="expression" dxfId="8046" priority="128">
      <formula>AND(Y$9&gt;=8/24,Y$9&lt;14/24)</formula>
    </cfRule>
    <cfRule type="expression" dxfId="8045" priority="129">
      <formula>Y$9&lt;8/24</formula>
    </cfRule>
  </conditionalFormatting>
  <conditionalFormatting sqref="L14:Q14">
    <cfRule type="expression" dxfId="8044" priority="122">
      <formula>L$9&gt;=20/24</formula>
    </cfRule>
    <cfRule type="expression" dxfId="8043" priority="123">
      <formula>AND(L$9&gt;=14/24,L$9&lt;20/24)</formula>
    </cfRule>
    <cfRule type="expression" dxfId="8042" priority="124">
      <formula>AND(L$9&gt;=8/24,L$9&lt;14/24)</formula>
    </cfRule>
    <cfRule type="expression" dxfId="8041" priority="125">
      <formula>L$9&lt;8/24</formula>
    </cfRule>
  </conditionalFormatting>
  <conditionalFormatting sqref="B14:Q14 Y14:AF14">
    <cfRule type="expression" dxfId="8040" priority="121">
      <formula>B14&gt;$AG14</formula>
    </cfRule>
  </conditionalFormatting>
  <conditionalFormatting sqref="A14">
    <cfRule type="expression" dxfId="8039" priority="120">
      <formula>$AH14=0</formula>
    </cfRule>
  </conditionalFormatting>
  <conditionalFormatting sqref="A161:A166">
    <cfRule type="expression" dxfId="8038" priority="119">
      <formula>$AH161=0</formula>
    </cfRule>
  </conditionalFormatting>
  <conditionalFormatting sqref="A155:A160">
    <cfRule type="expression" dxfId="8037" priority="118">
      <formula>$AH155=0</formula>
    </cfRule>
  </conditionalFormatting>
  <conditionalFormatting sqref="Y42:AF42">
    <cfRule type="expression" dxfId="8036" priority="114">
      <formula>Y$9&gt;=20/24</formula>
    </cfRule>
    <cfRule type="expression" dxfId="8035" priority="115">
      <formula>AND(Y$9&gt;=14/24,Y$9&lt;20/24)</formula>
    </cfRule>
    <cfRule type="expression" dxfId="8034" priority="116">
      <formula>AND(Y$9&gt;=8/24,Y$9&lt;14/24)</formula>
    </cfRule>
    <cfRule type="expression" dxfId="8033" priority="117">
      <formula>Y$9&lt;8/24</formula>
    </cfRule>
  </conditionalFormatting>
  <conditionalFormatting sqref="L42:Q42">
    <cfRule type="expression" dxfId="8032" priority="110">
      <formula>L$9&gt;=20/24</formula>
    </cfRule>
    <cfRule type="expression" dxfId="8031" priority="111">
      <formula>AND(L$9&gt;=14/24,L$9&lt;20/24)</formula>
    </cfRule>
    <cfRule type="expression" dxfId="8030" priority="112">
      <formula>AND(L$9&gt;=8/24,L$9&lt;14/24)</formula>
    </cfRule>
    <cfRule type="expression" dxfId="8029" priority="113">
      <formula>L$9&lt;8/24</formula>
    </cfRule>
  </conditionalFormatting>
  <conditionalFormatting sqref="R42:X42">
    <cfRule type="expression" dxfId="8028" priority="106">
      <formula>R$9&gt;=20/24</formula>
    </cfRule>
    <cfRule type="expression" dxfId="8027" priority="107">
      <formula>AND(R$9&gt;=14/24,R$9&lt;20/24)</formula>
    </cfRule>
    <cfRule type="expression" dxfId="8026" priority="108">
      <formula>AND(R$9&gt;=8/24,R$9&lt;14/24)</formula>
    </cfRule>
    <cfRule type="expression" dxfId="8025" priority="109">
      <formula>R$9&lt;8/24</formula>
    </cfRule>
  </conditionalFormatting>
  <conditionalFormatting sqref="B42:AF42">
    <cfRule type="expression" dxfId="8024" priority="105">
      <formula>B42&gt;$AG42</formula>
    </cfRule>
  </conditionalFormatting>
  <conditionalFormatting sqref="A42">
    <cfRule type="expression" dxfId="8023" priority="104">
      <formula>$AH42=0</formula>
    </cfRule>
  </conditionalFormatting>
  <conditionalFormatting sqref="B77:AF77">
    <cfRule type="expression" dxfId="8022" priority="100">
      <formula>B$9&gt;=20/24</formula>
    </cfRule>
    <cfRule type="expression" dxfId="8021" priority="101">
      <formula>AND(B$9&gt;=14/24,B$9&lt;20/24)</formula>
    </cfRule>
    <cfRule type="expression" dxfId="8020" priority="102">
      <formula>AND(B$9&gt;=8/24,B$9&lt;14/24)</formula>
    </cfRule>
    <cfRule type="expression" dxfId="8019" priority="103">
      <formula>B$9&lt;8/24</formula>
    </cfRule>
  </conditionalFormatting>
  <conditionalFormatting sqref="A77">
    <cfRule type="expression" dxfId="8018" priority="99">
      <formula>$AH77=0</formula>
    </cfRule>
  </conditionalFormatting>
  <conditionalFormatting sqref="B71:AG71">
    <cfRule type="expression" dxfId="8017" priority="95">
      <formula>B$9&gt;=20/24</formula>
    </cfRule>
    <cfRule type="expression" dxfId="8016" priority="96">
      <formula>AND(B$9&gt;=14/24,B$9&lt;20/24)</formula>
    </cfRule>
    <cfRule type="expression" dxfId="8015" priority="97">
      <formula>AND(B$9&gt;=8/24,B$9&lt;14/24)</formula>
    </cfRule>
    <cfRule type="expression" dxfId="8014" priority="98">
      <formula>B$9&lt;8/24</formula>
    </cfRule>
  </conditionalFormatting>
  <conditionalFormatting sqref="A71">
    <cfRule type="expression" dxfId="8013" priority="94">
      <formula>$AH71=0</formula>
    </cfRule>
  </conditionalFormatting>
  <conditionalFormatting sqref="AL32:AL33 AL7:AL30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8012" priority="86">
      <formula>T$9&gt;=20/24</formula>
    </cfRule>
    <cfRule type="expression" dxfId="8011" priority="87">
      <formula>AND(T$9&gt;=14/24,T$9&lt;20/24)</formula>
    </cfRule>
    <cfRule type="expression" dxfId="8010" priority="88">
      <formula>AND(T$9&gt;=8/24,T$9&lt;14/24)</formula>
    </cfRule>
    <cfRule type="expression" dxfId="8009" priority="89">
      <formula>T$9&lt;8/24</formula>
    </cfRule>
  </conditionalFormatting>
  <conditionalFormatting sqref="R83:S89 B82:Q89">
    <cfRule type="expression" dxfId="8008" priority="82">
      <formula>B$9&gt;=20/24</formula>
    </cfRule>
    <cfRule type="expression" dxfId="8007" priority="83">
      <formula>AND(B$9&gt;=14/24,B$9&lt;20/24)</formula>
    </cfRule>
    <cfRule type="expression" dxfId="8006" priority="84">
      <formula>AND(B$9&gt;=8/24,B$9&lt;14/24)</formula>
    </cfRule>
    <cfRule type="expression" dxfId="8005" priority="85">
      <formula>B$9&lt;8/24</formula>
    </cfRule>
  </conditionalFormatting>
  <conditionalFormatting sqref="R82:S82">
    <cfRule type="expression" dxfId="8004" priority="78">
      <formula>R$9&gt;=20/24</formula>
    </cfRule>
    <cfRule type="expression" dxfId="8003" priority="79">
      <formula>AND(R$9&gt;=14/24,R$9&lt;20/24)</formula>
    </cfRule>
    <cfRule type="expression" dxfId="8002" priority="80">
      <formula>AND(R$9&gt;=8/24,R$9&lt;14/24)</formula>
    </cfRule>
    <cfRule type="expression" dxfId="8001" priority="81">
      <formula>R$9&lt;8/24</formula>
    </cfRule>
  </conditionalFormatting>
  <conditionalFormatting sqref="L93:L95 B92:K95">
    <cfRule type="expression" dxfId="8000" priority="74">
      <formula>B$9&gt;=20/24</formula>
    </cfRule>
    <cfRule type="expression" dxfId="7999" priority="75">
      <formula>AND(B$9&gt;=14/24,B$9&lt;20/24)</formula>
    </cfRule>
    <cfRule type="expression" dxfId="7998" priority="76">
      <formula>AND(B$9&gt;=8/24,B$9&lt;14/24)</formula>
    </cfRule>
    <cfRule type="expression" dxfId="7997" priority="77">
      <formula>B$9&lt;8/24</formula>
    </cfRule>
  </conditionalFormatting>
  <conditionalFormatting sqref="M93:Q95 N92:Q92">
    <cfRule type="expression" dxfId="7996" priority="70">
      <formula>M$9&gt;=20/24</formula>
    </cfRule>
    <cfRule type="expression" dxfId="7995" priority="71">
      <formula>AND(M$9&gt;=14/24,M$9&lt;20/24)</formula>
    </cfRule>
    <cfRule type="expression" dxfId="7994" priority="72">
      <formula>AND(M$9&gt;=8/24,M$9&lt;14/24)</formula>
    </cfRule>
    <cfRule type="expression" dxfId="7993" priority="73">
      <formula>M$9&lt;8/24</formula>
    </cfRule>
  </conditionalFormatting>
  <conditionalFormatting sqref="R92:S95">
    <cfRule type="expression" dxfId="7992" priority="66">
      <formula>R$9&gt;=20/24</formula>
    </cfRule>
    <cfRule type="expression" dxfId="7991" priority="67">
      <formula>AND(R$9&gt;=14/24,R$9&lt;20/24)</formula>
    </cfRule>
    <cfRule type="expression" dxfId="7990" priority="68">
      <formula>AND(R$9&gt;=8/24,R$9&lt;14/24)</formula>
    </cfRule>
    <cfRule type="expression" dxfId="7989" priority="69">
      <formula>R$9&lt;8/24</formula>
    </cfRule>
  </conditionalFormatting>
  <conditionalFormatting sqref="B96:L96">
    <cfRule type="expression" dxfId="7988" priority="62">
      <formula>B$9&gt;=20/24</formula>
    </cfRule>
    <cfRule type="expression" dxfId="7987" priority="63">
      <formula>AND(B$9&gt;=14/24,B$9&lt;20/24)</formula>
    </cfRule>
    <cfRule type="expression" dxfId="7986" priority="64">
      <formula>AND(B$9&gt;=8/24,B$9&lt;14/24)</formula>
    </cfRule>
    <cfRule type="expression" dxfId="7985" priority="65">
      <formula>B$9&lt;8/24</formula>
    </cfRule>
  </conditionalFormatting>
  <conditionalFormatting sqref="M96:Q96">
    <cfRule type="expression" dxfId="7984" priority="58">
      <formula>M$9&gt;=20/24</formula>
    </cfRule>
    <cfRule type="expression" dxfId="7983" priority="59">
      <formula>AND(M$9&gt;=14/24,M$9&lt;20/24)</formula>
    </cfRule>
    <cfRule type="expression" dxfId="7982" priority="60">
      <formula>AND(M$9&gt;=8/24,M$9&lt;14/24)</formula>
    </cfRule>
    <cfRule type="expression" dxfId="7981" priority="61">
      <formula>M$9&lt;8/24</formula>
    </cfRule>
  </conditionalFormatting>
  <conditionalFormatting sqref="R96:S96">
    <cfRule type="expression" dxfId="7980" priority="54">
      <formula>R$9&gt;=20/24</formula>
    </cfRule>
    <cfRule type="expression" dxfId="7979" priority="55">
      <formula>AND(R$9&gt;=14/24,R$9&lt;20/24)</formula>
    </cfRule>
    <cfRule type="expression" dxfId="7978" priority="56">
      <formula>AND(R$9&gt;=8/24,R$9&lt;14/24)</formula>
    </cfRule>
    <cfRule type="expression" dxfId="7977" priority="57">
      <formula>R$9&lt;8/24</formula>
    </cfRule>
  </conditionalFormatting>
  <conditionalFormatting sqref="L92:M92">
    <cfRule type="expression" dxfId="7976" priority="50">
      <formula>L$9&gt;=20/24</formula>
    </cfRule>
    <cfRule type="expression" dxfId="7975" priority="51">
      <formula>AND(L$9&gt;=14/24,L$9&lt;20/24)</formula>
    </cfRule>
    <cfRule type="expression" dxfId="7974" priority="52">
      <formula>AND(L$9&gt;=8/24,L$9&lt;14/24)</formula>
    </cfRule>
    <cfRule type="expression" dxfId="7973" priority="53">
      <formula>L$9&lt;8/24</formula>
    </cfRule>
  </conditionalFormatting>
  <conditionalFormatting sqref="T92:V92">
    <cfRule type="expression" dxfId="7972" priority="42">
      <formula>T$9&gt;=20/24</formula>
    </cfRule>
    <cfRule type="expression" dxfId="7971" priority="43">
      <formula>AND(T$9&gt;=14/24,T$9&lt;20/24)</formula>
    </cfRule>
    <cfRule type="expression" dxfId="7970" priority="44">
      <formula>AND(T$9&gt;=8/24,T$9&lt;14/24)</formula>
    </cfRule>
    <cfRule type="expression" dxfId="7969" priority="45">
      <formula>T$9&lt;8/24</formula>
    </cfRule>
  </conditionalFormatting>
  <conditionalFormatting sqref="M92:S92">
    <cfRule type="expression" dxfId="7968" priority="38">
      <formula>M$9&gt;=20/24</formula>
    </cfRule>
    <cfRule type="expression" dxfId="7967" priority="39">
      <formula>AND(M$9&gt;=14/24,M$9&lt;20/24)</formula>
    </cfRule>
    <cfRule type="expression" dxfId="7966" priority="40">
      <formula>AND(M$9&gt;=8/24,M$9&lt;14/24)</formula>
    </cfRule>
    <cfRule type="expression" dxfId="7965" priority="41">
      <formula>M$9&lt;8/24</formula>
    </cfRule>
  </conditionalFormatting>
  <conditionalFormatting sqref="AA97:AF97">
    <cfRule type="expression" dxfId="7964" priority="34">
      <formula>AA$9&gt;=20/24</formula>
    </cfRule>
    <cfRule type="expression" dxfId="7963" priority="35">
      <formula>AND(AA$9&gt;=14/24,AA$9&lt;20/24)</formula>
    </cfRule>
    <cfRule type="expression" dxfId="7962" priority="36">
      <formula>AND(AA$9&gt;=8/24,AA$9&lt;14/24)</formula>
    </cfRule>
    <cfRule type="expression" dxfId="7961" priority="37">
      <formula>AA$9&lt;8/24</formula>
    </cfRule>
  </conditionalFormatting>
  <conditionalFormatting sqref="T97:Z97">
    <cfRule type="expression" dxfId="7960" priority="30">
      <formula>T$9&gt;=20/24</formula>
    </cfRule>
    <cfRule type="expression" dxfId="7959" priority="31">
      <formula>AND(T$9&gt;=14/24,T$9&lt;20/24)</formula>
    </cfRule>
    <cfRule type="expression" dxfId="7958" priority="32">
      <formula>AND(T$9&gt;=8/24,T$9&lt;14/24)</formula>
    </cfRule>
    <cfRule type="expression" dxfId="7957" priority="33">
      <formula>T$9&lt;8/24</formula>
    </cfRule>
  </conditionalFormatting>
  <conditionalFormatting sqref="A97">
    <cfRule type="expression" dxfId="7956" priority="29">
      <formula>$AH97=0</formula>
    </cfRule>
  </conditionalFormatting>
  <conditionalFormatting sqref="B97:L97">
    <cfRule type="expression" dxfId="7955" priority="25">
      <formula>B$9&gt;=20/24</formula>
    </cfRule>
    <cfRule type="expression" dxfId="7954" priority="26">
      <formula>AND(B$9&gt;=14/24,B$9&lt;20/24)</formula>
    </cfRule>
    <cfRule type="expression" dxfId="7953" priority="27">
      <formula>AND(B$9&gt;=8/24,B$9&lt;14/24)</formula>
    </cfRule>
    <cfRule type="expression" dxfId="7952" priority="28">
      <formula>B$9&lt;8/24</formula>
    </cfRule>
  </conditionalFormatting>
  <conditionalFormatting sqref="M97:Q97">
    <cfRule type="expression" dxfId="7951" priority="21">
      <formula>M$9&gt;=20/24</formula>
    </cfRule>
    <cfRule type="expression" dxfId="7950" priority="22">
      <formula>AND(M$9&gt;=14/24,M$9&lt;20/24)</formula>
    </cfRule>
    <cfRule type="expression" dxfId="7949" priority="23">
      <formula>AND(M$9&gt;=8/24,M$9&lt;14/24)</formula>
    </cfRule>
    <cfRule type="expression" dxfId="7948" priority="24">
      <formula>M$9&lt;8/24</formula>
    </cfRule>
  </conditionalFormatting>
  <conditionalFormatting sqref="R97:S97">
    <cfRule type="expression" dxfId="7947" priority="17">
      <formula>R$9&gt;=20/24</formula>
    </cfRule>
    <cfRule type="expression" dxfId="7946" priority="18">
      <formula>AND(R$9&gt;=14/24,R$9&lt;20/24)</formula>
    </cfRule>
    <cfRule type="expression" dxfId="7945" priority="19">
      <formula>AND(R$9&gt;=8/24,R$9&lt;14/24)</formula>
    </cfRule>
    <cfRule type="expression" dxfId="7944" priority="20">
      <formula>R$9&lt;8/24</formula>
    </cfRule>
  </conditionalFormatting>
  <conditionalFormatting sqref="R12:X15">
    <cfRule type="expression" dxfId="7943" priority="13">
      <formula>R$9&gt;=20/24</formula>
    </cfRule>
    <cfRule type="expression" dxfId="7942" priority="14">
      <formula>AND(R$9&gt;=14/24,R$9&lt;20/24)</formula>
    </cfRule>
    <cfRule type="expression" dxfId="7941" priority="15">
      <formula>AND(R$9&gt;=8/24,R$9&lt;14/24)</formula>
    </cfRule>
    <cfRule type="expression" dxfId="7940" priority="16">
      <formula>R$9&lt;8/24</formula>
    </cfRule>
  </conditionalFormatting>
  <conditionalFormatting sqref="R16:X16">
    <cfRule type="expression" dxfId="7939" priority="9">
      <formula>R$9&gt;=20/24</formula>
    </cfRule>
    <cfRule type="expression" dxfId="7938" priority="10">
      <formula>AND(R$9&gt;=14/24,R$9&lt;20/24)</formula>
    </cfRule>
    <cfRule type="expression" dxfId="7937" priority="11">
      <formula>AND(R$9&gt;=8/24,R$9&lt;14/24)</formula>
    </cfRule>
    <cfRule type="expression" dxfId="7936" priority="12">
      <formula>R$9&lt;8/24</formula>
    </cfRule>
  </conditionalFormatting>
  <conditionalFormatting sqref="R12:X12">
    <cfRule type="expression" dxfId="7935" priority="5">
      <formula>R$9&gt;=20/24</formula>
    </cfRule>
    <cfRule type="expression" dxfId="7934" priority="6">
      <formula>AND(R$9&gt;=14/24,R$9&lt;20/24)</formula>
    </cfRule>
    <cfRule type="expression" dxfId="7933" priority="7">
      <formula>AND(R$9&gt;=8/24,R$9&lt;14/24)</formula>
    </cfRule>
    <cfRule type="expression" dxfId="7932" priority="8">
      <formula>R$9&lt;8/24</formula>
    </cfRule>
  </conditionalFormatting>
  <conditionalFormatting sqref="AA56:AD57">
    <cfRule type="expression" dxfId="7931" priority="1">
      <formula>AA$9&gt;=20/24</formula>
    </cfRule>
    <cfRule type="expression" dxfId="7930" priority="2">
      <formula>AND(AA$9&gt;=14/24,AA$9&lt;20/24)</formula>
    </cfRule>
    <cfRule type="expression" dxfId="7929" priority="3">
      <formula>AND(AA$9&gt;=8/24,AA$9&lt;14/24)</formula>
    </cfRule>
    <cfRule type="expression" dxfId="7928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23" sqref="F2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2078/04/10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-171</v>
      </c>
      <c r="C5" s="32">
        <f t="shared" ref="C5:AF5" si="0">C66</f>
        <v>-169</v>
      </c>
      <c r="D5" s="32">
        <f t="shared" si="0"/>
        <v>-165.3</v>
      </c>
      <c r="E5" s="32">
        <f t="shared" si="0"/>
        <v>-145.6</v>
      </c>
      <c r="F5" s="32">
        <f t="shared" si="0"/>
        <v>-113.1</v>
      </c>
      <c r="G5" s="32">
        <f t="shared" si="0"/>
        <v>-115</v>
      </c>
      <c r="H5" s="32">
        <f t="shared" si="0"/>
        <v>-131.5</v>
      </c>
      <c r="I5" s="32">
        <f t="shared" si="0"/>
        <v>-77.099999999999994</v>
      </c>
      <c r="J5" s="32">
        <f t="shared" si="0"/>
        <v>-82.4</v>
      </c>
      <c r="K5" s="32">
        <f t="shared" si="0"/>
        <v>-64.400000000000006</v>
      </c>
      <c r="L5" s="32">
        <f t="shared" si="0"/>
        <v>-72.199999999999989</v>
      </c>
      <c r="M5" s="32">
        <f t="shared" si="0"/>
        <v>-89</v>
      </c>
      <c r="N5" s="32">
        <f t="shared" si="0"/>
        <v>-91.6</v>
      </c>
      <c r="O5" s="32">
        <f t="shared" si="0"/>
        <v>-96.399999999999991</v>
      </c>
      <c r="P5" s="32">
        <f t="shared" si="0"/>
        <v>-43.4</v>
      </c>
      <c r="Q5" s="32">
        <f t="shared" si="0"/>
        <v>-36.6</v>
      </c>
      <c r="R5" s="32">
        <f t="shared" si="0"/>
        <v>-53.8</v>
      </c>
      <c r="S5" s="32">
        <f t="shared" si="0"/>
        <v>-23.4</v>
      </c>
      <c r="T5" s="32">
        <f t="shared" si="0"/>
        <v>-47.1</v>
      </c>
      <c r="U5" s="32">
        <f t="shared" si="0"/>
        <v>-29.2</v>
      </c>
      <c r="V5" s="32">
        <f t="shared" si="0"/>
        <v>-49.2</v>
      </c>
      <c r="W5" s="32">
        <f t="shared" si="0"/>
        <v>-25.4</v>
      </c>
      <c r="X5" s="32">
        <f t="shared" si="0"/>
        <v>-10.199999999999999</v>
      </c>
      <c r="Y5" s="32">
        <f t="shared" si="0"/>
        <v>28.3</v>
      </c>
      <c r="Z5" s="32">
        <f t="shared" si="0"/>
        <v>-9.8000000000000007</v>
      </c>
      <c r="AA5" s="32">
        <f t="shared" si="0"/>
        <v>-39.6</v>
      </c>
      <c r="AB5" s="32">
        <f t="shared" si="0"/>
        <v>-24.200000000000003</v>
      </c>
      <c r="AC5" s="32">
        <f t="shared" si="0"/>
        <v>-59</v>
      </c>
      <c r="AD5" s="32">
        <f t="shared" si="0"/>
        <v>-25</v>
      </c>
      <c r="AE5" s="32">
        <f t="shared" si="0"/>
        <v>-25</v>
      </c>
      <c r="AF5" s="32">
        <f t="shared" si="0"/>
        <v>-45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1296MW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Load=1059</v>
      </c>
      <c r="B7" s="37">
        <f t="shared" ref="B7:AF7" si="1">B73</f>
        <v>1161.74</v>
      </c>
      <c r="C7" s="37">
        <f t="shared" si="1"/>
        <v>1163.74</v>
      </c>
      <c r="D7" s="37">
        <f t="shared" si="1"/>
        <v>1103.5400000000002</v>
      </c>
      <c r="E7" s="37">
        <f t="shared" si="1"/>
        <v>1059.1400000000001</v>
      </c>
      <c r="F7" s="37">
        <f t="shared" si="1"/>
        <v>1088.94</v>
      </c>
      <c r="G7" s="37">
        <f t="shared" si="1"/>
        <v>1089.8400000000001</v>
      </c>
      <c r="H7" s="37">
        <f t="shared" si="1"/>
        <v>1074.44</v>
      </c>
      <c r="I7" s="37">
        <f t="shared" si="1"/>
        <v>1129.24</v>
      </c>
      <c r="J7" s="37">
        <f t="shared" si="1"/>
        <v>1198.54</v>
      </c>
      <c r="K7" s="37">
        <f t="shared" si="1"/>
        <v>1268.44</v>
      </c>
      <c r="L7" s="37">
        <f>L73</f>
        <v>1296.44</v>
      </c>
      <c r="M7" s="37">
        <f t="shared" si="1"/>
        <v>1290.04</v>
      </c>
      <c r="N7" s="37">
        <f t="shared" si="1"/>
        <v>1316.84</v>
      </c>
      <c r="O7" s="37">
        <f t="shared" si="1"/>
        <v>1340.74</v>
      </c>
      <c r="P7" s="37">
        <f t="shared" si="1"/>
        <v>1373.04</v>
      </c>
      <c r="Q7" s="37">
        <f t="shared" si="1"/>
        <v>1363.94</v>
      </c>
      <c r="R7" s="37">
        <f t="shared" si="1"/>
        <v>1335.44</v>
      </c>
      <c r="S7" s="37">
        <f t="shared" si="1"/>
        <v>1304.24</v>
      </c>
      <c r="T7" s="37">
        <f t="shared" si="1"/>
        <v>1318.14</v>
      </c>
      <c r="U7" s="37">
        <f t="shared" si="1"/>
        <v>1288.3400000000001</v>
      </c>
      <c r="V7" s="37">
        <f t="shared" si="1"/>
        <v>1305.94</v>
      </c>
      <c r="W7" s="37">
        <f t="shared" si="1"/>
        <v>1360.1399999999999</v>
      </c>
      <c r="X7" s="37">
        <f t="shared" si="1"/>
        <v>1504.2399999999998</v>
      </c>
      <c r="Y7" s="37">
        <f t="shared" si="1"/>
        <v>1544.44</v>
      </c>
      <c r="Z7" s="37">
        <f t="shared" si="1"/>
        <v>1479.94</v>
      </c>
      <c r="AA7" s="37">
        <f t="shared" si="1"/>
        <v>1448.6399999999999</v>
      </c>
      <c r="AB7" s="37">
        <f t="shared" si="1"/>
        <v>1437.74</v>
      </c>
      <c r="AC7" s="37">
        <f t="shared" si="1"/>
        <v>1356.84</v>
      </c>
      <c r="AD7" s="37">
        <f t="shared" si="1"/>
        <v>1291.94</v>
      </c>
      <c r="AE7" s="37">
        <f t="shared" si="1"/>
        <v>1219.04</v>
      </c>
      <c r="AF7" s="37">
        <f t="shared" si="1"/>
        <v>1199.24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300</v>
      </c>
      <c r="C11" s="49">
        <v>300</v>
      </c>
      <c r="D11" s="49">
        <v>270</v>
      </c>
      <c r="E11" s="49">
        <v>270</v>
      </c>
      <c r="F11" s="49">
        <v>270</v>
      </c>
      <c r="G11" s="49">
        <v>270</v>
      </c>
      <c r="H11" s="49">
        <v>270</v>
      </c>
      <c r="I11" s="49">
        <v>270</v>
      </c>
      <c r="J11" s="49">
        <v>310</v>
      </c>
      <c r="K11" s="49">
        <v>360</v>
      </c>
      <c r="L11" s="50">
        <v>370</v>
      </c>
      <c r="M11" s="50">
        <v>350</v>
      </c>
      <c r="N11" s="50">
        <v>380</v>
      </c>
      <c r="O11" s="50">
        <v>380</v>
      </c>
      <c r="P11" s="50">
        <v>380</v>
      </c>
      <c r="Q11" s="50">
        <v>370</v>
      </c>
      <c r="R11" s="52">
        <v>374</v>
      </c>
      <c r="S11" s="52">
        <v>320.10000000000002</v>
      </c>
      <c r="T11" s="52">
        <v>380</v>
      </c>
      <c r="U11" s="52">
        <v>340</v>
      </c>
      <c r="V11" s="52">
        <v>380</v>
      </c>
      <c r="W11" s="52">
        <v>380</v>
      </c>
      <c r="X11" s="52">
        <v>380</v>
      </c>
      <c r="Y11" s="53">
        <v>380</v>
      </c>
      <c r="Z11" s="53">
        <v>380</v>
      </c>
      <c r="AA11" s="115">
        <v>377</v>
      </c>
      <c r="AB11" s="115">
        <v>379</v>
      </c>
      <c r="AC11" s="115">
        <v>379</v>
      </c>
      <c r="AD11" s="115">
        <v>300</v>
      </c>
      <c r="AE11" s="49">
        <v>250</v>
      </c>
      <c r="AF11" s="49">
        <v>250</v>
      </c>
      <c r="AG11" s="54">
        <v>456</v>
      </c>
      <c r="AH11" s="55">
        <f>MAX(B11:AF11)</f>
        <v>380</v>
      </c>
      <c r="AI11" s="56">
        <f>MIN(B11:AF11)</f>
        <v>250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59">
        <v>50</v>
      </c>
      <c r="S12" s="59">
        <v>50</v>
      </c>
      <c r="T12" s="59">
        <v>50</v>
      </c>
      <c r="U12" s="59">
        <v>50</v>
      </c>
      <c r="V12" s="59">
        <v>50</v>
      </c>
      <c r="W12" s="59">
        <v>50</v>
      </c>
      <c r="X12" s="59">
        <v>50</v>
      </c>
      <c r="Y12" s="50">
        <v>50</v>
      </c>
      <c r="Z12" s="50">
        <v>50</v>
      </c>
      <c r="AA12" s="50">
        <v>50</v>
      </c>
      <c r="AB12" s="50">
        <v>50</v>
      </c>
      <c r="AC12" s="50">
        <v>50</v>
      </c>
      <c r="AD12" s="50">
        <v>50</v>
      </c>
      <c r="AE12" s="49">
        <v>50</v>
      </c>
      <c r="AF12" s="49">
        <v>50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45.8</v>
      </c>
      <c r="C14" s="62">
        <v>45.8</v>
      </c>
      <c r="D14" s="62">
        <v>45.6</v>
      </c>
      <c r="E14" s="62">
        <v>45.9</v>
      </c>
      <c r="F14" s="62">
        <v>45.9</v>
      </c>
      <c r="G14" s="62">
        <v>45.9</v>
      </c>
      <c r="H14" s="62">
        <v>45.9</v>
      </c>
      <c r="I14" s="62">
        <v>45.9</v>
      </c>
      <c r="J14" s="62">
        <v>45.6</v>
      </c>
      <c r="K14" s="62">
        <v>45.6</v>
      </c>
      <c r="L14" s="50">
        <v>45.4</v>
      </c>
      <c r="M14" s="50">
        <v>45.7</v>
      </c>
      <c r="N14" s="50">
        <v>45.9</v>
      </c>
      <c r="O14" s="50">
        <v>46</v>
      </c>
      <c r="P14" s="50">
        <v>46</v>
      </c>
      <c r="Q14" s="50">
        <v>45.7</v>
      </c>
      <c r="R14" s="61">
        <v>45.7</v>
      </c>
      <c r="S14" s="61">
        <v>45.3</v>
      </c>
      <c r="T14" s="61">
        <v>45.2</v>
      </c>
      <c r="U14" s="61">
        <v>45.9</v>
      </c>
      <c r="V14" s="61">
        <v>45.9</v>
      </c>
      <c r="W14" s="61">
        <v>45.8</v>
      </c>
      <c r="X14" s="61">
        <v>45.8</v>
      </c>
      <c r="Y14" s="50">
        <v>45.8</v>
      </c>
      <c r="Z14" s="50">
        <v>45.8</v>
      </c>
      <c r="AA14" s="50">
        <v>45.6</v>
      </c>
      <c r="AB14" s="50">
        <v>45.6</v>
      </c>
      <c r="AC14" s="50">
        <v>45.6</v>
      </c>
      <c r="AD14" s="50">
        <v>45.6</v>
      </c>
      <c r="AE14" s="62">
        <v>36</v>
      </c>
      <c r="AF14" s="62">
        <v>36</v>
      </c>
      <c r="AG14" s="63">
        <v>45</v>
      </c>
      <c r="AH14" s="55">
        <f t="shared" si="2"/>
        <v>46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28</v>
      </c>
      <c r="C15" s="49">
        <v>28</v>
      </c>
      <c r="D15" s="49">
        <v>25</v>
      </c>
      <c r="E15" s="49">
        <v>25</v>
      </c>
      <c r="F15" s="49">
        <v>25</v>
      </c>
      <c r="G15" s="49">
        <v>25</v>
      </c>
      <c r="H15" s="49">
        <v>25</v>
      </c>
      <c r="I15" s="49">
        <v>25</v>
      </c>
      <c r="J15" s="49">
        <v>25</v>
      </c>
      <c r="K15" s="49">
        <v>25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28</v>
      </c>
      <c r="Y15" s="50">
        <v>28</v>
      </c>
      <c r="Z15" s="50">
        <v>28</v>
      </c>
      <c r="AA15" s="50">
        <v>28</v>
      </c>
      <c r="AB15" s="50">
        <v>28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28</v>
      </c>
      <c r="AI15" s="56">
        <f t="shared" si="3"/>
        <v>25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25.1</v>
      </c>
      <c r="C18" s="49">
        <v>25.1</v>
      </c>
      <c r="D18" s="49">
        <v>20.100000000000001</v>
      </c>
      <c r="E18" s="49">
        <v>20.100000000000001</v>
      </c>
      <c r="F18" s="49">
        <v>20.100000000000001</v>
      </c>
      <c r="G18" s="49">
        <v>20.100000000000001</v>
      </c>
      <c r="H18" s="49">
        <v>20.100000000000001</v>
      </c>
      <c r="I18" s="49">
        <v>20.100000000000001</v>
      </c>
      <c r="J18" s="49">
        <v>25.1</v>
      </c>
      <c r="K18" s="49">
        <v>25.1</v>
      </c>
      <c r="L18" s="50">
        <v>25.3</v>
      </c>
      <c r="M18" s="50">
        <v>25.3</v>
      </c>
      <c r="N18" s="50">
        <v>25.2</v>
      </c>
      <c r="O18" s="50">
        <v>25.2</v>
      </c>
      <c r="P18" s="50">
        <v>25.2</v>
      </c>
      <c r="Q18" s="50">
        <v>25.2</v>
      </c>
      <c r="R18" s="50">
        <v>25.3</v>
      </c>
      <c r="S18" s="50">
        <v>25.2</v>
      </c>
      <c r="T18" s="50">
        <v>25.2</v>
      </c>
      <c r="U18" s="50">
        <v>25.2</v>
      </c>
      <c r="V18" s="50">
        <v>25.2</v>
      </c>
      <c r="W18" s="50">
        <v>25.3</v>
      </c>
      <c r="X18" s="50">
        <v>25.3</v>
      </c>
      <c r="Y18" s="50">
        <v>25.3</v>
      </c>
      <c r="Z18" s="50">
        <v>25.3</v>
      </c>
      <c r="AA18" s="50">
        <v>25.3</v>
      </c>
      <c r="AB18" s="50">
        <v>25.3</v>
      </c>
      <c r="AC18" s="50">
        <v>25.3</v>
      </c>
      <c r="AD18" s="50">
        <v>25.3</v>
      </c>
      <c r="AE18" s="49">
        <v>20</v>
      </c>
      <c r="AF18" s="49">
        <v>20</v>
      </c>
      <c r="AG18" s="60">
        <v>30</v>
      </c>
      <c r="AH18" s="55">
        <f t="shared" si="2"/>
        <v>25.3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18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19</v>
      </c>
      <c r="F24" s="49">
        <v>19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49">
        <v>20</v>
      </c>
      <c r="AF24" s="49">
        <v>20</v>
      </c>
      <c r="AG24" s="60">
        <v>24.2</v>
      </c>
      <c r="AH24" s="55">
        <f t="shared" si="2"/>
        <v>22</v>
      </c>
      <c r="AI24" s="56">
        <f t="shared" si="3"/>
        <v>19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10</v>
      </c>
      <c r="K25" s="49">
        <v>10</v>
      </c>
      <c r="L25" s="50">
        <v>10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15</v>
      </c>
      <c r="S25" s="50">
        <v>11</v>
      </c>
      <c r="T25" s="50">
        <v>11</v>
      </c>
      <c r="U25" s="50">
        <v>11</v>
      </c>
      <c r="V25" s="50">
        <v>11</v>
      </c>
      <c r="W25" s="50">
        <v>11</v>
      </c>
      <c r="X25" s="50">
        <v>17</v>
      </c>
      <c r="Y25" s="50">
        <v>17</v>
      </c>
      <c r="Z25" s="50">
        <v>17</v>
      </c>
      <c r="AA25" s="50">
        <v>17</v>
      </c>
      <c r="AB25" s="50">
        <v>17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20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11</v>
      </c>
      <c r="F26" s="49">
        <v>11</v>
      </c>
      <c r="G26" s="49">
        <v>11</v>
      </c>
      <c r="H26" s="49">
        <v>11</v>
      </c>
      <c r="I26" s="49">
        <v>11</v>
      </c>
      <c r="J26" s="49">
        <v>15</v>
      </c>
      <c r="K26" s="49">
        <v>15</v>
      </c>
      <c r="L26" s="49">
        <v>15</v>
      </c>
      <c r="M26" s="49">
        <v>15</v>
      </c>
      <c r="N26" s="49">
        <v>15</v>
      </c>
      <c r="O26" s="49">
        <v>15</v>
      </c>
      <c r="P26" s="49">
        <v>15</v>
      </c>
      <c r="Q26" s="49">
        <v>15</v>
      </c>
      <c r="R26" s="49">
        <v>15</v>
      </c>
      <c r="S26" s="49">
        <v>15</v>
      </c>
      <c r="T26" s="49">
        <v>15</v>
      </c>
      <c r="U26" s="49">
        <v>15</v>
      </c>
      <c r="V26" s="49">
        <v>15</v>
      </c>
      <c r="W26" s="49">
        <v>15</v>
      </c>
      <c r="X26" s="49">
        <v>15</v>
      </c>
      <c r="Y26" s="50">
        <v>15</v>
      </c>
      <c r="Z26" s="50">
        <v>15</v>
      </c>
      <c r="AA26" s="50">
        <v>15</v>
      </c>
      <c r="AB26" s="50">
        <v>15</v>
      </c>
      <c r="AC26" s="50">
        <v>15</v>
      </c>
      <c r="AD26" s="50">
        <v>10</v>
      </c>
      <c r="AE26" s="49">
        <v>4</v>
      </c>
      <c r="AF26" s="49">
        <v>4</v>
      </c>
      <c r="AG26" s="60">
        <v>23.5</v>
      </c>
      <c r="AH26" s="55">
        <f t="shared" si="2"/>
        <v>15</v>
      </c>
      <c r="AI26" s="56">
        <f t="shared" si="3"/>
        <v>4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0">
        <v>22.2</v>
      </c>
      <c r="AH27" s="55">
        <f t="shared" si="2"/>
        <v>10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12.7</v>
      </c>
      <c r="E28" s="49">
        <v>12.5</v>
      </c>
      <c r="F28" s="49">
        <v>12.5</v>
      </c>
      <c r="G28" s="49">
        <v>12.5</v>
      </c>
      <c r="H28" s="49">
        <v>12.5</v>
      </c>
      <c r="I28" s="49">
        <v>12.5</v>
      </c>
      <c r="J28" s="49">
        <v>12.5</v>
      </c>
      <c r="K28" s="49">
        <v>12.5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12.7</v>
      </c>
      <c r="AI28" s="56">
        <f t="shared" si="3"/>
        <v>12.4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170</v>
      </c>
      <c r="C35" s="62">
        <v>170</v>
      </c>
      <c r="D35" s="62">
        <f>96.4+74.9</f>
        <v>171.3</v>
      </c>
      <c r="E35" s="62">
        <f>91+67.6</f>
        <v>158.6</v>
      </c>
      <c r="F35" s="62">
        <f>91.1+67.4</f>
        <v>158.5</v>
      </c>
      <c r="G35" s="62">
        <f>91.6+67.2</f>
        <v>158.80000000000001</v>
      </c>
      <c r="H35" s="62">
        <f>92.3+69.6</f>
        <v>161.89999999999998</v>
      </c>
      <c r="I35" s="62">
        <f>93.1+71.1</f>
        <v>164.2</v>
      </c>
      <c r="J35" s="62">
        <f>94.3+74.4</f>
        <v>168.7</v>
      </c>
      <c r="K35" s="62">
        <f>94.6+74.4</f>
        <v>169</v>
      </c>
      <c r="L35" s="70">
        <f>73.9+94.5</f>
        <v>168.4</v>
      </c>
      <c r="M35" s="70">
        <f>74+93.3</f>
        <v>167.3</v>
      </c>
      <c r="N35" s="70">
        <f>74.5+95.3</f>
        <v>169.8</v>
      </c>
      <c r="O35" s="70">
        <f>74.3+92.1</f>
        <v>166.39999999999998</v>
      </c>
      <c r="P35" s="70">
        <f>74.3+92.1</f>
        <v>166.39999999999998</v>
      </c>
      <c r="Q35" s="70">
        <v>166.8</v>
      </c>
      <c r="R35" s="70">
        <f>74.2+94.1</f>
        <v>168.3</v>
      </c>
      <c r="S35" s="70">
        <v>165.4</v>
      </c>
      <c r="T35" s="70">
        <f>95.3+74.2</f>
        <v>169.5</v>
      </c>
      <c r="U35" s="70">
        <f>94.7+74.6</f>
        <v>169.3</v>
      </c>
      <c r="V35" s="70">
        <v>169</v>
      </c>
      <c r="W35" s="70">
        <v>165.3</v>
      </c>
      <c r="X35" s="70">
        <v>165</v>
      </c>
      <c r="Y35" s="70">
        <v>165.6</v>
      </c>
      <c r="Z35" s="70">
        <v>166.1</v>
      </c>
      <c r="AA35" s="70">
        <f>93.6+73.9</f>
        <v>167.5</v>
      </c>
      <c r="AB35" s="70">
        <f>93.6+74</f>
        <v>167.6</v>
      </c>
      <c r="AC35" s="70">
        <f>74.2+94.1</f>
        <v>168.3</v>
      </c>
      <c r="AD35" s="70">
        <f>95.2+74.6</f>
        <v>169.8</v>
      </c>
      <c r="AE35" s="70">
        <f>95.2+74.6</f>
        <v>169.8</v>
      </c>
      <c r="AF35" s="70">
        <v>168</v>
      </c>
      <c r="AG35" s="67">
        <v>240</v>
      </c>
      <c r="AH35" s="55">
        <f t="shared" si="2"/>
        <v>171.3</v>
      </c>
      <c r="AI35" s="56">
        <f t="shared" si="3"/>
        <v>158.5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895.4</v>
      </c>
      <c r="C36" s="72">
        <f t="shared" si="4"/>
        <v>895.4</v>
      </c>
      <c r="D36" s="72">
        <f t="shared" si="4"/>
        <v>857.50000000000011</v>
      </c>
      <c r="E36" s="72">
        <f t="shared" si="4"/>
        <v>836.7</v>
      </c>
      <c r="F36" s="72">
        <f t="shared" si="4"/>
        <v>836.7</v>
      </c>
      <c r="G36" s="72">
        <f t="shared" si="4"/>
        <v>839.7</v>
      </c>
      <c r="H36" s="72">
        <f t="shared" si="4"/>
        <v>839.7</v>
      </c>
      <c r="I36" s="72">
        <f t="shared" si="4"/>
        <v>839.7</v>
      </c>
      <c r="J36" s="72">
        <f t="shared" si="4"/>
        <v>902.40000000000009</v>
      </c>
      <c r="K36" s="72">
        <f t="shared" si="4"/>
        <v>952.40000000000009</v>
      </c>
      <c r="L36" s="72">
        <f t="shared" si="4"/>
        <v>963.3</v>
      </c>
      <c r="M36" s="72">
        <f t="shared" si="4"/>
        <v>943.6</v>
      </c>
      <c r="N36" s="72">
        <f t="shared" si="4"/>
        <v>973.7</v>
      </c>
      <c r="O36" s="72">
        <f t="shared" si="4"/>
        <v>973.80000000000007</v>
      </c>
      <c r="P36" s="72">
        <f t="shared" si="4"/>
        <v>973.80000000000007</v>
      </c>
      <c r="Q36" s="72">
        <f t="shared" si="4"/>
        <v>963.50000000000011</v>
      </c>
      <c r="R36" s="72">
        <f t="shared" si="4"/>
        <v>962.6</v>
      </c>
      <c r="S36" s="72">
        <f t="shared" si="4"/>
        <v>904.2</v>
      </c>
      <c r="T36" s="72">
        <f t="shared" si="4"/>
        <v>964.00000000000011</v>
      </c>
      <c r="U36" s="72">
        <f t="shared" si="4"/>
        <v>924.7</v>
      </c>
      <c r="V36" s="72">
        <f t="shared" si="4"/>
        <v>964.7</v>
      </c>
      <c r="W36" s="72">
        <f t="shared" si="4"/>
        <v>964.69999999999993</v>
      </c>
      <c r="X36" s="72">
        <f t="shared" si="4"/>
        <v>972.69999999999993</v>
      </c>
      <c r="Y36" s="72">
        <f t="shared" si="4"/>
        <v>972.69999999999993</v>
      </c>
      <c r="Z36" s="72">
        <f t="shared" si="4"/>
        <v>972.69999999999993</v>
      </c>
      <c r="AA36" s="72">
        <f t="shared" si="4"/>
        <v>969.5</v>
      </c>
      <c r="AB36" s="72">
        <f t="shared" si="4"/>
        <v>971.5</v>
      </c>
      <c r="AC36" s="72">
        <f t="shared" si="4"/>
        <v>962.5</v>
      </c>
      <c r="AD36" s="72">
        <f t="shared" si="4"/>
        <v>878.5</v>
      </c>
      <c r="AE36" s="72">
        <f t="shared" si="4"/>
        <v>805.6</v>
      </c>
      <c r="AF36" s="72">
        <f t="shared" si="4"/>
        <v>805.6</v>
      </c>
      <c r="AG36" s="67">
        <f>SUM(AG11:AG35)</f>
        <v>1431.83</v>
      </c>
      <c r="AH36" s="55">
        <f t="shared" si="2"/>
        <v>973.80000000000007</v>
      </c>
      <c r="AI36" s="56">
        <f t="shared" si="3"/>
        <v>805.6</v>
      </c>
      <c r="AK36" s="57"/>
    </row>
    <row r="37" spans="1:88" x14ac:dyDescent="0.25">
      <c r="A37" s="58" t="s">
        <v>44</v>
      </c>
      <c r="B37" s="62">
        <v>144.4</v>
      </c>
      <c r="C37" s="62">
        <v>144.4</v>
      </c>
      <c r="D37" s="62">
        <v>143.9</v>
      </c>
      <c r="E37" s="62">
        <v>143.69999999999999</v>
      </c>
      <c r="F37" s="62">
        <v>141.30000000000001</v>
      </c>
      <c r="G37" s="62">
        <v>141.19999999999999</v>
      </c>
      <c r="H37" s="62">
        <v>141.80000000000001</v>
      </c>
      <c r="I37" s="62">
        <v>141.69999999999999</v>
      </c>
      <c r="J37" s="62">
        <v>141.69999999999999</v>
      </c>
      <c r="K37" s="62">
        <v>141.69999999999999</v>
      </c>
      <c r="L37" s="50">
        <v>141.5</v>
      </c>
      <c r="M37" s="50">
        <v>144</v>
      </c>
      <c r="N37" s="50">
        <v>143.6</v>
      </c>
      <c r="O37" s="50">
        <v>143.5</v>
      </c>
      <c r="P37" s="50">
        <v>144</v>
      </c>
      <c r="Q37" s="50">
        <v>144.5</v>
      </c>
      <c r="R37" s="50">
        <v>144.69999999999999</v>
      </c>
      <c r="S37" s="50">
        <v>144.30000000000001</v>
      </c>
      <c r="T37" s="50">
        <v>144.30000000000001</v>
      </c>
      <c r="U37" s="50">
        <v>144</v>
      </c>
      <c r="V37" s="50">
        <v>143.80000000000001</v>
      </c>
      <c r="W37" s="50">
        <v>144</v>
      </c>
      <c r="X37" s="50">
        <v>144</v>
      </c>
      <c r="Y37" s="50">
        <v>144</v>
      </c>
      <c r="Z37" s="50">
        <v>144</v>
      </c>
      <c r="AA37" s="50">
        <v>144.30000000000001</v>
      </c>
      <c r="AB37" s="50">
        <v>144</v>
      </c>
      <c r="AC37" s="50">
        <v>144</v>
      </c>
      <c r="AD37" s="50">
        <v>143.80000000000001</v>
      </c>
      <c r="AE37" s="50">
        <v>143.80000000000001</v>
      </c>
      <c r="AF37" s="50">
        <v>144</v>
      </c>
      <c r="AG37" s="63">
        <v>144</v>
      </c>
      <c r="AH37" s="55">
        <f t="shared" si="2"/>
        <v>144.69999999999999</v>
      </c>
      <c r="AI37" s="56">
        <f t="shared" si="3"/>
        <v>141.19999999999999</v>
      </c>
      <c r="AK37" s="57"/>
    </row>
    <row r="38" spans="1:88" x14ac:dyDescent="0.25">
      <c r="A38" s="66" t="s">
        <v>45</v>
      </c>
      <c r="B38" s="62">
        <v>71</v>
      </c>
      <c r="C38" s="62">
        <v>71</v>
      </c>
      <c r="D38" s="62">
        <v>71.2</v>
      </c>
      <c r="E38" s="62">
        <v>70.900000000000006</v>
      </c>
      <c r="F38" s="62">
        <v>70.099999999999994</v>
      </c>
      <c r="G38" s="62">
        <v>70</v>
      </c>
      <c r="H38" s="62">
        <v>70</v>
      </c>
      <c r="I38" s="62">
        <v>70.5</v>
      </c>
      <c r="J38" s="62">
        <v>70.7</v>
      </c>
      <c r="K38" s="62">
        <v>70.2</v>
      </c>
      <c r="L38" s="52">
        <v>69.900000000000006</v>
      </c>
      <c r="M38" s="52">
        <v>69.900000000000006</v>
      </c>
      <c r="N38" s="52">
        <v>70.3</v>
      </c>
      <c r="O38" s="52">
        <v>70.3</v>
      </c>
      <c r="P38" s="52">
        <v>69.599999999999994</v>
      </c>
      <c r="Q38" s="52">
        <v>71</v>
      </c>
      <c r="R38" s="52">
        <v>71.2</v>
      </c>
      <c r="S38" s="52">
        <v>71.3</v>
      </c>
      <c r="T38" s="52">
        <v>69.3</v>
      </c>
      <c r="U38" s="52">
        <v>71.2</v>
      </c>
      <c r="V38" s="52">
        <v>70.400000000000006</v>
      </c>
      <c r="W38" s="52">
        <v>70.5</v>
      </c>
      <c r="X38" s="52">
        <v>70.5</v>
      </c>
      <c r="Y38" s="52">
        <v>70.5</v>
      </c>
      <c r="Z38" s="52">
        <v>70.5</v>
      </c>
      <c r="AA38" s="52">
        <v>69.7</v>
      </c>
      <c r="AB38" s="52">
        <v>69.900000000000006</v>
      </c>
      <c r="AC38" s="52">
        <v>69.8</v>
      </c>
      <c r="AD38" s="52">
        <v>69.900000000000006</v>
      </c>
      <c r="AE38" s="52">
        <v>69.900000000000006</v>
      </c>
      <c r="AF38" s="52">
        <v>69.900000000000006</v>
      </c>
      <c r="AG38" s="67">
        <v>70</v>
      </c>
      <c r="AH38" s="55">
        <f t="shared" si="2"/>
        <v>71.3</v>
      </c>
      <c r="AI38" s="56">
        <f t="shared" si="3"/>
        <v>69.3</v>
      </c>
      <c r="AK38" s="57"/>
    </row>
    <row r="39" spans="1:88" x14ac:dyDescent="0.25">
      <c r="A39" s="66" t="s">
        <v>46</v>
      </c>
      <c r="B39" s="62">
        <v>68.400000000000006</v>
      </c>
      <c r="C39" s="62">
        <v>68.400000000000006</v>
      </c>
      <c r="D39" s="62">
        <v>43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65</v>
      </c>
      <c r="Y39" s="52">
        <v>65</v>
      </c>
      <c r="Z39" s="52">
        <v>65</v>
      </c>
      <c r="AA39" s="52">
        <v>71.3</v>
      </c>
      <c r="AB39" s="52">
        <v>71.099999999999994</v>
      </c>
      <c r="AC39" s="52">
        <v>71.2</v>
      </c>
      <c r="AD39" s="52">
        <v>69.900000000000006</v>
      </c>
      <c r="AE39" s="52">
        <v>69.900000000000006</v>
      </c>
      <c r="AF39" s="52">
        <v>69.900000000000006</v>
      </c>
      <c r="AG39" s="67">
        <v>69</v>
      </c>
      <c r="AH39" s="55">
        <f t="shared" si="2"/>
        <v>71.3</v>
      </c>
      <c r="AI39" s="56">
        <f t="shared" si="3"/>
        <v>0</v>
      </c>
      <c r="AK39" s="57"/>
    </row>
    <row r="40" spans="1:88" x14ac:dyDescent="0.25">
      <c r="A40" s="66" t="s">
        <v>47</v>
      </c>
      <c r="B40" s="62">
        <v>60.4</v>
      </c>
      <c r="C40" s="62">
        <v>60.4</v>
      </c>
      <c r="D40" s="62">
        <v>60.2</v>
      </c>
      <c r="E40" s="62">
        <v>60.4</v>
      </c>
      <c r="F40" s="62">
        <v>60.9</v>
      </c>
      <c r="G40" s="62">
        <v>60.9</v>
      </c>
      <c r="H40" s="62">
        <v>61.4</v>
      </c>
      <c r="I40" s="62">
        <v>61.4</v>
      </c>
      <c r="J40" s="62">
        <v>61.4</v>
      </c>
      <c r="K40" s="62">
        <v>61.4</v>
      </c>
      <c r="L40" s="52">
        <v>61.4</v>
      </c>
      <c r="M40" s="52">
        <v>61.4</v>
      </c>
      <c r="N40" s="52">
        <v>61.4</v>
      </c>
      <c r="O40" s="52">
        <v>61.4</v>
      </c>
      <c r="P40" s="52">
        <v>61.4</v>
      </c>
      <c r="Q40" s="52">
        <v>61.4</v>
      </c>
      <c r="R40" s="52">
        <v>61.4</v>
      </c>
      <c r="S40" s="52">
        <v>61.4</v>
      </c>
      <c r="T40" s="52">
        <v>61.4</v>
      </c>
      <c r="U40" s="52">
        <v>61.4</v>
      </c>
      <c r="V40" s="52">
        <v>61.4</v>
      </c>
      <c r="W40" s="52">
        <v>61.4</v>
      </c>
      <c r="X40" s="52">
        <v>61.4</v>
      </c>
      <c r="Y40" s="52">
        <v>61.4</v>
      </c>
      <c r="Z40" s="52">
        <v>61.4</v>
      </c>
      <c r="AA40" s="52">
        <v>61.4</v>
      </c>
      <c r="AB40" s="52">
        <v>61.4</v>
      </c>
      <c r="AC40" s="52">
        <v>61.4</v>
      </c>
      <c r="AD40" s="52">
        <v>61.4</v>
      </c>
      <c r="AE40" s="52">
        <v>61.4</v>
      </c>
      <c r="AF40" s="52">
        <v>61.4</v>
      </c>
      <c r="AG40" s="67">
        <v>60</v>
      </c>
      <c r="AH40" s="55">
        <f t="shared" si="2"/>
        <v>61.4</v>
      </c>
      <c r="AI40" s="56">
        <f t="shared" si="3"/>
        <v>60.2</v>
      </c>
      <c r="AK40" s="57"/>
    </row>
    <row r="41" spans="1:88" x14ac:dyDescent="0.25">
      <c r="A41" s="66" t="s">
        <v>48</v>
      </c>
      <c r="B41" s="62">
        <v>30</v>
      </c>
      <c r="C41" s="62">
        <v>30</v>
      </c>
      <c r="D41" s="62">
        <v>30</v>
      </c>
      <c r="E41" s="62">
        <v>30</v>
      </c>
      <c r="F41" s="62">
        <v>30</v>
      </c>
      <c r="G41" s="62">
        <v>30</v>
      </c>
      <c r="H41" s="62">
        <v>30</v>
      </c>
      <c r="I41" s="62">
        <v>30</v>
      </c>
      <c r="J41" s="62">
        <v>30</v>
      </c>
      <c r="K41" s="62">
        <v>30</v>
      </c>
      <c r="L41" s="50">
        <v>30</v>
      </c>
      <c r="M41" s="50">
        <v>29.7</v>
      </c>
      <c r="N41" s="50">
        <v>29.7</v>
      </c>
      <c r="O41" s="50">
        <v>29.7</v>
      </c>
      <c r="P41" s="50">
        <v>29.7</v>
      </c>
      <c r="Q41" s="50">
        <v>29.7</v>
      </c>
      <c r="R41" s="50">
        <v>29.6</v>
      </c>
      <c r="S41" s="50">
        <v>29.7</v>
      </c>
      <c r="T41" s="50">
        <v>29.7</v>
      </c>
      <c r="U41" s="50">
        <v>29.7</v>
      </c>
      <c r="V41" s="50">
        <v>29.7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29.7</v>
      </c>
      <c r="AC41" s="52">
        <v>29.7</v>
      </c>
      <c r="AD41" s="52">
        <v>29.7</v>
      </c>
      <c r="AE41" s="52">
        <v>29.7</v>
      </c>
      <c r="AF41" s="52">
        <v>29.7</v>
      </c>
      <c r="AG41" s="67">
        <v>30</v>
      </c>
      <c r="AH41" s="55">
        <f t="shared" si="2"/>
        <v>30</v>
      </c>
      <c r="AI41" s="56">
        <f t="shared" si="3"/>
        <v>29.6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2.5</v>
      </c>
      <c r="C44" s="62">
        <v>2.5</v>
      </c>
      <c r="D44" s="62">
        <v>2.5</v>
      </c>
      <c r="E44" s="62">
        <v>2.5</v>
      </c>
      <c r="F44" s="62">
        <v>2.5</v>
      </c>
      <c r="G44" s="62">
        <v>2.5</v>
      </c>
      <c r="H44" s="62">
        <v>2.5</v>
      </c>
      <c r="I44" s="62">
        <v>2.5</v>
      </c>
      <c r="J44" s="62">
        <v>2.5</v>
      </c>
      <c r="K44" s="62">
        <v>2.5</v>
      </c>
      <c r="L44" s="50">
        <v>2.5</v>
      </c>
      <c r="M44" s="50">
        <v>2.5</v>
      </c>
      <c r="N44" s="50">
        <v>2.5</v>
      </c>
      <c r="O44" s="50">
        <v>2.5</v>
      </c>
      <c r="P44" s="50">
        <v>2.5</v>
      </c>
      <c r="Q44" s="50">
        <v>0</v>
      </c>
      <c r="R44" s="50">
        <v>0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12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12</v>
      </c>
      <c r="AK46" s="57"/>
    </row>
    <row r="47" spans="1:88" x14ac:dyDescent="0.25">
      <c r="A47" s="66" t="s">
        <v>54</v>
      </c>
      <c r="B47" s="62">
        <v>6.9</v>
      </c>
      <c r="C47" s="62">
        <v>6.9</v>
      </c>
      <c r="D47" s="62">
        <v>6.8</v>
      </c>
      <c r="E47" s="62">
        <v>6.8</v>
      </c>
      <c r="F47" s="62">
        <v>6.8</v>
      </c>
      <c r="G47" s="62">
        <v>6.8</v>
      </c>
      <c r="H47" s="62">
        <v>6.8</v>
      </c>
      <c r="I47" s="62">
        <v>6.8</v>
      </c>
      <c r="J47" s="62">
        <v>6.8</v>
      </c>
      <c r="K47" s="62">
        <v>6.8</v>
      </c>
      <c r="L47" s="50">
        <v>6.8</v>
      </c>
      <c r="M47" s="50">
        <v>9.1999999999999993</v>
      </c>
      <c r="N47" s="50">
        <v>9.1999999999999993</v>
      </c>
      <c r="O47" s="50">
        <v>9.1999999999999993</v>
      </c>
      <c r="P47" s="50">
        <v>9.1999999999999993</v>
      </c>
      <c r="Q47" s="50">
        <v>9.1999999999999993</v>
      </c>
      <c r="R47" s="50">
        <v>9.1999999999999993</v>
      </c>
      <c r="S47" s="50">
        <v>6.8</v>
      </c>
      <c r="T47" s="50">
        <v>6.8</v>
      </c>
      <c r="U47" s="50">
        <v>6.8</v>
      </c>
      <c r="V47" s="50">
        <v>6.8</v>
      </c>
      <c r="W47" s="50">
        <v>6.8</v>
      </c>
      <c r="X47" s="50">
        <v>6.8</v>
      </c>
      <c r="Y47" s="50">
        <v>6.8</v>
      </c>
      <c r="Z47" s="50">
        <v>6.8</v>
      </c>
      <c r="AA47" s="50">
        <v>6.8</v>
      </c>
      <c r="AB47" s="50">
        <v>6.8</v>
      </c>
      <c r="AC47" s="50">
        <v>6.8</v>
      </c>
      <c r="AD47" s="50">
        <v>6.8</v>
      </c>
      <c r="AE47" s="50">
        <v>6.8</v>
      </c>
      <c r="AF47" s="50">
        <v>6.8</v>
      </c>
      <c r="AG47" s="67">
        <v>10.050000000000001</v>
      </c>
      <c r="AH47" s="55">
        <f t="shared" si="2"/>
        <v>9.1999999999999993</v>
      </c>
      <c r="AI47" s="56">
        <f t="shared" si="3"/>
        <v>6.8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437.34</v>
      </c>
      <c r="C50" s="72">
        <f t="shared" si="6"/>
        <v>437.34</v>
      </c>
      <c r="D50" s="72">
        <f t="shared" si="6"/>
        <v>411.34000000000003</v>
      </c>
      <c r="E50" s="72">
        <f t="shared" si="6"/>
        <v>368.04</v>
      </c>
      <c r="F50" s="72">
        <f t="shared" si="6"/>
        <v>365.34000000000003</v>
      </c>
      <c r="G50" s="72">
        <f t="shared" si="6"/>
        <v>365.14</v>
      </c>
      <c r="H50" s="72">
        <f t="shared" si="6"/>
        <v>366.24</v>
      </c>
      <c r="I50" s="72">
        <f t="shared" si="6"/>
        <v>366.64</v>
      </c>
      <c r="J50" s="72">
        <f t="shared" si="6"/>
        <v>366.84</v>
      </c>
      <c r="K50" s="72">
        <f t="shared" si="6"/>
        <v>366.34</v>
      </c>
      <c r="L50" s="72">
        <f t="shared" si="6"/>
        <v>365.84000000000003</v>
      </c>
      <c r="M50" s="72">
        <f t="shared" si="6"/>
        <v>370.44</v>
      </c>
      <c r="N50" s="72">
        <f t="shared" si="6"/>
        <v>370.43999999999994</v>
      </c>
      <c r="O50" s="72">
        <f t="shared" si="6"/>
        <v>370.34</v>
      </c>
      <c r="P50" s="72">
        <f t="shared" si="6"/>
        <v>370.14</v>
      </c>
      <c r="Q50" s="72">
        <f t="shared" si="6"/>
        <v>369.53999999999996</v>
      </c>
      <c r="R50" s="72">
        <f t="shared" si="6"/>
        <v>367.84</v>
      </c>
      <c r="S50" s="72">
        <f t="shared" si="6"/>
        <v>370.44</v>
      </c>
      <c r="T50" s="72">
        <f t="shared" si="6"/>
        <v>368.44</v>
      </c>
      <c r="U50" s="72">
        <f t="shared" si="6"/>
        <v>370.03999999999996</v>
      </c>
      <c r="V50" s="72">
        <f t="shared" si="6"/>
        <v>369.04</v>
      </c>
      <c r="W50" s="72">
        <f t="shared" si="6"/>
        <v>369.34</v>
      </c>
      <c r="X50" s="72">
        <f t="shared" si="6"/>
        <v>434.34</v>
      </c>
      <c r="Y50" s="72">
        <f t="shared" si="6"/>
        <v>434.34</v>
      </c>
      <c r="Z50" s="72">
        <f t="shared" si="6"/>
        <v>434.34</v>
      </c>
      <c r="AA50" s="72">
        <f t="shared" si="6"/>
        <v>440.14</v>
      </c>
      <c r="AB50" s="72">
        <f t="shared" si="6"/>
        <v>439.84</v>
      </c>
      <c r="AC50" s="72">
        <f t="shared" si="6"/>
        <v>439.84</v>
      </c>
      <c r="AD50" s="72">
        <f t="shared" si="6"/>
        <v>438.44</v>
      </c>
      <c r="AE50" s="72">
        <f t="shared" si="6"/>
        <v>438.44</v>
      </c>
      <c r="AF50" s="72">
        <f t="shared" si="6"/>
        <v>438.64</v>
      </c>
      <c r="AG50" s="77">
        <f>SUM(AG37:AG49)</f>
        <v>489.91</v>
      </c>
      <c r="AH50" s="55">
        <f t="shared" si="2"/>
        <v>440.14</v>
      </c>
      <c r="AI50" s="56">
        <f t="shared" si="3"/>
        <v>365.14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11.7</v>
      </c>
      <c r="K51" s="62">
        <v>10</v>
      </c>
      <c r="L51" s="174">
        <v>20.7</v>
      </c>
      <c r="M51" s="174">
        <v>41.1</v>
      </c>
      <c r="N51" s="174">
        <v>40.1</v>
      </c>
      <c r="O51" s="174">
        <v>54.5</v>
      </c>
      <c r="P51" s="174">
        <v>45.1</v>
      </c>
      <c r="Q51" s="174">
        <v>39.5</v>
      </c>
      <c r="R51" s="50">
        <v>34.299999999999997</v>
      </c>
      <c r="S51" s="50">
        <v>33.5</v>
      </c>
      <c r="T51" s="50">
        <v>20.399999999999999</v>
      </c>
      <c r="U51" s="50">
        <v>10.6</v>
      </c>
      <c r="V51" s="50">
        <v>13.9</v>
      </c>
      <c r="W51" s="50">
        <v>34</v>
      </c>
      <c r="X51" s="50">
        <v>59.7</v>
      </c>
      <c r="Y51" s="50">
        <v>60.1</v>
      </c>
      <c r="Z51" s="50">
        <v>49.5</v>
      </c>
      <c r="AA51" s="50">
        <v>49.1</v>
      </c>
      <c r="AB51" s="50">
        <v>30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60.1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3</v>
      </c>
      <c r="L52" s="174">
        <v>13.8</v>
      </c>
      <c r="M52" s="174">
        <v>17.5</v>
      </c>
      <c r="N52" s="174">
        <v>17.7</v>
      </c>
      <c r="O52" s="174">
        <v>28.2</v>
      </c>
      <c r="P52" s="174">
        <v>20.100000000000001</v>
      </c>
      <c r="Q52" s="174">
        <v>20.6</v>
      </c>
      <c r="R52" s="50">
        <v>18</v>
      </c>
      <c r="S52" s="50">
        <v>14.3</v>
      </c>
      <c r="T52" s="50">
        <v>9.1</v>
      </c>
      <c r="U52" s="52">
        <v>8.9</v>
      </c>
      <c r="V52" s="52">
        <v>5.5</v>
      </c>
      <c r="W52" s="52">
        <v>5.5</v>
      </c>
      <c r="X52" s="52">
        <v>27.6</v>
      </c>
      <c r="Y52" s="52">
        <v>28.6</v>
      </c>
      <c r="Z52" s="52">
        <v>24.3</v>
      </c>
      <c r="AA52" s="52">
        <v>21.6</v>
      </c>
      <c r="AB52" s="52">
        <v>15.1</v>
      </c>
      <c r="AC52" s="52">
        <v>9.9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28.6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1.1000000000000001</v>
      </c>
      <c r="L53" s="175">
        <v>5</v>
      </c>
      <c r="M53" s="175">
        <v>6.4</v>
      </c>
      <c r="N53" s="175">
        <v>6.5</v>
      </c>
      <c r="O53" s="175">
        <v>10.3</v>
      </c>
      <c r="P53" s="175">
        <v>7.3</v>
      </c>
      <c r="Q53" s="175">
        <v>7.4</v>
      </c>
      <c r="R53" s="50">
        <v>6.5</v>
      </c>
      <c r="S53" s="50">
        <v>5.2</v>
      </c>
      <c r="T53" s="50">
        <v>3.3</v>
      </c>
      <c r="U53" s="78">
        <v>3.3</v>
      </c>
      <c r="V53" s="78">
        <v>2</v>
      </c>
      <c r="W53" s="78">
        <v>2</v>
      </c>
      <c r="X53" s="78">
        <v>10.1</v>
      </c>
      <c r="Y53" s="78">
        <v>10.4</v>
      </c>
      <c r="Z53" s="78">
        <v>8.9</v>
      </c>
      <c r="AA53" s="78">
        <v>7.9</v>
      </c>
      <c r="AB53" s="78">
        <v>5.5</v>
      </c>
      <c r="AC53" s="78">
        <v>3.6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11.7</v>
      </c>
      <c r="K54" s="72">
        <f t="shared" si="7"/>
        <v>14.1</v>
      </c>
      <c r="L54" s="72">
        <f t="shared" si="7"/>
        <v>39.5</v>
      </c>
      <c r="M54" s="72">
        <f t="shared" si="7"/>
        <v>65</v>
      </c>
      <c r="N54" s="72">
        <f t="shared" si="7"/>
        <v>64.3</v>
      </c>
      <c r="O54" s="72">
        <f t="shared" si="7"/>
        <v>93</v>
      </c>
      <c r="P54" s="72">
        <f t="shared" si="7"/>
        <v>72.5</v>
      </c>
      <c r="Q54" s="72">
        <f t="shared" si="7"/>
        <v>67.5</v>
      </c>
      <c r="R54" s="72">
        <f t="shared" si="7"/>
        <v>58.8</v>
      </c>
      <c r="S54" s="72">
        <f t="shared" si="7"/>
        <v>53</v>
      </c>
      <c r="T54" s="72">
        <f t="shared" si="7"/>
        <v>32.799999999999997</v>
      </c>
      <c r="U54" s="72">
        <f t="shared" si="7"/>
        <v>22.8</v>
      </c>
      <c r="V54" s="72">
        <f t="shared" si="7"/>
        <v>21.4</v>
      </c>
      <c r="W54" s="72">
        <f t="shared" si="7"/>
        <v>41.5</v>
      </c>
      <c r="X54" s="72">
        <f t="shared" si="7"/>
        <v>97.4</v>
      </c>
      <c r="Y54" s="72">
        <f t="shared" si="7"/>
        <v>99.100000000000009</v>
      </c>
      <c r="Z54" s="72">
        <f t="shared" si="7"/>
        <v>82.7</v>
      </c>
      <c r="AA54" s="72">
        <f t="shared" si="7"/>
        <v>78.600000000000009</v>
      </c>
      <c r="AB54" s="72">
        <f t="shared" si="7"/>
        <v>50.6</v>
      </c>
      <c r="AC54" s="72">
        <f t="shared" si="7"/>
        <v>13.5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99.100000000000009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19.7</v>
      </c>
      <c r="Z55" s="50">
        <v>30.7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30.7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-87</v>
      </c>
      <c r="C56" s="52">
        <v>-75</v>
      </c>
      <c r="D56" s="52">
        <v>-74.900000000000006</v>
      </c>
      <c r="E56" s="52">
        <v>-71.8</v>
      </c>
      <c r="F56" s="52">
        <v>-69.3</v>
      </c>
      <c r="G56" s="52">
        <v>-64.3</v>
      </c>
      <c r="H56" s="52">
        <v>-49</v>
      </c>
      <c r="I56" s="52">
        <v>-39</v>
      </c>
      <c r="J56" s="52">
        <v>-37.6</v>
      </c>
      <c r="K56" s="52">
        <v>-35</v>
      </c>
      <c r="L56" s="50">
        <v>-37.9</v>
      </c>
      <c r="M56" s="50">
        <v>-38</v>
      </c>
      <c r="N56" s="50">
        <v>-46.3</v>
      </c>
      <c r="O56" s="50">
        <v>-35.5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0</v>
      </c>
      <c r="Z56" s="80">
        <v>0</v>
      </c>
      <c r="AA56" s="52">
        <v>0</v>
      </c>
      <c r="AB56" s="52">
        <v>0</v>
      </c>
      <c r="AC56" s="50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-87</v>
      </c>
      <c r="AK56" s="57"/>
    </row>
    <row r="57" spans="1:37" x14ac:dyDescent="0.25">
      <c r="A57" s="66" t="s">
        <v>64</v>
      </c>
      <c r="B57" s="52">
        <v>-27</v>
      </c>
      <c r="C57" s="52">
        <v>-60</v>
      </c>
      <c r="D57" s="52">
        <v>-50</v>
      </c>
      <c r="E57" s="52">
        <v>-37</v>
      </c>
      <c r="F57" s="52">
        <v>-9.1</v>
      </c>
      <c r="G57" s="50">
        <v>-15.2</v>
      </c>
      <c r="H57" s="50">
        <v>-50</v>
      </c>
      <c r="I57" s="50">
        <v>-8.8000000000000007</v>
      </c>
      <c r="J57" s="50">
        <v>-17</v>
      </c>
      <c r="K57" s="50">
        <v>-4</v>
      </c>
      <c r="L57" s="52">
        <v>-14.7</v>
      </c>
      <c r="M57" s="52">
        <v>-20.399999999999999</v>
      </c>
      <c r="N57" s="52">
        <v>-13.6</v>
      </c>
      <c r="O57" s="52">
        <v>-29.1</v>
      </c>
      <c r="P57" s="52">
        <v>-43.4</v>
      </c>
      <c r="Q57" s="52">
        <v>-36.6</v>
      </c>
      <c r="R57" s="52">
        <v>-53.8</v>
      </c>
      <c r="S57" s="52">
        <v>-23.4</v>
      </c>
      <c r="T57" s="52">
        <v>-47.1</v>
      </c>
      <c r="U57" s="52">
        <v>-29.2</v>
      </c>
      <c r="V57" s="52">
        <v>-49.2</v>
      </c>
      <c r="W57" s="81">
        <v>-25.4</v>
      </c>
      <c r="X57" s="81">
        <v>-10.199999999999999</v>
      </c>
      <c r="Y57" s="81">
        <v>-1.4</v>
      </c>
      <c r="Z57" s="81">
        <v>-50.5</v>
      </c>
      <c r="AA57" s="52">
        <v>-49.6</v>
      </c>
      <c r="AB57" s="52">
        <v>-34.200000000000003</v>
      </c>
      <c r="AC57" s="52">
        <v>-69</v>
      </c>
      <c r="AD57" s="52">
        <v>-35</v>
      </c>
      <c r="AE57" s="52">
        <v>-35</v>
      </c>
      <c r="AF57" s="52">
        <v>-55</v>
      </c>
      <c r="AG57" s="82"/>
      <c r="AH57" s="55">
        <f t="shared" si="2"/>
        <v>-1.4</v>
      </c>
      <c r="AI57" s="56">
        <f t="shared" si="3"/>
        <v>-69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-65</v>
      </c>
      <c r="C59" s="59">
        <v>-42</v>
      </c>
      <c r="D59" s="59">
        <v>-40.4</v>
      </c>
      <c r="E59" s="59">
        <v>-36.799999999999997</v>
      </c>
      <c r="F59" s="59">
        <v>-34.700000000000003</v>
      </c>
      <c r="G59" s="59">
        <v>-35.5</v>
      </c>
      <c r="H59" s="59">
        <v>-32.5</v>
      </c>
      <c r="I59" s="59">
        <v>-29.3</v>
      </c>
      <c r="J59" s="59">
        <v>-27.8</v>
      </c>
      <c r="K59" s="59">
        <v>-25.4</v>
      </c>
      <c r="L59" s="50">
        <v>-19.600000000000001</v>
      </c>
      <c r="M59" s="50">
        <v>-30.6</v>
      </c>
      <c r="N59" s="50">
        <v>-31.7</v>
      </c>
      <c r="O59" s="50">
        <v>-31.8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2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2">
        <v>0</v>
      </c>
      <c r="AC59" s="50">
        <v>0</v>
      </c>
      <c r="AD59" s="52">
        <v>0</v>
      </c>
      <c r="AE59" s="52">
        <v>0</v>
      </c>
      <c r="AF59" s="52">
        <v>0</v>
      </c>
      <c r="AG59" s="82"/>
      <c r="AH59" s="55">
        <f t="shared" si="2"/>
        <v>0</v>
      </c>
      <c r="AI59" s="56">
        <f t="shared" si="3"/>
        <v>-65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52">
        <v>0</v>
      </c>
      <c r="V60" s="52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52">
        <v>0</v>
      </c>
      <c r="AC60" s="61">
        <v>0</v>
      </c>
      <c r="AD60" s="52">
        <v>0</v>
      </c>
      <c r="AE60" s="52">
        <v>0</v>
      </c>
      <c r="AF60" s="52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52">
        <v>0</v>
      </c>
      <c r="V61" s="52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52">
        <v>0</v>
      </c>
      <c r="AC61" s="61">
        <v>0</v>
      </c>
      <c r="AD61" s="52">
        <v>0</v>
      </c>
      <c r="AE61" s="52">
        <v>0</v>
      </c>
      <c r="AF61" s="52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2">
        <v>0</v>
      </c>
      <c r="V62" s="52">
        <v>0</v>
      </c>
      <c r="W62" s="59">
        <v>0</v>
      </c>
      <c r="X62" s="59">
        <v>0</v>
      </c>
      <c r="Y62" s="59">
        <v>10</v>
      </c>
      <c r="Z62" s="59">
        <v>10</v>
      </c>
      <c r="AA62" s="59">
        <v>10</v>
      </c>
      <c r="AB62" s="59">
        <v>10</v>
      </c>
      <c r="AC62" s="59">
        <v>10</v>
      </c>
      <c r="AD62" s="59">
        <v>10</v>
      </c>
      <c r="AE62" s="59">
        <v>10</v>
      </c>
      <c r="AF62" s="59">
        <v>10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2">
        <v>0</v>
      </c>
      <c r="V63" s="52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52">
        <v>0</v>
      </c>
      <c r="V64" s="52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59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52">
        <v>0</v>
      </c>
      <c r="V65" s="52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59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-171</v>
      </c>
      <c r="C66" s="72">
        <f t="shared" ref="C66:AF66" si="8">SUM(C55:C65)</f>
        <v>-169</v>
      </c>
      <c r="D66" s="72">
        <f t="shared" si="8"/>
        <v>-165.3</v>
      </c>
      <c r="E66" s="72">
        <f t="shared" si="8"/>
        <v>-145.6</v>
      </c>
      <c r="F66" s="72">
        <f t="shared" si="8"/>
        <v>-113.1</v>
      </c>
      <c r="G66" s="72">
        <f t="shared" si="8"/>
        <v>-115</v>
      </c>
      <c r="H66" s="72">
        <f t="shared" si="8"/>
        <v>-131.5</v>
      </c>
      <c r="I66" s="72">
        <f t="shared" si="8"/>
        <v>-77.099999999999994</v>
      </c>
      <c r="J66" s="72">
        <f t="shared" si="8"/>
        <v>-82.4</v>
      </c>
      <c r="K66" s="72">
        <f t="shared" si="8"/>
        <v>-64.400000000000006</v>
      </c>
      <c r="L66" s="72">
        <f t="shared" si="8"/>
        <v>-72.199999999999989</v>
      </c>
      <c r="M66" s="72">
        <f t="shared" si="8"/>
        <v>-89</v>
      </c>
      <c r="N66" s="72">
        <f t="shared" si="8"/>
        <v>-91.6</v>
      </c>
      <c r="O66" s="72">
        <f t="shared" si="8"/>
        <v>-96.399999999999991</v>
      </c>
      <c r="P66" s="72">
        <f t="shared" si="8"/>
        <v>-43.4</v>
      </c>
      <c r="Q66" s="72">
        <f t="shared" si="8"/>
        <v>-36.6</v>
      </c>
      <c r="R66" s="72">
        <f t="shared" si="8"/>
        <v>-53.8</v>
      </c>
      <c r="S66" s="72">
        <f t="shared" si="8"/>
        <v>-23.4</v>
      </c>
      <c r="T66" s="72">
        <f t="shared" si="8"/>
        <v>-47.1</v>
      </c>
      <c r="U66" s="72">
        <f t="shared" si="8"/>
        <v>-29.2</v>
      </c>
      <c r="V66" s="72">
        <f t="shared" si="8"/>
        <v>-49.2</v>
      </c>
      <c r="W66" s="72">
        <f t="shared" si="8"/>
        <v>-25.4</v>
      </c>
      <c r="X66" s="72">
        <f t="shared" si="8"/>
        <v>-10.199999999999999</v>
      </c>
      <c r="Y66" s="72">
        <f t="shared" si="8"/>
        <v>28.3</v>
      </c>
      <c r="Z66" s="72">
        <f t="shared" si="8"/>
        <v>-9.8000000000000007</v>
      </c>
      <c r="AA66" s="72">
        <f t="shared" si="8"/>
        <v>-39.6</v>
      </c>
      <c r="AB66" s="72">
        <f t="shared" si="8"/>
        <v>-24.200000000000003</v>
      </c>
      <c r="AC66" s="72">
        <f t="shared" si="8"/>
        <v>-59</v>
      </c>
      <c r="AD66" s="72">
        <f t="shared" si="8"/>
        <v>-25</v>
      </c>
      <c r="AE66" s="72">
        <f t="shared" si="8"/>
        <v>-25</v>
      </c>
      <c r="AF66" s="72">
        <f t="shared" si="8"/>
        <v>-45</v>
      </c>
      <c r="AG66" s="77">
        <f>SUM(AG55:AG65)</f>
        <v>0</v>
      </c>
      <c r="AH66" s="55">
        <f t="shared" si="2"/>
        <v>28.3</v>
      </c>
      <c r="AI66" s="56">
        <f t="shared" si="3"/>
        <v>-171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1161.74</v>
      </c>
      <c r="C71" s="87">
        <f t="shared" ref="C71:AG71" si="10">C66+C54+C50+C36+C70</f>
        <v>1163.74</v>
      </c>
      <c r="D71" s="87">
        <f t="shared" si="10"/>
        <v>1103.5400000000002</v>
      </c>
      <c r="E71" s="87">
        <f t="shared" si="10"/>
        <v>1059.1400000000001</v>
      </c>
      <c r="F71" s="87">
        <f t="shared" si="10"/>
        <v>1088.94</v>
      </c>
      <c r="G71" s="87">
        <f t="shared" si="10"/>
        <v>1089.8400000000001</v>
      </c>
      <c r="H71" s="87">
        <f t="shared" si="10"/>
        <v>1074.44</v>
      </c>
      <c r="I71" s="87">
        <f t="shared" si="10"/>
        <v>1129.24</v>
      </c>
      <c r="J71" s="87">
        <f t="shared" si="10"/>
        <v>1198.54</v>
      </c>
      <c r="K71" s="87">
        <f t="shared" si="10"/>
        <v>1268.44</v>
      </c>
      <c r="L71" s="87">
        <f t="shared" si="10"/>
        <v>1296.44</v>
      </c>
      <c r="M71" s="87">
        <f t="shared" si="10"/>
        <v>1290.04</v>
      </c>
      <c r="N71" s="87">
        <f t="shared" si="10"/>
        <v>1316.84</v>
      </c>
      <c r="O71" s="87">
        <f t="shared" si="10"/>
        <v>1340.74</v>
      </c>
      <c r="P71" s="87">
        <f t="shared" si="10"/>
        <v>1373.04</v>
      </c>
      <c r="Q71" s="87">
        <f t="shared" si="10"/>
        <v>1363.94</v>
      </c>
      <c r="R71" s="87">
        <f t="shared" si="10"/>
        <v>1335.44</v>
      </c>
      <c r="S71" s="87">
        <f t="shared" si="10"/>
        <v>1304.24</v>
      </c>
      <c r="T71" s="87">
        <f t="shared" si="10"/>
        <v>1318.14</v>
      </c>
      <c r="U71" s="87">
        <f t="shared" si="10"/>
        <v>1288.3400000000001</v>
      </c>
      <c r="V71" s="87">
        <f t="shared" si="10"/>
        <v>1305.94</v>
      </c>
      <c r="W71" s="87">
        <f t="shared" si="10"/>
        <v>1350.1399999999999</v>
      </c>
      <c r="X71" s="87">
        <f t="shared" si="10"/>
        <v>1494.2399999999998</v>
      </c>
      <c r="Y71" s="87">
        <f t="shared" si="10"/>
        <v>1534.44</v>
      </c>
      <c r="Z71" s="87">
        <f t="shared" si="10"/>
        <v>1479.94</v>
      </c>
      <c r="AA71" s="87">
        <f t="shared" si="10"/>
        <v>1448.6399999999999</v>
      </c>
      <c r="AB71" s="87">
        <f t="shared" si="10"/>
        <v>1437.74</v>
      </c>
      <c r="AC71" s="87">
        <f t="shared" si="10"/>
        <v>1356.84</v>
      </c>
      <c r="AD71" s="87">
        <f t="shared" si="10"/>
        <v>1291.94</v>
      </c>
      <c r="AE71" s="87">
        <f t="shared" si="10"/>
        <v>1219.04</v>
      </c>
      <c r="AF71" s="87">
        <f t="shared" si="10"/>
        <v>1199.24</v>
      </c>
      <c r="AG71" s="87">
        <f t="shared" si="10"/>
        <v>2083.14</v>
      </c>
      <c r="AH71" s="55">
        <f t="shared" si="2"/>
        <v>1534.44</v>
      </c>
      <c r="AI71" s="56">
        <f t="shared" si="3"/>
        <v>1059.1400000000001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>
        <v>10</v>
      </c>
      <c r="X72" s="89">
        <v>10</v>
      </c>
      <c r="Y72" s="89">
        <v>10</v>
      </c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10</v>
      </c>
      <c r="AI72" s="56">
        <f t="shared" si="3"/>
        <v>10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1161.74</v>
      </c>
      <c r="C73" s="87">
        <f t="shared" ref="C73:AF73" si="11">C70+C66+C54+C50+C36+C72</f>
        <v>1163.74</v>
      </c>
      <c r="D73" s="87">
        <f t="shared" si="11"/>
        <v>1103.5400000000002</v>
      </c>
      <c r="E73" s="87">
        <f t="shared" si="11"/>
        <v>1059.1400000000001</v>
      </c>
      <c r="F73" s="87">
        <f t="shared" si="11"/>
        <v>1088.94</v>
      </c>
      <c r="G73" s="87">
        <f t="shared" si="11"/>
        <v>1089.8400000000001</v>
      </c>
      <c r="H73" s="87">
        <f t="shared" si="11"/>
        <v>1074.44</v>
      </c>
      <c r="I73" s="87">
        <f t="shared" si="11"/>
        <v>1129.24</v>
      </c>
      <c r="J73" s="87">
        <f t="shared" si="11"/>
        <v>1198.54</v>
      </c>
      <c r="K73" s="87">
        <f t="shared" si="11"/>
        <v>1268.44</v>
      </c>
      <c r="L73" s="87">
        <f t="shared" si="11"/>
        <v>1296.44</v>
      </c>
      <c r="M73" s="87">
        <f t="shared" si="11"/>
        <v>1290.04</v>
      </c>
      <c r="N73" s="87">
        <f t="shared" si="11"/>
        <v>1316.84</v>
      </c>
      <c r="O73" s="87">
        <f t="shared" si="11"/>
        <v>1340.74</v>
      </c>
      <c r="P73" s="87">
        <f t="shared" si="11"/>
        <v>1373.04</v>
      </c>
      <c r="Q73" s="87">
        <f t="shared" si="11"/>
        <v>1363.94</v>
      </c>
      <c r="R73" s="87">
        <f t="shared" si="11"/>
        <v>1335.44</v>
      </c>
      <c r="S73" s="87">
        <f t="shared" si="11"/>
        <v>1304.24</v>
      </c>
      <c r="T73" s="87">
        <f t="shared" si="11"/>
        <v>1318.14</v>
      </c>
      <c r="U73" s="87">
        <f t="shared" si="11"/>
        <v>1288.3400000000001</v>
      </c>
      <c r="V73" s="87">
        <f t="shared" si="11"/>
        <v>1305.94</v>
      </c>
      <c r="W73" s="87">
        <f t="shared" si="11"/>
        <v>1360.1399999999999</v>
      </c>
      <c r="X73" s="87">
        <f t="shared" si="11"/>
        <v>1504.2399999999998</v>
      </c>
      <c r="Y73" s="87">
        <f t="shared" si="11"/>
        <v>1544.44</v>
      </c>
      <c r="Z73" s="87">
        <f t="shared" si="11"/>
        <v>1479.94</v>
      </c>
      <c r="AA73" s="87">
        <f t="shared" si="11"/>
        <v>1448.6399999999999</v>
      </c>
      <c r="AB73" s="87">
        <f t="shared" si="11"/>
        <v>1437.74</v>
      </c>
      <c r="AC73" s="87">
        <f t="shared" si="11"/>
        <v>1356.84</v>
      </c>
      <c r="AD73" s="87">
        <f t="shared" si="11"/>
        <v>1291.94</v>
      </c>
      <c r="AE73" s="87">
        <f t="shared" si="11"/>
        <v>1219.04</v>
      </c>
      <c r="AF73" s="87">
        <f t="shared" si="11"/>
        <v>1199.24</v>
      </c>
      <c r="AG73" s="77">
        <f>AG70+AG66+AG54+AG50+AG36+AG72</f>
        <v>2083.14</v>
      </c>
      <c r="AH73" s="55">
        <f t="shared" si="2"/>
        <v>1544.44</v>
      </c>
      <c r="AI73" s="56">
        <f t="shared" si="3"/>
        <v>1059.1400000000001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87</v>
      </c>
      <c r="C75" s="59">
        <f t="shared" ref="C75:AF75" si="13">IF(C56&lt;0,C56*-1,0)</f>
        <v>75</v>
      </c>
      <c r="D75" s="59">
        <f t="shared" si="13"/>
        <v>74.900000000000006</v>
      </c>
      <c r="E75" s="59">
        <f t="shared" si="13"/>
        <v>71.8</v>
      </c>
      <c r="F75" s="59">
        <f t="shared" si="13"/>
        <v>69.3</v>
      </c>
      <c r="G75" s="59">
        <f t="shared" si="13"/>
        <v>64.3</v>
      </c>
      <c r="H75" s="59">
        <f t="shared" si="13"/>
        <v>49</v>
      </c>
      <c r="I75" s="59">
        <f t="shared" si="13"/>
        <v>39</v>
      </c>
      <c r="J75" s="59">
        <f t="shared" si="13"/>
        <v>37.6</v>
      </c>
      <c r="K75" s="59">
        <f t="shared" si="13"/>
        <v>35</v>
      </c>
      <c r="L75" s="59">
        <f t="shared" si="13"/>
        <v>37.9</v>
      </c>
      <c r="M75" s="59">
        <f t="shared" si="13"/>
        <v>38</v>
      </c>
      <c r="N75" s="59">
        <f t="shared" si="13"/>
        <v>46.3</v>
      </c>
      <c r="O75" s="59">
        <f t="shared" si="13"/>
        <v>35.5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0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87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65</v>
      </c>
      <c r="C76" s="59">
        <f t="shared" ref="C76:AF76" si="14">IF(C59&lt;0,C59*-1,0)</f>
        <v>42</v>
      </c>
      <c r="D76" s="59">
        <f t="shared" si="14"/>
        <v>40.4</v>
      </c>
      <c r="E76" s="59">
        <f t="shared" si="14"/>
        <v>36.799999999999997</v>
      </c>
      <c r="F76" s="59">
        <f t="shared" si="14"/>
        <v>34.700000000000003</v>
      </c>
      <c r="G76" s="59">
        <f t="shared" si="14"/>
        <v>35.5</v>
      </c>
      <c r="H76" s="59">
        <f t="shared" si="14"/>
        <v>32.5</v>
      </c>
      <c r="I76" s="59">
        <f t="shared" si="14"/>
        <v>29.3</v>
      </c>
      <c r="J76" s="59">
        <f t="shared" si="14"/>
        <v>27.8</v>
      </c>
      <c r="K76" s="59">
        <f t="shared" si="14"/>
        <v>25.4</v>
      </c>
      <c r="L76" s="59">
        <f t="shared" si="14"/>
        <v>19.600000000000001</v>
      </c>
      <c r="M76" s="59">
        <f t="shared" si="14"/>
        <v>30.6</v>
      </c>
      <c r="N76" s="59">
        <f t="shared" si="14"/>
        <v>31.7</v>
      </c>
      <c r="O76" s="59">
        <f t="shared" si="14"/>
        <v>31.8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0</v>
      </c>
      <c r="AB76" s="59">
        <f t="shared" si="14"/>
        <v>0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65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27</v>
      </c>
      <c r="C77" s="59">
        <f t="shared" ref="C77:AF77" si="15">IF(C57&lt;0,C57*-1,0)</f>
        <v>60</v>
      </c>
      <c r="D77" s="59">
        <f t="shared" si="15"/>
        <v>50</v>
      </c>
      <c r="E77" s="59">
        <f t="shared" si="15"/>
        <v>37</v>
      </c>
      <c r="F77" s="59">
        <f t="shared" si="15"/>
        <v>9.1</v>
      </c>
      <c r="G77" s="59">
        <f t="shared" si="15"/>
        <v>15.2</v>
      </c>
      <c r="H77" s="59">
        <f t="shared" si="15"/>
        <v>50</v>
      </c>
      <c r="I77" s="59">
        <f t="shared" si="15"/>
        <v>8.8000000000000007</v>
      </c>
      <c r="J77" s="59">
        <f t="shared" si="15"/>
        <v>17</v>
      </c>
      <c r="K77" s="59">
        <f t="shared" si="15"/>
        <v>4</v>
      </c>
      <c r="L77" s="59">
        <f t="shared" si="15"/>
        <v>14.7</v>
      </c>
      <c r="M77" s="59">
        <f t="shared" si="15"/>
        <v>20.399999999999999</v>
      </c>
      <c r="N77" s="59">
        <f t="shared" si="15"/>
        <v>13.6</v>
      </c>
      <c r="O77" s="59">
        <f t="shared" si="15"/>
        <v>29.1</v>
      </c>
      <c r="P77" s="59">
        <f t="shared" si="15"/>
        <v>43.4</v>
      </c>
      <c r="Q77" s="59">
        <f t="shared" si="15"/>
        <v>36.6</v>
      </c>
      <c r="R77" s="59">
        <f t="shared" si="15"/>
        <v>53.8</v>
      </c>
      <c r="S77" s="59">
        <f t="shared" si="15"/>
        <v>23.4</v>
      </c>
      <c r="T77" s="59">
        <f t="shared" si="15"/>
        <v>47.1</v>
      </c>
      <c r="U77" s="59">
        <f t="shared" si="15"/>
        <v>29.2</v>
      </c>
      <c r="V77" s="59">
        <f t="shared" si="15"/>
        <v>49.2</v>
      </c>
      <c r="W77" s="59">
        <f t="shared" si="15"/>
        <v>25.4</v>
      </c>
      <c r="X77" s="59">
        <f t="shared" si="15"/>
        <v>10.199999999999999</v>
      </c>
      <c r="Y77" s="59">
        <f t="shared" si="15"/>
        <v>1.4</v>
      </c>
      <c r="Z77" s="59">
        <f t="shared" si="15"/>
        <v>50.5</v>
      </c>
      <c r="AA77" s="59">
        <f t="shared" si="15"/>
        <v>49.6</v>
      </c>
      <c r="AB77" s="59">
        <f t="shared" si="15"/>
        <v>34.200000000000003</v>
      </c>
      <c r="AC77" s="59">
        <f t="shared" si="15"/>
        <v>69</v>
      </c>
      <c r="AD77" s="59">
        <f t="shared" si="15"/>
        <v>35</v>
      </c>
      <c r="AE77" s="59">
        <f t="shared" si="15"/>
        <v>35</v>
      </c>
      <c r="AF77" s="59">
        <f t="shared" si="15"/>
        <v>55</v>
      </c>
      <c r="AG77" s="90"/>
      <c r="AH77" s="55">
        <f t="shared" ref="AH77:AH89" si="16">MAX(B77:AF77)</f>
        <v>69</v>
      </c>
      <c r="AI77" s="56">
        <f t="shared" ref="AI77:AI89" si="17">MIN(B77:AF77)</f>
        <v>1.4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179</v>
      </c>
      <c r="C80" s="72">
        <f t="shared" si="19"/>
        <v>177</v>
      </c>
      <c r="D80" s="72">
        <f t="shared" si="19"/>
        <v>165.3</v>
      </c>
      <c r="E80" s="72">
        <f t="shared" si="19"/>
        <v>145.6</v>
      </c>
      <c r="F80" s="72">
        <f t="shared" si="19"/>
        <v>113.1</v>
      </c>
      <c r="G80" s="72">
        <f t="shared" si="19"/>
        <v>115</v>
      </c>
      <c r="H80" s="72">
        <f t="shared" si="19"/>
        <v>131.5</v>
      </c>
      <c r="I80" s="72">
        <f t="shared" si="19"/>
        <v>77.099999999999994</v>
      </c>
      <c r="J80" s="72">
        <f t="shared" si="19"/>
        <v>82.4</v>
      </c>
      <c r="K80" s="72">
        <f t="shared" si="19"/>
        <v>64.400000000000006</v>
      </c>
      <c r="L80" s="72">
        <f t="shared" si="19"/>
        <v>72.2</v>
      </c>
      <c r="M80" s="72">
        <f t="shared" si="19"/>
        <v>89</v>
      </c>
      <c r="N80" s="72">
        <f t="shared" si="19"/>
        <v>91.6</v>
      </c>
      <c r="O80" s="72">
        <f t="shared" si="19"/>
        <v>96.4</v>
      </c>
      <c r="P80" s="72">
        <f t="shared" si="19"/>
        <v>43.4</v>
      </c>
      <c r="Q80" s="72">
        <f t="shared" si="19"/>
        <v>36.6</v>
      </c>
      <c r="R80" s="72">
        <f t="shared" si="19"/>
        <v>53.8</v>
      </c>
      <c r="S80" s="72">
        <f t="shared" si="19"/>
        <v>23.4</v>
      </c>
      <c r="T80" s="72">
        <f t="shared" si="19"/>
        <v>47.1</v>
      </c>
      <c r="U80" s="72">
        <f t="shared" si="19"/>
        <v>29.2</v>
      </c>
      <c r="V80" s="72">
        <f t="shared" si="19"/>
        <v>49.2</v>
      </c>
      <c r="W80" s="72">
        <f t="shared" si="19"/>
        <v>25.4</v>
      </c>
      <c r="X80" s="72">
        <f t="shared" si="19"/>
        <v>10.199999999999999</v>
      </c>
      <c r="Y80" s="72">
        <f t="shared" si="19"/>
        <v>1.4</v>
      </c>
      <c r="Z80" s="72">
        <f t="shared" si="19"/>
        <v>50.5</v>
      </c>
      <c r="AA80" s="72">
        <f t="shared" si="19"/>
        <v>49.6</v>
      </c>
      <c r="AB80" s="72">
        <f t="shared" si="19"/>
        <v>34.200000000000003</v>
      </c>
      <c r="AC80" s="72">
        <f t="shared" si="19"/>
        <v>69</v>
      </c>
      <c r="AD80" s="72">
        <f t="shared" si="19"/>
        <v>35</v>
      </c>
      <c r="AE80" s="72">
        <f t="shared" si="19"/>
        <v>35</v>
      </c>
      <c r="AF80" s="72">
        <f t="shared" si="19"/>
        <v>55</v>
      </c>
      <c r="AG80" s="77">
        <f t="shared" si="19"/>
        <v>0</v>
      </c>
      <c r="AH80" s="55">
        <f t="shared" si="16"/>
        <v>179</v>
      </c>
      <c r="AI80" s="56">
        <f t="shared" si="17"/>
        <v>1.4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2681.48</v>
      </c>
      <c r="C81" s="72">
        <f t="shared" si="20"/>
        <v>2681.48</v>
      </c>
      <c r="D81" s="72">
        <f t="shared" si="20"/>
        <v>2537.6800000000007</v>
      </c>
      <c r="E81" s="72">
        <f t="shared" si="20"/>
        <v>2409.4800000000005</v>
      </c>
      <c r="F81" s="72">
        <f t="shared" si="20"/>
        <v>2404.08</v>
      </c>
      <c r="G81" s="72">
        <f t="shared" si="20"/>
        <v>2409.6800000000003</v>
      </c>
      <c r="H81" s="72">
        <f t="shared" si="20"/>
        <v>2411.88</v>
      </c>
      <c r="I81" s="72">
        <f t="shared" si="20"/>
        <v>2412.6800000000003</v>
      </c>
      <c r="J81" s="72">
        <f t="shared" si="20"/>
        <v>2561.88</v>
      </c>
      <c r="K81" s="72">
        <f t="shared" si="20"/>
        <v>2665.6800000000003</v>
      </c>
      <c r="L81" s="72">
        <f t="shared" si="20"/>
        <v>2737.2799999999997</v>
      </c>
      <c r="M81" s="72">
        <f t="shared" si="20"/>
        <v>2758.08</v>
      </c>
      <c r="N81" s="72">
        <f t="shared" si="20"/>
        <v>2816.8799999999997</v>
      </c>
      <c r="O81" s="72">
        <f t="shared" si="20"/>
        <v>2874.28</v>
      </c>
      <c r="P81" s="72">
        <f t="shared" si="20"/>
        <v>2832.88</v>
      </c>
      <c r="Q81" s="72">
        <f t="shared" si="20"/>
        <v>2801.08</v>
      </c>
      <c r="R81" s="72">
        <f t="shared" si="20"/>
        <v>2778.4800000000005</v>
      </c>
      <c r="S81" s="72">
        <f t="shared" si="20"/>
        <v>2655.28</v>
      </c>
      <c r="T81" s="72">
        <f t="shared" si="20"/>
        <v>2730.48</v>
      </c>
      <c r="U81" s="72">
        <f t="shared" si="20"/>
        <v>2635.08</v>
      </c>
      <c r="V81" s="72">
        <f t="shared" si="20"/>
        <v>2710.2799999999997</v>
      </c>
      <c r="W81" s="72">
        <f t="shared" si="20"/>
        <v>2771.08</v>
      </c>
      <c r="X81" s="72">
        <f t="shared" si="20"/>
        <v>3028.8799999999992</v>
      </c>
      <c r="Y81" s="72">
        <f t="shared" si="20"/>
        <v>3091.6800000000003</v>
      </c>
      <c r="Z81" s="72">
        <f t="shared" si="20"/>
        <v>3060.88</v>
      </c>
      <c r="AA81" s="72">
        <f t="shared" si="20"/>
        <v>2996.4799999999996</v>
      </c>
      <c r="AB81" s="72">
        <f t="shared" si="20"/>
        <v>2943.8799999999997</v>
      </c>
      <c r="AC81" s="72">
        <f t="shared" si="20"/>
        <v>2851.68</v>
      </c>
      <c r="AD81" s="72">
        <f t="shared" si="20"/>
        <v>2653.88</v>
      </c>
      <c r="AE81" s="72">
        <f t="shared" si="20"/>
        <v>2508.08</v>
      </c>
      <c r="AF81" s="72">
        <f t="shared" si="20"/>
        <v>2508.48</v>
      </c>
      <c r="AG81" s="77">
        <f t="shared" si="20"/>
        <v>4238.08</v>
      </c>
      <c r="AH81" s="55">
        <f t="shared" si="16"/>
        <v>3091.6800000000003</v>
      </c>
      <c r="AI81" s="56">
        <f t="shared" si="17"/>
        <v>2404.08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50.04</v>
      </c>
      <c r="C82" s="93">
        <v>50</v>
      </c>
      <c r="D82" s="93">
        <v>50.012999999999998</v>
      </c>
      <c r="E82" s="93">
        <v>50.042999999999999</v>
      </c>
      <c r="F82" s="93">
        <v>50.033999999999999</v>
      </c>
      <c r="G82" s="93">
        <v>50.036999999999999</v>
      </c>
      <c r="H82" s="93">
        <v>49.997999999999998</v>
      </c>
      <c r="I82" s="93">
        <v>49.991</v>
      </c>
      <c r="J82" s="93">
        <v>49.99</v>
      </c>
      <c r="K82" s="93">
        <v>50.015999999999998</v>
      </c>
      <c r="L82" s="93">
        <v>50.015999999999998</v>
      </c>
      <c r="M82" s="93">
        <v>50.012999999999998</v>
      </c>
      <c r="N82" s="93">
        <v>49.985999999999997</v>
      </c>
      <c r="O82" s="93">
        <v>50.015000000000001</v>
      </c>
      <c r="P82" s="93">
        <v>50.02</v>
      </c>
      <c r="Q82" s="93">
        <v>50</v>
      </c>
      <c r="R82" s="93">
        <v>50.061999999999998</v>
      </c>
      <c r="S82" s="93">
        <v>49.972000000000001</v>
      </c>
      <c r="T82" s="93">
        <v>50.084000000000003</v>
      </c>
      <c r="U82" s="93">
        <v>49.994999999999997</v>
      </c>
      <c r="V82" s="93">
        <v>50.01</v>
      </c>
      <c r="W82" s="93">
        <v>50.031999999999996</v>
      </c>
      <c r="X82" s="93">
        <v>49.954000000000001</v>
      </c>
      <c r="Y82" s="93">
        <v>50.027000000000001</v>
      </c>
      <c r="Z82" s="93">
        <v>50.017000000000003</v>
      </c>
      <c r="AA82" s="93">
        <v>50.042999999999999</v>
      </c>
      <c r="AB82" s="93">
        <v>50.003999999999998</v>
      </c>
      <c r="AC82" s="93">
        <v>50.003</v>
      </c>
      <c r="AD82" s="93">
        <v>50.021000000000001</v>
      </c>
      <c r="AE82" s="93">
        <v>49.981999999999999</v>
      </c>
      <c r="AF82" s="94">
        <v>50.01</v>
      </c>
      <c r="AG82" s="95"/>
      <c r="AH82" s="55">
        <f t="shared" si="16"/>
        <v>50.084000000000003</v>
      </c>
      <c r="AI82" s="56">
        <f t="shared" si="17"/>
        <v>49.954000000000001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123.6</v>
      </c>
      <c r="C83" s="52">
        <v>125</v>
      </c>
      <c r="D83" s="52">
        <v>125.3</v>
      </c>
      <c r="E83" s="52">
        <v>124.8</v>
      </c>
      <c r="F83" s="52">
        <v>124.5</v>
      </c>
      <c r="G83" s="52">
        <v>125</v>
      </c>
      <c r="H83" s="52">
        <v>124.9</v>
      </c>
      <c r="I83" s="52">
        <v>122.9</v>
      </c>
      <c r="J83" s="52">
        <v>122.7</v>
      </c>
      <c r="K83" s="52">
        <v>122.1</v>
      </c>
      <c r="L83" s="52">
        <v>122.1</v>
      </c>
      <c r="M83" s="52">
        <v>122.5</v>
      </c>
      <c r="N83" s="52">
        <v>121</v>
      </c>
      <c r="O83" s="52">
        <v>122.4</v>
      </c>
      <c r="P83" s="52">
        <v>123.6</v>
      </c>
      <c r="Q83" s="52">
        <v>122.5</v>
      </c>
      <c r="R83" s="52">
        <v>122.6</v>
      </c>
      <c r="S83" s="52">
        <v>121.5</v>
      </c>
      <c r="T83" s="97">
        <v>122.1</v>
      </c>
      <c r="U83" s="97">
        <v>124.1</v>
      </c>
      <c r="V83" s="97">
        <v>124</v>
      </c>
      <c r="W83" s="97">
        <v>124.6</v>
      </c>
      <c r="X83" s="97">
        <v>125.7</v>
      </c>
      <c r="Y83" s="97">
        <v>125.6</v>
      </c>
      <c r="Z83" s="97">
        <v>126.5</v>
      </c>
      <c r="AA83" s="52">
        <v>125.4</v>
      </c>
      <c r="AB83" s="52">
        <v>124.6</v>
      </c>
      <c r="AC83" s="52">
        <v>125</v>
      </c>
      <c r="AD83" s="52">
        <v>125.3</v>
      </c>
      <c r="AE83" s="52">
        <v>124.5</v>
      </c>
      <c r="AF83" s="52">
        <v>124.5</v>
      </c>
      <c r="AG83" s="99"/>
      <c r="AH83" s="55">
        <f t="shared" si="16"/>
        <v>126.5</v>
      </c>
      <c r="AI83" s="56">
        <f t="shared" si="17"/>
        <v>121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128</v>
      </c>
      <c r="C84" s="52">
        <v>129.6</v>
      </c>
      <c r="D84" s="52">
        <v>129.5</v>
      </c>
      <c r="E84" s="52">
        <v>129</v>
      </c>
      <c r="F84" s="52">
        <v>128.5</v>
      </c>
      <c r="G84" s="52">
        <v>128.69999999999999</v>
      </c>
      <c r="H84" s="52">
        <v>128.5</v>
      </c>
      <c r="I84" s="52">
        <v>126.4</v>
      </c>
      <c r="J84" s="52">
        <v>126.5</v>
      </c>
      <c r="K84" s="52">
        <v>125.5</v>
      </c>
      <c r="L84" s="52">
        <v>125.5</v>
      </c>
      <c r="M84" s="52">
        <v>125.8</v>
      </c>
      <c r="N84" s="52">
        <v>124.7</v>
      </c>
      <c r="O84" s="52">
        <v>125.9</v>
      </c>
      <c r="P84" s="52">
        <v>126.4</v>
      </c>
      <c r="Q84" s="52">
        <v>125.8</v>
      </c>
      <c r="R84" s="52">
        <v>125.9</v>
      </c>
      <c r="S84" s="52">
        <v>125.1</v>
      </c>
      <c r="T84" s="97">
        <v>125.5</v>
      </c>
      <c r="U84" s="97">
        <v>127.2</v>
      </c>
      <c r="V84" s="97">
        <v>126.9</v>
      </c>
      <c r="W84" s="97">
        <v>127.7</v>
      </c>
      <c r="X84" s="97">
        <v>128</v>
      </c>
      <c r="Y84" s="97">
        <v>128.4</v>
      </c>
      <c r="Z84" s="97">
        <v>129.19999999999999</v>
      </c>
      <c r="AA84" s="52">
        <v>128.9</v>
      </c>
      <c r="AB84" s="52">
        <v>128.30000000000001</v>
      </c>
      <c r="AC84" s="52">
        <v>128.69999999999999</v>
      </c>
      <c r="AD84" s="52">
        <v>129.30000000000001</v>
      </c>
      <c r="AE84" s="52">
        <v>128.80000000000001</v>
      </c>
      <c r="AF84" s="52">
        <v>128.80000000000001</v>
      </c>
      <c r="AG84" s="99"/>
      <c r="AH84" s="55">
        <f t="shared" si="16"/>
        <v>129.6</v>
      </c>
      <c r="AI84" s="56">
        <f t="shared" si="17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</v>
      </c>
      <c r="C85" s="52">
        <v>129</v>
      </c>
      <c r="D85" s="52">
        <v>128.19999999999999</v>
      </c>
      <c r="E85" s="52">
        <v>129.9</v>
      </c>
      <c r="F85" s="52">
        <v>128.6</v>
      </c>
      <c r="G85" s="52">
        <v>131.5</v>
      </c>
      <c r="H85" s="52">
        <v>131.1</v>
      </c>
      <c r="I85" s="52">
        <v>129.9</v>
      </c>
      <c r="J85" s="52">
        <v>126.3</v>
      </c>
      <c r="K85" s="52">
        <v>128.30000000000001</v>
      </c>
      <c r="L85" s="52">
        <v>128.30000000000001</v>
      </c>
      <c r="M85" s="52">
        <v>126.3</v>
      </c>
      <c r="N85" s="52">
        <v>120.6</v>
      </c>
      <c r="O85" s="52">
        <v>122.9</v>
      </c>
      <c r="P85" s="52">
        <v>126.8</v>
      </c>
      <c r="Q85" s="52">
        <v>123.8</v>
      </c>
      <c r="R85" s="52">
        <v>122.3</v>
      </c>
      <c r="S85" s="52">
        <v>121.1</v>
      </c>
      <c r="T85" s="52">
        <v>122.6</v>
      </c>
      <c r="U85" s="52">
        <v>130</v>
      </c>
      <c r="V85" s="52">
        <v>127</v>
      </c>
      <c r="W85" s="97">
        <v>127.5</v>
      </c>
      <c r="X85" s="97">
        <v>123.6</v>
      </c>
      <c r="Y85" s="97">
        <v>124.3</v>
      </c>
      <c r="Z85" s="97">
        <v>125.6</v>
      </c>
      <c r="AA85" s="52">
        <v>127.2</v>
      </c>
      <c r="AB85" s="52">
        <v>126</v>
      </c>
      <c r="AC85" s="52">
        <v>126.9</v>
      </c>
      <c r="AD85" s="52">
        <v>127.3</v>
      </c>
      <c r="AE85" s="52">
        <v>128</v>
      </c>
      <c r="AF85" s="52">
        <v>128</v>
      </c>
      <c r="AG85" s="99"/>
      <c r="AH85" s="55">
        <f t="shared" si="16"/>
        <v>131.5</v>
      </c>
      <c r="AI85" s="56">
        <f t="shared" si="17"/>
        <v>120.6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132</v>
      </c>
      <c r="C86" s="52">
        <v>133.80000000000001</v>
      </c>
      <c r="D86" s="52">
        <v>132.69999999999999</v>
      </c>
      <c r="E86" s="52">
        <v>134.6</v>
      </c>
      <c r="F86" s="52">
        <v>133.6</v>
      </c>
      <c r="G86" s="52">
        <v>135.80000000000001</v>
      </c>
      <c r="H86" s="52">
        <v>133.5</v>
      </c>
      <c r="I86" s="52">
        <v>131.9</v>
      </c>
      <c r="J86" s="52">
        <v>130.4</v>
      </c>
      <c r="K86" s="52">
        <v>130.6</v>
      </c>
      <c r="L86" s="52">
        <v>130.6</v>
      </c>
      <c r="M86" s="52">
        <v>128.80000000000001</v>
      </c>
      <c r="N86" s="52">
        <v>123.9</v>
      </c>
      <c r="O86" s="52">
        <v>126.2</v>
      </c>
      <c r="P86" s="52">
        <v>126.2</v>
      </c>
      <c r="Q86" s="52">
        <v>127.6</v>
      </c>
      <c r="R86" s="52">
        <v>125.6</v>
      </c>
      <c r="S86" s="52">
        <v>124.9</v>
      </c>
      <c r="T86" s="52">
        <v>125.6</v>
      </c>
      <c r="U86" s="52">
        <v>132.30000000000001</v>
      </c>
      <c r="V86" s="52">
        <v>128.9</v>
      </c>
      <c r="W86" s="97">
        <v>128.80000000000001</v>
      </c>
      <c r="X86" s="97">
        <v>126.9</v>
      </c>
      <c r="Y86" s="97">
        <v>127.3</v>
      </c>
      <c r="Z86" s="97">
        <v>128.69999999999999</v>
      </c>
      <c r="AA86" s="52">
        <v>130.9</v>
      </c>
      <c r="AB86" s="52">
        <v>130</v>
      </c>
      <c r="AC86" s="52">
        <v>131</v>
      </c>
      <c r="AD86" s="52">
        <v>131.9</v>
      </c>
      <c r="AE86" s="52">
        <v>132.5</v>
      </c>
      <c r="AF86" s="52">
        <v>132.5</v>
      </c>
      <c r="AG86" s="99"/>
      <c r="AH86" s="55">
        <f t="shared" si="16"/>
        <v>135.80000000000001</v>
      </c>
      <c r="AI86" s="56">
        <f t="shared" si="17"/>
        <v>123.9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132</v>
      </c>
      <c r="C87" s="101">
        <v>134.6</v>
      </c>
      <c r="D87" s="101">
        <v>133.5</v>
      </c>
      <c r="E87" s="101">
        <v>134.30000000000001</v>
      </c>
      <c r="F87" s="101">
        <v>134</v>
      </c>
      <c r="G87" s="101">
        <v>133.69999999999999</v>
      </c>
      <c r="H87" s="101">
        <v>133.5</v>
      </c>
      <c r="I87" s="101">
        <v>131.9</v>
      </c>
      <c r="J87" s="101">
        <v>132.19999999999999</v>
      </c>
      <c r="K87" s="101">
        <v>133.4</v>
      </c>
      <c r="L87" s="101">
        <v>133.4</v>
      </c>
      <c r="M87" s="101">
        <v>131.6</v>
      </c>
      <c r="N87" s="101">
        <v>132.4</v>
      </c>
      <c r="O87" s="101">
        <v>133.19999999999999</v>
      </c>
      <c r="P87" s="101">
        <v>134.69999999999999</v>
      </c>
      <c r="Q87" s="101">
        <v>135.1</v>
      </c>
      <c r="R87" s="101">
        <v>128.80000000000001</v>
      </c>
      <c r="S87" s="101">
        <v>130</v>
      </c>
      <c r="T87" s="101">
        <v>134.30000000000001</v>
      </c>
      <c r="U87" s="101">
        <v>136.80000000000001</v>
      </c>
      <c r="V87" s="101">
        <v>134.6</v>
      </c>
      <c r="W87" s="97">
        <v>135.19999999999999</v>
      </c>
      <c r="X87" s="97">
        <v>133.30000000000001</v>
      </c>
      <c r="Y87" s="97">
        <v>134.4</v>
      </c>
      <c r="Z87" s="97">
        <v>135.6</v>
      </c>
      <c r="AA87" s="101">
        <v>134.4</v>
      </c>
      <c r="AB87" s="101">
        <v>133.1</v>
      </c>
      <c r="AC87" s="101">
        <v>133.9</v>
      </c>
      <c r="AD87" s="101">
        <v>135.30000000000001</v>
      </c>
      <c r="AE87" s="101">
        <v>132.6</v>
      </c>
      <c r="AF87" s="101">
        <v>132.6</v>
      </c>
      <c r="AG87" s="103"/>
      <c r="AH87" s="55">
        <f t="shared" si="16"/>
        <v>136.80000000000001</v>
      </c>
      <c r="AI87" s="56">
        <f t="shared" si="17"/>
        <v>128.80000000000001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130</v>
      </c>
      <c r="C88" s="52">
        <v>134</v>
      </c>
      <c r="D88" s="52">
        <v>134.30000000000001</v>
      </c>
      <c r="E88" s="52">
        <v>136.30000000000001</v>
      </c>
      <c r="F88" s="52"/>
      <c r="G88" s="52"/>
      <c r="H88" s="52"/>
      <c r="I88" s="52"/>
      <c r="J88" s="52"/>
      <c r="K88" s="52"/>
      <c r="L88" s="52"/>
      <c r="M88" s="52">
        <v>127.5</v>
      </c>
      <c r="N88" s="52">
        <v>129.4</v>
      </c>
      <c r="O88" s="52">
        <v>130.5</v>
      </c>
      <c r="P88" s="52">
        <v>133.80000000000001</v>
      </c>
      <c r="Q88" s="52">
        <v>133.9</v>
      </c>
      <c r="R88" s="52">
        <v>124.8</v>
      </c>
      <c r="S88" s="52">
        <v>127</v>
      </c>
      <c r="T88" s="52">
        <v>132.4</v>
      </c>
      <c r="U88" s="52">
        <v>135.69999999999999</v>
      </c>
      <c r="V88" s="52">
        <v>134</v>
      </c>
      <c r="W88" s="97">
        <v>135.4</v>
      </c>
      <c r="X88" s="97">
        <v>132.6</v>
      </c>
      <c r="Y88" s="97">
        <v>133.4</v>
      </c>
      <c r="Z88" s="97">
        <v>135.19999999999999</v>
      </c>
      <c r="AA88" s="52">
        <v>131.4</v>
      </c>
      <c r="AB88" s="52">
        <v>129.80000000000001</v>
      </c>
      <c r="AC88" s="52">
        <v>130.69999999999999</v>
      </c>
      <c r="AD88" s="52">
        <v>133.9</v>
      </c>
      <c r="AE88" s="52">
        <v>132.30000000000001</v>
      </c>
      <c r="AF88" s="52">
        <v>132.30000000000001</v>
      </c>
      <c r="AG88" s="99"/>
      <c r="AH88" s="55">
        <f t="shared" si="16"/>
        <v>136.30000000000001</v>
      </c>
      <c r="AI88" s="56">
        <f t="shared" si="17"/>
        <v>124.8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65.099999999999994</v>
      </c>
      <c r="C89" s="104">
        <v>65.7</v>
      </c>
      <c r="D89" s="104">
        <v>65.8</v>
      </c>
      <c r="E89" s="104">
        <v>65.599999999999994</v>
      </c>
      <c r="F89" s="104">
        <v>65.2</v>
      </c>
      <c r="G89" s="104">
        <v>65.2</v>
      </c>
      <c r="H89" s="104">
        <v>65.2</v>
      </c>
      <c r="I89" s="104">
        <v>64</v>
      </c>
      <c r="J89" s="104">
        <v>64.3</v>
      </c>
      <c r="K89" s="104">
        <v>63.6</v>
      </c>
      <c r="L89" s="104">
        <v>63.6</v>
      </c>
      <c r="M89" s="104">
        <v>63.9</v>
      </c>
      <c r="N89" s="104">
        <v>63.5</v>
      </c>
      <c r="O89" s="104">
        <v>63.8</v>
      </c>
      <c r="P89" s="104">
        <v>64.2</v>
      </c>
      <c r="Q89" s="104">
        <v>63.8</v>
      </c>
      <c r="R89" s="104">
        <v>63.7</v>
      </c>
      <c r="S89" s="104">
        <v>63.7</v>
      </c>
      <c r="T89" s="104">
        <v>63.6</v>
      </c>
      <c r="U89" s="104">
        <v>64.5</v>
      </c>
      <c r="V89" s="104">
        <v>64.400000000000006</v>
      </c>
      <c r="W89" s="104">
        <v>64.599999999999994</v>
      </c>
      <c r="X89" s="104">
        <v>64.900000000000006</v>
      </c>
      <c r="Y89" s="104">
        <v>65.3</v>
      </c>
      <c r="Z89" s="104">
        <v>65.5</v>
      </c>
      <c r="AA89" s="104">
        <v>65.5</v>
      </c>
      <c r="AB89" s="104">
        <v>65.400000000000006</v>
      </c>
      <c r="AC89" s="104">
        <v>65.599999999999994</v>
      </c>
      <c r="AD89" s="104">
        <v>65.8</v>
      </c>
      <c r="AE89" s="104">
        <v>65.400000000000006</v>
      </c>
      <c r="AF89" s="104">
        <v>65.400000000000006</v>
      </c>
      <c r="AG89" s="106"/>
      <c r="AH89" s="55">
        <f t="shared" si="16"/>
        <v>65.8</v>
      </c>
      <c r="AI89" s="56">
        <f t="shared" si="17"/>
        <v>63.5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235.93999999999997</v>
      </c>
      <c r="C91" s="178">
        <f t="shared" ref="C91:AF91" si="21">SUM(C14,C17,C20:C21,C40,C42:C43,C45,C47,C92:C95,C100,C106,C112,C121,C123,C135,C142,C145:C146,C153,C155,C157,C161:C163,C165:C167,C172,C178:C179,C181:C183,C191,C196)</f>
        <v>124.93999999999998</v>
      </c>
      <c r="D91" s="178">
        <f t="shared" si="21"/>
        <v>125.44000000000001</v>
      </c>
      <c r="E91" s="178">
        <f t="shared" si="21"/>
        <v>135.04000000000002</v>
      </c>
      <c r="F91" s="111">
        <f t="shared" si="21"/>
        <v>144.64000000000001</v>
      </c>
      <c r="G91" s="111">
        <f t="shared" si="21"/>
        <v>168.74</v>
      </c>
      <c r="H91" s="111">
        <f t="shared" si="21"/>
        <v>187.34</v>
      </c>
      <c r="I91" s="111">
        <f t="shared" si="21"/>
        <v>222.94</v>
      </c>
      <c r="J91" s="111">
        <f t="shared" si="21"/>
        <v>258.6400000000001</v>
      </c>
      <c r="K91" s="111">
        <f t="shared" si="21"/>
        <v>280.64</v>
      </c>
      <c r="L91" s="111">
        <f t="shared" si="21"/>
        <v>280.44000000000005</v>
      </c>
      <c r="M91" s="111">
        <f t="shared" si="21"/>
        <v>285.44</v>
      </c>
      <c r="N91" s="111">
        <f t="shared" si="21"/>
        <v>279.64</v>
      </c>
      <c r="O91" s="111">
        <f t="shared" si="21"/>
        <v>279.84000000000003</v>
      </c>
      <c r="P91" s="111">
        <f t="shared" si="21"/>
        <v>276.83999999999997</v>
      </c>
      <c r="Q91" s="111">
        <f t="shared" si="21"/>
        <v>307.44000000000005</v>
      </c>
      <c r="R91" s="111">
        <f t="shared" si="21"/>
        <v>275.44</v>
      </c>
      <c r="S91" s="111">
        <f t="shared" si="21"/>
        <v>257.74000000000007</v>
      </c>
      <c r="T91" s="111">
        <f t="shared" si="21"/>
        <v>269.14</v>
      </c>
      <c r="U91" s="111">
        <f t="shared" si="21"/>
        <v>275.54000000000008</v>
      </c>
      <c r="V91" s="111">
        <f t="shared" si="21"/>
        <v>276.34000000000003</v>
      </c>
      <c r="W91" s="111">
        <f t="shared" si="21"/>
        <v>302.54000000000002</v>
      </c>
      <c r="X91" s="111">
        <f t="shared" si="21"/>
        <v>348.74</v>
      </c>
      <c r="Y91" s="111">
        <f t="shared" si="21"/>
        <v>340.34000000000003</v>
      </c>
      <c r="Z91" s="111">
        <f t="shared" si="21"/>
        <v>312.64000000000004</v>
      </c>
      <c r="AA91" s="111">
        <f t="shared" si="21"/>
        <v>276.04000000000002</v>
      </c>
      <c r="AB91" s="111">
        <f t="shared" si="21"/>
        <v>266.84000000000003</v>
      </c>
      <c r="AC91" s="111">
        <f t="shared" si="21"/>
        <v>240.94</v>
      </c>
      <c r="AD91" s="111">
        <f t="shared" si="21"/>
        <v>204.44</v>
      </c>
      <c r="AE91" s="111">
        <f t="shared" si="21"/>
        <v>347.04</v>
      </c>
      <c r="AF91" s="111">
        <f t="shared" si="21"/>
        <v>348.04</v>
      </c>
      <c r="AG91" s="112"/>
      <c r="AH91" s="55">
        <f>MAX(B91:AF91)</f>
        <v>348.74</v>
      </c>
      <c r="AI91" s="56">
        <f>MIN(B91:AF91)</f>
        <v>124.93999999999998</v>
      </c>
    </row>
    <row r="92" spans="1:88" x14ac:dyDescent="0.25">
      <c r="A92" s="113" t="s">
        <v>95</v>
      </c>
      <c r="B92" s="59"/>
      <c r="C92" s="59">
        <v>38</v>
      </c>
      <c r="D92" s="59">
        <v>28.4</v>
      </c>
      <c r="E92" s="59">
        <v>13.8</v>
      </c>
      <c r="F92" s="114">
        <v>9.8000000000000007</v>
      </c>
      <c r="G92" s="114">
        <v>11.4</v>
      </c>
      <c r="H92" s="114">
        <v>15.8</v>
      </c>
      <c r="I92" s="114">
        <v>13.1</v>
      </c>
      <c r="J92" s="114">
        <v>3.7</v>
      </c>
      <c r="K92" s="114">
        <v>0</v>
      </c>
      <c r="L92" s="114">
        <v>0</v>
      </c>
      <c r="M92" s="114">
        <v>4.4000000000000004</v>
      </c>
      <c r="N92" s="114">
        <v>4.2</v>
      </c>
      <c r="O92" s="114">
        <v>0</v>
      </c>
      <c r="P92" s="114">
        <v>0</v>
      </c>
      <c r="Q92" s="114">
        <v>8.3000000000000007</v>
      </c>
      <c r="R92" s="114">
        <v>1.5</v>
      </c>
      <c r="S92" s="114">
        <v>1.8</v>
      </c>
      <c r="T92" s="115">
        <v>1.7</v>
      </c>
      <c r="U92" s="115">
        <v>6.8</v>
      </c>
      <c r="V92" s="115">
        <v>8.1999999999999993</v>
      </c>
      <c r="W92" s="114">
        <v>4.2</v>
      </c>
      <c r="X92" s="114">
        <v>17.2</v>
      </c>
      <c r="Y92" s="114">
        <v>12.8</v>
      </c>
      <c r="Z92" s="114">
        <v>18.8</v>
      </c>
      <c r="AA92" s="115">
        <v>11.1</v>
      </c>
      <c r="AB92" s="115">
        <v>12.9</v>
      </c>
      <c r="AC92" s="115">
        <v>21</v>
      </c>
      <c r="AD92" s="115">
        <v>29.5</v>
      </c>
      <c r="AE92" s="115">
        <v>32.4</v>
      </c>
      <c r="AF92" s="115">
        <v>33.4</v>
      </c>
      <c r="AG92" s="117">
        <v>75</v>
      </c>
      <c r="AH92" s="55">
        <f t="shared" ref="AH92:AH97" si="22">IF(ABS(MAX(B92:AF92))&gt;ABS(MIN(B92:AF92)),MAX(B92:AF92),MIN(B92:AF92))</f>
        <v>38</v>
      </c>
      <c r="AI92" s="118">
        <f t="shared" ref="AI92:AI97" si="23">INDEX($B$9:$AF$9,1,MATCH(AH92,B92:AF92,0))</f>
        <v>8.3333333333333301E-2</v>
      </c>
    </row>
    <row r="93" spans="1:88" x14ac:dyDescent="0.25">
      <c r="A93" s="119" t="s">
        <v>96</v>
      </c>
      <c r="B93" s="61"/>
      <c r="C93" s="61">
        <v>-127</v>
      </c>
      <c r="D93" s="61">
        <v>-120</v>
      </c>
      <c r="E93" s="61">
        <v>-100</v>
      </c>
      <c r="F93" s="61">
        <v>-88</v>
      </c>
      <c r="G93" s="61">
        <v>-70</v>
      </c>
      <c r="H93" s="61">
        <v>-60</v>
      </c>
      <c r="I93" s="61">
        <v>-29</v>
      </c>
      <c r="J93" s="61">
        <v>-55</v>
      </c>
      <c r="K93" s="61">
        <v>-50</v>
      </c>
      <c r="L93" s="61">
        <v>-50</v>
      </c>
      <c r="M93" s="61">
        <v>-50.1</v>
      </c>
      <c r="N93" s="61">
        <v>-54</v>
      </c>
      <c r="O93" s="61">
        <v>-52.8</v>
      </c>
      <c r="P93" s="61">
        <f>-17.4-27.8</f>
        <v>-45.2</v>
      </c>
      <c r="Q93" s="61">
        <f>-20.5-30</f>
        <v>-50.5</v>
      </c>
      <c r="R93" s="61">
        <v>-47</v>
      </c>
      <c r="S93" s="61">
        <v>-50.6</v>
      </c>
      <c r="T93" s="61">
        <v>-50.1</v>
      </c>
      <c r="U93" s="61">
        <v>-44.6</v>
      </c>
      <c r="V93" s="61">
        <v>-48</v>
      </c>
      <c r="W93" s="61">
        <v>-37</v>
      </c>
      <c r="X93" s="61">
        <v>-20.3</v>
      </c>
      <c r="Y93" s="61">
        <v>-24.7</v>
      </c>
      <c r="Z93" s="61">
        <v>-36.5</v>
      </c>
      <c r="AA93" s="52">
        <v>-53</v>
      </c>
      <c r="AB93" s="52">
        <v>-58</v>
      </c>
      <c r="AC93" s="52">
        <v>-67</v>
      </c>
      <c r="AD93" s="52">
        <v>-85</v>
      </c>
      <c r="AE93" s="52">
        <f>--90</f>
        <v>90</v>
      </c>
      <c r="AF93" s="52">
        <f>--90</f>
        <v>90</v>
      </c>
      <c r="AG93" s="117">
        <v>240</v>
      </c>
      <c r="AH93" s="55">
        <f t="shared" si="22"/>
        <v>-127</v>
      </c>
      <c r="AI93" s="118">
        <f t="shared" si="23"/>
        <v>8.3333333333333301E-2</v>
      </c>
    </row>
    <row r="94" spans="1:88" x14ac:dyDescent="0.25">
      <c r="A94" s="119" t="s">
        <v>97</v>
      </c>
      <c r="B94" s="61"/>
      <c r="C94" s="61">
        <v>-22</v>
      </c>
      <c r="D94" s="61">
        <v>-18.399999999999999</v>
      </c>
      <c r="E94" s="61">
        <v>-14.7</v>
      </c>
      <c r="F94" s="61">
        <v>-13.6</v>
      </c>
      <c r="G94" s="61">
        <v>-9.1</v>
      </c>
      <c r="H94" s="61">
        <v>-5.4</v>
      </c>
      <c r="I94" s="61">
        <v>1.9</v>
      </c>
      <c r="J94" s="61">
        <v>2.6</v>
      </c>
      <c r="K94" s="61">
        <v>10</v>
      </c>
      <c r="L94" s="61">
        <v>10</v>
      </c>
      <c r="M94" s="61">
        <v>22.5</v>
      </c>
      <c r="N94" s="61">
        <v>17.899999999999999</v>
      </c>
      <c r="O94" s="61">
        <v>28.8</v>
      </c>
      <c r="P94" s="61">
        <v>19.2</v>
      </c>
      <c r="Q94" s="61">
        <v>12.8</v>
      </c>
      <c r="R94" s="61">
        <v>11.7</v>
      </c>
      <c r="S94" s="61">
        <v>10.9</v>
      </c>
      <c r="T94" s="61">
        <v>6.7</v>
      </c>
      <c r="U94" s="61">
        <v>6.8</v>
      </c>
      <c r="V94" s="61">
        <v>5.3</v>
      </c>
      <c r="W94" s="61">
        <v>17.8</v>
      </c>
      <c r="X94" s="61">
        <v>38.4</v>
      </c>
      <c r="Y94" s="61">
        <v>36</v>
      </c>
      <c r="Z94" s="61">
        <v>30.3</v>
      </c>
      <c r="AA94" s="52">
        <v>21.7</v>
      </c>
      <c r="AB94" s="52">
        <v>9.1999999999999993</v>
      </c>
      <c r="AC94" s="52">
        <v>-3.5</v>
      </c>
      <c r="AD94" s="52">
        <v>-9.6</v>
      </c>
      <c r="AE94" s="52">
        <v>-14.8</v>
      </c>
      <c r="AF94" s="52">
        <v>-14.8</v>
      </c>
      <c r="AG94" s="117">
        <v>60</v>
      </c>
      <c r="AH94" s="55">
        <f t="shared" si="22"/>
        <v>38.4</v>
      </c>
      <c r="AI94" s="118">
        <f t="shared" si="23"/>
        <v>0.77083333333333337</v>
      </c>
    </row>
    <row r="95" spans="1:88" x14ac:dyDescent="0.25">
      <c r="A95" s="121" t="s">
        <v>98</v>
      </c>
      <c r="B95" s="84"/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70.7</v>
      </c>
      <c r="K95" s="84">
        <v>84</v>
      </c>
      <c r="L95" s="84">
        <v>84</v>
      </c>
      <c r="M95" s="84">
        <v>69.5</v>
      </c>
      <c r="N95" s="84">
        <v>72.2</v>
      </c>
      <c r="O95" s="84">
        <v>64.400000000000006</v>
      </c>
      <c r="P95" s="84">
        <v>63.4</v>
      </c>
      <c r="Q95" s="84">
        <v>97.7</v>
      </c>
      <c r="R95" s="84">
        <v>70.099999999999994</v>
      </c>
      <c r="S95" s="84">
        <v>59.3</v>
      </c>
      <c r="T95" s="84">
        <v>74.599999999999994</v>
      </c>
      <c r="U95" s="84">
        <v>69.599999999999994</v>
      </c>
      <c r="V95" s="84">
        <v>73.900000000000006</v>
      </c>
      <c r="W95" s="84">
        <v>80.7</v>
      </c>
      <c r="X95" s="84">
        <v>76.599999999999994</v>
      </c>
      <c r="Y95" s="84">
        <v>79.400000000000006</v>
      </c>
      <c r="Z95" s="84">
        <v>63.2</v>
      </c>
      <c r="AA95" s="122">
        <v>59.6</v>
      </c>
      <c r="AB95" s="122">
        <v>66.099999999999994</v>
      </c>
      <c r="AC95" s="122">
        <v>53.8</v>
      </c>
      <c r="AD95" s="122">
        <v>32.9</v>
      </c>
      <c r="AE95" s="122">
        <v>12.4</v>
      </c>
      <c r="AF95" s="122">
        <v>12.4</v>
      </c>
      <c r="AG95" s="124">
        <v>120</v>
      </c>
      <c r="AH95" s="55">
        <f t="shared" si="22"/>
        <v>97.7</v>
      </c>
      <c r="AI95" s="118">
        <f t="shared" si="23"/>
        <v>0.54166666666666696</v>
      </c>
    </row>
    <row r="96" spans="1:88" x14ac:dyDescent="0.25">
      <c r="A96" s="121" t="s">
        <v>99</v>
      </c>
      <c r="B96" s="84"/>
      <c r="C96" s="84">
        <v>22</v>
      </c>
      <c r="D96" s="84">
        <v>20.399999999999999</v>
      </c>
      <c r="E96" s="84">
        <v>40.299999999999997</v>
      </c>
      <c r="F96" s="84">
        <v>55.6</v>
      </c>
      <c r="G96" s="84">
        <v>64</v>
      </c>
      <c r="H96" s="84">
        <v>62.8</v>
      </c>
      <c r="I96" s="84">
        <v>85.5</v>
      </c>
      <c r="J96" s="84">
        <v>72.2</v>
      </c>
      <c r="K96" s="84">
        <v>78.400000000000006</v>
      </c>
      <c r="L96" s="84">
        <v>78.400000000000006</v>
      </c>
      <c r="M96" s="84">
        <v>70</v>
      </c>
      <c r="N96" s="84">
        <v>74.2</v>
      </c>
      <c r="O96" s="84">
        <v>68.8</v>
      </c>
      <c r="P96" s="84">
        <v>65.900000000000006</v>
      </c>
      <c r="Q96" s="84">
        <v>67.3</v>
      </c>
      <c r="R96" s="84">
        <v>68.8</v>
      </c>
      <c r="S96" s="84">
        <v>58.5</v>
      </c>
      <c r="T96" s="84">
        <v>73.2</v>
      </c>
      <c r="U96" s="84">
        <v>70.099999999999994</v>
      </c>
      <c r="V96" s="84">
        <v>70.3</v>
      </c>
      <c r="W96" s="84">
        <v>73.599999999999994</v>
      </c>
      <c r="X96" s="84">
        <v>65.2</v>
      </c>
      <c r="Y96" s="84">
        <v>67.400000000000006</v>
      </c>
      <c r="Z96" s="84">
        <v>55.9</v>
      </c>
      <c r="AA96" s="122">
        <v>55.9</v>
      </c>
      <c r="AB96" s="122">
        <v>65.099999999999994</v>
      </c>
      <c r="AC96" s="122">
        <v>54.8</v>
      </c>
      <c r="AD96" s="122">
        <v>43.4</v>
      </c>
      <c r="AE96" s="122">
        <v>33.5</v>
      </c>
      <c r="AF96" s="122">
        <v>33.5</v>
      </c>
      <c r="AG96" s="124"/>
      <c r="AH96" s="55">
        <f t="shared" si="22"/>
        <v>85.5</v>
      </c>
      <c r="AI96" s="118">
        <f t="shared" si="23"/>
        <v>0.27083333333333331</v>
      </c>
    </row>
    <row r="97" spans="1:37" ht="15.75" thickBot="1" x14ac:dyDescent="0.3">
      <c r="A97" s="121" t="s">
        <v>100</v>
      </c>
      <c r="B97" s="84"/>
      <c r="C97" s="84">
        <v>44</v>
      </c>
      <c r="D97" s="84">
        <v>42.9</v>
      </c>
      <c r="E97" s="84">
        <v>33.700000000000003</v>
      </c>
      <c r="F97" s="84">
        <v>38.299999999999997</v>
      </c>
      <c r="G97" s="84">
        <v>36.4</v>
      </c>
      <c r="H97" s="84">
        <v>31.4</v>
      </c>
      <c r="I97" s="84">
        <v>36.700000000000003</v>
      </c>
      <c r="J97" s="84">
        <v>41</v>
      </c>
      <c r="K97" s="84">
        <v>40.5</v>
      </c>
      <c r="L97" s="84">
        <v>40.5</v>
      </c>
      <c r="M97" s="84">
        <v>42.6</v>
      </c>
      <c r="N97" s="84">
        <v>44.1</v>
      </c>
      <c r="O97" s="84">
        <v>49.6</v>
      </c>
      <c r="P97" s="84">
        <v>48.3</v>
      </c>
      <c r="Q97" s="84">
        <v>45.3</v>
      </c>
      <c r="R97" s="84">
        <v>54.8</v>
      </c>
      <c r="S97" s="84">
        <v>56.5</v>
      </c>
      <c r="T97" s="84">
        <v>53.4</v>
      </c>
      <c r="U97" s="84">
        <v>46.9</v>
      </c>
      <c r="V97" s="84">
        <v>43.7</v>
      </c>
      <c r="W97" s="84">
        <v>49.3</v>
      </c>
      <c r="X97" s="84">
        <v>65.099999999999994</v>
      </c>
      <c r="Y97" s="84">
        <v>75.900000000000006</v>
      </c>
      <c r="Z97" s="84">
        <v>74.599999999999994</v>
      </c>
      <c r="AA97" s="122">
        <v>64.8</v>
      </c>
      <c r="AB97" s="122">
        <v>59.3</v>
      </c>
      <c r="AC97" s="122">
        <v>40.299999999999997</v>
      </c>
      <c r="AD97" s="122">
        <v>27.5</v>
      </c>
      <c r="AE97" s="122">
        <v>25.7</v>
      </c>
      <c r="AF97" s="122">
        <v>25.7</v>
      </c>
      <c r="AG97" s="125"/>
      <c r="AH97" s="55">
        <f t="shared" si="22"/>
        <v>75.900000000000006</v>
      </c>
      <c r="AI97" s="118">
        <f t="shared" si="23"/>
        <v>0.79166666666666663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1296.44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10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2078/04/10)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2078/04/10)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1161.74</v>
      </c>
      <c r="U211" s="170">
        <f t="shared" si="52"/>
        <v>1163.74</v>
      </c>
      <c r="V211" s="170">
        <f t="shared" si="52"/>
        <v>1103.5400000000002</v>
      </c>
      <c r="W211" s="170">
        <f t="shared" si="52"/>
        <v>1059.1400000000001</v>
      </c>
      <c r="X211" s="170">
        <f t="shared" si="52"/>
        <v>1088.94</v>
      </c>
      <c r="Y211" s="170">
        <f t="shared" si="52"/>
        <v>1089.8400000000001</v>
      </c>
      <c r="Z211" s="170">
        <f t="shared" si="52"/>
        <v>1074.44</v>
      </c>
      <c r="AA211" s="170">
        <f t="shared" si="52"/>
        <v>1129.24</v>
      </c>
      <c r="AB211" s="170">
        <f t="shared" si="52"/>
        <v>1198.54</v>
      </c>
      <c r="AC211" s="170">
        <f t="shared" si="52"/>
        <v>1268.44</v>
      </c>
      <c r="AD211" s="170">
        <f t="shared" si="52"/>
        <v>1296.44</v>
      </c>
      <c r="AE211" s="170">
        <f t="shared" si="52"/>
        <v>1290.04</v>
      </c>
      <c r="AF211" s="170">
        <f t="shared" si="52"/>
        <v>1316.84</v>
      </c>
      <c r="AG211" s="170">
        <f t="shared" si="52"/>
        <v>1340.74</v>
      </c>
      <c r="AH211" s="170">
        <f t="shared" si="52"/>
        <v>1373.04</v>
      </c>
      <c r="AI211" s="170">
        <f t="shared" si="52"/>
        <v>1363.94</v>
      </c>
      <c r="AJ211" s="170">
        <f t="shared" si="52"/>
        <v>1335.44</v>
      </c>
      <c r="AK211" s="170">
        <f t="shared" si="52"/>
        <v>1304.24</v>
      </c>
      <c r="AL211" s="170">
        <f t="shared" si="52"/>
        <v>1318.14</v>
      </c>
      <c r="AM211" s="170">
        <f t="shared" si="52"/>
        <v>1288.3400000000001</v>
      </c>
      <c r="AN211" s="170">
        <f t="shared" si="52"/>
        <v>1305.94</v>
      </c>
      <c r="AO211" s="170">
        <f t="shared" si="52"/>
        <v>1360.1399999999999</v>
      </c>
      <c r="AP211" s="170">
        <f t="shared" si="52"/>
        <v>1504.2399999999998</v>
      </c>
      <c r="AQ211" s="170">
        <f t="shared" si="52"/>
        <v>1544.44</v>
      </c>
      <c r="AR211" s="170">
        <f t="shared" si="52"/>
        <v>1479.94</v>
      </c>
      <c r="AS211" s="170">
        <f t="shared" si="52"/>
        <v>1448.6399999999999</v>
      </c>
      <c r="AT211" s="170">
        <f t="shared" si="52"/>
        <v>1437.74</v>
      </c>
      <c r="AU211" s="170">
        <f t="shared" si="52"/>
        <v>1356.84</v>
      </c>
      <c r="AV211" s="170">
        <f t="shared" si="52"/>
        <v>1291.94</v>
      </c>
      <c r="AW211" s="170">
        <f t="shared" si="52"/>
        <v>1219.04</v>
      </c>
      <c r="AX211" s="170">
        <f t="shared" si="52"/>
        <v>1199.24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927" priority="270">
      <formula>S$9&gt;=20/24</formula>
    </cfRule>
    <cfRule type="expression" dxfId="7926" priority="271">
      <formula>AND(S$9&gt;=14/24,S$9&lt;20/24)</formula>
    </cfRule>
    <cfRule type="expression" dxfId="7925" priority="272">
      <formula>AND(S$9&gt;=8/24,S$9&lt;14/24)</formula>
    </cfRule>
    <cfRule type="expression" dxfId="7924" priority="273">
      <formula>S$9&lt;8/24</formula>
    </cfRule>
  </conditionalFormatting>
  <conditionalFormatting sqref="B8:AF10 AA79:AF79 B79:Q79 B54:AF54 B80:AF80 C191:AF197 B66:AF70 B55:K57 M60:M65 T210:AX210 B58:N58 B59:M59 N59:N65 O58:O65 L56:O57 W83:Z89 B78:AF78 B61:C65 R56:V57 L11:Q13 L35:Q35 L15:Q25 L37:Q40 M43:Q46 P56:Q65 L27:Q31 R17:X25 R27:X29 R38:AD39 B72:AF76 R11:AD11 Y41:AB41 T40:AB40 Y15:AD30 Y12:AD13 AC40:AD41 AE13:AF13 AE15:AF17 AE19:AF23 AE25:AF25 AE27:AF30 AE38:AF41 L51:AF53 AA82:AF89">
    <cfRule type="expression" dxfId="7923" priority="266">
      <formula>B$9&gt;=20/24</formula>
    </cfRule>
    <cfRule type="expression" dxfId="7922" priority="267">
      <formula>AND(B$9&gt;=14/24,B$9&lt;20/24)</formula>
    </cfRule>
    <cfRule type="expression" dxfId="7921" priority="268">
      <formula>AND(B$9&gt;=8/24,B$9&lt;14/24)</formula>
    </cfRule>
    <cfRule type="expression" dxfId="7920" priority="269">
      <formula>B$9&lt;8/24</formula>
    </cfRule>
  </conditionalFormatting>
  <conditionalFormatting sqref="B189:AF189">
    <cfRule type="expression" dxfId="7919" priority="262">
      <formula>B$9&gt;=20/24</formula>
    </cfRule>
    <cfRule type="expression" dxfId="7918" priority="263">
      <formula>AND(B$9&gt;=14/24,B$9&lt;20/24)</formula>
    </cfRule>
    <cfRule type="expression" dxfId="7917" priority="264">
      <formula>AND(B$9&gt;=8/24,B$9&lt;14/24)</formula>
    </cfRule>
    <cfRule type="expression" dxfId="7916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7915" priority="257">
      <formula>L$9&gt;=20/24</formula>
    </cfRule>
    <cfRule type="expression" dxfId="7914" priority="258">
      <formula>AND(L$9&gt;=14/24,L$9&lt;20/24)</formula>
    </cfRule>
    <cfRule type="expression" dxfId="7913" priority="259">
      <formula>AND(L$9&gt;=8/24,L$9&lt;14/24)</formula>
    </cfRule>
    <cfRule type="expression" dxfId="7912" priority="260">
      <formula>L$9&lt;8/24</formula>
    </cfRule>
  </conditionalFormatting>
  <conditionalFormatting sqref="L41:Q41">
    <cfRule type="expression" dxfId="7911" priority="253">
      <formula>L$9&gt;=20/24</formula>
    </cfRule>
    <cfRule type="expression" dxfId="7910" priority="254">
      <formula>AND(L$9&gt;=14/24,L$9&lt;20/24)</formula>
    </cfRule>
    <cfRule type="expression" dxfId="7909" priority="255">
      <formula>AND(L$9&gt;=8/24,L$9&lt;14/24)</formula>
    </cfRule>
    <cfRule type="expression" dxfId="7908" priority="256">
      <formula>L$9&lt;8/24</formula>
    </cfRule>
  </conditionalFormatting>
  <conditionalFormatting sqref="Y31:AF31">
    <cfRule type="expression" dxfId="7907" priority="249">
      <formula>Y$9&gt;=20/24</formula>
    </cfRule>
    <cfRule type="expression" dxfId="7906" priority="250">
      <formula>AND(Y$9&gt;=14/24,Y$9&lt;20/24)</formula>
    </cfRule>
    <cfRule type="expression" dxfId="7905" priority="251">
      <formula>AND(Y$9&gt;=8/24,Y$9&lt;14/24)</formula>
    </cfRule>
    <cfRule type="expression" dxfId="7904" priority="252">
      <formula>Y$9&lt;8/24</formula>
    </cfRule>
  </conditionalFormatting>
  <conditionalFormatting sqref="R37:AF37">
    <cfRule type="expression" dxfId="7903" priority="245">
      <formula>R$9&gt;=20/24</formula>
    </cfRule>
    <cfRule type="expression" dxfId="7902" priority="246">
      <formula>AND(R$9&gt;=14/24,R$9&lt;20/24)</formula>
    </cfRule>
    <cfRule type="expression" dxfId="7901" priority="247">
      <formula>AND(R$9&gt;=8/24,R$9&lt;14/24)</formula>
    </cfRule>
    <cfRule type="expression" dxfId="7900" priority="248">
      <formula>R$9&lt;8/24</formula>
    </cfRule>
  </conditionalFormatting>
  <conditionalFormatting sqref="AC56 R55:AF55">
    <cfRule type="expression" dxfId="7899" priority="241">
      <formula>R$9&gt;=20/24</formula>
    </cfRule>
    <cfRule type="expression" dxfId="7898" priority="242">
      <formula>AND(R$9&gt;=14/24,R$9&lt;20/24)</formula>
    </cfRule>
    <cfRule type="expression" dxfId="7897" priority="243">
      <formula>AND(R$9&gt;=8/24,R$9&lt;14/24)</formula>
    </cfRule>
    <cfRule type="expression" dxfId="7896" priority="244">
      <formula>R$9&lt;8/24</formula>
    </cfRule>
  </conditionalFormatting>
  <conditionalFormatting sqref="R79:Z79">
    <cfRule type="expression" dxfId="7895" priority="237">
      <formula>R$9&gt;=20/24</formula>
    </cfRule>
    <cfRule type="expression" dxfId="7894" priority="238">
      <formula>AND(R$9&gt;=14/24,R$9&lt;20/24)</formula>
    </cfRule>
    <cfRule type="expression" dxfId="7893" priority="239">
      <formula>AND(R$9&gt;=8/24,R$9&lt;14/24)</formula>
    </cfRule>
    <cfRule type="expression" dxfId="7892" priority="240">
      <formula>R$9&lt;8/24</formula>
    </cfRule>
  </conditionalFormatting>
  <conditionalFormatting sqref="T82:Z82">
    <cfRule type="expression" dxfId="7891" priority="233">
      <formula>T$9&gt;=20/24</formula>
    </cfRule>
    <cfRule type="expression" dxfId="7890" priority="234">
      <formula>AND(T$9&gt;=14/24,T$9&lt;20/24)</formula>
    </cfRule>
    <cfRule type="expression" dxfId="7889" priority="235">
      <formula>AND(T$9&gt;=8/24,T$9&lt;14/24)</formula>
    </cfRule>
    <cfRule type="expression" dxfId="7888" priority="236">
      <formula>T$9&lt;8/24</formula>
    </cfRule>
  </conditionalFormatting>
  <conditionalFormatting sqref="L33:Q33">
    <cfRule type="expression" dxfId="7887" priority="229">
      <formula>L$9&gt;=20/24</formula>
    </cfRule>
    <cfRule type="expression" dxfId="7886" priority="230">
      <formula>AND(L$9&gt;=14/24,L$9&lt;20/24)</formula>
    </cfRule>
    <cfRule type="expression" dxfId="7885" priority="231">
      <formula>AND(L$9&gt;=8/24,L$9&lt;14/24)</formula>
    </cfRule>
    <cfRule type="expression" dxfId="7884" priority="232">
      <formula>L$9&lt;8/24</formula>
    </cfRule>
  </conditionalFormatting>
  <conditionalFormatting sqref="L47:S47">
    <cfRule type="expression" dxfId="7883" priority="225">
      <formula>L$9&gt;=20/24</formula>
    </cfRule>
    <cfRule type="expression" dxfId="7882" priority="226">
      <formula>AND(L$9&gt;=14/24,L$9&lt;20/24)</formula>
    </cfRule>
    <cfRule type="expression" dxfId="7881" priority="227">
      <formula>AND(L$9&gt;=8/24,L$9&lt;14/24)</formula>
    </cfRule>
    <cfRule type="expression" dxfId="7880" priority="228">
      <formula>L$9&lt;8/24</formula>
    </cfRule>
  </conditionalFormatting>
  <conditionalFormatting sqref="L48:Q48">
    <cfRule type="expression" dxfId="7879" priority="221">
      <formula>L$9&gt;=20/24</formula>
    </cfRule>
    <cfRule type="expression" dxfId="7878" priority="222">
      <formula>AND(L$9&gt;=14/24,L$9&lt;20/24)</formula>
    </cfRule>
    <cfRule type="expression" dxfId="7877" priority="223">
      <formula>AND(L$9&gt;=8/24,L$9&lt;14/24)</formula>
    </cfRule>
    <cfRule type="expression" dxfId="7876" priority="224">
      <formula>L$9&lt;8/24</formula>
    </cfRule>
  </conditionalFormatting>
  <conditionalFormatting sqref="L43:Q46">
    <cfRule type="expression" dxfId="7875" priority="217">
      <formula>L$9&gt;=20/24</formula>
    </cfRule>
    <cfRule type="expression" dxfId="7874" priority="218">
      <formula>AND(L$9&gt;=14/24,L$9&lt;20/24)</formula>
    </cfRule>
    <cfRule type="expression" dxfId="7873" priority="219">
      <formula>AND(L$9&gt;=8/24,L$9&lt;14/24)</formula>
    </cfRule>
    <cfRule type="expression" dxfId="7872" priority="220">
      <formula>L$9&lt;8/24</formula>
    </cfRule>
  </conditionalFormatting>
  <conditionalFormatting sqref="R35:AF35">
    <cfRule type="expression" dxfId="7871" priority="213">
      <formula>R$9&gt;=20/24</formula>
    </cfRule>
    <cfRule type="expression" dxfId="7870" priority="214">
      <formula>AND(R$9&gt;=14/24,R$9&lt;20/24)</formula>
    </cfRule>
    <cfRule type="expression" dxfId="7869" priority="215">
      <formula>AND(R$9&gt;=8/24,R$9&lt;14/24)</formula>
    </cfRule>
    <cfRule type="expression" dxfId="7868" priority="216">
      <formula>R$9&lt;8/24</formula>
    </cfRule>
  </conditionalFormatting>
  <conditionalFormatting sqref="R30:X31 R33:AF33">
    <cfRule type="expression" dxfId="7867" priority="209">
      <formula>R$9&gt;=20/24</formula>
    </cfRule>
    <cfRule type="expression" dxfId="7866" priority="210">
      <formula>AND(R$9&gt;=14/24,R$9&lt;20/24)</formula>
    </cfRule>
    <cfRule type="expression" dxfId="7865" priority="211">
      <formula>AND(R$9&gt;=8/24,R$9&lt;14/24)</formula>
    </cfRule>
    <cfRule type="expression" dxfId="7864" priority="212">
      <formula>R$9&lt;8/24</formula>
    </cfRule>
  </conditionalFormatting>
  <conditionalFormatting sqref="R40:S41 T41:X41 R43:AF46">
    <cfRule type="expression" dxfId="7863" priority="205">
      <formula>R$9&gt;=20/24</formula>
    </cfRule>
    <cfRule type="expression" dxfId="7862" priority="206">
      <formula>AND(R$9&gt;=14/24,R$9&lt;20/24)</formula>
    </cfRule>
    <cfRule type="expression" dxfId="7861" priority="207">
      <formula>AND(R$9&gt;=8/24,R$9&lt;14/24)</formula>
    </cfRule>
    <cfRule type="expression" dxfId="7860" priority="208">
      <formula>R$9&lt;8/24</formula>
    </cfRule>
  </conditionalFormatting>
  <conditionalFormatting sqref="R47:AF47">
    <cfRule type="expression" dxfId="7859" priority="201">
      <formula>R$9&gt;=20/24</formula>
    </cfRule>
    <cfRule type="expression" dxfId="7858" priority="202">
      <formula>AND(R$9&gt;=14/24,R$9&lt;20/24)</formula>
    </cfRule>
    <cfRule type="expression" dxfId="7857" priority="203">
      <formula>AND(R$9&gt;=8/24,R$9&lt;14/24)</formula>
    </cfRule>
    <cfRule type="expression" dxfId="7856" priority="204">
      <formula>R$9&lt;8/24</formula>
    </cfRule>
  </conditionalFormatting>
  <conditionalFormatting sqref="R48:AF48">
    <cfRule type="expression" dxfId="7855" priority="197">
      <formula>R$9&gt;=20/24</formula>
    </cfRule>
    <cfRule type="expression" dxfId="7854" priority="198">
      <formula>AND(R$9&gt;=14/24,R$9&lt;20/24)</formula>
    </cfRule>
    <cfRule type="expression" dxfId="7853" priority="199">
      <formula>AND(R$9&gt;=8/24,R$9&lt;14/24)</formula>
    </cfRule>
    <cfRule type="expression" dxfId="7852" priority="200">
      <formula>R$9&lt;8/24</formula>
    </cfRule>
  </conditionalFormatting>
  <conditionalFormatting sqref="R58:S65 W58:AF65">
    <cfRule type="expression" dxfId="7851" priority="193">
      <formula>R$9&gt;=20/24</formula>
    </cfRule>
    <cfRule type="expression" dxfId="7850" priority="194">
      <formula>AND(R$9&gt;=14/24,R$9&lt;20/24)</formula>
    </cfRule>
    <cfRule type="expression" dxfId="7849" priority="195">
      <formula>AND(R$9&gt;=8/24,R$9&lt;14/24)</formula>
    </cfRule>
    <cfRule type="expression" dxfId="7848" priority="196">
      <formula>R$9&lt;8/24</formula>
    </cfRule>
  </conditionalFormatting>
  <conditionalFormatting sqref="AA92:AF95">
    <cfRule type="expression" dxfId="7847" priority="189">
      <formula>AA$9&gt;=20/24</formula>
    </cfRule>
    <cfRule type="expression" dxfId="7846" priority="190">
      <formula>AND(AA$9&gt;=14/24,AA$9&lt;20/24)</formula>
    </cfRule>
    <cfRule type="expression" dxfId="7845" priority="191">
      <formula>AND(AA$9&gt;=8/24,AA$9&lt;14/24)</formula>
    </cfRule>
    <cfRule type="expression" dxfId="7844" priority="192">
      <formula>AA$9&lt;8/24</formula>
    </cfRule>
  </conditionalFormatting>
  <conditionalFormatting sqref="H60:K65 B60:G60">
    <cfRule type="expression" dxfId="7843" priority="185">
      <formula>B$9&gt;=20/24</formula>
    </cfRule>
    <cfRule type="expression" dxfId="7842" priority="186">
      <formula>AND(B$9&gt;=14/24,B$9&lt;20/24)</formula>
    </cfRule>
    <cfRule type="expression" dxfId="7841" priority="187">
      <formula>AND(B$9&gt;=8/24,B$9&lt;14/24)</formula>
    </cfRule>
    <cfRule type="expression" dxfId="7840" priority="188">
      <formula>B$9&lt;8/24</formula>
    </cfRule>
  </conditionalFormatting>
  <conditionalFormatting sqref="T92:Z95">
    <cfRule type="expression" dxfId="7839" priority="181">
      <formula>T$9&gt;=20/24</formula>
    </cfRule>
    <cfRule type="expression" dxfId="7838" priority="182">
      <formula>AND(T$9&gt;=14/24,T$9&lt;20/24)</formula>
    </cfRule>
    <cfRule type="expression" dxfId="7837" priority="183">
      <formula>AND(T$9&gt;=8/24,T$9&lt;14/24)</formula>
    </cfRule>
    <cfRule type="expression" dxfId="7836" priority="184">
      <formula>T$9&lt;8/24</formula>
    </cfRule>
  </conditionalFormatting>
  <conditionalFormatting sqref="AG49 B11:Q13 B15:Q25 R25:Y25 Y15:Y24 R17:X24 R11:AF11 Z15:AC25 B26:AC31 Y12:AF13 AD15:AF31 B33:AF41 B43:AF54">
    <cfRule type="expression" dxfId="7835" priority="180">
      <formula>B11&gt;$AG11</formula>
    </cfRule>
  </conditionalFormatting>
  <conditionalFormatting sqref="A98:A154 A82:A95 A11:A13 A15:A31 A43:A70 A78:A80 A72:A76 A33:A41 A167:A198">
    <cfRule type="expression" dxfId="7834" priority="179">
      <formula>$AH11=0</formula>
    </cfRule>
  </conditionalFormatting>
  <conditionalFormatting sqref="AA96:AF96">
    <cfRule type="expression" dxfId="7833" priority="175">
      <formula>AA$9&gt;=20/24</formula>
    </cfRule>
    <cfRule type="expression" dxfId="7832" priority="176">
      <formula>AND(AA$9&gt;=14/24,AA$9&lt;20/24)</formula>
    </cfRule>
    <cfRule type="expression" dxfId="7831" priority="177">
      <formula>AND(AA$9&gt;=8/24,AA$9&lt;14/24)</formula>
    </cfRule>
    <cfRule type="expression" dxfId="7830" priority="178">
      <formula>AA$9&lt;8/24</formula>
    </cfRule>
  </conditionalFormatting>
  <conditionalFormatting sqref="T96:Z96">
    <cfRule type="expression" dxfId="7829" priority="171">
      <formula>T$9&gt;=20/24</formula>
    </cfRule>
    <cfRule type="expression" dxfId="7828" priority="172">
      <formula>AND(T$9&gt;=14/24,T$9&lt;20/24)</formula>
    </cfRule>
    <cfRule type="expression" dxfId="7827" priority="173">
      <formula>AND(T$9&gt;=8/24,T$9&lt;14/24)</formula>
    </cfRule>
    <cfRule type="expression" dxfId="7826" priority="174">
      <formula>T$9&lt;8/24</formula>
    </cfRule>
  </conditionalFormatting>
  <conditionalFormatting sqref="A96">
    <cfRule type="expression" dxfId="7825" priority="170">
      <formula>$AH96=0</formula>
    </cfRule>
  </conditionalFormatting>
  <conditionalFormatting sqref="D34:AF34">
    <cfRule type="expression" dxfId="7824" priority="166">
      <formula>D$9&gt;=20/24</formula>
    </cfRule>
    <cfRule type="expression" dxfId="7823" priority="167">
      <formula>AND(D$9&gt;=14/24,D$9&lt;20/24)</formula>
    </cfRule>
    <cfRule type="expression" dxfId="7822" priority="168">
      <formula>AND(D$9&gt;=8/24,D$9&lt;14/24)</formula>
    </cfRule>
    <cfRule type="expression" dxfId="7821" priority="169">
      <formula>D$9&lt;8/24</formula>
    </cfRule>
  </conditionalFormatting>
  <conditionalFormatting sqref="R34:AF34">
    <cfRule type="expression" dxfId="7820" priority="162">
      <formula>R$9&gt;=20/24</formula>
    </cfRule>
    <cfRule type="expression" dxfId="7819" priority="163">
      <formula>AND(R$9&gt;=14/24,R$9&lt;20/24)</formula>
    </cfRule>
    <cfRule type="expression" dxfId="7818" priority="164">
      <formula>AND(R$9&gt;=8/24,R$9&lt;14/24)</formula>
    </cfRule>
    <cfRule type="expression" dxfId="7817" priority="165">
      <formula>R$9&lt;8/24</formula>
    </cfRule>
  </conditionalFormatting>
  <conditionalFormatting sqref="B34:C34">
    <cfRule type="expression" dxfId="7816" priority="158">
      <formula>B$9&gt;=20/24</formula>
    </cfRule>
    <cfRule type="expression" dxfId="7815" priority="159">
      <formula>AND(B$9&gt;=14/24,B$9&lt;20/24)</formula>
    </cfRule>
    <cfRule type="expression" dxfId="7814" priority="160">
      <formula>AND(B$9&gt;=8/24,B$9&lt;14/24)</formula>
    </cfRule>
    <cfRule type="expression" dxfId="7813" priority="161">
      <formula>B$9&lt;8/24</formula>
    </cfRule>
  </conditionalFormatting>
  <conditionalFormatting sqref="D61:G65">
    <cfRule type="expression" dxfId="7812" priority="154">
      <formula>D$9&gt;=20/24</formula>
    </cfRule>
    <cfRule type="expression" dxfId="7811" priority="155">
      <formula>AND(D$9&gt;=14/24,D$9&lt;20/24)</formula>
    </cfRule>
    <cfRule type="expression" dxfId="7810" priority="156">
      <formula>AND(D$9&gt;=8/24,D$9&lt;14/24)</formula>
    </cfRule>
    <cfRule type="expression" dxfId="7809" priority="157">
      <formula>D$9&lt;8/24</formula>
    </cfRule>
  </conditionalFormatting>
  <conditionalFormatting sqref="L60:L65">
    <cfRule type="expression" dxfId="7808" priority="150">
      <formula>L$9&gt;=20/24</formula>
    </cfRule>
    <cfRule type="expression" dxfId="7807" priority="151">
      <formula>AND(L$9&gt;=14/24,L$9&lt;20/24)</formula>
    </cfRule>
    <cfRule type="expression" dxfId="7806" priority="152">
      <formula>AND(L$9&gt;=8/24,L$9&lt;14/24)</formula>
    </cfRule>
    <cfRule type="expression" dxfId="7805" priority="153">
      <formula>L$9&lt;8/24</formula>
    </cfRule>
  </conditionalFormatting>
  <conditionalFormatting sqref="AL31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7804" priority="145">
      <formula>Y$9&gt;=20/24</formula>
    </cfRule>
    <cfRule type="expression" dxfId="7803" priority="146">
      <formula>AND(Y$9&gt;=14/24,Y$9&lt;20/24)</formula>
    </cfRule>
    <cfRule type="expression" dxfId="7802" priority="147">
      <formula>AND(Y$9&gt;=8/24,Y$9&lt;14/24)</formula>
    </cfRule>
    <cfRule type="expression" dxfId="7801" priority="148">
      <formula>Y$9&lt;8/24</formula>
    </cfRule>
  </conditionalFormatting>
  <conditionalFormatting sqref="L32:Q32">
    <cfRule type="expression" dxfId="7800" priority="141">
      <formula>L$9&gt;=20/24</formula>
    </cfRule>
    <cfRule type="expression" dxfId="7799" priority="142">
      <formula>AND(L$9&gt;=14/24,L$9&lt;20/24)</formula>
    </cfRule>
    <cfRule type="expression" dxfId="7798" priority="143">
      <formula>AND(L$9&gt;=8/24,L$9&lt;14/24)</formula>
    </cfRule>
    <cfRule type="expression" dxfId="7797" priority="144">
      <formula>L$9&lt;8/24</formula>
    </cfRule>
  </conditionalFormatting>
  <conditionalFormatting sqref="R32:X32">
    <cfRule type="expression" dxfId="7796" priority="137">
      <formula>R$9&gt;=20/24</formula>
    </cfRule>
    <cfRule type="expression" dxfId="7795" priority="138">
      <formula>AND(R$9&gt;=14/24,R$9&lt;20/24)</formula>
    </cfRule>
    <cfRule type="expression" dxfId="7794" priority="139">
      <formula>AND(R$9&gt;=8/24,R$9&lt;14/24)</formula>
    </cfRule>
    <cfRule type="expression" dxfId="7793" priority="140">
      <formula>R$9&lt;8/24</formula>
    </cfRule>
  </conditionalFormatting>
  <conditionalFormatting sqref="B32:AF32">
    <cfRule type="expression" dxfId="7792" priority="136">
      <formula>B32&gt;$AG32</formula>
    </cfRule>
  </conditionalFormatting>
  <conditionalFormatting sqref="A32">
    <cfRule type="expression" dxfId="7791" priority="135">
      <formula>$AH32=0</formula>
    </cfRule>
  </conditionalFormatting>
  <conditionalFormatting sqref="B81:AF81">
    <cfRule type="expression" dxfId="7790" priority="131">
      <formula>B$9&gt;=20/24</formula>
    </cfRule>
    <cfRule type="expression" dxfId="7789" priority="132">
      <formula>AND(B$9&gt;=14/24,B$9&lt;20/24)</formula>
    </cfRule>
    <cfRule type="expression" dxfId="7788" priority="133">
      <formula>AND(B$9&gt;=8/24,B$9&lt;14/24)</formula>
    </cfRule>
    <cfRule type="expression" dxfId="7787" priority="134">
      <formula>B$9&lt;8/24</formula>
    </cfRule>
  </conditionalFormatting>
  <conditionalFormatting sqref="A81">
    <cfRule type="expression" dxfId="7786" priority="130">
      <formula>$AH81=0</formula>
    </cfRule>
  </conditionalFormatting>
  <conditionalFormatting sqref="Y14:AD14">
    <cfRule type="expression" dxfId="7785" priority="126">
      <formula>Y$9&gt;=20/24</formula>
    </cfRule>
    <cfRule type="expression" dxfId="7784" priority="127">
      <formula>AND(Y$9&gt;=14/24,Y$9&lt;20/24)</formula>
    </cfRule>
    <cfRule type="expression" dxfId="7783" priority="128">
      <formula>AND(Y$9&gt;=8/24,Y$9&lt;14/24)</formula>
    </cfRule>
    <cfRule type="expression" dxfId="7782" priority="129">
      <formula>Y$9&lt;8/24</formula>
    </cfRule>
  </conditionalFormatting>
  <conditionalFormatting sqref="L14:Q14">
    <cfRule type="expression" dxfId="7781" priority="122">
      <formula>L$9&gt;=20/24</formula>
    </cfRule>
    <cfRule type="expression" dxfId="7780" priority="123">
      <formula>AND(L$9&gt;=14/24,L$9&lt;20/24)</formula>
    </cfRule>
    <cfRule type="expression" dxfId="7779" priority="124">
      <formula>AND(L$9&gt;=8/24,L$9&lt;14/24)</formula>
    </cfRule>
    <cfRule type="expression" dxfId="7778" priority="125">
      <formula>L$9&lt;8/24</formula>
    </cfRule>
  </conditionalFormatting>
  <conditionalFormatting sqref="B14:Q14 Y14:AF14">
    <cfRule type="expression" dxfId="7777" priority="121">
      <formula>B14&gt;$AG14</formula>
    </cfRule>
  </conditionalFormatting>
  <conditionalFormatting sqref="A14">
    <cfRule type="expression" dxfId="7776" priority="120">
      <formula>$AH14=0</formula>
    </cfRule>
  </conditionalFormatting>
  <conditionalFormatting sqref="A161:A166">
    <cfRule type="expression" dxfId="7775" priority="119">
      <formula>$AH161=0</formula>
    </cfRule>
  </conditionalFormatting>
  <conditionalFormatting sqref="A155:A160">
    <cfRule type="expression" dxfId="7774" priority="118">
      <formula>$AH155=0</formula>
    </cfRule>
  </conditionalFormatting>
  <conditionalFormatting sqref="Y42:AF42">
    <cfRule type="expression" dxfId="7773" priority="114">
      <formula>Y$9&gt;=20/24</formula>
    </cfRule>
    <cfRule type="expression" dxfId="7772" priority="115">
      <formula>AND(Y$9&gt;=14/24,Y$9&lt;20/24)</formula>
    </cfRule>
    <cfRule type="expression" dxfId="7771" priority="116">
      <formula>AND(Y$9&gt;=8/24,Y$9&lt;14/24)</formula>
    </cfRule>
    <cfRule type="expression" dxfId="7770" priority="117">
      <formula>Y$9&lt;8/24</formula>
    </cfRule>
  </conditionalFormatting>
  <conditionalFormatting sqref="L42:Q42">
    <cfRule type="expression" dxfId="7769" priority="110">
      <formula>L$9&gt;=20/24</formula>
    </cfRule>
    <cfRule type="expression" dxfId="7768" priority="111">
      <formula>AND(L$9&gt;=14/24,L$9&lt;20/24)</formula>
    </cfRule>
    <cfRule type="expression" dxfId="7767" priority="112">
      <formula>AND(L$9&gt;=8/24,L$9&lt;14/24)</formula>
    </cfRule>
    <cfRule type="expression" dxfId="7766" priority="113">
      <formula>L$9&lt;8/24</formula>
    </cfRule>
  </conditionalFormatting>
  <conditionalFormatting sqref="R42:X42">
    <cfRule type="expression" dxfId="7765" priority="106">
      <formula>R$9&gt;=20/24</formula>
    </cfRule>
    <cfRule type="expression" dxfId="7764" priority="107">
      <formula>AND(R$9&gt;=14/24,R$9&lt;20/24)</formula>
    </cfRule>
    <cfRule type="expression" dxfId="7763" priority="108">
      <formula>AND(R$9&gt;=8/24,R$9&lt;14/24)</formula>
    </cfRule>
    <cfRule type="expression" dxfId="7762" priority="109">
      <formula>R$9&lt;8/24</formula>
    </cfRule>
  </conditionalFormatting>
  <conditionalFormatting sqref="B42:AF42">
    <cfRule type="expression" dxfId="7761" priority="105">
      <formula>B42&gt;$AG42</formula>
    </cfRule>
  </conditionalFormatting>
  <conditionalFormatting sqref="A42">
    <cfRule type="expression" dxfId="7760" priority="104">
      <formula>$AH42=0</formula>
    </cfRule>
  </conditionalFormatting>
  <conditionalFormatting sqref="B77:AF77">
    <cfRule type="expression" dxfId="7759" priority="100">
      <formula>B$9&gt;=20/24</formula>
    </cfRule>
    <cfRule type="expression" dxfId="7758" priority="101">
      <formula>AND(B$9&gt;=14/24,B$9&lt;20/24)</formula>
    </cfRule>
    <cfRule type="expression" dxfId="7757" priority="102">
      <formula>AND(B$9&gt;=8/24,B$9&lt;14/24)</formula>
    </cfRule>
    <cfRule type="expression" dxfId="7756" priority="103">
      <formula>B$9&lt;8/24</formula>
    </cfRule>
  </conditionalFormatting>
  <conditionalFormatting sqref="A77">
    <cfRule type="expression" dxfId="7755" priority="99">
      <formula>$AH77=0</formula>
    </cfRule>
  </conditionalFormatting>
  <conditionalFormatting sqref="B71:AG71">
    <cfRule type="expression" dxfId="7754" priority="95">
      <formula>B$9&gt;=20/24</formula>
    </cfRule>
    <cfRule type="expression" dxfId="7753" priority="96">
      <formula>AND(B$9&gt;=14/24,B$9&lt;20/24)</formula>
    </cfRule>
    <cfRule type="expression" dxfId="7752" priority="97">
      <formula>AND(B$9&gt;=8/24,B$9&lt;14/24)</formula>
    </cfRule>
    <cfRule type="expression" dxfId="7751" priority="98">
      <formula>B$9&lt;8/24</formula>
    </cfRule>
  </conditionalFormatting>
  <conditionalFormatting sqref="A71">
    <cfRule type="expression" dxfId="7750" priority="94">
      <formula>$AH71=0</formula>
    </cfRule>
  </conditionalFormatting>
  <conditionalFormatting sqref="AL32:AL33 AL7:AL30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7749" priority="90">
      <formula>T$9&gt;=20/24</formula>
    </cfRule>
    <cfRule type="expression" dxfId="7748" priority="91">
      <formula>AND(T$9&gt;=14/24,T$9&lt;20/24)</formula>
    </cfRule>
    <cfRule type="expression" dxfId="7747" priority="92">
      <formula>AND(T$9&gt;=8/24,T$9&lt;14/24)</formula>
    </cfRule>
    <cfRule type="expression" dxfId="7746" priority="93">
      <formula>T$9&lt;8/24</formula>
    </cfRule>
  </conditionalFormatting>
  <conditionalFormatting sqref="T83:V89">
    <cfRule type="expression" dxfId="7745" priority="86">
      <formula>T$9&gt;=20/24</formula>
    </cfRule>
    <cfRule type="expression" dxfId="7744" priority="87">
      <formula>AND(T$9&gt;=14/24,T$9&lt;20/24)</formula>
    </cfRule>
    <cfRule type="expression" dxfId="7743" priority="88">
      <formula>AND(T$9&gt;=8/24,T$9&lt;14/24)</formula>
    </cfRule>
    <cfRule type="expression" dxfId="7742" priority="89">
      <formula>T$9&lt;8/24</formula>
    </cfRule>
  </conditionalFormatting>
  <conditionalFormatting sqref="R83:S89 B82:Q89">
    <cfRule type="expression" dxfId="7741" priority="82">
      <formula>B$9&gt;=20/24</formula>
    </cfRule>
    <cfRule type="expression" dxfId="7740" priority="83">
      <formula>AND(B$9&gt;=14/24,B$9&lt;20/24)</formula>
    </cfRule>
    <cfRule type="expression" dxfId="7739" priority="84">
      <formula>AND(B$9&gt;=8/24,B$9&lt;14/24)</formula>
    </cfRule>
    <cfRule type="expression" dxfId="7738" priority="85">
      <formula>B$9&lt;8/24</formula>
    </cfRule>
  </conditionalFormatting>
  <conditionalFormatting sqref="R82:S82">
    <cfRule type="expression" dxfId="7737" priority="78">
      <formula>R$9&gt;=20/24</formula>
    </cfRule>
    <cfRule type="expression" dxfId="7736" priority="79">
      <formula>AND(R$9&gt;=14/24,R$9&lt;20/24)</formula>
    </cfRule>
    <cfRule type="expression" dxfId="7735" priority="80">
      <formula>AND(R$9&gt;=8/24,R$9&lt;14/24)</formula>
    </cfRule>
    <cfRule type="expression" dxfId="7734" priority="81">
      <formula>R$9&lt;8/24</formula>
    </cfRule>
  </conditionalFormatting>
  <conditionalFormatting sqref="B92:E92 B93:L95">
    <cfRule type="expression" dxfId="7733" priority="74">
      <formula>B$9&gt;=20/24</formula>
    </cfRule>
    <cfRule type="expression" dxfId="7732" priority="75">
      <formula>AND(B$9&gt;=14/24,B$9&lt;20/24)</formula>
    </cfRule>
    <cfRule type="expression" dxfId="7731" priority="76">
      <formula>AND(B$9&gt;=8/24,B$9&lt;14/24)</formula>
    </cfRule>
    <cfRule type="expression" dxfId="7730" priority="77">
      <formula>B$9&lt;8/24</formula>
    </cfRule>
  </conditionalFormatting>
  <conditionalFormatting sqref="M93:O95 N92:O92 P92:Q95">
    <cfRule type="expression" dxfId="7729" priority="70">
      <formula>M$9&gt;=20/24</formula>
    </cfRule>
    <cfRule type="expression" dxfId="7728" priority="71">
      <formula>AND(M$9&gt;=14/24,M$9&lt;20/24)</formula>
    </cfRule>
    <cfRule type="expression" dxfId="7727" priority="72">
      <formula>AND(M$9&gt;=8/24,M$9&lt;14/24)</formula>
    </cfRule>
    <cfRule type="expression" dxfId="7726" priority="73">
      <formula>M$9&lt;8/24</formula>
    </cfRule>
  </conditionalFormatting>
  <conditionalFormatting sqref="R92:S95">
    <cfRule type="expression" dxfId="7725" priority="66">
      <formula>R$9&gt;=20/24</formula>
    </cfRule>
    <cfRule type="expression" dxfId="7724" priority="67">
      <formula>AND(R$9&gt;=14/24,R$9&lt;20/24)</formula>
    </cfRule>
    <cfRule type="expression" dxfId="7723" priority="68">
      <formula>AND(R$9&gt;=8/24,R$9&lt;14/24)</formula>
    </cfRule>
    <cfRule type="expression" dxfId="7722" priority="69">
      <formula>R$9&lt;8/24</formula>
    </cfRule>
  </conditionalFormatting>
  <conditionalFormatting sqref="B96:L96">
    <cfRule type="expression" dxfId="7721" priority="62">
      <formula>B$9&gt;=20/24</formula>
    </cfRule>
    <cfRule type="expression" dxfId="7720" priority="63">
      <formula>AND(B$9&gt;=14/24,B$9&lt;20/24)</formula>
    </cfRule>
    <cfRule type="expression" dxfId="7719" priority="64">
      <formula>AND(B$9&gt;=8/24,B$9&lt;14/24)</formula>
    </cfRule>
    <cfRule type="expression" dxfId="7718" priority="65">
      <formula>B$9&lt;8/24</formula>
    </cfRule>
  </conditionalFormatting>
  <conditionalFormatting sqref="M96:Q96">
    <cfRule type="expression" dxfId="7717" priority="58">
      <formula>M$9&gt;=20/24</formula>
    </cfRule>
    <cfRule type="expression" dxfId="7716" priority="59">
      <formula>AND(M$9&gt;=14/24,M$9&lt;20/24)</formula>
    </cfRule>
    <cfRule type="expression" dxfId="7715" priority="60">
      <formula>AND(M$9&gt;=8/24,M$9&lt;14/24)</formula>
    </cfRule>
    <cfRule type="expression" dxfId="7714" priority="61">
      <formula>M$9&lt;8/24</formula>
    </cfRule>
  </conditionalFormatting>
  <conditionalFormatting sqref="R96:S96">
    <cfRule type="expression" dxfId="7713" priority="54">
      <formula>R$9&gt;=20/24</formula>
    </cfRule>
    <cfRule type="expression" dxfId="7712" priority="55">
      <formula>AND(R$9&gt;=14/24,R$9&lt;20/24)</formula>
    </cfRule>
    <cfRule type="expression" dxfId="7711" priority="56">
      <formula>AND(R$9&gt;=8/24,R$9&lt;14/24)</formula>
    </cfRule>
    <cfRule type="expression" dxfId="7710" priority="57">
      <formula>R$9&lt;8/24</formula>
    </cfRule>
  </conditionalFormatting>
  <conditionalFormatting sqref="M92">
    <cfRule type="expression" dxfId="7709" priority="50">
      <formula>M$9&gt;=20/24</formula>
    </cfRule>
    <cfRule type="expression" dxfId="7708" priority="51">
      <formula>AND(M$9&gt;=14/24,M$9&lt;20/24)</formula>
    </cfRule>
    <cfRule type="expression" dxfId="7707" priority="52">
      <formula>AND(M$9&gt;=8/24,M$9&lt;14/24)</formula>
    </cfRule>
    <cfRule type="expression" dxfId="7706" priority="53">
      <formula>M$9&lt;8/24</formula>
    </cfRule>
  </conditionalFormatting>
  <conditionalFormatting sqref="F92:L92">
    <cfRule type="expression" dxfId="7705" priority="46">
      <formula>F$9&gt;=20/24</formula>
    </cfRule>
    <cfRule type="expression" dxfId="7704" priority="47">
      <formula>AND(F$9&gt;=14/24,F$9&lt;20/24)</formula>
    </cfRule>
    <cfRule type="expression" dxfId="7703" priority="48">
      <formula>AND(F$9&gt;=8/24,F$9&lt;14/24)</formula>
    </cfRule>
    <cfRule type="expression" dxfId="7702" priority="49">
      <formula>F$9&lt;8/24</formula>
    </cfRule>
  </conditionalFormatting>
  <conditionalFormatting sqref="T92:V92">
    <cfRule type="expression" dxfId="7701" priority="42">
      <formula>T$9&gt;=20/24</formula>
    </cfRule>
    <cfRule type="expression" dxfId="7700" priority="43">
      <formula>AND(T$9&gt;=14/24,T$9&lt;20/24)</formula>
    </cfRule>
    <cfRule type="expression" dxfId="7699" priority="44">
      <formula>AND(T$9&gt;=8/24,T$9&lt;14/24)</formula>
    </cfRule>
    <cfRule type="expression" dxfId="7698" priority="45">
      <formula>T$9&lt;8/24</formula>
    </cfRule>
  </conditionalFormatting>
  <conditionalFormatting sqref="M92:S92">
    <cfRule type="expression" dxfId="7697" priority="38">
      <formula>M$9&gt;=20/24</formula>
    </cfRule>
    <cfRule type="expression" dxfId="7696" priority="39">
      <formula>AND(M$9&gt;=14/24,M$9&lt;20/24)</formula>
    </cfRule>
    <cfRule type="expression" dxfId="7695" priority="40">
      <formula>AND(M$9&gt;=8/24,M$9&lt;14/24)</formula>
    </cfRule>
    <cfRule type="expression" dxfId="7694" priority="41">
      <formula>M$9&lt;8/24</formula>
    </cfRule>
  </conditionalFormatting>
  <conditionalFormatting sqref="AA97:AF97">
    <cfRule type="expression" dxfId="7693" priority="34">
      <formula>AA$9&gt;=20/24</formula>
    </cfRule>
    <cfRule type="expression" dxfId="7692" priority="35">
      <formula>AND(AA$9&gt;=14/24,AA$9&lt;20/24)</formula>
    </cfRule>
    <cfRule type="expression" dxfId="7691" priority="36">
      <formula>AND(AA$9&gt;=8/24,AA$9&lt;14/24)</formula>
    </cfRule>
    <cfRule type="expression" dxfId="7690" priority="37">
      <formula>AA$9&lt;8/24</formula>
    </cfRule>
  </conditionalFormatting>
  <conditionalFormatting sqref="T97:Z97">
    <cfRule type="expression" dxfId="7689" priority="30">
      <formula>T$9&gt;=20/24</formula>
    </cfRule>
    <cfRule type="expression" dxfId="7688" priority="31">
      <formula>AND(T$9&gt;=14/24,T$9&lt;20/24)</formula>
    </cfRule>
    <cfRule type="expression" dxfId="7687" priority="32">
      <formula>AND(T$9&gt;=8/24,T$9&lt;14/24)</formula>
    </cfRule>
    <cfRule type="expression" dxfId="7686" priority="33">
      <formula>T$9&lt;8/24</formula>
    </cfRule>
  </conditionalFormatting>
  <conditionalFormatting sqref="A97">
    <cfRule type="expression" dxfId="7685" priority="29">
      <formula>$AH97=0</formula>
    </cfRule>
  </conditionalFormatting>
  <conditionalFormatting sqref="B97:L97">
    <cfRule type="expression" dxfId="7684" priority="25">
      <formula>B$9&gt;=20/24</formula>
    </cfRule>
    <cfRule type="expression" dxfId="7683" priority="26">
      <formula>AND(B$9&gt;=14/24,B$9&lt;20/24)</formula>
    </cfRule>
    <cfRule type="expression" dxfId="7682" priority="27">
      <formula>AND(B$9&gt;=8/24,B$9&lt;14/24)</formula>
    </cfRule>
    <cfRule type="expression" dxfId="7681" priority="28">
      <formula>B$9&lt;8/24</formula>
    </cfRule>
  </conditionalFormatting>
  <conditionalFormatting sqref="M97:Q97">
    <cfRule type="expression" dxfId="7680" priority="21">
      <formula>M$9&gt;=20/24</formula>
    </cfRule>
    <cfRule type="expression" dxfId="7679" priority="22">
      <formula>AND(M$9&gt;=14/24,M$9&lt;20/24)</formula>
    </cfRule>
    <cfRule type="expression" dxfId="7678" priority="23">
      <formula>AND(M$9&gt;=8/24,M$9&lt;14/24)</formula>
    </cfRule>
    <cfRule type="expression" dxfId="7677" priority="24">
      <formula>M$9&lt;8/24</formula>
    </cfRule>
  </conditionalFormatting>
  <conditionalFormatting sqref="R97:S97">
    <cfRule type="expression" dxfId="7676" priority="17">
      <formula>R$9&gt;=20/24</formula>
    </cfRule>
    <cfRule type="expression" dxfId="7675" priority="18">
      <formula>AND(R$9&gt;=14/24,R$9&lt;20/24)</formula>
    </cfRule>
    <cfRule type="expression" dxfId="7674" priority="19">
      <formula>AND(R$9&gt;=8/24,R$9&lt;14/24)</formula>
    </cfRule>
    <cfRule type="expression" dxfId="7673" priority="20">
      <formula>R$9&lt;8/24</formula>
    </cfRule>
  </conditionalFormatting>
  <conditionalFormatting sqref="R12:X15">
    <cfRule type="expression" dxfId="7672" priority="13">
      <formula>R$9&gt;=20/24</formula>
    </cfRule>
    <cfRule type="expression" dxfId="7671" priority="14">
      <formula>AND(R$9&gt;=14/24,R$9&lt;20/24)</formula>
    </cfRule>
    <cfRule type="expression" dxfId="7670" priority="15">
      <formula>AND(R$9&gt;=8/24,R$9&lt;14/24)</formula>
    </cfRule>
    <cfRule type="expression" dxfId="7669" priority="16">
      <formula>R$9&lt;8/24</formula>
    </cfRule>
  </conditionalFormatting>
  <conditionalFormatting sqref="R16:X16">
    <cfRule type="expression" dxfId="7668" priority="9">
      <formula>R$9&gt;=20/24</formula>
    </cfRule>
    <cfRule type="expression" dxfId="7667" priority="10">
      <formula>AND(R$9&gt;=14/24,R$9&lt;20/24)</formula>
    </cfRule>
    <cfRule type="expression" dxfId="7666" priority="11">
      <formula>AND(R$9&gt;=8/24,R$9&lt;14/24)</formula>
    </cfRule>
    <cfRule type="expression" dxfId="7665" priority="12">
      <formula>R$9&lt;8/24</formula>
    </cfRule>
  </conditionalFormatting>
  <conditionalFormatting sqref="R12:X12">
    <cfRule type="expression" dxfId="7664" priority="5">
      <formula>R$9&gt;=20/24</formula>
    </cfRule>
    <cfRule type="expression" dxfId="7663" priority="6">
      <formula>AND(R$9&gt;=14/24,R$9&lt;20/24)</formula>
    </cfRule>
    <cfRule type="expression" dxfId="7662" priority="7">
      <formula>AND(R$9&gt;=8/24,R$9&lt;14/24)</formula>
    </cfRule>
    <cfRule type="expression" dxfId="7661" priority="8">
      <formula>R$9&lt;8/24</formula>
    </cfRule>
  </conditionalFormatting>
  <conditionalFormatting sqref="AA57:AD57 AA56:AB56 AD56 AE56:AF57">
    <cfRule type="expression" dxfId="7660" priority="1">
      <formula>AA$9&gt;=20/24</formula>
    </cfRule>
    <cfRule type="expression" dxfId="7659" priority="2">
      <formula>AND(AA$9&gt;=14/24,AA$9&lt;20/24)</formula>
    </cfRule>
    <cfRule type="expression" dxfId="7658" priority="3">
      <formula>AND(AA$9&gt;=8/24,AA$9&lt;14/24)</formula>
    </cfRule>
    <cfRule type="expression" dxfId="7657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Z62" sqref="Z6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2078/04/11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-45</v>
      </c>
      <c r="C5" s="32">
        <f t="shared" ref="C5:AF5" si="0">C66</f>
        <v>-58</v>
      </c>
      <c r="D5" s="32">
        <f t="shared" si="0"/>
        <v>-88</v>
      </c>
      <c r="E5" s="32">
        <f t="shared" si="0"/>
        <v>-81.5</v>
      </c>
      <c r="F5" s="32">
        <f t="shared" si="0"/>
        <v>-64.5</v>
      </c>
      <c r="G5" s="32">
        <f t="shared" si="0"/>
        <v>-27.3</v>
      </c>
      <c r="H5" s="32">
        <f t="shared" si="0"/>
        <v>-55.599999999999994</v>
      </c>
      <c r="I5" s="32">
        <f t="shared" si="0"/>
        <v>-20.8</v>
      </c>
      <c r="J5" s="32">
        <f t="shared" si="0"/>
        <v>1.6</v>
      </c>
      <c r="K5" s="32">
        <f t="shared" si="0"/>
        <v>-30</v>
      </c>
      <c r="L5" s="32">
        <f t="shared" si="0"/>
        <v>-26</v>
      </c>
      <c r="M5" s="32">
        <f t="shared" si="0"/>
        <v>-27.6</v>
      </c>
      <c r="N5" s="32">
        <f t="shared" si="0"/>
        <v>-32</v>
      </c>
      <c r="O5" s="32">
        <f t="shared" si="0"/>
        <v>-5</v>
      </c>
      <c r="P5" s="32">
        <f t="shared" si="0"/>
        <v>-36.299999999999997</v>
      </c>
      <c r="Q5" s="32">
        <f t="shared" si="0"/>
        <v>-19.8</v>
      </c>
      <c r="R5" s="32">
        <f t="shared" si="0"/>
        <v>12.6</v>
      </c>
      <c r="S5" s="32">
        <f t="shared" si="0"/>
        <v>-50.4</v>
      </c>
      <c r="T5" s="32">
        <f t="shared" si="0"/>
        <v>-69.900000000000006</v>
      </c>
      <c r="U5" s="32">
        <f t="shared" si="0"/>
        <v>-49.9</v>
      </c>
      <c r="V5" s="32">
        <f t="shared" si="0"/>
        <v>-42.2</v>
      </c>
      <c r="W5" s="32">
        <f t="shared" si="0"/>
        <v>-46.5</v>
      </c>
      <c r="X5" s="32">
        <f t="shared" si="0"/>
        <v>-11.7</v>
      </c>
      <c r="Y5" s="32">
        <f t="shared" si="0"/>
        <v>-49.099999999999994</v>
      </c>
      <c r="Z5" s="32">
        <f t="shared" si="0"/>
        <v>0</v>
      </c>
      <c r="AA5" s="32">
        <f t="shared" si="0"/>
        <v>-52.2</v>
      </c>
      <c r="AB5" s="32">
        <f t="shared" si="0"/>
        <v>-50.6</v>
      </c>
      <c r="AC5" s="32">
        <f t="shared" si="0"/>
        <v>-37</v>
      </c>
      <c r="AD5" s="32">
        <f t="shared" si="0"/>
        <v>-38.200000000000003</v>
      </c>
      <c r="AE5" s="32">
        <f t="shared" si="0"/>
        <v>-2</v>
      </c>
      <c r="AF5" s="32">
        <f t="shared" si="0"/>
        <v>-47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1368MW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Load=30</v>
      </c>
      <c r="B7" s="37">
        <f t="shared" ref="B7:AF7" si="1">B73</f>
        <v>1220.24</v>
      </c>
      <c r="C7" s="37">
        <f t="shared" si="1"/>
        <v>1207.24</v>
      </c>
      <c r="D7" s="37">
        <f t="shared" si="1"/>
        <v>1156.3400000000001</v>
      </c>
      <c r="E7" s="37">
        <f t="shared" si="1"/>
        <v>1143.44</v>
      </c>
      <c r="F7" s="37">
        <f t="shared" si="1"/>
        <v>1161.3400000000001</v>
      </c>
      <c r="G7" s="37">
        <f t="shared" si="1"/>
        <v>1199.04</v>
      </c>
      <c r="H7" s="37">
        <f t="shared" si="1"/>
        <v>1175.94</v>
      </c>
      <c r="I7" s="37">
        <f t="shared" si="1"/>
        <v>1219.6400000000001</v>
      </c>
      <c r="J7" s="37">
        <f t="shared" si="1"/>
        <v>1292.44</v>
      </c>
      <c r="K7" s="37">
        <f t="shared" si="1"/>
        <v>1260.3400000000001</v>
      </c>
      <c r="L7" s="37">
        <f>L73</f>
        <v>1367.54</v>
      </c>
      <c r="M7" s="37">
        <f t="shared" si="1"/>
        <v>1366.04</v>
      </c>
      <c r="N7" s="37">
        <f t="shared" si="1"/>
        <v>1382.24</v>
      </c>
      <c r="O7" s="37">
        <f t="shared" si="1"/>
        <v>1388.54</v>
      </c>
      <c r="P7" s="37">
        <f t="shared" si="1"/>
        <v>1391.64</v>
      </c>
      <c r="Q7" s="37">
        <f t="shared" si="1"/>
        <v>1369.3400000000001</v>
      </c>
      <c r="R7" s="37">
        <f t="shared" si="1"/>
        <v>1313.14</v>
      </c>
      <c r="S7" s="37">
        <f t="shared" si="1"/>
        <v>1288.6400000000001</v>
      </c>
      <c r="T7" s="37">
        <f t="shared" si="1"/>
        <v>1340.3400000000001</v>
      </c>
      <c r="U7" s="37">
        <f t="shared" si="1"/>
        <v>1329.44</v>
      </c>
      <c r="V7" s="37">
        <f t="shared" si="1"/>
        <v>1353.74</v>
      </c>
      <c r="W7" s="37">
        <f t="shared" si="1"/>
        <v>1401.54</v>
      </c>
      <c r="X7" s="37">
        <f t="shared" si="1"/>
        <v>1486.94</v>
      </c>
      <c r="Y7" s="37">
        <f t="shared" si="1"/>
        <v>1446.1</v>
      </c>
      <c r="Z7" s="37">
        <f t="shared" si="1"/>
        <v>29.54</v>
      </c>
      <c r="AA7" s="37">
        <f t="shared" si="1"/>
        <v>1397.3400000000001</v>
      </c>
      <c r="AB7" s="37">
        <f t="shared" si="1"/>
        <v>1394.8400000000001</v>
      </c>
      <c r="AC7" s="37">
        <f t="shared" si="1"/>
        <v>1356.3400000000001</v>
      </c>
      <c r="AD7" s="37">
        <f t="shared" si="1"/>
        <v>1282.1399999999999</v>
      </c>
      <c r="AE7" s="37">
        <f t="shared" si="1"/>
        <v>1245.54</v>
      </c>
      <c r="AF7" s="37">
        <f t="shared" si="1"/>
        <v>1219.54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250</v>
      </c>
      <c r="C11" s="49">
        <v>250</v>
      </c>
      <c r="D11" s="49">
        <v>250</v>
      </c>
      <c r="E11" s="49">
        <v>200</v>
      </c>
      <c r="F11" s="49">
        <v>200</v>
      </c>
      <c r="G11" s="49">
        <v>200</v>
      </c>
      <c r="H11" s="49">
        <v>200</v>
      </c>
      <c r="I11" s="49">
        <v>200</v>
      </c>
      <c r="J11" s="49">
        <v>250</v>
      </c>
      <c r="K11" s="49">
        <v>250</v>
      </c>
      <c r="L11" s="50">
        <v>332.3</v>
      </c>
      <c r="M11" s="50">
        <v>331.6</v>
      </c>
      <c r="N11" s="50">
        <v>340</v>
      </c>
      <c r="O11" s="50">
        <v>330</v>
      </c>
      <c r="P11" s="50">
        <v>360</v>
      </c>
      <c r="Q11" s="51">
        <v>330</v>
      </c>
      <c r="R11" s="51">
        <v>300</v>
      </c>
      <c r="S11" s="51">
        <v>300</v>
      </c>
      <c r="T11" s="52">
        <v>340</v>
      </c>
      <c r="U11" s="52">
        <v>332</v>
      </c>
      <c r="V11" s="52">
        <v>350</v>
      </c>
      <c r="W11" s="52">
        <v>380</v>
      </c>
      <c r="X11" s="52">
        <v>380</v>
      </c>
      <c r="Y11" s="52">
        <v>380</v>
      </c>
      <c r="Z11" s="115"/>
      <c r="AA11" s="115">
        <v>376.1</v>
      </c>
      <c r="AB11" s="115">
        <v>377.6</v>
      </c>
      <c r="AC11" s="115">
        <v>340</v>
      </c>
      <c r="AD11" s="115">
        <v>280</v>
      </c>
      <c r="AE11" s="115">
        <v>240</v>
      </c>
      <c r="AF11" s="115">
        <v>260</v>
      </c>
      <c r="AG11" s="54">
        <v>456</v>
      </c>
      <c r="AH11" s="55">
        <f>MAX(B11:AF11)</f>
        <v>380</v>
      </c>
      <c r="AI11" s="56">
        <f>MIN(B11:AF11)</f>
        <v>200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50</v>
      </c>
      <c r="C12" s="49">
        <v>50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2">
        <v>60</v>
      </c>
      <c r="Z12" s="50"/>
      <c r="AA12" s="50">
        <v>60</v>
      </c>
      <c r="AB12" s="50">
        <v>60</v>
      </c>
      <c r="AC12" s="50">
        <v>60</v>
      </c>
      <c r="AD12" s="50">
        <v>60</v>
      </c>
      <c r="AE12" s="50">
        <v>45</v>
      </c>
      <c r="AF12" s="50">
        <v>45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45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2">
        <v>0</v>
      </c>
      <c r="Z13" s="50"/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36</v>
      </c>
      <c r="C14" s="62">
        <v>36</v>
      </c>
      <c r="D14" s="62">
        <v>36</v>
      </c>
      <c r="E14" s="62">
        <v>36</v>
      </c>
      <c r="F14" s="62">
        <v>36</v>
      </c>
      <c r="G14" s="62">
        <v>36</v>
      </c>
      <c r="H14" s="62">
        <v>36</v>
      </c>
      <c r="I14" s="62">
        <v>45</v>
      </c>
      <c r="J14" s="62">
        <v>45</v>
      </c>
      <c r="K14" s="62">
        <v>45</v>
      </c>
      <c r="L14" s="50">
        <v>45</v>
      </c>
      <c r="M14" s="50">
        <v>45.9</v>
      </c>
      <c r="N14" s="50">
        <v>45.9</v>
      </c>
      <c r="O14" s="50">
        <v>45.6</v>
      </c>
      <c r="P14" s="50">
        <v>45.7</v>
      </c>
      <c r="Q14" s="50">
        <v>45.5</v>
      </c>
      <c r="R14" s="50">
        <v>45.5</v>
      </c>
      <c r="S14" s="50">
        <v>45.5</v>
      </c>
      <c r="T14" s="61">
        <v>45.9</v>
      </c>
      <c r="U14" s="61">
        <v>45.9</v>
      </c>
      <c r="V14" s="61">
        <v>45.9</v>
      </c>
      <c r="W14" s="61">
        <v>45.8</v>
      </c>
      <c r="X14" s="61">
        <v>45.8</v>
      </c>
      <c r="Y14" s="52">
        <v>45.8</v>
      </c>
      <c r="Z14" s="50"/>
      <c r="AA14" s="50">
        <v>45.8</v>
      </c>
      <c r="AB14" s="50">
        <v>45.8</v>
      </c>
      <c r="AC14" s="50">
        <v>45.7</v>
      </c>
      <c r="AD14" s="50">
        <v>45</v>
      </c>
      <c r="AE14" s="50">
        <v>35</v>
      </c>
      <c r="AF14" s="50">
        <v>35</v>
      </c>
      <c r="AG14" s="63">
        <v>45</v>
      </c>
      <c r="AH14" s="55">
        <f t="shared" si="2"/>
        <v>45.9</v>
      </c>
      <c r="AI14" s="56">
        <f t="shared" si="3"/>
        <v>35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2">
        <v>0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2">
        <v>25</v>
      </c>
      <c r="Z16" s="50"/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2">
        <v>25</v>
      </c>
      <c r="Z17" s="50"/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25</v>
      </c>
      <c r="I18" s="49">
        <v>25</v>
      </c>
      <c r="J18" s="49">
        <v>25</v>
      </c>
      <c r="K18" s="49">
        <v>25</v>
      </c>
      <c r="L18" s="50">
        <v>25</v>
      </c>
      <c r="M18" s="50">
        <v>25.1</v>
      </c>
      <c r="N18" s="50">
        <v>25.1</v>
      </c>
      <c r="O18" s="50">
        <v>25.1</v>
      </c>
      <c r="P18" s="50">
        <v>25.1</v>
      </c>
      <c r="Q18" s="50">
        <v>25.1</v>
      </c>
      <c r="R18" s="50">
        <v>25.1</v>
      </c>
      <c r="S18" s="50">
        <v>25.1</v>
      </c>
      <c r="T18" s="50">
        <v>25.1</v>
      </c>
      <c r="U18" s="50">
        <v>25.1</v>
      </c>
      <c r="V18" s="50">
        <v>25.1</v>
      </c>
      <c r="W18" s="50">
        <v>25.1</v>
      </c>
      <c r="X18" s="50">
        <v>25.1</v>
      </c>
      <c r="Y18" s="52">
        <v>25.1</v>
      </c>
      <c r="Z18" s="50"/>
      <c r="AA18" s="50">
        <v>25.2</v>
      </c>
      <c r="AB18" s="50">
        <v>25.2</v>
      </c>
      <c r="AC18" s="50">
        <v>25.2</v>
      </c>
      <c r="AD18" s="50">
        <v>25</v>
      </c>
      <c r="AE18" s="50">
        <v>25</v>
      </c>
      <c r="AF18" s="50">
        <v>25</v>
      </c>
      <c r="AG18" s="60">
        <v>30</v>
      </c>
      <c r="AH18" s="55">
        <f t="shared" si="2"/>
        <v>25.2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2">
        <v>6.2</v>
      </c>
      <c r="Z19" s="50"/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2">
        <v>11</v>
      </c>
      <c r="Z20" s="50"/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2">
        <v>22</v>
      </c>
      <c r="Z21" s="50"/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2">
        <v>22</v>
      </c>
      <c r="Z22" s="50"/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2">
        <v>22</v>
      </c>
      <c r="Z23" s="50"/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20</v>
      </c>
      <c r="C24" s="49">
        <v>20</v>
      </c>
      <c r="D24" s="49">
        <v>20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/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14</v>
      </c>
      <c r="Q25" s="50">
        <v>14</v>
      </c>
      <c r="R25" s="50">
        <v>14</v>
      </c>
      <c r="S25" s="50">
        <v>14</v>
      </c>
      <c r="T25" s="50">
        <v>14</v>
      </c>
      <c r="U25" s="50">
        <v>14</v>
      </c>
      <c r="V25" s="50">
        <v>14</v>
      </c>
      <c r="W25" s="50">
        <v>14</v>
      </c>
      <c r="X25" s="50">
        <v>14</v>
      </c>
      <c r="Y25" s="52">
        <v>14</v>
      </c>
      <c r="Z25" s="50"/>
      <c r="AA25" s="50">
        <v>18</v>
      </c>
      <c r="AB25" s="50">
        <v>18</v>
      </c>
      <c r="AC25" s="50">
        <v>18</v>
      </c>
      <c r="AD25" s="50">
        <v>18</v>
      </c>
      <c r="AE25" s="50">
        <v>18</v>
      </c>
      <c r="AF25" s="50">
        <v>18</v>
      </c>
      <c r="AG25" s="60">
        <v>20</v>
      </c>
      <c r="AH25" s="55">
        <f t="shared" si="2"/>
        <v>18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15</v>
      </c>
      <c r="C26" s="49">
        <v>15</v>
      </c>
      <c r="D26" s="49">
        <v>15</v>
      </c>
      <c r="E26" s="49">
        <v>15</v>
      </c>
      <c r="F26" s="49">
        <v>15</v>
      </c>
      <c r="G26" s="49">
        <v>15</v>
      </c>
      <c r="H26" s="49">
        <v>15</v>
      </c>
      <c r="I26" s="49">
        <v>15</v>
      </c>
      <c r="J26" s="49">
        <v>15</v>
      </c>
      <c r="K26" s="49">
        <v>15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2">
        <v>15</v>
      </c>
      <c r="Z26" s="50"/>
      <c r="AA26" s="49">
        <v>15</v>
      </c>
      <c r="AB26" s="49">
        <v>15</v>
      </c>
      <c r="AC26" s="49">
        <v>15</v>
      </c>
      <c r="AD26" s="49">
        <v>15</v>
      </c>
      <c r="AE26" s="49">
        <v>15</v>
      </c>
      <c r="AF26" s="49">
        <v>15</v>
      </c>
      <c r="AG26" s="60">
        <v>23.5</v>
      </c>
      <c r="AH26" s="55">
        <f t="shared" si="2"/>
        <v>15</v>
      </c>
      <c r="AI26" s="56">
        <f t="shared" si="3"/>
        <v>15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/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2">
        <v>12.4</v>
      </c>
      <c r="Z28" s="50"/>
      <c r="AA28" s="50">
        <v>12.4</v>
      </c>
      <c r="AB28" s="50">
        <v>12.3</v>
      </c>
      <c r="AC28" s="50">
        <v>12.3</v>
      </c>
      <c r="AD28" s="50">
        <v>12.3</v>
      </c>
      <c r="AE28" s="50">
        <v>12.3</v>
      </c>
      <c r="AF28" s="50">
        <v>12.3</v>
      </c>
      <c r="AG28" s="60">
        <v>22.1</v>
      </c>
      <c r="AH28" s="55">
        <f t="shared" si="2"/>
        <v>12.4</v>
      </c>
      <c r="AI28" s="56">
        <f t="shared" si="3"/>
        <v>12.3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2">
        <v>12</v>
      </c>
      <c r="Z29" s="50"/>
      <c r="AA29" s="50">
        <v>12</v>
      </c>
      <c r="AB29" s="50">
        <v>12</v>
      </c>
      <c r="AC29" s="50">
        <v>12</v>
      </c>
      <c r="AD29" s="50">
        <v>0</v>
      </c>
      <c r="AE29" s="50">
        <v>0</v>
      </c>
      <c r="AF29" s="50">
        <v>0</v>
      </c>
      <c r="AG29" s="60">
        <v>22.1</v>
      </c>
      <c r="AH29" s="55">
        <f t="shared" si="2"/>
        <v>12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2">
        <v>12</v>
      </c>
      <c r="Z30" s="50"/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2">
        <v>0</v>
      </c>
      <c r="Z31" s="50"/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2">
        <v>0</v>
      </c>
      <c r="Z32" s="50"/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2">
        <v>0</v>
      </c>
      <c r="Z33" s="50"/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52">
        <v>220</v>
      </c>
      <c r="Z34" s="62"/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168</v>
      </c>
      <c r="C35" s="62">
        <v>168</v>
      </c>
      <c r="D35" s="62">
        <v>168</v>
      </c>
      <c r="E35" s="62">
        <v>166</v>
      </c>
      <c r="F35" s="62">
        <v>165.6</v>
      </c>
      <c r="G35" s="62">
        <v>165.6</v>
      </c>
      <c r="H35" s="62">
        <v>166</v>
      </c>
      <c r="I35" s="62">
        <v>166</v>
      </c>
      <c r="J35" s="62">
        <v>166</v>
      </c>
      <c r="K35" s="62">
        <v>165</v>
      </c>
      <c r="L35" s="70">
        <v>168</v>
      </c>
      <c r="M35" s="70">
        <v>168.1</v>
      </c>
      <c r="N35" s="70">
        <f>92+74</f>
        <v>166</v>
      </c>
      <c r="O35" s="70">
        <f>94.3+74.6</f>
        <v>168.89999999999998</v>
      </c>
      <c r="P35" s="70">
        <f>95+74.6</f>
        <v>169.6</v>
      </c>
      <c r="Q35" s="70">
        <f>94.5+74.4</f>
        <v>168.9</v>
      </c>
      <c r="R35" s="70">
        <f>94.5+74.4</f>
        <v>168.9</v>
      </c>
      <c r="S35" s="70">
        <f>94.5+74.4</f>
        <v>168.9</v>
      </c>
      <c r="T35" s="70">
        <v>149.4</v>
      </c>
      <c r="U35" s="70">
        <v>149.4</v>
      </c>
      <c r="V35" s="70">
        <v>156.4</v>
      </c>
      <c r="W35" s="70">
        <v>154.69999999999999</v>
      </c>
      <c r="X35" s="70">
        <v>154.19999999999999</v>
      </c>
      <c r="Y35" s="52">
        <v>154.19999999999999</v>
      </c>
      <c r="Z35" s="70"/>
      <c r="AA35" s="70">
        <f>62.3+79.8</f>
        <v>142.1</v>
      </c>
      <c r="AB35" s="70">
        <f>74+76.6</f>
        <v>150.6</v>
      </c>
      <c r="AC35" s="70">
        <f>74.3+80.9</f>
        <v>155.19999999999999</v>
      </c>
      <c r="AD35" s="70">
        <f>74.3+80.9</f>
        <v>155.19999999999999</v>
      </c>
      <c r="AE35" s="70">
        <f>75+95.3</f>
        <v>170.3</v>
      </c>
      <c r="AF35" s="62">
        <v>169</v>
      </c>
      <c r="AG35" s="67">
        <v>240</v>
      </c>
      <c r="AH35" s="55">
        <f t="shared" si="2"/>
        <v>170.3</v>
      </c>
      <c r="AI35" s="56">
        <f t="shared" si="3"/>
        <v>142.1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826.6</v>
      </c>
      <c r="C36" s="72">
        <f t="shared" si="4"/>
        <v>826.6</v>
      </c>
      <c r="D36" s="72">
        <f t="shared" si="4"/>
        <v>836.6</v>
      </c>
      <c r="E36" s="72">
        <f t="shared" si="4"/>
        <v>788.6</v>
      </c>
      <c r="F36" s="72">
        <f t="shared" si="4"/>
        <v>788.6</v>
      </c>
      <c r="G36" s="72">
        <f t="shared" si="4"/>
        <v>788.6</v>
      </c>
      <c r="H36" s="72">
        <f t="shared" si="4"/>
        <v>793.6</v>
      </c>
      <c r="I36" s="72">
        <f t="shared" si="4"/>
        <v>802.6</v>
      </c>
      <c r="J36" s="72">
        <f t="shared" si="4"/>
        <v>852.6</v>
      </c>
      <c r="K36" s="72">
        <f t="shared" si="4"/>
        <v>852.6</v>
      </c>
      <c r="L36" s="72">
        <f t="shared" si="4"/>
        <v>934.9</v>
      </c>
      <c r="M36" s="72">
        <f t="shared" si="4"/>
        <v>935.2</v>
      </c>
      <c r="N36" s="72">
        <f t="shared" si="4"/>
        <v>943.6</v>
      </c>
      <c r="O36" s="72">
        <f t="shared" si="4"/>
        <v>933.30000000000007</v>
      </c>
      <c r="P36" s="72">
        <f t="shared" si="4"/>
        <v>967.40000000000009</v>
      </c>
      <c r="Q36" s="72">
        <f t="shared" si="4"/>
        <v>937.2</v>
      </c>
      <c r="R36" s="72">
        <f t="shared" si="4"/>
        <v>907.2</v>
      </c>
      <c r="S36" s="72">
        <f t="shared" si="4"/>
        <v>907.2</v>
      </c>
      <c r="T36" s="72">
        <f t="shared" si="4"/>
        <v>947.6</v>
      </c>
      <c r="U36" s="72">
        <f t="shared" si="4"/>
        <v>939.6</v>
      </c>
      <c r="V36" s="72">
        <f t="shared" si="4"/>
        <v>957.6</v>
      </c>
      <c r="W36" s="72">
        <f t="shared" si="4"/>
        <v>987.5</v>
      </c>
      <c r="X36" s="72">
        <f t="shared" si="4"/>
        <v>987.5</v>
      </c>
      <c r="Y36" s="72">
        <f t="shared" si="4"/>
        <v>961.5</v>
      </c>
      <c r="Z36" s="72">
        <f t="shared" si="4"/>
        <v>26</v>
      </c>
      <c r="AA36" s="72">
        <f t="shared" si="4"/>
        <v>987.70000000000016</v>
      </c>
      <c r="AB36" s="72">
        <f t="shared" si="4"/>
        <v>989.10000000000014</v>
      </c>
      <c r="AC36" s="72">
        <f t="shared" si="4"/>
        <v>951.40000000000009</v>
      </c>
      <c r="AD36" s="72">
        <f t="shared" si="4"/>
        <v>878.5</v>
      </c>
      <c r="AE36" s="72">
        <f t="shared" si="4"/>
        <v>813.5</v>
      </c>
      <c r="AF36" s="72">
        <f t="shared" si="4"/>
        <v>833.5</v>
      </c>
      <c r="AG36" s="67">
        <f>SUM(AG11:AG35)</f>
        <v>1431.83</v>
      </c>
      <c r="AH36" s="55">
        <f t="shared" si="2"/>
        <v>989.10000000000014</v>
      </c>
      <c r="AI36" s="56">
        <f t="shared" si="3"/>
        <v>26</v>
      </c>
      <c r="AK36" s="57"/>
    </row>
    <row r="37" spans="1:88" x14ac:dyDescent="0.25">
      <c r="A37" s="58" t="s">
        <v>44</v>
      </c>
      <c r="B37" s="62">
        <v>144</v>
      </c>
      <c r="C37" s="62">
        <v>144</v>
      </c>
      <c r="D37" s="62">
        <v>144</v>
      </c>
      <c r="E37" s="62">
        <v>144</v>
      </c>
      <c r="F37" s="62">
        <v>144</v>
      </c>
      <c r="G37" s="62">
        <v>144.69999999999999</v>
      </c>
      <c r="H37" s="62">
        <v>144.69999999999999</v>
      </c>
      <c r="I37" s="62">
        <v>144.30000000000001</v>
      </c>
      <c r="J37" s="62">
        <v>144.69999999999999</v>
      </c>
      <c r="K37" s="62">
        <v>144.5</v>
      </c>
      <c r="L37" s="50">
        <v>144.19999999999999</v>
      </c>
      <c r="M37" s="50">
        <v>144.6</v>
      </c>
      <c r="N37" s="50">
        <v>144.6</v>
      </c>
      <c r="O37" s="50">
        <v>144.80000000000001</v>
      </c>
      <c r="P37" s="50">
        <v>144.9</v>
      </c>
      <c r="Q37" s="50">
        <v>145.19999999999999</v>
      </c>
      <c r="R37" s="50">
        <v>98</v>
      </c>
      <c r="S37" s="50">
        <v>144.80000000000001</v>
      </c>
      <c r="T37" s="50">
        <v>144.4</v>
      </c>
      <c r="U37" s="50">
        <v>144.5</v>
      </c>
      <c r="V37" s="50">
        <v>144.9</v>
      </c>
      <c r="W37" s="50">
        <v>144.30000000000001</v>
      </c>
      <c r="X37" s="50">
        <v>144.30000000000001</v>
      </c>
      <c r="Y37" s="50">
        <v>137</v>
      </c>
      <c r="Z37" s="50"/>
      <c r="AA37" s="50">
        <v>144.6</v>
      </c>
      <c r="AB37" s="50">
        <v>144.69999999999999</v>
      </c>
      <c r="AC37" s="50">
        <v>144.9</v>
      </c>
      <c r="AD37" s="50">
        <v>144.6</v>
      </c>
      <c r="AE37" s="49">
        <v>144.6</v>
      </c>
      <c r="AF37" s="49">
        <v>144</v>
      </c>
      <c r="AG37" s="63">
        <v>144</v>
      </c>
      <c r="AH37" s="55">
        <f t="shared" si="2"/>
        <v>145.19999999999999</v>
      </c>
      <c r="AI37" s="56">
        <f t="shared" si="3"/>
        <v>98</v>
      </c>
      <c r="AK37" s="57"/>
    </row>
    <row r="38" spans="1:88" x14ac:dyDescent="0.25">
      <c r="A38" s="66" t="s">
        <v>45</v>
      </c>
      <c r="B38" s="62">
        <v>69.900000000000006</v>
      </c>
      <c r="C38" s="62">
        <v>69.900000000000006</v>
      </c>
      <c r="D38" s="62">
        <v>69.900000000000006</v>
      </c>
      <c r="E38" s="62">
        <v>69.900000000000006</v>
      </c>
      <c r="F38" s="62">
        <v>69.900000000000006</v>
      </c>
      <c r="G38" s="62">
        <v>69.7</v>
      </c>
      <c r="H38" s="62">
        <v>70</v>
      </c>
      <c r="I38" s="62">
        <v>70</v>
      </c>
      <c r="J38" s="62">
        <v>70</v>
      </c>
      <c r="K38" s="62">
        <v>70</v>
      </c>
      <c r="L38" s="52">
        <v>69.3</v>
      </c>
      <c r="M38" s="52">
        <v>69.3</v>
      </c>
      <c r="N38" s="52">
        <v>69.3</v>
      </c>
      <c r="O38" s="52">
        <v>69.400000000000006</v>
      </c>
      <c r="P38" s="52">
        <v>69.7</v>
      </c>
      <c r="Q38" s="52">
        <v>70.3</v>
      </c>
      <c r="R38" s="52">
        <v>0</v>
      </c>
      <c r="S38" s="52">
        <v>0</v>
      </c>
      <c r="T38" s="52">
        <v>70.900000000000006</v>
      </c>
      <c r="U38" s="52">
        <v>70.3</v>
      </c>
      <c r="V38" s="52">
        <v>69.5</v>
      </c>
      <c r="W38" s="52">
        <v>71.400000000000006</v>
      </c>
      <c r="X38" s="52">
        <v>71.2</v>
      </c>
      <c r="Y38" s="50">
        <v>70.7</v>
      </c>
      <c r="Z38" s="52"/>
      <c r="AA38" s="52">
        <v>69.099999999999994</v>
      </c>
      <c r="AB38" s="52">
        <v>69.8</v>
      </c>
      <c r="AC38" s="52">
        <v>70</v>
      </c>
      <c r="AD38" s="52">
        <v>70.400000000000006</v>
      </c>
      <c r="AE38" s="62">
        <v>70</v>
      </c>
      <c r="AF38" s="62">
        <v>70</v>
      </c>
      <c r="AG38" s="67">
        <v>70</v>
      </c>
      <c r="AH38" s="55">
        <f t="shared" si="2"/>
        <v>71.400000000000006</v>
      </c>
      <c r="AI38" s="56">
        <f t="shared" si="3"/>
        <v>0</v>
      </c>
      <c r="AK38" s="57"/>
    </row>
    <row r="39" spans="1:88" x14ac:dyDescent="0.25">
      <c r="A39" s="66" t="s">
        <v>46</v>
      </c>
      <c r="B39" s="62">
        <v>69.900000000000006</v>
      </c>
      <c r="C39" s="62">
        <v>69.900000000000006</v>
      </c>
      <c r="D39" s="62">
        <v>39</v>
      </c>
      <c r="E39" s="62">
        <v>69</v>
      </c>
      <c r="F39" s="62">
        <v>69.900000000000006</v>
      </c>
      <c r="G39" s="62">
        <v>69.8</v>
      </c>
      <c r="H39" s="62">
        <v>69.900000000000006</v>
      </c>
      <c r="I39" s="62">
        <v>69.900000000000006</v>
      </c>
      <c r="J39" s="62">
        <v>69.900000000000006</v>
      </c>
      <c r="K39" s="62">
        <v>69.599999999999994</v>
      </c>
      <c r="L39" s="52">
        <v>69.599999999999994</v>
      </c>
      <c r="M39" s="52">
        <v>69.2</v>
      </c>
      <c r="N39" s="52">
        <v>69.2</v>
      </c>
      <c r="O39" s="52">
        <v>70.3</v>
      </c>
      <c r="P39" s="52">
        <v>69.5</v>
      </c>
      <c r="Q39" s="52">
        <v>66.099999999999994</v>
      </c>
      <c r="R39" s="52">
        <v>71.099999999999994</v>
      </c>
      <c r="S39" s="52">
        <v>69.599999999999994</v>
      </c>
      <c r="T39" s="52">
        <v>70.900000000000006</v>
      </c>
      <c r="U39" s="52">
        <v>69.900000000000006</v>
      </c>
      <c r="V39" s="52">
        <v>68.8</v>
      </c>
      <c r="W39" s="52">
        <v>68.8</v>
      </c>
      <c r="X39" s="52">
        <v>70.5</v>
      </c>
      <c r="Y39" s="50">
        <v>70.7</v>
      </c>
      <c r="Z39" s="52"/>
      <c r="AA39" s="52">
        <v>69.400000000000006</v>
      </c>
      <c r="AB39" s="52">
        <v>69.5</v>
      </c>
      <c r="AC39" s="52">
        <v>69.3</v>
      </c>
      <c r="AD39" s="52">
        <v>69.5</v>
      </c>
      <c r="AE39" s="62">
        <v>69.599999999999994</v>
      </c>
      <c r="AF39" s="62">
        <v>69.2</v>
      </c>
      <c r="AG39" s="67">
        <v>69</v>
      </c>
      <c r="AH39" s="55">
        <f t="shared" si="2"/>
        <v>71.099999999999994</v>
      </c>
      <c r="AI39" s="56">
        <f t="shared" si="3"/>
        <v>39</v>
      </c>
      <c r="AK39" s="57"/>
    </row>
    <row r="40" spans="1:88" x14ac:dyDescent="0.25">
      <c r="A40" s="66" t="s">
        <v>47</v>
      </c>
      <c r="B40" s="62">
        <v>61.4</v>
      </c>
      <c r="C40" s="62">
        <v>61.4</v>
      </c>
      <c r="D40" s="62">
        <v>61.4</v>
      </c>
      <c r="E40" s="62">
        <v>60</v>
      </c>
      <c r="F40" s="62">
        <v>60</v>
      </c>
      <c r="G40" s="62">
        <v>60</v>
      </c>
      <c r="H40" s="62">
        <v>60</v>
      </c>
      <c r="I40" s="62">
        <v>60</v>
      </c>
      <c r="J40" s="62">
        <v>60</v>
      </c>
      <c r="K40" s="62">
        <v>60</v>
      </c>
      <c r="L40" s="52">
        <v>60.2</v>
      </c>
      <c r="M40" s="52">
        <v>60.2</v>
      </c>
      <c r="N40" s="52">
        <v>70</v>
      </c>
      <c r="O40" s="52">
        <v>60.2</v>
      </c>
      <c r="P40" s="52">
        <v>60.2</v>
      </c>
      <c r="Q40" s="52">
        <v>60.2</v>
      </c>
      <c r="R40" s="52">
        <v>61.2</v>
      </c>
      <c r="S40" s="52">
        <v>61.7</v>
      </c>
      <c r="T40" s="52">
        <v>61.7</v>
      </c>
      <c r="U40" s="52">
        <v>61.7</v>
      </c>
      <c r="V40" s="52">
        <v>61.7</v>
      </c>
      <c r="W40" s="52">
        <v>61.7</v>
      </c>
      <c r="X40" s="52">
        <v>61.7</v>
      </c>
      <c r="Y40" s="50">
        <v>61.7</v>
      </c>
      <c r="Z40" s="52"/>
      <c r="AA40" s="52">
        <v>61.7</v>
      </c>
      <c r="AB40" s="52">
        <v>61.7</v>
      </c>
      <c r="AC40" s="52">
        <v>61.7</v>
      </c>
      <c r="AD40" s="52">
        <v>61.4</v>
      </c>
      <c r="AE40" s="62">
        <v>60</v>
      </c>
      <c r="AF40" s="62">
        <v>60</v>
      </c>
      <c r="AG40" s="67">
        <v>60</v>
      </c>
      <c r="AH40" s="55">
        <f t="shared" si="2"/>
        <v>70</v>
      </c>
      <c r="AI40" s="56">
        <f t="shared" si="3"/>
        <v>60</v>
      </c>
      <c r="AK40" s="57"/>
    </row>
    <row r="41" spans="1:88" x14ac:dyDescent="0.25">
      <c r="A41" s="66" t="s">
        <v>48</v>
      </c>
      <c r="B41" s="62">
        <v>29.7</v>
      </c>
      <c r="C41" s="62">
        <v>29.7</v>
      </c>
      <c r="D41" s="62">
        <v>29.7</v>
      </c>
      <c r="E41" s="62">
        <v>29.7</v>
      </c>
      <c r="F41" s="62">
        <v>29.7</v>
      </c>
      <c r="G41" s="62">
        <v>29.8</v>
      </c>
      <c r="H41" s="62">
        <v>29.6</v>
      </c>
      <c r="I41" s="62">
        <v>29.9</v>
      </c>
      <c r="J41" s="62">
        <v>29.9</v>
      </c>
      <c r="K41" s="62">
        <v>29.9</v>
      </c>
      <c r="L41" s="62">
        <v>29.9</v>
      </c>
      <c r="M41" s="50">
        <v>30</v>
      </c>
      <c r="N41" s="50">
        <v>30</v>
      </c>
      <c r="O41" s="50">
        <v>30</v>
      </c>
      <c r="P41" s="50">
        <v>30</v>
      </c>
      <c r="Q41" s="50">
        <v>30</v>
      </c>
      <c r="R41" s="50">
        <v>30</v>
      </c>
      <c r="S41" s="50">
        <v>29.7</v>
      </c>
      <c r="T41" s="50">
        <v>29.6</v>
      </c>
      <c r="U41" s="50">
        <v>29.6</v>
      </c>
      <c r="V41" s="50">
        <v>29.7</v>
      </c>
      <c r="W41" s="50">
        <v>29.6</v>
      </c>
      <c r="X41" s="50">
        <v>29.6</v>
      </c>
      <c r="Y41" s="50">
        <v>29.6</v>
      </c>
      <c r="Z41" s="52"/>
      <c r="AA41" s="52">
        <v>29.8</v>
      </c>
      <c r="AB41" s="52">
        <v>29.8</v>
      </c>
      <c r="AC41" s="52">
        <v>29.8</v>
      </c>
      <c r="AD41" s="52">
        <v>29.7</v>
      </c>
      <c r="AE41" s="62">
        <v>29.6</v>
      </c>
      <c r="AF41" s="62">
        <v>29.6</v>
      </c>
      <c r="AG41" s="67">
        <v>30</v>
      </c>
      <c r="AH41" s="55">
        <f t="shared" si="2"/>
        <v>30</v>
      </c>
      <c r="AI41" s="56">
        <f t="shared" si="3"/>
        <v>29.6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/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73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/>
      <c r="AA43" s="50">
        <v>18</v>
      </c>
      <c r="AB43" s="50">
        <v>18</v>
      </c>
      <c r="AC43" s="50">
        <v>18</v>
      </c>
      <c r="AD43" s="50">
        <v>18</v>
      </c>
      <c r="AE43" s="62">
        <v>18</v>
      </c>
      <c r="AF43" s="62">
        <v>18</v>
      </c>
      <c r="AG43" s="67">
        <v>24</v>
      </c>
      <c r="AH43" s="55">
        <f t="shared" si="2"/>
        <v>18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62">
        <v>3.2</v>
      </c>
      <c r="M44" s="62">
        <v>3.2</v>
      </c>
      <c r="N44" s="62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/>
      <c r="AA44" s="50">
        <v>3.2</v>
      </c>
      <c r="AB44" s="50">
        <v>3.2</v>
      </c>
      <c r="AC44" s="50">
        <v>3.2</v>
      </c>
      <c r="AD44" s="50">
        <v>3.2</v>
      </c>
      <c r="AE44" s="62">
        <v>3.2</v>
      </c>
      <c r="AF44" s="62">
        <v>3.2</v>
      </c>
      <c r="AG44" s="67">
        <v>15</v>
      </c>
      <c r="AH44" s="55">
        <f t="shared" si="2"/>
        <v>3.2</v>
      </c>
      <c r="AI44" s="56">
        <f t="shared" si="3"/>
        <v>3.2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62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/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73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/>
      <c r="AA46" s="50">
        <v>14</v>
      </c>
      <c r="AB46" s="50">
        <v>14</v>
      </c>
      <c r="AC46" s="50">
        <v>14</v>
      </c>
      <c r="AD46" s="50">
        <v>14</v>
      </c>
      <c r="AE46" s="62">
        <v>8</v>
      </c>
      <c r="AF46" s="62">
        <v>8</v>
      </c>
      <c r="AG46" s="67">
        <v>14</v>
      </c>
      <c r="AH46" s="55">
        <f t="shared" si="2"/>
        <v>14</v>
      </c>
      <c r="AI46" s="56">
        <f t="shared" si="3"/>
        <v>8</v>
      </c>
      <c r="AK46" s="57"/>
    </row>
    <row r="47" spans="1:88" x14ac:dyDescent="0.25">
      <c r="A47" s="66" t="s">
        <v>54</v>
      </c>
      <c r="B47" s="62">
        <v>6.8</v>
      </c>
      <c r="C47" s="62">
        <v>6.8</v>
      </c>
      <c r="D47" s="62">
        <v>6.8</v>
      </c>
      <c r="E47" s="62">
        <v>6.8</v>
      </c>
      <c r="F47" s="62">
        <v>6.8</v>
      </c>
      <c r="G47" s="62">
        <v>6.8</v>
      </c>
      <c r="H47" s="62">
        <v>6.8</v>
      </c>
      <c r="I47" s="62">
        <v>6.8</v>
      </c>
      <c r="J47" s="62">
        <v>6.8</v>
      </c>
      <c r="K47" s="62">
        <v>6.8</v>
      </c>
      <c r="L47" s="62">
        <v>6.8</v>
      </c>
      <c r="M47" s="50">
        <v>6.8</v>
      </c>
      <c r="N47" s="50">
        <v>6.8</v>
      </c>
      <c r="O47" s="50">
        <v>6.8</v>
      </c>
      <c r="P47" s="50">
        <v>6.8</v>
      </c>
      <c r="Q47" s="50">
        <v>6.8</v>
      </c>
      <c r="R47" s="50">
        <v>6.8</v>
      </c>
      <c r="S47" s="50">
        <v>6.8</v>
      </c>
      <c r="T47" s="50">
        <v>6.8</v>
      </c>
      <c r="U47" s="50">
        <v>6.8</v>
      </c>
      <c r="V47" s="50">
        <v>6.8</v>
      </c>
      <c r="W47" s="50">
        <v>6.8</v>
      </c>
      <c r="X47" s="50">
        <v>6.8</v>
      </c>
      <c r="Y47" s="50">
        <v>6.8</v>
      </c>
      <c r="Z47" s="50"/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62">
        <v>9.3000000000000007</v>
      </c>
      <c r="AF47" s="62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6.8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62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/>
      <c r="AA48" s="50">
        <v>6.2</v>
      </c>
      <c r="AB48" s="50">
        <v>0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0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438.64</v>
      </c>
      <c r="C50" s="72">
        <f t="shared" si="6"/>
        <v>438.64</v>
      </c>
      <c r="D50" s="72">
        <f t="shared" si="6"/>
        <v>407.74</v>
      </c>
      <c r="E50" s="72">
        <f t="shared" si="6"/>
        <v>436.34</v>
      </c>
      <c r="F50" s="72">
        <f t="shared" si="6"/>
        <v>437.24</v>
      </c>
      <c r="G50" s="72">
        <f t="shared" si="6"/>
        <v>437.74</v>
      </c>
      <c r="H50" s="72">
        <f t="shared" si="6"/>
        <v>437.94000000000005</v>
      </c>
      <c r="I50" s="72">
        <f t="shared" si="6"/>
        <v>437.84000000000003</v>
      </c>
      <c r="J50" s="72">
        <f t="shared" si="6"/>
        <v>438.24</v>
      </c>
      <c r="K50" s="72">
        <f t="shared" si="6"/>
        <v>437.74</v>
      </c>
      <c r="L50" s="72">
        <f t="shared" si="6"/>
        <v>436.94</v>
      </c>
      <c r="M50" s="72">
        <f t="shared" si="6"/>
        <v>437.03999999999996</v>
      </c>
      <c r="N50" s="72">
        <f t="shared" si="6"/>
        <v>446.84</v>
      </c>
      <c r="O50" s="72">
        <f t="shared" si="6"/>
        <v>438.44</v>
      </c>
      <c r="P50" s="72">
        <f t="shared" si="6"/>
        <v>438.04</v>
      </c>
      <c r="Q50" s="72">
        <f t="shared" si="6"/>
        <v>435.54</v>
      </c>
      <c r="R50" s="72">
        <f t="shared" si="6"/>
        <v>324.04000000000002</v>
      </c>
      <c r="S50" s="72">
        <f t="shared" si="6"/>
        <v>369.54</v>
      </c>
      <c r="T50" s="72">
        <f t="shared" si="6"/>
        <v>441.24000000000007</v>
      </c>
      <c r="U50" s="72">
        <f t="shared" si="6"/>
        <v>439.74000000000007</v>
      </c>
      <c r="V50" s="72">
        <f t="shared" si="6"/>
        <v>438.34</v>
      </c>
      <c r="W50" s="72">
        <f t="shared" si="6"/>
        <v>439.54</v>
      </c>
      <c r="X50" s="72">
        <f t="shared" si="6"/>
        <v>441.04</v>
      </c>
      <c r="Y50" s="72">
        <f t="shared" si="6"/>
        <v>433.29999999999995</v>
      </c>
      <c r="Z50" s="72">
        <f t="shared" si="6"/>
        <v>3.54</v>
      </c>
      <c r="AA50" s="72">
        <f t="shared" si="6"/>
        <v>440.84000000000003</v>
      </c>
      <c r="AB50" s="72">
        <f t="shared" si="6"/>
        <v>435.54</v>
      </c>
      <c r="AC50" s="72">
        <f t="shared" si="6"/>
        <v>441.94</v>
      </c>
      <c r="AD50" s="72">
        <f t="shared" si="6"/>
        <v>441.84</v>
      </c>
      <c r="AE50" s="72">
        <f t="shared" si="6"/>
        <v>434.04</v>
      </c>
      <c r="AF50" s="72">
        <f t="shared" si="6"/>
        <v>433.04</v>
      </c>
      <c r="AG50" s="77">
        <f>SUM(AG37:AG49)</f>
        <v>489.91</v>
      </c>
      <c r="AH50" s="55">
        <f t="shared" si="2"/>
        <v>446.84</v>
      </c>
      <c r="AI50" s="56">
        <f t="shared" si="3"/>
        <v>3.54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14.3</v>
      </c>
      <c r="M51" s="174">
        <v>14.3</v>
      </c>
      <c r="N51" s="174">
        <v>14.3</v>
      </c>
      <c r="O51" s="174">
        <v>14.3</v>
      </c>
      <c r="P51" s="50">
        <v>14.3</v>
      </c>
      <c r="Q51" s="50">
        <v>10.4</v>
      </c>
      <c r="R51" s="50">
        <v>40</v>
      </c>
      <c r="S51" s="50">
        <v>40</v>
      </c>
      <c r="T51" s="50">
        <v>14</v>
      </c>
      <c r="U51" s="50">
        <v>0</v>
      </c>
      <c r="V51" s="50">
        <v>0</v>
      </c>
      <c r="W51" s="50">
        <v>14.1</v>
      </c>
      <c r="X51" s="50">
        <v>39.700000000000003</v>
      </c>
      <c r="Y51" s="50">
        <v>60</v>
      </c>
      <c r="Z51" s="50"/>
      <c r="AA51" s="50">
        <v>13.9</v>
      </c>
      <c r="AB51" s="50">
        <v>13.9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5.4</v>
      </c>
      <c r="M52" s="174">
        <v>5.2</v>
      </c>
      <c r="N52" s="174">
        <v>7</v>
      </c>
      <c r="O52" s="174">
        <v>5.5</v>
      </c>
      <c r="P52" s="52">
        <v>6</v>
      </c>
      <c r="Q52" s="52">
        <v>4.4000000000000004</v>
      </c>
      <c r="R52" s="52">
        <v>21.5</v>
      </c>
      <c r="S52" s="52">
        <v>16.3</v>
      </c>
      <c r="T52" s="50">
        <v>5.4</v>
      </c>
      <c r="U52" s="50">
        <v>0</v>
      </c>
      <c r="V52" s="50">
        <v>0</v>
      </c>
      <c r="W52" s="52">
        <v>5.0999999999999996</v>
      </c>
      <c r="X52" s="52">
        <v>22.2</v>
      </c>
      <c r="Y52" s="50">
        <v>29.6</v>
      </c>
      <c r="Z52" s="52"/>
      <c r="AA52" s="52">
        <v>5.2</v>
      </c>
      <c r="AB52" s="52">
        <v>5.0999999999999996</v>
      </c>
      <c r="AC52" s="52">
        <v>0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29.6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2</v>
      </c>
      <c r="M53" s="175">
        <v>1.9</v>
      </c>
      <c r="N53" s="175">
        <v>2.5</v>
      </c>
      <c r="O53" s="175">
        <v>2</v>
      </c>
      <c r="P53" s="78">
        <v>2.2000000000000002</v>
      </c>
      <c r="Q53" s="78">
        <v>1.6</v>
      </c>
      <c r="R53" s="78">
        <v>7.8</v>
      </c>
      <c r="S53" s="78">
        <v>6</v>
      </c>
      <c r="T53" s="50">
        <v>2</v>
      </c>
      <c r="U53" s="50">
        <v>0</v>
      </c>
      <c r="V53" s="50">
        <v>0</v>
      </c>
      <c r="W53" s="78">
        <v>1.8</v>
      </c>
      <c r="X53" s="78">
        <v>8.1999999999999993</v>
      </c>
      <c r="Y53" s="50">
        <v>10.8</v>
      </c>
      <c r="Z53" s="78"/>
      <c r="AA53" s="78">
        <v>1.9</v>
      </c>
      <c r="AB53" s="78">
        <v>1.8</v>
      </c>
      <c r="AC53" s="78">
        <v>0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10.8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21.700000000000003</v>
      </c>
      <c r="M54" s="72">
        <f t="shared" si="7"/>
        <v>21.4</v>
      </c>
      <c r="N54" s="72">
        <f t="shared" si="7"/>
        <v>23.8</v>
      </c>
      <c r="O54" s="72">
        <f t="shared" si="7"/>
        <v>21.8</v>
      </c>
      <c r="P54" s="72">
        <f t="shared" si="7"/>
        <v>22.5</v>
      </c>
      <c r="Q54" s="72">
        <f t="shared" si="7"/>
        <v>16.400000000000002</v>
      </c>
      <c r="R54" s="72">
        <f t="shared" si="7"/>
        <v>69.3</v>
      </c>
      <c r="S54" s="72">
        <f t="shared" si="7"/>
        <v>62.3</v>
      </c>
      <c r="T54" s="72">
        <f t="shared" si="7"/>
        <v>21.4</v>
      </c>
      <c r="U54" s="72">
        <f t="shared" si="7"/>
        <v>0</v>
      </c>
      <c r="V54" s="72">
        <f t="shared" si="7"/>
        <v>0</v>
      </c>
      <c r="W54" s="72">
        <f t="shared" si="7"/>
        <v>21</v>
      </c>
      <c r="X54" s="72">
        <f t="shared" si="7"/>
        <v>70.100000000000009</v>
      </c>
      <c r="Y54" s="72">
        <f t="shared" si="7"/>
        <v>100.39999999999999</v>
      </c>
      <c r="Z54" s="72">
        <f t="shared" si="7"/>
        <v>0</v>
      </c>
      <c r="AA54" s="72">
        <f t="shared" si="7"/>
        <v>21</v>
      </c>
      <c r="AB54" s="72">
        <f t="shared" si="7"/>
        <v>20.8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100.39999999999999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-11.5</v>
      </c>
      <c r="F55" s="50">
        <v>-16.5</v>
      </c>
      <c r="G55" s="50">
        <v>-16.8</v>
      </c>
      <c r="H55" s="50">
        <v>-13.8</v>
      </c>
      <c r="I55" s="50">
        <v>-20.8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81">
        <v>21</v>
      </c>
      <c r="Z55" s="50"/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21</v>
      </c>
      <c r="AI55" s="56">
        <f t="shared" si="3"/>
        <v>-20.8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81">
        <v>0</v>
      </c>
      <c r="Z56" s="80"/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66" t="s">
        <v>64</v>
      </c>
      <c r="B57" s="52">
        <v>-55</v>
      </c>
      <c r="C57" s="52">
        <v>-68</v>
      </c>
      <c r="D57" s="52">
        <v>-98</v>
      </c>
      <c r="E57" s="52">
        <v>-80</v>
      </c>
      <c r="F57" s="52">
        <v>-58</v>
      </c>
      <c r="G57" s="50">
        <v>-10.5</v>
      </c>
      <c r="H57" s="50">
        <v>-41.8</v>
      </c>
      <c r="I57" s="50">
        <v>0</v>
      </c>
      <c r="J57" s="50">
        <v>1.6</v>
      </c>
      <c r="K57" s="50">
        <v>-30</v>
      </c>
      <c r="L57" s="52">
        <v>-26</v>
      </c>
      <c r="M57" s="52">
        <v>-27.6</v>
      </c>
      <c r="N57" s="52">
        <v>-32</v>
      </c>
      <c r="O57" s="52">
        <v>-5</v>
      </c>
      <c r="P57" s="52">
        <v>-36.299999999999997</v>
      </c>
      <c r="Q57" s="52">
        <v>-19.8</v>
      </c>
      <c r="R57" s="52">
        <v>12.6</v>
      </c>
      <c r="S57" s="52">
        <v>-50.4</v>
      </c>
      <c r="T57" s="52">
        <v>-69.900000000000006</v>
      </c>
      <c r="U57" s="52">
        <v>-49.9</v>
      </c>
      <c r="V57" s="52">
        <v>-42.2</v>
      </c>
      <c r="W57" s="52">
        <v>-46.5</v>
      </c>
      <c r="X57" s="52">
        <v>-11.7</v>
      </c>
      <c r="Y57" s="81">
        <v>-70.099999999999994</v>
      </c>
      <c r="Z57" s="81"/>
      <c r="AA57" s="52">
        <v>-60.2</v>
      </c>
      <c r="AB57" s="52">
        <v>-58.6</v>
      </c>
      <c r="AC57" s="52">
        <v>-45</v>
      </c>
      <c r="AD57" s="52">
        <v>-46.2</v>
      </c>
      <c r="AE57" s="52">
        <v>-10</v>
      </c>
      <c r="AF57" s="52">
        <v>-55</v>
      </c>
      <c r="AG57" s="82"/>
      <c r="AH57" s="55">
        <f t="shared" si="2"/>
        <v>12.6</v>
      </c>
      <c r="AI57" s="56">
        <f t="shared" si="3"/>
        <v>-98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81">
        <v>0</v>
      </c>
      <c r="Z58" s="52"/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81">
        <v>0</v>
      </c>
      <c r="Z59" s="50"/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81">
        <v>0</v>
      </c>
      <c r="Z60" s="61"/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81">
        <v>0</v>
      </c>
      <c r="Z61" s="61"/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10</v>
      </c>
      <c r="C62" s="59">
        <v>10</v>
      </c>
      <c r="D62" s="59">
        <v>10</v>
      </c>
      <c r="E62" s="59">
        <v>10</v>
      </c>
      <c r="F62" s="59">
        <v>10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81">
        <v>0</v>
      </c>
      <c r="Z62" s="59"/>
      <c r="AA62" s="59">
        <v>8</v>
      </c>
      <c r="AB62" s="59">
        <v>8</v>
      </c>
      <c r="AC62" s="59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81">
        <v>0</v>
      </c>
      <c r="Z63" s="59"/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81">
        <v>0</v>
      </c>
      <c r="Z64" s="84"/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/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81">
        <v>0</v>
      </c>
      <c r="Z65" s="84"/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-45</v>
      </c>
      <c r="C66" s="72">
        <f t="shared" ref="C66:AF66" si="8">SUM(C55:C65)</f>
        <v>-58</v>
      </c>
      <c r="D66" s="72">
        <f t="shared" si="8"/>
        <v>-88</v>
      </c>
      <c r="E66" s="72">
        <f t="shared" si="8"/>
        <v>-81.5</v>
      </c>
      <c r="F66" s="72">
        <f t="shared" si="8"/>
        <v>-64.5</v>
      </c>
      <c r="G66" s="72">
        <f t="shared" si="8"/>
        <v>-27.3</v>
      </c>
      <c r="H66" s="72">
        <f t="shared" si="8"/>
        <v>-55.599999999999994</v>
      </c>
      <c r="I66" s="72">
        <f t="shared" si="8"/>
        <v>-20.8</v>
      </c>
      <c r="J66" s="72">
        <f t="shared" si="8"/>
        <v>1.6</v>
      </c>
      <c r="K66" s="72">
        <f t="shared" si="8"/>
        <v>-30</v>
      </c>
      <c r="L66" s="72">
        <f t="shared" si="8"/>
        <v>-26</v>
      </c>
      <c r="M66" s="72">
        <f t="shared" si="8"/>
        <v>-27.6</v>
      </c>
      <c r="N66" s="72">
        <f t="shared" si="8"/>
        <v>-32</v>
      </c>
      <c r="O66" s="72">
        <f t="shared" si="8"/>
        <v>-5</v>
      </c>
      <c r="P66" s="72">
        <f t="shared" si="8"/>
        <v>-36.299999999999997</v>
      </c>
      <c r="Q66" s="72">
        <f t="shared" si="8"/>
        <v>-19.8</v>
      </c>
      <c r="R66" s="72">
        <f t="shared" si="8"/>
        <v>12.6</v>
      </c>
      <c r="S66" s="72">
        <f t="shared" si="8"/>
        <v>-50.4</v>
      </c>
      <c r="T66" s="72">
        <f t="shared" si="8"/>
        <v>-69.900000000000006</v>
      </c>
      <c r="U66" s="72">
        <f t="shared" si="8"/>
        <v>-49.9</v>
      </c>
      <c r="V66" s="72">
        <f t="shared" si="8"/>
        <v>-42.2</v>
      </c>
      <c r="W66" s="72">
        <f>SUM(W55:W65)</f>
        <v>-46.5</v>
      </c>
      <c r="X66" s="72">
        <f>SUM(X55:X65)</f>
        <v>-11.7</v>
      </c>
      <c r="Y66" s="72">
        <f t="shared" si="8"/>
        <v>-49.099999999999994</v>
      </c>
      <c r="Z66" s="72">
        <f t="shared" si="8"/>
        <v>0</v>
      </c>
      <c r="AA66" s="72">
        <f t="shared" si="8"/>
        <v>-52.2</v>
      </c>
      <c r="AB66" s="72">
        <f t="shared" si="8"/>
        <v>-50.6</v>
      </c>
      <c r="AC66" s="72">
        <f t="shared" si="8"/>
        <v>-37</v>
      </c>
      <c r="AD66" s="72">
        <f t="shared" si="8"/>
        <v>-38.200000000000003</v>
      </c>
      <c r="AE66" s="72">
        <f t="shared" si="8"/>
        <v>-2</v>
      </c>
      <c r="AF66" s="72">
        <f t="shared" si="8"/>
        <v>-47</v>
      </c>
      <c r="AG66" s="77">
        <f>SUM(AG55:AG65)</f>
        <v>0</v>
      </c>
      <c r="AH66" s="55">
        <f t="shared" si="2"/>
        <v>12.6</v>
      </c>
      <c r="AI66" s="56">
        <f t="shared" si="3"/>
        <v>-88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1220.24</v>
      </c>
      <c r="C71" s="87">
        <f t="shared" ref="C71:AG71" si="10">C66+C54+C50+C36+C70</f>
        <v>1207.24</v>
      </c>
      <c r="D71" s="87">
        <f t="shared" si="10"/>
        <v>1156.3400000000001</v>
      </c>
      <c r="E71" s="87">
        <f t="shared" si="10"/>
        <v>1143.44</v>
      </c>
      <c r="F71" s="87">
        <f t="shared" si="10"/>
        <v>1161.3400000000001</v>
      </c>
      <c r="G71" s="87">
        <f t="shared" si="10"/>
        <v>1199.04</v>
      </c>
      <c r="H71" s="87">
        <f t="shared" si="10"/>
        <v>1175.94</v>
      </c>
      <c r="I71" s="87">
        <f t="shared" si="10"/>
        <v>1219.6400000000001</v>
      </c>
      <c r="J71" s="87">
        <f t="shared" si="10"/>
        <v>1292.44</v>
      </c>
      <c r="K71" s="87">
        <f t="shared" si="10"/>
        <v>1260.3400000000001</v>
      </c>
      <c r="L71" s="87">
        <f t="shared" si="10"/>
        <v>1367.54</v>
      </c>
      <c r="M71" s="87">
        <f t="shared" si="10"/>
        <v>1366.04</v>
      </c>
      <c r="N71" s="87">
        <f t="shared" si="10"/>
        <v>1382.24</v>
      </c>
      <c r="O71" s="87">
        <f t="shared" si="10"/>
        <v>1388.54</v>
      </c>
      <c r="P71" s="87">
        <f t="shared" si="10"/>
        <v>1391.64</v>
      </c>
      <c r="Q71" s="87">
        <f t="shared" si="10"/>
        <v>1369.3400000000001</v>
      </c>
      <c r="R71" s="87">
        <f t="shared" si="10"/>
        <v>1313.14</v>
      </c>
      <c r="S71" s="87">
        <f t="shared" si="10"/>
        <v>1288.6400000000001</v>
      </c>
      <c r="T71" s="87">
        <f t="shared" si="10"/>
        <v>1340.3400000000001</v>
      </c>
      <c r="U71" s="87">
        <f t="shared" si="10"/>
        <v>1329.44</v>
      </c>
      <c r="V71" s="87">
        <f t="shared" si="10"/>
        <v>1353.74</v>
      </c>
      <c r="W71" s="87">
        <f t="shared" si="10"/>
        <v>1401.54</v>
      </c>
      <c r="X71" s="87">
        <f t="shared" si="10"/>
        <v>1486.94</v>
      </c>
      <c r="Y71" s="87">
        <f t="shared" si="10"/>
        <v>1446.1</v>
      </c>
      <c r="Z71" s="87">
        <f t="shared" si="10"/>
        <v>29.54</v>
      </c>
      <c r="AA71" s="87">
        <f t="shared" si="10"/>
        <v>1397.3400000000001</v>
      </c>
      <c r="AB71" s="87">
        <f t="shared" si="10"/>
        <v>1394.8400000000001</v>
      </c>
      <c r="AC71" s="87">
        <f t="shared" si="10"/>
        <v>1356.3400000000001</v>
      </c>
      <c r="AD71" s="87">
        <f t="shared" si="10"/>
        <v>1282.1399999999999</v>
      </c>
      <c r="AE71" s="87">
        <f t="shared" si="10"/>
        <v>1245.54</v>
      </c>
      <c r="AF71" s="87">
        <f t="shared" si="10"/>
        <v>1219.54</v>
      </c>
      <c r="AG71" s="87">
        <f t="shared" si="10"/>
        <v>2083.14</v>
      </c>
      <c r="AH71" s="55">
        <f t="shared" si="2"/>
        <v>1486.94</v>
      </c>
      <c r="AI71" s="56">
        <f t="shared" si="3"/>
        <v>29.54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1220.24</v>
      </c>
      <c r="C73" s="87">
        <f t="shared" ref="C73:AF73" si="11">C70+C66+C54+C50+C36+C72</f>
        <v>1207.24</v>
      </c>
      <c r="D73" s="87">
        <f t="shared" si="11"/>
        <v>1156.3400000000001</v>
      </c>
      <c r="E73" s="87">
        <f t="shared" si="11"/>
        <v>1143.44</v>
      </c>
      <c r="F73" s="87">
        <f t="shared" si="11"/>
        <v>1161.3400000000001</v>
      </c>
      <c r="G73" s="87">
        <f t="shared" si="11"/>
        <v>1199.04</v>
      </c>
      <c r="H73" s="87">
        <f t="shared" si="11"/>
        <v>1175.94</v>
      </c>
      <c r="I73" s="87">
        <f t="shared" si="11"/>
        <v>1219.6400000000001</v>
      </c>
      <c r="J73" s="87">
        <f t="shared" si="11"/>
        <v>1292.44</v>
      </c>
      <c r="K73" s="87">
        <f t="shared" si="11"/>
        <v>1260.3400000000001</v>
      </c>
      <c r="L73" s="87">
        <f t="shared" si="11"/>
        <v>1367.54</v>
      </c>
      <c r="M73" s="87">
        <f t="shared" si="11"/>
        <v>1366.04</v>
      </c>
      <c r="N73" s="87">
        <f t="shared" si="11"/>
        <v>1382.24</v>
      </c>
      <c r="O73" s="87">
        <f t="shared" si="11"/>
        <v>1388.54</v>
      </c>
      <c r="P73" s="87">
        <f t="shared" si="11"/>
        <v>1391.64</v>
      </c>
      <c r="Q73" s="87">
        <f t="shared" si="11"/>
        <v>1369.3400000000001</v>
      </c>
      <c r="R73" s="87">
        <f t="shared" si="11"/>
        <v>1313.14</v>
      </c>
      <c r="S73" s="87">
        <f t="shared" si="11"/>
        <v>1288.6400000000001</v>
      </c>
      <c r="T73" s="87">
        <f t="shared" si="11"/>
        <v>1340.3400000000001</v>
      </c>
      <c r="U73" s="87">
        <f t="shared" si="11"/>
        <v>1329.44</v>
      </c>
      <c r="V73" s="87">
        <f t="shared" si="11"/>
        <v>1353.74</v>
      </c>
      <c r="W73" s="87">
        <f t="shared" si="11"/>
        <v>1401.54</v>
      </c>
      <c r="X73" s="87">
        <f t="shared" si="11"/>
        <v>1486.94</v>
      </c>
      <c r="Y73" s="87">
        <f t="shared" si="11"/>
        <v>1446.1</v>
      </c>
      <c r="Z73" s="87">
        <f t="shared" si="11"/>
        <v>29.54</v>
      </c>
      <c r="AA73" s="87">
        <f t="shared" si="11"/>
        <v>1397.3400000000001</v>
      </c>
      <c r="AB73" s="87">
        <f t="shared" si="11"/>
        <v>1394.8400000000001</v>
      </c>
      <c r="AC73" s="87">
        <f t="shared" si="11"/>
        <v>1356.3400000000001</v>
      </c>
      <c r="AD73" s="87">
        <f t="shared" si="11"/>
        <v>1282.1399999999999</v>
      </c>
      <c r="AE73" s="87">
        <f t="shared" si="11"/>
        <v>1245.54</v>
      </c>
      <c r="AF73" s="87">
        <f t="shared" si="11"/>
        <v>1219.54</v>
      </c>
      <c r="AG73" s="77">
        <f>AG70+AG66+AG54+AG50+AG36+AG72</f>
        <v>2083.14</v>
      </c>
      <c r="AH73" s="55">
        <f t="shared" si="2"/>
        <v>1486.94</v>
      </c>
      <c r="AI73" s="56">
        <f t="shared" si="3"/>
        <v>29.54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>IF(W58&lt;0,W58*-1,0)</f>
        <v>0</v>
      </c>
      <c r="X74" s="59">
        <f>IF(X58&lt;0,X58*-1,0)</f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>IF(W56&lt;0,W56*-1,0)</f>
        <v>0</v>
      </c>
      <c r="X75" s="59">
        <f>IF(X56&lt;0,X56*-1,0)</f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0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>IF(W59&lt;0,W59*-1,0)</f>
        <v>0</v>
      </c>
      <c r="X76" s="59">
        <f>IF(X59&lt;0,X59*-1,0)</f>
        <v>0</v>
      </c>
      <c r="Y76" s="59">
        <f t="shared" si="14"/>
        <v>0</v>
      </c>
      <c r="Z76" s="59">
        <f t="shared" si="14"/>
        <v>0</v>
      </c>
      <c r="AA76" s="59">
        <f t="shared" si="14"/>
        <v>0</v>
      </c>
      <c r="AB76" s="59">
        <f t="shared" si="14"/>
        <v>0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55</v>
      </c>
      <c r="C77" s="59">
        <f t="shared" ref="C77:AF77" si="15">IF(C57&lt;0,C57*-1,0)</f>
        <v>68</v>
      </c>
      <c r="D77" s="59">
        <f t="shared" si="15"/>
        <v>98</v>
      </c>
      <c r="E77" s="59">
        <f t="shared" si="15"/>
        <v>80</v>
      </c>
      <c r="F77" s="59">
        <f t="shared" si="15"/>
        <v>58</v>
      </c>
      <c r="G77" s="59">
        <f t="shared" si="15"/>
        <v>10.5</v>
      </c>
      <c r="H77" s="59">
        <f t="shared" si="15"/>
        <v>41.8</v>
      </c>
      <c r="I77" s="59">
        <f t="shared" si="15"/>
        <v>0</v>
      </c>
      <c r="J77" s="59">
        <f t="shared" si="15"/>
        <v>0</v>
      </c>
      <c r="K77" s="59">
        <f t="shared" si="15"/>
        <v>30</v>
      </c>
      <c r="L77" s="59">
        <f t="shared" si="15"/>
        <v>26</v>
      </c>
      <c r="M77" s="59">
        <f t="shared" si="15"/>
        <v>27.6</v>
      </c>
      <c r="N77" s="59">
        <f t="shared" si="15"/>
        <v>32</v>
      </c>
      <c r="O77" s="59">
        <f t="shared" si="15"/>
        <v>5</v>
      </c>
      <c r="P77" s="59">
        <f t="shared" si="15"/>
        <v>36.299999999999997</v>
      </c>
      <c r="Q77" s="59">
        <f t="shared" si="15"/>
        <v>19.8</v>
      </c>
      <c r="R77" s="59">
        <f t="shared" si="15"/>
        <v>0</v>
      </c>
      <c r="S77" s="59">
        <f t="shared" si="15"/>
        <v>50.4</v>
      </c>
      <c r="T77" s="59">
        <f t="shared" si="15"/>
        <v>69.900000000000006</v>
      </c>
      <c r="U77" s="59">
        <f t="shared" si="15"/>
        <v>49.9</v>
      </c>
      <c r="V77" s="59">
        <f t="shared" si="15"/>
        <v>42.2</v>
      </c>
      <c r="W77" s="59">
        <f>IF(W57&lt;0,W57*-1,0)</f>
        <v>46.5</v>
      </c>
      <c r="X77" s="59">
        <f>IF(X57&lt;0,X57*-1,0)</f>
        <v>11.7</v>
      </c>
      <c r="Y77" s="59">
        <f t="shared" si="15"/>
        <v>70.099999999999994</v>
      </c>
      <c r="Z77" s="59">
        <f t="shared" si="15"/>
        <v>0</v>
      </c>
      <c r="AA77" s="59">
        <f t="shared" si="15"/>
        <v>60.2</v>
      </c>
      <c r="AB77" s="59">
        <f t="shared" si="15"/>
        <v>58.6</v>
      </c>
      <c r="AC77" s="59">
        <f t="shared" si="15"/>
        <v>45</v>
      </c>
      <c r="AD77" s="59">
        <f t="shared" si="15"/>
        <v>46.2</v>
      </c>
      <c r="AE77" s="59">
        <f t="shared" si="15"/>
        <v>10</v>
      </c>
      <c r="AF77" s="59">
        <f t="shared" si="15"/>
        <v>55</v>
      </c>
      <c r="AG77" s="90"/>
      <c r="AH77" s="55">
        <f t="shared" ref="AH77:AH89" si="16">MAX(B77:AF77)</f>
        <v>98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11.5</v>
      </c>
      <c r="F78" s="59">
        <f t="shared" si="18"/>
        <v>16.5</v>
      </c>
      <c r="G78" s="59">
        <f t="shared" si="18"/>
        <v>16.8</v>
      </c>
      <c r="H78" s="59">
        <f t="shared" si="18"/>
        <v>13.8</v>
      </c>
      <c r="I78" s="59">
        <f t="shared" si="18"/>
        <v>20.8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>IF(W55&lt;0,W55*-1,0)</f>
        <v>0</v>
      </c>
      <c r="X78" s="59">
        <f>IF(X55&lt;0,X55*-1,0)</f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20.8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55</v>
      </c>
      <c r="C80" s="72">
        <f t="shared" si="19"/>
        <v>68</v>
      </c>
      <c r="D80" s="72">
        <f t="shared" si="19"/>
        <v>98</v>
      </c>
      <c r="E80" s="72">
        <f t="shared" si="19"/>
        <v>91.5</v>
      </c>
      <c r="F80" s="72">
        <f t="shared" si="19"/>
        <v>74.5</v>
      </c>
      <c r="G80" s="72">
        <f t="shared" si="19"/>
        <v>27.3</v>
      </c>
      <c r="H80" s="72">
        <f t="shared" si="19"/>
        <v>55.599999999999994</v>
      </c>
      <c r="I80" s="72">
        <f t="shared" si="19"/>
        <v>20.8</v>
      </c>
      <c r="J80" s="72">
        <f t="shared" si="19"/>
        <v>0</v>
      </c>
      <c r="K80" s="72">
        <f t="shared" si="19"/>
        <v>30</v>
      </c>
      <c r="L80" s="72">
        <f t="shared" si="19"/>
        <v>26</v>
      </c>
      <c r="M80" s="72">
        <f t="shared" si="19"/>
        <v>27.6</v>
      </c>
      <c r="N80" s="72">
        <f t="shared" si="19"/>
        <v>32</v>
      </c>
      <c r="O80" s="72">
        <f t="shared" si="19"/>
        <v>5</v>
      </c>
      <c r="P80" s="72">
        <f t="shared" si="19"/>
        <v>36.299999999999997</v>
      </c>
      <c r="Q80" s="72">
        <f t="shared" si="19"/>
        <v>19.8</v>
      </c>
      <c r="R80" s="72">
        <f t="shared" si="19"/>
        <v>0</v>
      </c>
      <c r="S80" s="72">
        <f t="shared" si="19"/>
        <v>50.4</v>
      </c>
      <c r="T80" s="72">
        <f t="shared" si="19"/>
        <v>69.900000000000006</v>
      </c>
      <c r="U80" s="72">
        <f t="shared" si="19"/>
        <v>49.9</v>
      </c>
      <c r="V80" s="72">
        <f t="shared" si="19"/>
        <v>42.2</v>
      </c>
      <c r="W80" s="72">
        <f t="shared" si="19"/>
        <v>46.5</v>
      </c>
      <c r="X80" s="72">
        <f t="shared" si="19"/>
        <v>11.7</v>
      </c>
      <c r="Y80" s="72">
        <f t="shared" si="19"/>
        <v>70.099999999999994</v>
      </c>
      <c r="Z80" s="72">
        <f t="shared" si="19"/>
        <v>0</v>
      </c>
      <c r="AA80" s="72">
        <f t="shared" si="19"/>
        <v>60.2</v>
      </c>
      <c r="AB80" s="72">
        <f t="shared" si="19"/>
        <v>58.6</v>
      </c>
      <c r="AC80" s="72">
        <f t="shared" si="19"/>
        <v>45</v>
      </c>
      <c r="AD80" s="72">
        <f t="shared" si="19"/>
        <v>46.2</v>
      </c>
      <c r="AE80" s="72">
        <f t="shared" si="19"/>
        <v>10</v>
      </c>
      <c r="AF80" s="72">
        <f t="shared" si="19"/>
        <v>55</v>
      </c>
      <c r="AG80" s="77">
        <f t="shared" si="19"/>
        <v>0</v>
      </c>
      <c r="AH80" s="55">
        <f t="shared" si="16"/>
        <v>98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2550.48</v>
      </c>
      <c r="C81" s="72">
        <f t="shared" si="20"/>
        <v>2550.48</v>
      </c>
      <c r="D81" s="72">
        <f t="shared" si="20"/>
        <v>2508.6800000000003</v>
      </c>
      <c r="E81" s="72">
        <f t="shared" si="20"/>
        <v>2469.88</v>
      </c>
      <c r="F81" s="72">
        <f t="shared" si="20"/>
        <v>2471.6800000000003</v>
      </c>
      <c r="G81" s="72">
        <f t="shared" si="20"/>
        <v>2452.6800000000003</v>
      </c>
      <c r="H81" s="72">
        <f t="shared" si="20"/>
        <v>2463.0800000000004</v>
      </c>
      <c r="I81" s="72">
        <f t="shared" si="20"/>
        <v>2480.8800000000006</v>
      </c>
      <c r="J81" s="72">
        <f t="shared" si="20"/>
        <v>2584.88</v>
      </c>
      <c r="K81" s="72">
        <f t="shared" si="20"/>
        <v>2580.6800000000003</v>
      </c>
      <c r="L81" s="72">
        <f t="shared" si="20"/>
        <v>2787.08</v>
      </c>
      <c r="M81" s="72">
        <f t="shared" si="20"/>
        <v>2787.2799999999997</v>
      </c>
      <c r="N81" s="72">
        <f t="shared" si="20"/>
        <v>2828.48</v>
      </c>
      <c r="O81" s="72">
        <f t="shared" si="20"/>
        <v>2787.08</v>
      </c>
      <c r="P81" s="72">
        <f t="shared" si="20"/>
        <v>2855.8800000000006</v>
      </c>
      <c r="Q81" s="72">
        <f t="shared" si="20"/>
        <v>2778.2800000000007</v>
      </c>
      <c r="R81" s="72">
        <f t="shared" si="20"/>
        <v>2626.28</v>
      </c>
      <c r="S81" s="72">
        <f t="shared" si="20"/>
        <v>2678.0800000000004</v>
      </c>
      <c r="T81" s="72">
        <f t="shared" si="20"/>
        <v>2820.4800000000005</v>
      </c>
      <c r="U81" s="72">
        <f t="shared" si="20"/>
        <v>2758.6800000000003</v>
      </c>
      <c r="V81" s="72">
        <f t="shared" si="20"/>
        <v>2791.8799999999997</v>
      </c>
      <c r="W81" s="72">
        <f t="shared" si="20"/>
        <v>2896.08</v>
      </c>
      <c r="X81" s="72">
        <f t="shared" si="20"/>
        <v>2997.2799999999997</v>
      </c>
      <c r="Y81" s="72">
        <f t="shared" si="20"/>
        <v>3032.3999999999996</v>
      </c>
      <c r="Z81" s="72">
        <f t="shared" si="20"/>
        <v>59.08</v>
      </c>
      <c r="AA81" s="72">
        <f t="shared" si="20"/>
        <v>2915.08</v>
      </c>
      <c r="AB81" s="72">
        <f t="shared" si="20"/>
        <v>2906.88</v>
      </c>
      <c r="AC81" s="72">
        <f t="shared" si="20"/>
        <v>2802.6800000000003</v>
      </c>
      <c r="AD81" s="72">
        <f t="shared" si="20"/>
        <v>2656.6799999999994</v>
      </c>
      <c r="AE81" s="72">
        <f t="shared" si="20"/>
        <v>2511.08</v>
      </c>
      <c r="AF81" s="72">
        <f t="shared" si="20"/>
        <v>2549.08</v>
      </c>
      <c r="AG81" s="77">
        <f t="shared" si="20"/>
        <v>4238.08</v>
      </c>
      <c r="AH81" s="55">
        <f t="shared" si="16"/>
        <v>3032.3999999999996</v>
      </c>
      <c r="AI81" s="56">
        <f t="shared" si="17"/>
        <v>59.08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49.973999999999997</v>
      </c>
      <c r="C82" s="93">
        <v>49.973999999999997</v>
      </c>
      <c r="D82" s="93">
        <v>49.973999999999997</v>
      </c>
      <c r="E82" s="93">
        <v>50</v>
      </c>
      <c r="F82" s="93">
        <v>49.89</v>
      </c>
      <c r="G82" s="93">
        <v>50.015000000000001</v>
      </c>
      <c r="H82" s="93">
        <v>50.048999999999999</v>
      </c>
      <c r="I82" s="93">
        <v>50.033999999999999</v>
      </c>
      <c r="J82" s="93">
        <v>50.048999999999999</v>
      </c>
      <c r="K82" s="93">
        <v>50.02</v>
      </c>
      <c r="L82" s="93">
        <v>50.039000000000001</v>
      </c>
      <c r="M82" s="93">
        <v>50.06</v>
      </c>
      <c r="N82" s="93">
        <v>50.088000000000001</v>
      </c>
      <c r="O82" s="93">
        <v>50.051000000000002</v>
      </c>
      <c r="P82" s="93">
        <v>50.042000000000002</v>
      </c>
      <c r="Q82" s="93">
        <v>50.110999999999997</v>
      </c>
      <c r="R82" s="93">
        <v>50.110999999999997</v>
      </c>
      <c r="S82" s="93">
        <v>49.97</v>
      </c>
      <c r="T82" s="93">
        <v>50.029000000000003</v>
      </c>
      <c r="U82" s="93">
        <v>50.04</v>
      </c>
      <c r="V82" s="93">
        <v>49.95</v>
      </c>
      <c r="W82" s="93">
        <v>50</v>
      </c>
      <c r="X82" s="93">
        <v>50.04</v>
      </c>
      <c r="Y82" s="93">
        <v>50.06</v>
      </c>
      <c r="Z82" s="93"/>
      <c r="AA82" s="93">
        <v>50.04</v>
      </c>
      <c r="AB82" s="93">
        <v>49.99</v>
      </c>
      <c r="AC82" s="93">
        <v>49.99</v>
      </c>
      <c r="AD82" s="93">
        <v>49.98</v>
      </c>
      <c r="AE82" s="93">
        <v>50</v>
      </c>
      <c r="AF82" s="94">
        <v>49.94</v>
      </c>
      <c r="AG82" s="95"/>
      <c r="AH82" s="55">
        <f t="shared" si="16"/>
        <v>50.110999999999997</v>
      </c>
      <c r="AI82" s="56">
        <f t="shared" si="17"/>
        <v>49.89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125.8</v>
      </c>
      <c r="C83" s="52">
        <v>125.8</v>
      </c>
      <c r="D83" s="52">
        <v>125.8</v>
      </c>
      <c r="E83" s="52">
        <v>126.5</v>
      </c>
      <c r="F83" s="52">
        <v>126.1</v>
      </c>
      <c r="G83" s="52">
        <v>125.4</v>
      </c>
      <c r="H83" s="52">
        <v>1265</v>
      </c>
      <c r="I83" s="52">
        <v>124.7</v>
      </c>
      <c r="J83" s="52">
        <v>124.5</v>
      </c>
      <c r="K83" s="52">
        <v>122.2</v>
      </c>
      <c r="L83" s="52">
        <v>121.8</v>
      </c>
      <c r="M83" s="52">
        <v>121.3</v>
      </c>
      <c r="N83" s="52">
        <v>121.3</v>
      </c>
      <c r="O83" s="52">
        <v>119.9</v>
      </c>
      <c r="P83" s="52">
        <v>120.8</v>
      </c>
      <c r="Q83" s="52">
        <v>121.7</v>
      </c>
      <c r="R83" s="52">
        <v>123.7</v>
      </c>
      <c r="S83" s="52">
        <v>124.6</v>
      </c>
      <c r="T83" s="97">
        <v>123.3</v>
      </c>
      <c r="U83" s="97">
        <v>123.5</v>
      </c>
      <c r="V83" s="97">
        <v>122.1</v>
      </c>
      <c r="W83" s="97">
        <v>123.8</v>
      </c>
      <c r="X83" s="97">
        <v>124.8</v>
      </c>
      <c r="Y83" s="97">
        <v>125.4</v>
      </c>
      <c r="Z83" s="97"/>
      <c r="AA83" s="52">
        <v>125.7</v>
      </c>
      <c r="AB83" s="52">
        <v>124.7</v>
      </c>
      <c r="AC83" s="52">
        <v>125</v>
      </c>
      <c r="AD83" s="52">
        <v>125.8</v>
      </c>
      <c r="AE83" s="52">
        <v>126</v>
      </c>
      <c r="AF83" s="98">
        <v>125.7</v>
      </c>
      <c r="AG83" s="99"/>
      <c r="AH83" s="55">
        <f t="shared" si="16"/>
        <v>1265</v>
      </c>
      <c r="AI83" s="56">
        <f t="shared" si="17"/>
        <v>119.9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130.1</v>
      </c>
      <c r="C84" s="52">
        <v>130.1</v>
      </c>
      <c r="D84" s="52">
        <v>130.1</v>
      </c>
      <c r="E84" s="52">
        <v>130.6</v>
      </c>
      <c r="F84" s="52">
        <v>130</v>
      </c>
      <c r="G84" s="52">
        <v>129.4</v>
      </c>
      <c r="H84" s="52">
        <v>129.80000000000001</v>
      </c>
      <c r="I84" s="52">
        <v>128.1</v>
      </c>
      <c r="J84" s="52">
        <v>127.98</v>
      </c>
      <c r="K84" s="52">
        <v>125.7</v>
      </c>
      <c r="L84" s="52">
        <v>12.3</v>
      </c>
      <c r="M84" s="52">
        <v>124.9</v>
      </c>
      <c r="N84" s="52">
        <v>124.9</v>
      </c>
      <c r="O84" s="52">
        <v>123.7</v>
      </c>
      <c r="P84" s="52">
        <v>124.2</v>
      </c>
      <c r="Q84" s="52">
        <v>125.1</v>
      </c>
      <c r="R84" s="52">
        <v>126.3</v>
      </c>
      <c r="S84" s="52">
        <v>127.7</v>
      </c>
      <c r="T84" s="97">
        <v>126.7</v>
      </c>
      <c r="U84" s="97">
        <v>64.3</v>
      </c>
      <c r="V84" s="97">
        <v>125.9</v>
      </c>
      <c r="W84" s="97">
        <v>127.1</v>
      </c>
      <c r="X84" s="97">
        <v>127.9</v>
      </c>
      <c r="Y84" s="97">
        <v>128.80000000000001</v>
      </c>
      <c r="Z84" s="97"/>
      <c r="AA84" s="52">
        <v>129.30000000000001</v>
      </c>
      <c r="AB84" s="52">
        <v>128.5</v>
      </c>
      <c r="AC84" s="52">
        <v>129</v>
      </c>
      <c r="AD84" s="52">
        <v>130.19999999999999</v>
      </c>
      <c r="AE84" s="52">
        <v>130.5</v>
      </c>
      <c r="AF84" s="98">
        <v>130.4</v>
      </c>
      <c r="AG84" s="99"/>
      <c r="AH84" s="55">
        <f t="shared" si="16"/>
        <v>130.6</v>
      </c>
      <c r="AI84" s="56">
        <f t="shared" si="17"/>
        <v>12.3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127.7</v>
      </c>
      <c r="C85" s="52">
        <v>127.7</v>
      </c>
      <c r="D85" s="52">
        <v>127.7</v>
      </c>
      <c r="E85" s="52">
        <v>128.30000000000001</v>
      </c>
      <c r="F85" s="52">
        <v>129.6</v>
      </c>
      <c r="G85" s="52">
        <v>133.4</v>
      </c>
      <c r="H85" s="52">
        <v>132.19999999999999</v>
      </c>
      <c r="I85" s="52">
        <v>123.2</v>
      </c>
      <c r="J85" s="52">
        <v>127.4</v>
      </c>
      <c r="K85" s="52">
        <v>121.1</v>
      </c>
      <c r="L85" s="52">
        <v>122.5</v>
      </c>
      <c r="M85" s="52">
        <v>119.6</v>
      </c>
      <c r="N85" s="52">
        <v>119.6</v>
      </c>
      <c r="O85" s="52">
        <v>120.1</v>
      </c>
      <c r="P85" s="52">
        <v>122.5</v>
      </c>
      <c r="Q85" s="52">
        <v>125.9</v>
      </c>
      <c r="R85" s="52">
        <v>120.3</v>
      </c>
      <c r="S85" s="52">
        <v>123.4</v>
      </c>
      <c r="T85" s="52">
        <v>118.6</v>
      </c>
      <c r="U85" s="52">
        <v>127</v>
      </c>
      <c r="V85" s="52">
        <v>124.4</v>
      </c>
      <c r="W85" s="52">
        <v>123.3</v>
      </c>
      <c r="X85" s="52">
        <v>122.2</v>
      </c>
      <c r="Y85" s="97">
        <v>123.4</v>
      </c>
      <c r="Z85" s="97"/>
      <c r="AA85" s="52">
        <v>119.8</v>
      </c>
      <c r="AB85" s="52">
        <v>119.5</v>
      </c>
      <c r="AC85" s="52">
        <v>119.4</v>
      </c>
      <c r="AD85" s="52">
        <v>124.7</v>
      </c>
      <c r="AE85" s="52">
        <v>123.1</v>
      </c>
      <c r="AF85" s="98">
        <v>127.7</v>
      </c>
      <c r="AG85" s="99"/>
      <c r="AH85" s="55">
        <f t="shared" si="16"/>
        <v>133.4</v>
      </c>
      <c r="AI85" s="56">
        <f t="shared" si="17"/>
        <v>118.6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133.6</v>
      </c>
      <c r="C86" s="52">
        <v>133.6</v>
      </c>
      <c r="D86" s="52">
        <v>133.6</v>
      </c>
      <c r="E86" s="52">
        <v>133</v>
      </c>
      <c r="F86" s="52">
        <v>134.4</v>
      </c>
      <c r="G86" s="52">
        <v>133.30000000000001</v>
      </c>
      <c r="H86" s="52">
        <v>135.19999999999999</v>
      </c>
      <c r="I86" s="52">
        <v>125.7</v>
      </c>
      <c r="J86" s="52">
        <v>130.4</v>
      </c>
      <c r="K86" s="52">
        <v>124.5</v>
      </c>
      <c r="L86" s="52">
        <v>124.9</v>
      </c>
      <c r="M86" s="52">
        <v>123.2</v>
      </c>
      <c r="N86" s="52">
        <v>123.2</v>
      </c>
      <c r="O86" s="52">
        <v>122.6</v>
      </c>
      <c r="P86" s="52">
        <v>124.8</v>
      </c>
      <c r="Q86" s="52">
        <v>128.19999999999999</v>
      </c>
      <c r="R86" s="52">
        <v>121.3</v>
      </c>
      <c r="S86" s="52">
        <v>125.2</v>
      </c>
      <c r="T86" s="52">
        <v>121.6</v>
      </c>
      <c r="U86" s="52">
        <v>128.69999999999999</v>
      </c>
      <c r="V86" s="52">
        <v>126.3</v>
      </c>
      <c r="W86" s="52">
        <v>124.9</v>
      </c>
      <c r="X86" s="52">
        <v>125.3</v>
      </c>
      <c r="Y86" s="97">
        <v>126.1</v>
      </c>
      <c r="Z86" s="97"/>
      <c r="AA86" s="52">
        <v>123.7</v>
      </c>
      <c r="AB86" s="52">
        <v>123.8</v>
      </c>
      <c r="AC86" s="52">
        <v>123.1</v>
      </c>
      <c r="AD86" s="52">
        <v>130.69999999999999</v>
      </c>
      <c r="AE86" s="52">
        <v>127</v>
      </c>
      <c r="AF86" s="98">
        <v>131.4</v>
      </c>
      <c r="AG86" s="99"/>
      <c r="AH86" s="55">
        <f t="shared" si="16"/>
        <v>135.19999999999999</v>
      </c>
      <c r="AI86" s="56">
        <f t="shared" si="17"/>
        <v>121.3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131.30000000000001</v>
      </c>
      <c r="C87" s="101">
        <v>131.30000000000001</v>
      </c>
      <c r="D87" s="101">
        <v>131.30000000000001</v>
      </c>
      <c r="E87" s="101">
        <v>132</v>
      </c>
      <c r="F87" s="101">
        <v>132.5</v>
      </c>
      <c r="G87" s="101">
        <v>129.91</v>
      </c>
      <c r="H87" s="101">
        <v>135.5</v>
      </c>
      <c r="I87" s="101">
        <v>132.30000000000001</v>
      </c>
      <c r="J87" s="101">
        <v>136.19999999999999</v>
      </c>
      <c r="K87" s="101">
        <v>131.80000000000001</v>
      </c>
      <c r="L87" s="101">
        <v>131.6</v>
      </c>
      <c r="M87" s="101">
        <v>128.5</v>
      </c>
      <c r="N87" s="101">
        <v>128.5</v>
      </c>
      <c r="O87" s="101">
        <v>130.9</v>
      </c>
      <c r="P87" s="101">
        <v>132.4</v>
      </c>
      <c r="Q87" s="101">
        <v>131.19999999999999</v>
      </c>
      <c r="R87" s="101">
        <v>131.4</v>
      </c>
      <c r="S87" s="101">
        <v>132.80000000000001</v>
      </c>
      <c r="T87" s="101">
        <v>137.1</v>
      </c>
      <c r="U87" s="101">
        <v>131.69999999999999</v>
      </c>
      <c r="V87" s="101">
        <v>132</v>
      </c>
      <c r="W87" s="101">
        <v>131.9</v>
      </c>
      <c r="X87" s="101">
        <v>130.69999999999999</v>
      </c>
      <c r="Y87" s="97">
        <v>129.80000000000001</v>
      </c>
      <c r="Z87" s="97"/>
      <c r="AA87" s="101">
        <v>134</v>
      </c>
      <c r="AB87" s="101">
        <v>131.30000000000001</v>
      </c>
      <c r="AC87" s="101">
        <v>131.69999999999999</v>
      </c>
      <c r="AD87" s="101">
        <v>132.69999999999999</v>
      </c>
      <c r="AE87" s="101">
        <v>131.9</v>
      </c>
      <c r="AF87" s="102">
        <v>131.5</v>
      </c>
      <c r="AG87" s="103"/>
      <c r="AH87" s="55">
        <f t="shared" si="16"/>
        <v>137.1</v>
      </c>
      <c r="AI87" s="56">
        <f t="shared" si="17"/>
        <v>128.5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129.80000000000001</v>
      </c>
      <c r="C88" s="52">
        <v>129.80000000000001</v>
      </c>
      <c r="D88" s="52">
        <v>129.80000000000001</v>
      </c>
      <c r="E88" s="52">
        <v>129</v>
      </c>
      <c r="F88" s="52">
        <v>129.30000000000001</v>
      </c>
      <c r="G88" s="52">
        <v>129.9</v>
      </c>
      <c r="H88" s="52">
        <v>1333.3</v>
      </c>
      <c r="I88" s="52">
        <v>129.6</v>
      </c>
      <c r="J88" s="52">
        <v>135.30000000000001</v>
      </c>
      <c r="K88" s="52">
        <v>129.80000000000001</v>
      </c>
      <c r="L88" s="52">
        <v>130</v>
      </c>
      <c r="M88" s="52">
        <v>123.7</v>
      </c>
      <c r="N88" s="52">
        <v>123.7</v>
      </c>
      <c r="O88" s="52">
        <v>128.6</v>
      </c>
      <c r="P88" s="52">
        <v>132.1</v>
      </c>
      <c r="Q88" s="52">
        <v>130.19999999999999</v>
      </c>
      <c r="R88" s="52">
        <v>128.30000000000001</v>
      </c>
      <c r="S88" s="52">
        <v>127.7</v>
      </c>
      <c r="T88" s="52">
        <v>137.6</v>
      </c>
      <c r="U88" s="52">
        <v>129</v>
      </c>
      <c r="V88" s="52">
        <v>130.19999999999999</v>
      </c>
      <c r="W88" s="52">
        <v>130.6</v>
      </c>
      <c r="X88" s="52">
        <v>127.3</v>
      </c>
      <c r="Y88" s="97">
        <v>122.7</v>
      </c>
      <c r="Z88" s="97"/>
      <c r="AA88" s="52">
        <v>128.1</v>
      </c>
      <c r="AB88" s="52">
        <v>125.5</v>
      </c>
      <c r="AC88" s="52">
        <v>128.19999999999999</v>
      </c>
      <c r="AD88" s="52">
        <v>128.1</v>
      </c>
      <c r="AE88" s="52">
        <v>129.4</v>
      </c>
      <c r="AF88" s="98">
        <v>129.19999999999999</v>
      </c>
      <c r="AG88" s="99"/>
      <c r="AH88" s="55">
        <f t="shared" si="16"/>
        <v>1333.3</v>
      </c>
      <c r="AI88" s="56">
        <f t="shared" si="17"/>
        <v>122.7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66.3</v>
      </c>
      <c r="C89" s="104">
        <v>66.3</v>
      </c>
      <c r="D89" s="104">
        <v>66.3</v>
      </c>
      <c r="E89" s="104">
        <v>66.3</v>
      </c>
      <c r="F89" s="104">
        <v>66</v>
      </c>
      <c r="G89" s="104">
        <v>66</v>
      </c>
      <c r="H89" s="104">
        <v>66.400000000000006</v>
      </c>
      <c r="I89" s="104">
        <v>65.3</v>
      </c>
      <c r="J89" s="104">
        <v>65</v>
      </c>
      <c r="K89" s="104">
        <v>63.8</v>
      </c>
      <c r="L89" s="104">
        <v>63.7</v>
      </c>
      <c r="M89" s="104">
        <v>63.7</v>
      </c>
      <c r="N89" s="104">
        <v>63.7</v>
      </c>
      <c r="O89" s="104">
        <v>63</v>
      </c>
      <c r="P89" s="104">
        <v>63.1</v>
      </c>
      <c r="Q89" s="104">
        <v>63.7</v>
      </c>
      <c r="R89" s="104">
        <v>64.099999999999994</v>
      </c>
      <c r="S89" s="104">
        <v>64.400000000000006</v>
      </c>
      <c r="T89" s="104">
        <v>64.099999999999994</v>
      </c>
      <c r="U89" s="104">
        <v>64.3</v>
      </c>
      <c r="V89" s="104">
        <v>63.7</v>
      </c>
      <c r="W89" s="104">
        <v>64.5</v>
      </c>
      <c r="X89" s="104">
        <v>64.900000000000006</v>
      </c>
      <c r="Y89" s="104">
        <v>65.400000000000006</v>
      </c>
      <c r="Z89" s="104"/>
      <c r="AA89" s="104">
        <v>65.5</v>
      </c>
      <c r="AB89" s="104">
        <v>65.099999999999994</v>
      </c>
      <c r="AC89" s="104">
        <v>65.3</v>
      </c>
      <c r="AD89" s="104">
        <v>66.099999999999994</v>
      </c>
      <c r="AE89" s="104">
        <v>66.3</v>
      </c>
      <c r="AF89" s="105">
        <v>66.3</v>
      </c>
      <c r="AG89" s="106"/>
      <c r="AH89" s="55">
        <f t="shared" si="16"/>
        <v>66.400000000000006</v>
      </c>
      <c r="AI89" s="56">
        <f t="shared" si="17"/>
        <v>63</v>
      </c>
    </row>
    <row r="90" spans="1:88" ht="15.75" thickBot="1" x14ac:dyDescent="0.3">
      <c r="A90" s="107"/>
      <c r="B90" s="108">
        <v>0</v>
      </c>
      <c r="C90" s="108">
        <v>0</v>
      </c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 t="shared" ref="B91:AF91" si="21">SUM(B14,B17,B20:B21,B40,B42:B43,B45,B47,B92:B95,B100,B106,B112,B121,B123,B135,B142,B145:B146,B153,B155,B157,B161:B163,B165:B167,B172,B178:B179,B181:B183,B191,B196)</f>
        <v>104.14</v>
      </c>
      <c r="C91" s="178">
        <f t="shared" si="21"/>
        <v>99.64</v>
      </c>
      <c r="D91" s="178">
        <f t="shared" si="21"/>
        <v>129.23999999999998</v>
      </c>
      <c r="E91" s="178">
        <f t="shared" si="21"/>
        <v>134.63999999999999</v>
      </c>
      <c r="F91" s="111">
        <f t="shared" si="21"/>
        <v>136.23999999999998</v>
      </c>
      <c r="G91" s="111">
        <f t="shared" si="21"/>
        <v>146.74</v>
      </c>
      <c r="H91" s="111">
        <f t="shared" si="21"/>
        <v>173.04</v>
      </c>
      <c r="I91" s="111">
        <f t="shared" si="21"/>
        <v>236.24</v>
      </c>
      <c r="J91" s="111">
        <f t="shared" si="21"/>
        <v>259.84000000000003</v>
      </c>
      <c r="K91" s="111">
        <f t="shared" si="21"/>
        <v>270.14</v>
      </c>
      <c r="L91" s="111">
        <f t="shared" si="21"/>
        <v>285.04000000000002</v>
      </c>
      <c r="M91" s="111">
        <f t="shared" si="21"/>
        <v>271.94</v>
      </c>
      <c r="N91" s="111">
        <f t="shared" si="21"/>
        <v>285.24000000000007</v>
      </c>
      <c r="O91" s="111">
        <f t="shared" si="21"/>
        <v>276.24000000000007</v>
      </c>
      <c r="P91" s="111">
        <f t="shared" si="21"/>
        <v>272.74000000000007</v>
      </c>
      <c r="Q91" s="111">
        <f t="shared" si="21"/>
        <v>265.04000000000002</v>
      </c>
      <c r="R91" s="111">
        <f t="shared" si="21"/>
        <v>285.44000000000005</v>
      </c>
      <c r="S91" s="111">
        <f t="shared" si="21"/>
        <v>286.04000000000002</v>
      </c>
      <c r="T91" s="111">
        <f t="shared" si="21"/>
        <v>286.44000000000005</v>
      </c>
      <c r="U91" s="111">
        <f t="shared" si="21"/>
        <v>295.14000000000004</v>
      </c>
      <c r="V91" s="111">
        <f t="shared" si="21"/>
        <v>321.34000000000003</v>
      </c>
      <c r="W91" s="111">
        <f t="shared" si="21"/>
        <v>338.54</v>
      </c>
      <c r="X91" s="111">
        <f t="shared" si="21"/>
        <v>348.04000000000008</v>
      </c>
      <c r="Y91" s="111">
        <f t="shared" si="21"/>
        <v>324.14000000000004</v>
      </c>
      <c r="Z91" s="111">
        <f t="shared" si="21"/>
        <v>34.840000000000003</v>
      </c>
      <c r="AA91" s="111">
        <f t="shared" si="21"/>
        <v>282.44</v>
      </c>
      <c r="AB91" s="111">
        <f t="shared" si="21"/>
        <v>258.54000000000008</v>
      </c>
      <c r="AC91" s="111">
        <f t="shared" si="21"/>
        <v>228.94</v>
      </c>
      <c r="AD91" s="111">
        <f t="shared" si="21"/>
        <v>177.73999999999998</v>
      </c>
      <c r="AE91" s="111">
        <f t="shared" si="21"/>
        <v>149.13999999999999</v>
      </c>
      <c r="AF91" s="111">
        <f t="shared" si="21"/>
        <v>175.93999999999997</v>
      </c>
      <c r="AG91" s="112"/>
      <c r="AH91" s="55">
        <f>MAX(B91:AF91)</f>
        <v>348.04000000000008</v>
      </c>
      <c r="AI91" s="56">
        <f>MIN(B91:AF91)</f>
        <v>34.840000000000003</v>
      </c>
    </row>
    <row r="92" spans="1:88" x14ac:dyDescent="0.25">
      <c r="A92" s="113" t="s">
        <v>95</v>
      </c>
      <c r="B92" s="59">
        <v>0</v>
      </c>
      <c r="C92" s="59">
        <v>0</v>
      </c>
      <c r="D92" s="59">
        <v>32.1</v>
      </c>
      <c r="E92" s="59">
        <v>28</v>
      </c>
      <c r="F92" s="114">
        <v>30.5</v>
      </c>
      <c r="G92" s="114">
        <v>29.8</v>
      </c>
      <c r="H92" s="114">
        <v>31.4</v>
      </c>
      <c r="I92" s="114">
        <v>36.200000000000003</v>
      </c>
      <c r="J92" s="114">
        <v>45.6</v>
      </c>
      <c r="K92" s="114">
        <v>37.9</v>
      </c>
      <c r="L92" s="115">
        <v>33.1</v>
      </c>
      <c r="M92" s="114">
        <v>29.7</v>
      </c>
      <c r="N92" s="114">
        <v>31</v>
      </c>
      <c r="O92" s="114">
        <v>20</v>
      </c>
      <c r="P92" s="114">
        <v>22.4</v>
      </c>
      <c r="Q92" s="114">
        <v>19.399999999999999</v>
      </c>
      <c r="R92" s="114">
        <v>21.8</v>
      </c>
      <c r="S92" s="114">
        <v>22.5</v>
      </c>
      <c r="T92" s="115">
        <v>46.6</v>
      </c>
      <c r="U92" s="115">
        <v>44</v>
      </c>
      <c r="V92" s="115">
        <v>53.4</v>
      </c>
      <c r="W92" s="115">
        <v>45.5</v>
      </c>
      <c r="X92" s="115">
        <v>16.2</v>
      </c>
      <c r="Y92" s="115">
        <v>15.3</v>
      </c>
      <c r="Z92" s="114"/>
      <c r="AA92" s="115">
        <v>22.8</v>
      </c>
      <c r="AB92" s="115">
        <v>13.7</v>
      </c>
      <c r="AC92" s="115">
        <v>21.6</v>
      </c>
      <c r="AD92" s="115">
        <v>26.4</v>
      </c>
      <c r="AE92" s="115">
        <v>22.5</v>
      </c>
      <c r="AF92" s="116">
        <v>13</v>
      </c>
      <c r="AG92" s="117">
        <v>75</v>
      </c>
      <c r="AH92" s="55">
        <f t="shared" ref="AH92:AH97" si="22">IF(ABS(MAX(B92:AF92))&gt;ABS(MIN(B92:AF92)),MAX(B92:AF92),MIN(B92:AF92))</f>
        <v>53.4</v>
      </c>
      <c r="AI92" s="118">
        <f t="shared" ref="AI92:AI97" si="23">INDEX($B$9:$AF$9,1,MATCH(AH92,B92:AF92,0))</f>
        <v>0.72916666666666663</v>
      </c>
    </row>
    <row r="93" spans="1:88" x14ac:dyDescent="0.25">
      <c r="A93" s="119" t="s">
        <v>96</v>
      </c>
      <c r="B93" s="61">
        <v>-123</v>
      </c>
      <c r="C93" s="61">
        <v>-124</v>
      </c>
      <c r="D93" s="61">
        <v>-110</v>
      </c>
      <c r="E93" s="61">
        <v>-100</v>
      </c>
      <c r="F93" s="61">
        <v>-99.9</v>
      </c>
      <c r="G93" s="61">
        <v>-89.4</v>
      </c>
      <c r="H93" s="61">
        <v>-71.099999999999994</v>
      </c>
      <c r="I93" s="61">
        <v>-67.2</v>
      </c>
      <c r="J93" s="61">
        <v>-59.6</v>
      </c>
      <c r="K93" s="61">
        <v>-54.6</v>
      </c>
      <c r="L93" s="61">
        <v>-54</v>
      </c>
      <c r="M93" s="61">
        <v>-57.8</v>
      </c>
      <c r="N93" s="61">
        <v>-55</v>
      </c>
      <c r="O93" s="61">
        <v>-56.1</v>
      </c>
      <c r="P93" s="61">
        <v>-60.1</v>
      </c>
      <c r="Q93" s="61">
        <v>-58.4</v>
      </c>
      <c r="R93" s="61">
        <f>-21-30.9</f>
        <v>-51.9</v>
      </c>
      <c r="S93" s="61">
        <f>-21.4-30.9</f>
        <v>-52.3</v>
      </c>
      <c r="T93" s="61">
        <v>-62.2</v>
      </c>
      <c r="U93" s="61">
        <f>-25.2-30.2</f>
        <v>-55.4</v>
      </c>
      <c r="V93" s="61">
        <f>-21.9-26.8</f>
        <v>-48.7</v>
      </c>
      <c r="W93" s="61">
        <f>-16.9-22.2</f>
        <v>-39.099999999999994</v>
      </c>
      <c r="X93" s="61">
        <f>-9.8-18.1</f>
        <v>-27.900000000000002</v>
      </c>
      <c r="Y93" s="61">
        <f>-13.8-21.4</f>
        <v>-35.200000000000003</v>
      </c>
      <c r="Z93" s="61"/>
      <c r="AA93" s="52">
        <v>-56.8</v>
      </c>
      <c r="AB93" s="52">
        <v>-64</v>
      </c>
      <c r="AC93" s="52">
        <f>-34.3-42</f>
        <v>-76.3</v>
      </c>
      <c r="AD93" s="52">
        <f>-43.1-51.3</f>
        <v>-94.4</v>
      </c>
      <c r="AE93" s="52">
        <f>-46.2-54.9</f>
        <v>-101.1</v>
      </c>
      <c r="AF93" s="120">
        <f>-42.1-50.8</f>
        <v>-92.9</v>
      </c>
      <c r="AG93" s="117">
        <v>240</v>
      </c>
      <c r="AH93" s="55">
        <f t="shared" si="22"/>
        <v>-124</v>
      </c>
      <c r="AI93" s="118">
        <f t="shared" si="23"/>
        <v>8.3333333333333301E-2</v>
      </c>
    </row>
    <row r="94" spans="1:88" x14ac:dyDescent="0.25">
      <c r="A94" s="119" t="s">
        <v>97</v>
      </c>
      <c r="B94" s="61">
        <v>-16.2</v>
      </c>
      <c r="C94" s="61">
        <v>-16.5</v>
      </c>
      <c r="D94" s="61">
        <v>-19.899999999999999</v>
      </c>
      <c r="E94" s="61">
        <v>-19</v>
      </c>
      <c r="F94" s="61">
        <v>-20</v>
      </c>
      <c r="G94" s="61">
        <v>-19.3</v>
      </c>
      <c r="H94" s="61">
        <v>-12.9</v>
      </c>
      <c r="I94" s="61">
        <v>-5.6</v>
      </c>
      <c r="J94" s="61">
        <v>-3.8</v>
      </c>
      <c r="K94" s="61">
        <v>-4.5</v>
      </c>
      <c r="L94" s="61">
        <v>2.4</v>
      </c>
      <c r="M94" s="61">
        <v>-2.9</v>
      </c>
      <c r="N94" s="61">
        <v>-1.1000000000000001</v>
      </c>
      <c r="O94" s="61">
        <v>0.3</v>
      </c>
      <c r="P94" s="61">
        <v>1.4</v>
      </c>
      <c r="Q94" s="61">
        <v>0.6</v>
      </c>
      <c r="R94" s="61">
        <v>18</v>
      </c>
      <c r="S94" s="61">
        <v>19.3</v>
      </c>
      <c r="T94" s="61">
        <v>15.8</v>
      </c>
      <c r="U94" s="61">
        <v>7.2</v>
      </c>
      <c r="V94" s="61">
        <v>6.7</v>
      </c>
      <c r="W94" s="61">
        <v>15.7</v>
      </c>
      <c r="X94" s="61">
        <v>36.700000000000003</v>
      </c>
      <c r="Y94" s="61">
        <v>26.7</v>
      </c>
      <c r="Z94" s="61"/>
      <c r="AA94" s="52">
        <v>8.6999999999999993</v>
      </c>
      <c r="AB94" s="52">
        <v>5</v>
      </c>
      <c r="AC94" s="52">
        <v>-3.1</v>
      </c>
      <c r="AD94" s="52">
        <v>-11</v>
      </c>
      <c r="AE94" s="52">
        <v>-15.7</v>
      </c>
      <c r="AF94" s="120">
        <v>18.7</v>
      </c>
      <c r="AG94" s="117">
        <v>60</v>
      </c>
      <c r="AH94" s="55">
        <f t="shared" si="22"/>
        <v>36.700000000000003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16.3</v>
      </c>
      <c r="C95" s="84">
        <v>13.1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38.200000000000003</v>
      </c>
      <c r="J95" s="84">
        <v>43</v>
      </c>
      <c r="K95" s="84">
        <v>56.7</v>
      </c>
      <c r="L95" s="84">
        <v>68.7</v>
      </c>
      <c r="M95" s="84">
        <v>67.2</v>
      </c>
      <c r="N95" s="84">
        <v>64.8</v>
      </c>
      <c r="O95" s="84">
        <v>76.599999999999994</v>
      </c>
      <c r="P95" s="84">
        <v>73.5</v>
      </c>
      <c r="Q95" s="84">
        <v>68.099999999999994</v>
      </c>
      <c r="R95" s="84">
        <v>61.2</v>
      </c>
      <c r="S95" s="84">
        <v>59.7</v>
      </c>
      <c r="T95" s="84">
        <v>49</v>
      </c>
      <c r="U95" s="84">
        <v>62.1</v>
      </c>
      <c r="V95" s="84">
        <v>72.7</v>
      </c>
      <c r="W95" s="84">
        <v>79.3</v>
      </c>
      <c r="X95" s="84">
        <v>85.9</v>
      </c>
      <c r="Y95" s="84">
        <v>80.2</v>
      </c>
      <c r="Z95" s="84"/>
      <c r="AA95" s="122">
        <v>68.099999999999994</v>
      </c>
      <c r="AB95" s="122">
        <v>64.2</v>
      </c>
      <c r="AC95" s="122">
        <v>47.2</v>
      </c>
      <c r="AD95" s="122">
        <v>18.2</v>
      </c>
      <c r="AE95" s="122">
        <v>16.3</v>
      </c>
      <c r="AF95" s="123">
        <v>10</v>
      </c>
      <c r="AG95" s="124">
        <v>120</v>
      </c>
      <c r="AH95" s="55">
        <f t="shared" si="22"/>
        <v>85.9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35.4</v>
      </c>
      <c r="C96" s="84">
        <v>33.9</v>
      </c>
      <c r="D96" s="84">
        <v>20.8</v>
      </c>
      <c r="E96" s="84">
        <v>28</v>
      </c>
      <c r="F96" s="84">
        <v>29</v>
      </c>
      <c r="G96" s="84">
        <v>39.299999999999997</v>
      </c>
      <c r="H96" s="84">
        <v>46.3</v>
      </c>
      <c r="I96" s="84">
        <v>44.8</v>
      </c>
      <c r="J96" s="84">
        <v>48.5</v>
      </c>
      <c r="K96" s="84">
        <v>49.5</v>
      </c>
      <c r="L96" s="84">
        <v>61.1</v>
      </c>
      <c r="M96" s="84">
        <v>61.8</v>
      </c>
      <c r="N96" s="84">
        <v>59</v>
      </c>
      <c r="O96" s="84">
        <v>73.099999999999994</v>
      </c>
      <c r="P96" s="84">
        <v>71.2</v>
      </c>
      <c r="Q96" s="84">
        <v>66.3</v>
      </c>
      <c r="R96" s="84">
        <v>56.8</v>
      </c>
      <c r="S96" s="84">
        <v>55</v>
      </c>
      <c r="T96" s="84">
        <v>44.5</v>
      </c>
      <c r="U96" s="84">
        <v>58.1</v>
      </c>
      <c r="V96" s="84">
        <v>60.3</v>
      </c>
      <c r="W96" s="84">
        <v>59.8</v>
      </c>
      <c r="X96" s="84">
        <v>62.9</v>
      </c>
      <c r="Y96" s="84">
        <v>55.5</v>
      </c>
      <c r="Z96" s="84"/>
      <c r="AA96" s="122">
        <v>52.2</v>
      </c>
      <c r="AB96" s="122">
        <v>51.1</v>
      </c>
      <c r="AC96" s="122">
        <v>43.8</v>
      </c>
      <c r="AD96" s="122">
        <v>37.299999999999997</v>
      </c>
      <c r="AE96" s="122">
        <v>34.9</v>
      </c>
      <c r="AF96" s="123">
        <v>31</v>
      </c>
      <c r="AG96" s="124"/>
      <c r="AH96" s="55">
        <f t="shared" si="22"/>
        <v>73.099999999999994</v>
      </c>
      <c r="AI96" s="118">
        <f t="shared" si="23"/>
        <v>0.45833333333333298</v>
      </c>
    </row>
    <row r="97" spans="1:37" ht="15.75" thickBot="1" x14ac:dyDescent="0.3">
      <c r="A97" s="121" t="s">
        <v>100</v>
      </c>
      <c r="B97" s="84">
        <v>61.3</v>
      </c>
      <c r="C97" s="84">
        <v>51.2</v>
      </c>
      <c r="D97" s="84">
        <v>47.2</v>
      </c>
      <c r="E97" s="84">
        <v>67</v>
      </c>
      <c r="F97" s="84">
        <v>60</v>
      </c>
      <c r="G97" s="84">
        <v>59.7</v>
      </c>
      <c r="H97" s="84">
        <v>55.3</v>
      </c>
      <c r="I97" s="84">
        <v>55</v>
      </c>
      <c r="J97" s="84">
        <v>33.6</v>
      </c>
      <c r="K97" s="84">
        <v>43.2</v>
      </c>
      <c r="L97" s="84">
        <v>49.7</v>
      </c>
      <c r="M97" s="84">
        <v>58.7</v>
      </c>
      <c r="N97" s="84">
        <v>56</v>
      </c>
      <c r="O97" s="84">
        <v>65.900000000000006</v>
      </c>
      <c r="P97" s="84">
        <v>66.3</v>
      </c>
      <c r="Q97" s="84">
        <v>68.599999999999994</v>
      </c>
      <c r="R97" s="84">
        <v>63.3</v>
      </c>
      <c r="S97" s="84">
        <v>64.3</v>
      </c>
      <c r="T97" s="84">
        <v>48.8</v>
      </c>
      <c r="U97" s="84">
        <v>43.9</v>
      </c>
      <c r="V97" s="84">
        <v>36.700000000000003</v>
      </c>
      <c r="W97" s="84">
        <v>46.8</v>
      </c>
      <c r="X97" s="84">
        <v>76.099999999999994</v>
      </c>
      <c r="Y97" s="84">
        <v>74.599999999999994</v>
      </c>
      <c r="Z97" s="84"/>
      <c r="AA97" s="122">
        <v>74.3</v>
      </c>
      <c r="AB97" s="122">
        <v>82</v>
      </c>
      <c r="AC97" s="122">
        <v>81.3</v>
      </c>
      <c r="AD97" s="122">
        <v>77.2</v>
      </c>
      <c r="AE97" s="122">
        <v>80.099999999999994</v>
      </c>
      <c r="AF97" s="123">
        <v>49.5</v>
      </c>
      <c r="AG97" s="125"/>
      <c r="AH97" s="55">
        <f t="shared" si="22"/>
        <v>82</v>
      </c>
      <c r="AI97" s="118">
        <f t="shared" si="23"/>
        <v>0.85416666666666663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1367.54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11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2078/04/11)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2078/04/11)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1220.24</v>
      </c>
      <c r="U211" s="170">
        <f t="shared" si="52"/>
        <v>1207.24</v>
      </c>
      <c r="V211" s="170">
        <f t="shared" si="52"/>
        <v>1156.3400000000001</v>
      </c>
      <c r="W211" s="170">
        <f t="shared" si="52"/>
        <v>1143.44</v>
      </c>
      <c r="X211" s="170">
        <f t="shared" si="52"/>
        <v>1161.3400000000001</v>
      </c>
      <c r="Y211" s="170">
        <f t="shared" si="52"/>
        <v>1199.04</v>
      </c>
      <c r="Z211" s="170">
        <f t="shared" si="52"/>
        <v>1175.94</v>
      </c>
      <c r="AA211" s="170">
        <f t="shared" si="52"/>
        <v>1219.6400000000001</v>
      </c>
      <c r="AB211" s="170">
        <f t="shared" si="52"/>
        <v>1292.44</v>
      </c>
      <c r="AC211" s="170">
        <f t="shared" si="52"/>
        <v>1260.3400000000001</v>
      </c>
      <c r="AD211" s="170">
        <f t="shared" si="52"/>
        <v>1367.54</v>
      </c>
      <c r="AE211" s="170">
        <f t="shared" si="52"/>
        <v>1366.04</v>
      </c>
      <c r="AF211" s="170">
        <f t="shared" si="52"/>
        <v>1382.24</v>
      </c>
      <c r="AG211" s="170">
        <f t="shared" si="52"/>
        <v>1388.54</v>
      </c>
      <c r="AH211" s="170">
        <f t="shared" si="52"/>
        <v>1391.64</v>
      </c>
      <c r="AI211" s="170">
        <f t="shared" si="52"/>
        <v>1369.3400000000001</v>
      </c>
      <c r="AJ211" s="170">
        <f t="shared" si="52"/>
        <v>1313.14</v>
      </c>
      <c r="AK211" s="170">
        <f t="shared" si="52"/>
        <v>1288.6400000000001</v>
      </c>
      <c r="AL211" s="170">
        <f t="shared" si="52"/>
        <v>1340.3400000000001</v>
      </c>
      <c r="AM211" s="170">
        <f t="shared" si="52"/>
        <v>1329.44</v>
      </c>
      <c r="AN211" s="170">
        <f t="shared" si="52"/>
        <v>1353.74</v>
      </c>
      <c r="AO211" s="170">
        <f t="shared" si="52"/>
        <v>1401.54</v>
      </c>
      <c r="AP211" s="170">
        <f t="shared" si="52"/>
        <v>1486.94</v>
      </c>
      <c r="AQ211" s="170">
        <f t="shared" si="52"/>
        <v>1446.1</v>
      </c>
      <c r="AR211" s="170">
        <f t="shared" si="52"/>
        <v>29.54</v>
      </c>
      <c r="AS211" s="170">
        <f t="shared" si="52"/>
        <v>1397.3400000000001</v>
      </c>
      <c r="AT211" s="170">
        <f t="shared" si="52"/>
        <v>1394.8400000000001</v>
      </c>
      <c r="AU211" s="170">
        <f t="shared" si="52"/>
        <v>1356.3400000000001</v>
      </c>
      <c r="AV211" s="170">
        <f t="shared" si="52"/>
        <v>1282.1399999999999</v>
      </c>
      <c r="AW211" s="170">
        <f t="shared" si="52"/>
        <v>1245.54</v>
      </c>
      <c r="AX211" s="170">
        <f t="shared" si="52"/>
        <v>1219.54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656" priority="334">
      <formula>S$9&gt;=20/24</formula>
    </cfRule>
    <cfRule type="expression" dxfId="7655" priority="335">
      <formula>AND(S$9&gt;=14/24,S$9&lt;20/24)</formula>
    </cfRule>
    <cfRule type="expression" dxfId="7654" priority="336">
      <formula>AND(S$9&gt;=8/24,S$9&lt;14/24)</formula>
    </cfRule>
    <cfRule type="expression" dxfId="7653" priority="337">
      <formula>S$9&lt;8/24</formula>
    </cfRule>
  </conditionalFormatting>
  <conditionalFormatting sqref="B8:AF10 AA79:AF79 B79:Q79 B54:AF54 B80:AF80 C191:AF197 AE55:AF58 B66:AF70 T210:AX210 M11:S13 Y83:Z89 Z26 Z38:AD41 AA82:AF89 B72:AF76 B78:AF78 B61:C65 B55:K59 L56:N59 L35:S35 M15:S23 L37:S40 M43:S46 O56:S65 T11:X11 T17:X23 T38:X40 L51:X53 T56:X57 Z51:AF53 T28:X29 M28:S31 M25:X25 R24:Y24 R27:Y27 Z15:AF25 Z11:AF13 Z27:AF30">
    <cfRule type="expression" dxfId="7652" priority="330">
      <formula>B$9&gt;=20/24</formula>
    </cfRule>
    <cfRule type="expression" dxfId="7651" priority="331">
      <formula>AND(B$9&gt;=14/24,B$9&lt;20/24)</formula>
    </cfRule>
    <cfRule type="expression" dxfId="7650" priority="332">
      <formula>AND(B$9&gt;=8/24,B$9&lt;14/24)</formula>
    </cfRule>
    <cfRule type="expression" dxfId="7649" priority="333">
      <formula>B$9&lt;8/24</formula>
    </cfRule>
  </conditionalFormatting>
  <conditionalFormatting sqref="B189:AF189">
    <cfRule type="expression" dxfId="7648" priority="326">
      <formula>B$9&gt;=20/24</formula>
    </cfRule>
    <cfRule type="expression" dxfId="7647" priority="327">
      <formula>AND(B$9&gt;=14/24,B$9&lt;20/24)</formula>
    </cfRule>
    <cfRule type="expression" dxfId="7646" priority="328">
      <formula>AND(B$9&gt;=8/24,B$9&lt;14/24)</formula>
    </cfRule>
    <cfRule type="expression" dxfId="7645" priority="329">
      <formula>B$9&lt;8/24</formula>
    </cfRule>
  </conditionalFormatting>
  <conditionalFormatting sqref="AL4:AL6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L55:S55">
    <cfRule type="expression" dxfId="7644" priority="321">
      <formula>L$9&gt;=20/24</formula>
    </cfRule>
    <cfRule type="expression" dxfId="7643" priority="322">
      <formula>AND(L$9&gt;=14/24,L$9&lt;20/24)</formula>
    </cfRule>
    <cfRule type="expression" dxfId="7642" priority="323">
      <formula>AND(L$9&gt;=8/24,L$9&lt;14/24)</formula>
    </cfRule>
    <cfRule type="expression" dxfId="7641" priority="324">
      <formula>L$9&lt;8/24</formula>
    </cfRule>
  </conditionalFormatting>
  <conditionalFormatting sqref="M41:S41">
    <cfRule type="expression" dxfId="7640" priority="317">
      <formula>M$9&gt;=20/24</formula>
    </cfRule>
    <cfRule type="expression" dxfId="7639" priority="318">
      <formula>AND(M$9&gt;=14/24,M$9&lt;20/24)</formula>
    </cfRule>
    <cfRule type="expression" dxfId="7638" priority="319">
      <formula>AND(M$9&gt;=8/24,M$9&lt;14/24)</formula>
    </cfRule>
    <cfRule type="expression" dxfId="7637" priority="320">
      <formula>M$9&lt;8/24</formula>
    </cfRule>
  </conditionalFormatting>
  <conditionalFormatting sqref="Z31:AF31">
    <cfRule type="expression" dxfId="7636" priority="313">
      <formula>Z$9&gt;=20/24</formula>
    </cfRule>
    <cfRule type="expression" dxfId="7635" priority="314">
      <formula>AND(Z$9&gt;=14/24,Z$9&lt;20/24)</formula>
    </cfRule>
    <cfRule type="expression" dxfId="7634" priority="315">
      <formula>AND(Z$9&gt;=8/24,Z$9&lt;14/24)</formula>
    </cfRule>
    <cfRule type="expression" dxfId="7633" priority="316">
      <formula>Z$9&lt;8/24</formula>
    </cfRule>
  </conditionalFormatting>
  <conditionalFormatting sqref="T37:X37 Z37:AD37">
    <cfRule type="expression" dxfId="7632" priority="309">
      <formula>T$9&gt;=20/24</formula>
    </cfRule>
    <cfRule type="expression" dxfId="7631" priority="310">
      <formula>AND(T$9&gt;=14/24,T$9&lt;20/24)</formula>
    </cfRule>
    <cfRule type="expression" dxfId="7630" priority="311">
      <formula>AND(T$9&gt;=8/24,T$9&lt;14/24)</formula>
    </cfRule>
    <cfRule type="expression" dxfId="7629" priority="312">
      <formula>T$9&lt;8/24</formula>
    </cfRule>
  </conditionalFormatting>
  <conditionalFormatting sqref="T55:X55 Z55:AD55">
    <cfRule type="expression" dxfId="7628" priority="305">
      <formula>T$9&gt;=20/24</formula>
    </cfRule>
    <cfRule type="expression" dxfId="7627" priority="306">
      <formula>AND(T$9&gt;=14/24,T$9&lt;20/24)</formula>
    </cfRule>
    <cfRule type="expression" dxfId="7626" priority="307">
      <formula>AND(T$9&gt;=8/24,T$9&lt;14/24)</formula>
    </cfRule>
    <cfRule type="expression" dxfId="7625" priority="308">
      <formula>T$9&lt;8/24</formula>
    </cfRule>
  </conditionalFormatting>
  <conditionalFormatting sqref="R79:Z79">
    <cfRule type="expression" dxfId="7624" priority="301">
      <formula>R$9&gt;=20/24</formula>
    </cfRule>
    <cfRule type="expression" dxfId="7623" priority="302">
      <formula>AND(R$9&gt;=14/24,R$9&lt;20/24)</formula>
    </cfRule>
    <cfRule type="expression" dxfId="7622" priority="303">
      <formula>AND(R$9&gt;=8/24,R$9&lt;14/24)</formula>
    </cfRule>
    <cfRule type="expression" dxfId="7621" priority="304">
      <formula>R$9&lt;8/24</formula>
    </cfRule>
  </conditionalFormatting>
  <conditionalFormatting sqref="T82:Z82">
    <cfRule type="expression" dxfId="7620" priority="297">
      <formula>T$9&gt;=20/24</formula>
    </cfRule>
    <cfRule type="expression" dxfId="7619" priority="298">
      <formula>AND(T$9&gt;=14/24,T$9&lt;20/24)</formula>
    </cfRule>
    <cfRule type="expression" dxfId="7618" priority="299">
      <formula>AND(T$9&gt;=8/24,T$9&lt;14/24)</formula>
    </cfRule>
    <cfRule type="expression" dxfId="7617" priority="300">
      <formula>T$9&lt;8/24</formula>
    </cfRule>
  </conditionalFormatting>
  <conditionalFormatting sqref="M33:S33">
    <cfRule type="expression" dxfId="7616" priority="293">
      <formula>M$9&gt;=20/24</formula>
    </cfRule>
    <cfRule type="expression" dxfId="7615" priority="294">
      <formula>AND(M$9&gt;=14/24,M$9&lt;20/24)</formula>
    </cfRule>
    <cfRule type="expression" dxfId="7614" priority="295">
      <formula>AND(M$9&gt;=8/24,M$9&lt;14/24)</formula>
    </cfRule>
    <cfRule type="expression" dxfId="7613" priority="296">
      <formula>M$9&lt;8/24</formula>
    </cfRule>
  </conditionalFormatting>
  <conditionalFormatting sqref="M47:S47">
    <cfRule type="expression" dxfId="7612" priority="289">
      <formula>M$9&gt;=20/24</formula>
    </cfRule>
    <cfRule type="expression" dxfId="7611" priority="290">
      <formula>AND(M$9&gt;=14/24,M$9&lt;20/24)</formula>
    </cfRule>
    <cfRule type="expression" dxfId="7610" priority="291">
      <formula>AND(M$9&gt;=8/24,M$9&lt;14/24)</formula>
    </cfRule>
    <cfRule type="expression" dxfId="7609" priority="292">
      <formula>M$9&lt;8/24</formula>
    </cfRule>
  </conditionalFormatting>
  <conditionalFormatting sqref="M48:S48">
    <cfRule type="expression" dxfId="7608" priority="285">
      <formula>M$9&gt;=20/24</formula>
    </cfRule>
    <cfRule type="expression" dxfId="7607" priority="286">
      <formula>AND(M$9&gt;=14/24,M$9&lt;20/24)</formula>
    </cfRule>
    <cfRule type="expression" dxfId="7606" priority="287">
      <formula>AND(M$9&gt;=8/24,M$9&lt;14/24)</formula>
    </cfRule>
    <cfRule type="expression" dxfId="7605" priority="288">
      <formula>M$9&lt;8/24</formula>
    </cfRule>
  </conditionalFormatting>
  <conditionalFormatting sqref="M43:S46">
    <cfRule type="expression" dxfId="7604" priority="281">
      <formula>M$9&gt;=20/24</formula>
    </cfRule>
    <cfRule type="expression" dxfId="7603" priority="282">
      <formula>AND(M$9&gt;=14/24,M$9&lt;20/24)</formula>
    </cfRule>
    <cfRule type="expression" dxfId="7602" priority="283">
      <formula>AND(M$9&gt;=8/24,M$9&lt;14/24)</formula>
    </cfRule>
    <cfRule type="expression" dxfId="7601" priority="284">
      <formula>M$9&lt;8/24</formula>
    </cfRule>
  </conditionalFormatting>
  <conditionalFormatting sqref="T35:X35 Z35:AE35">
    <cfRule type="expression" dxfId="7600" priority="277">
      <formula>T$9&gt;=20/24</formula>
    </cfRule>
    <cfRule type="expression" dxfId="7599" priority="278">
      <formula>AND(T$9&gt;=14/24,T$9&lt;20/24)</formula>
    </cfRule>
    <cfRule type="expression" dxfId="7598" priority="279">
      <formula>AND(T$9&gt;=8/24,T$9&lt;14/24)</formula>
    </cfRule>
    <cfRule type="expression" dxfId="7597" priority="280">
      <formula>T$9&lt;8/24</formula>
    </cfRule>
  </conditionalFormatting>
  <conditionalFormatting sqref="T30:X31 T33:X33 Z33:AF33">
    <cfRule type="expression" dxfId="7596" priority="273">
      <formula>T$9&gt;=20/24</formula>
    </cfRule>
    <cfRule type="expression" dxfId="7595" priority="274">
      <formula>AND(T$9&gt;=14/24,T$9&lt;20/24)</formula>
    </cfRule>
    <cfRule type="expression" dxfId="7594" priority="275">
      <formula>AND(T$9&gt;=8/24,T$9&lt;14/24)</formula>
    </cfRule>
    <cfRule type="expression" dxfId="7593" priority="276">
      <formula>T$9&lt;8/24</formula>
    </cfRule>
  </conditionalFormatting>
  <conditionalFormatting sqref="T41:X41 T43:X46 Z43:AD46">
    <cfRule type="expression" dxfId="7592" priority="269">
      <formula>T$9&gt;=20/24</formula>
    </cfRule>
    <cfRule type="expression" dxfId="7591" priority="270">
      <formula>AND(T$9&gt;=14/24,T$9&lt;20/24)</formula>
    </cfRule>
    <cfRule type="expression" dxfId="7590" priority="271">
      <formula>AND(T$9&gt;=8/24,T$9&lt;14/24)</formula>
    </cfRule>
    <cfRule type="expression" dxfId="7589" priority="272">
      <formula>T$9&lt;8/24</formula>
    </cfRule>
  </conditionalFormatting>
  <conditionalFormatting sqref="T47:X47 Z47:AD47">
    <cfRule type="expression" dxfId="7588" priority="265">
      <formula>T$9&gt;=20/24</formula>
    </cfRule>
    <cfRule type="expression" dxfId="7587" priority="266">
      <formula>AND(T$9&gt;=14/24,T$9&lt;20/24)</formula>
    </cfRule>
    <cfRule type="expression" dxfId="7586" priority="267">
      <formula>AND(T$9&gt;=8/24,T$9&lt;14/24)</formula>
    </cfRule>
    <cfRule type="expression" dxfId="7585" priority="268">
      <formula>T$9&lt;8/24</formula>
    </cfRule>
  </conditionalFormatting>
  <conditionalFormatting sqref="T48:X48 Z48:AD48">
    <cfRule type="expression" dxfId="7584" priority="261">
      <formula>T$9&gt;=20/24</formula>
    </cfRule>
    <cfRule type="expression" dxfId="7583" priority="262">
      <formula>AND(T$9&gt;=14/24,T$9&lt;20/24)</formula>
    </cfRule>
    <cfRule type="expression" dxfId="7582" priority="263">
      <formula>AND(T$9&gt;=8/24,T$9&lt;14/24)</formula>
    </cfRule>
    <cfRule type="expression" dxfId="7581" priority="264">
      <formula>T$9&lt;8/24</formula>
    </cfRule>
  </conditionalFormatting>
  <conditionalFormatting sqref="AE59:AF65 Z58:AD65">
    <cfRule type="expression" dxfId="7580" priority="257">
      <formula>Z$9&gt;=20/24</formula>
    </cfRule>
    <cfRule type="expression" dxfId="7579" priority="258">
      <formula>AND(Z$9&gt;=14/24,Z$9&lt;20/24)</formula>
    </cfRule>
    <cfRule type="expression" dxfId="7578" priority="259">
      <formula>AND(Z$9&gt;=8/24,Z$9&lt;14/24)</formula>
    </cfRule>
    <cfRule type="expression" dxfId="7577" priority="260">
      <formula>Z$9&lt;8/24</formula>
    </cfRule>
  </conditionalFormatting>
  <conditionalFormatting sqref="AA92:AF95">
    <cfRule type="expression" dxfId="7576" priority="253">
      <formula>AA$9&gt;=20/24</formula>
    </cfRule>
    <cfRule type="expression" dxfId="7575" priority="254">
      <formula>AND(AA$9&gt;=14/24,AA$9&lt;20/24)</formula>
    </cfRule>
    <cfRule type="expression" dxfId="7574" priority="255">
      <formula>AND(AA$9&gt;=8/24,AA$9&lt;14/24)</formula>
    </cfRule>
    <cfRule type="expression" dxfId="7573" priority="256">
      <formula>AA$9&lt;8/24</formula>
    </cfRule>
  </conditionalFormatting>
  <conditionalFormatting sqref="H61:H65 B60:H60 I60:N65">
    <cfRule type="expression" dxfId="7572" priority="249">
      <formula>B$9&gt;=20/24</formula>
    </cfRule>
    <cfRule type="expression" dxfId="7571" priority="250">
      <formula>AND(B$9&gt;=14/24,B$9&lt;20/24)</formula>
    </cfRule>
    <cfRule type="expression" dxfId="7570" priority="251">
      <formula>AND(B$9&gt;=8/24,B$9&lt;14/24)</formula>
    </cfRule>
    <cfRule type="expression" dxfId="7569" priority="252">
      <formula>B$9&lt;8/24</formula>
    </cfRule>
  </conditionalFormatting>
  <conditionalFormatting sqref="T92:Z95">
    <cfRule type="expression" dxfId="7568" priority="245">
      <formula>T$9&gt;=20/24</formula>
    </cfRule>
    <cfRule type="expression" dxfId="7567" priority="246">
      <formula>AND(T$9&gt;=14/24,T$9&lt;20/24)</formula>
    </cfRule>
    <cfRule type="expression" dxfId="7566" priority="247">
      <formula>AND(T$9&gt;=8/24,T$9&lt;14/24)</formula>
    </cfRule>
    <cfRule type="expression" dxfId="7565" priority="248">
      <formula>T$9&lt;8/24</formula>
    </cfRule>
  </conditionalFormatting>
  <conditionalFormatting sqref="AG49 B11:K13 T11:X11 T17:X23 B36:AF36 B50:AF50 B34:X35 B43:X49 Z43:AF49 B37:X41 Z37:AF41 B54:AF54 B51:X53 Z51:AF53 M26:Q26 M28:X31 B33:K33 M33:X33 M11:S13 M15:S23 M25:X25 R24:Y24 B15:K31 R27:Y27 Z11:AF13 Z33:AF35 Z15:AF31">
    <cfRule type="expression" dxfId="7564" priority="244">
      <formula>B11&gt;$AG11</formula>
    </cfRule>
  </conditionalFormatting>
  <conditionalFormatting sqref="A98:A154 A82:A95 A11:A13 A15:A31 A43:A70 A78:A80 A72:A76 A33:A41 A167:A198">
    <cfRule type="expression" dxfId="7563" priority="243">
      <formula>$AH11=0</formula>
    </cfRule>
  </conditionalFormatting>
  <conditionalFormatting sqref="AA96:AF96">
    <cfRule type="expression" dxfId="7562" priority="239">
      <formula>AA$9&gt;=20/24</formula>
    </cfRule>
    <cfRule type="expression" dxfId="7561" priority="240">
      <formula>AND(AA$9&gt;=14/24,AA$9&lt;20/24)</formula>
    </cfRule>
    <cfRule type="expression" dxfId="7560" priority="241">
      <formula>AND(AA$9&gt;=8/24,AA$9&lt;14/24)</formula>
    </cfRule>
    <cfRule type="expression" dxfId="7559" priority="242">
      <formula>AA$9&lt;8/24</formula>
    </cfRule>
  </conditionalFormatting>
  <conditionalFormatting sqref="T96:Z96">
    <cfRule type="expression" dxfId="7558" priority="235">
      <formula>T$9&gt;=20/24</formula>
    </cfRule>
    <cfRule type="expression" dxfId="7557" priority="236">
      <formula>AND(T$9&gt;=14/24,T$9&lt;20/24)</formula>
    </cfRule>
    <cfRule type="expression" dxfId="7556" priority="237">
      <formula>AND(T$9&gt;=8/24,T$9&lt;14/24)</formula>
    </cfRule>
    <cfRule type="expression" dxfId="7555" priority="238">
      <formula>T$9&lt;8/24</formula>
    </cfRule>
  </conditionalFormatting>
  <conditionalFormatting sqref="A96">
    <cfRule type="expression" dxfId="7554" priority="234">
      <formula>$AH96=0</formula>
    </cfRule>
  </conditionalFormatting>
  <conditionalFormatting sqref="M34:X34 Z34:AF34">
    <cfRule type="expression" dxfId="7553" priority="230">
      <formula>M$9&gt;=20/24</formula>
    </cfRule>
    <cfRule type="expression" dxfId="7552" priority="231">
      <formula>AND(M$9&gt;=14/24,M$9&lt;20/24)</formula>
    </cfRule>
    <cfRule type="expression" dxfId="7551" priority="232">
      <formula>AND(M$9&gt;=8/24,M$9&lt;14/24)</formula>
    </cfRule>
    <cfRule type="expression" dxfId="7550" priority="233">
      <formula>M$9&lt;8/24</formula>
    </cfRule>
  </conditionalFormatting>
  <conditionalFormatting sqref="T34:X34 Z34:AF34">
    <cfRule type="expression" dxfId="7549" priority="226">
      <formula>T$9&gt;=20/24</formula>
    </cfRule>
    <cfRule type="expression" dxfId="7548" priority="227">
      <formula>AND(T$9&gt;=14/24,T$9&lt;20/24)</formula>
    </cfRule>
    <cfRule type="expression" dxfId="7547" priority="228">
      <formula>AND(T$9&gt;=8/24,T$9&lt;14/24)</formula>
    </cfRule>
    <cfRule type="expression" dxfId="7546" priority="229">
      <formula>T$9&lt;8/24</formula>
    </cfRule>
  </conditionalFormatting>
  <conditionalFormatting sqref="B34:L34">
    <cfRule type="expression" dxfId="7545" priority="222">
      <formula>B$9&gt;=20/24</formula>
    </cfRule>
    <cfRule type="expression" dxfId="7544" priority="223">
      <formula>AND(B$9&gt;=14/24,B$9&lt;20/24)</formula>
    </cfRule>
    <cfRule type="expression" dxfId="7543" priority="224">
      <formula>AND(B$9&gt;=8/24,B$9&lt;14/24)</formula>
    </cfRule>
    <cfRule type="expression" dxfId="7542" priority="225">
      <formula>B$9&lt;8/24</formula>
    </cfRule>
  </conditionalFormatting>
  <conditionalFormatting sqref="D61:G65">
    <cfRule type="expression" dxfId="7541" priority="218">
      <formula>D$9&gt;=20/24</formula>
    </cfRule>
    <cfRule type="expression" dxfId="7540" priority="219">
      <formula>AND(D$9&gt;=14/24,D$9&lt;20/24)</formula>
    </cfRule>
    <cfRule type="expression" dxfId="7539" priority="220">
      <formula>AND(D$9&gt;=8/24,D$9&lt;14/24)</formula>
    </cfRule>
    <cfRule type="expression" dxfId="7538" priority="221">
      <formula>D$9&lt;8/24</formula>
    </cfRule>
  </conditionalFormatting>
  <conditionalFormatting sqref="AL31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Z32:AF32">
    <cfRule type="expression" dxfId="7537" priority="209">
      <formula>Z$9&gt;=20/24</formula>
    </cfRule>
    <cfRule type="expression" dxfId="7536" priority="210">
      <formula>AND(Z$9&gt;=14/24,Z$9&lt;20/24)</formula>
    </cfRule>
    <cfRule type="expression" dxfId="7535" priority="211">
      <formula>AND(Z$9&gt;=8/24,Z$9&lt;14/24)</formula>
    </cfRule>
    <cfRule type="expression" dxfId="7534" priority="212">
      <formula>Z$9&lt;8/24</formula>
    </cfRule>
  </conditionalFormatting>
  <conditionalFormatting sqref="M32:S32">
    <cfRule type="expression" dxfId="7533" priority="205">
      <formula>M$9&gt;=20/24</formula>
    </cfRule>
    <cfRule type="expression" dxfId="7532" priority="206">
      <formula>AND(M$9&gt;=14/24,M$9&lt;20/24)</formula>
    </cfRule>
    <cfRule type="expression" dxfId="7531" priority="207">
      <formula>AND(M$9&gt;=8/24,M$9&lt;14/24)</formula>
    </cfRule>
    <cfRule type="expression" dxfId="7530" priority="208">
      <formula>M$9&lt;8/24</formula>
    </cfRule>
  </conditionalFormatting>
  <conditionalFormatting sqref="T32:X32">
    <cfRule type="expression" dxfId="7529" priority="201">
      <formula>T$9&gt;=20/24</formula>
    </cfRule>
    <cfRule type="expression" dxfId="7528" priority="202">
      <formula>AND(T$9&gt;=14/24,T$9&lt;20/24)</formula>
    </cfRule>
    <cfRule type="expression" dxfId="7527" priority="203">
      <formula>AND(T$9&gt;=8/24,T$9&lt;14/24)</formula>
    </cfRule>
    <cfRule type="expression" dxfId="7526" priority="204">
      <formula>T$9&lt;8/24</formula>
    </cfRule>
  </conditionalFormatting>
  <conditionalFormatting sqref="B32:K32 M32:X32 Z32:AF32">
    <cfRule type="expression" dxfId="7525" priority="200">
      <formula>B32&gt;$AG32</formula>
    </cfRule>
  </conditionalFormatting>
  <conditionalFormatting sqref="A32">
    <cfRule type="expression" dxfId="7524" priority="199">
      <formula>$AH32=0</formula>
    </cfRule>
  </conditionalFormatting>
  <conditionalFormatting sqref="B81:AF81">
    <cfRule type="expression" dxfId="7523" priority="195">
      <formula>B$9&gt;=20/24</formula>
    </cfRule>
    <cfRule type="expression" dxfId="7522" priority="196">
      <formula>AND(B$9&gt;=14/24,B$9&lt;20/24)</formula>
    </cfRule>
    <cfRule type="expression" dxfId="7521" priority="197">
      <formula>AND(B$9&gt;=8/24,B$9&lt;14/24)</formula>
    </cfRule>
    <cfRule type="expression" dxfId="7520" priority="198">
      <formula>B$9&lt;8/24</formula>
    </cfRule>
  </conditionalFormatting>
  <conditionalFormatting sqref="A81">
    <cfRule type="expression" dxfId="7519" priority="194">
      <formula>$AH81=0</formula>
    </cfRule>
  </conditionalFormatting>
  <conditionalFormatting sqref="Z14:AF14">
    <cfRule type="expression" dxfId="7518" priority="190">
      <formula>Z$9&gt;=20/24</formula>
    </cfRule>
    <cfRule type="expression" dxfId="7517" priority="191">
      <formula>AND(Z$9&gt;=14/24,Z$9&lt;20/24)</formula>
    </cfRule>
    <cfRule type="expression" dxfId="7516" priority="192">
      <formula>AND(Z$9&gt;=8/24,Z$9&lt;14/24)</formula>
    </cfRule>
    <cfRule type="expression" dxfId="7515" priority="193">
      <formula>Z$9&lt;8/24</formula>
    </cfRule>
  </conditionalFormatting>
  <conditionalFormatting sqref="M14:S14">
    <cfRule type="expression" dxfId="7514" priority="186">
      <formula>M$9&gt;=20/24</formula>
    </cfRule>
    <cfRule type="expression" dxfId="7513" priority="187">
      <formula>AND(M$9&gt;=14/24,M$9&lt;20/24)</formula>
    </cfRule>
    <cfRule type="expression" dxfId="7512" priority="188">
      <formula>AND(M$9&gt;=8/24,M$9&lt;14/24)</formula>
    </cfRule>
    <cfRule type="expression" dxfId="7511" priority="189">
      <formula>M$9&lt;8/24</formula>
    </cfRule>
  </conditionalFormatting>
  <conditionalFormatting sqref="B14:K14 M14:S14 Z14:AF14">
    <cfRule type="expression" dxfId="7510" priority="185">
      <formula>B14&gt;$AG14</formula>
    </cfRule>
  </conditionalFormatting>
  <conditionalFormatting sqref="A14">
    <cfRule type="expression" dxfId="7509" priority="184">
      <formula>$AH14=0</formula>
    </cfRule>
  </conditionalFormatting>
  <conditionalFormatting sqref="A161:A166">
    <cfRule type="expression" dxfId="7508" priority="183">
      <formula>$AH161=0</formula>
    </cfRule>
  </conditionalFormatting>
  <conditionalFormatting sqref="A155:A160">
    <cfRule type="expression" dxfId="7507" priority="182">
      <formula>$AH155=0</formula>
    </cfRule>
  </conditionalFormatting>
  <conditionalFormatting sqref="Z42:AD42">
    <cfRule type="expression" dxfId="7506" priority="178">
      <formula>Z$9&gt;=20/24</formula>
    </cfRule>
    <cfRule type="expression" dxfId="7505" priority="179">
      <formula>AND(Z$9&gt;=14/24,Z$9&lt;20/24)</formula>
    </cfRule>
    <cfRule type="expression" dxfId="7504" priority="180">
      <formula>AND(Z$9&gt;=8/24,Z$9&lt;14/24)</formula>
    </cfRule>
    <cfRule type="expression" dxfId="7503" priority="181">
      <formula>Z$9&lt;8/24</formula>
    </cfRule>
  </conditionalFormatting>
  <conditionalFormatting sqref="M42:S42">
    <cfRule type="expression" dxfId="7502" priority="174">
      <formula>M$9&gt;=20/24</formula>
    </cfRule>
    <cfRule type="expression" dxfId="7501" priority="175">
      <formula>AND(M$9&gt;=14/24,M$9&lt;20/24)</formula>
    </cfRule>
    <cfRule type="expression" dxfId="7500" priority="176">
      <formula>AND(M$9&gt;=8/24,M$9&lt;14/24)</formula>
    </cfRule>
    <cfRule type="expression" dxfId="7499" priority="177">
      <formula>M$9&lt;8/24</formula>
    </cfRule>
  </conditionalFormatting>
  <conditionalFormatting sqref="T42:X42">
    <cfRule type="expression" dxfId="7498" priority="170">
      <formula>T$9&gt;=20/24</formula>
    </cfRule>
    <cfRule type="expression" dxfId="7497" priority="171">
      <formula>AND(T$9&gt;=14/24,T$9&lt;20/24)</formula>
    </cfRule>
    <cfRule type="expression" dxfId="7496" priority="172">
      <formula>AND(T$9&gt;=8/24,T$9&lt;14/24)</formula>
    </cfRule>
    <cfRule type="expression" dxfId="7495" priority="173">
      <formula>T$9&lt;8/24</formula>
    </cfRule>
  </conditionalFormatting>
  <conditionalFormatting sqref="B42:X42 Z42:AF42">
    <cfRule type="expression" dxfId="7494" priority="169">
      <formula>B42&gt;$AG42</formula>
    </cfRule>
  </conditionalFormatting>
  <conditionalFormatting sqref="A42">
    <cfRule type="expression" dxfId="7493" priority="168">
      <formula>$AH42=0</formula>
    </cfRule>
  </conditionalFormatting>
  <conditionalFormatting sqref="B77:AF77">
    <cfRule type="expression" dxfId="7492" priority="164">
      <formula>B$9&gt;=20/24</formula>
    </cfRule>
    <cfRule type="expression" dxfId="7491" priority="165">
      <formula>AND(B$9&gt;=14/24,B$9&lt;20/24)</formula>
    </cfRule>
    <cfRule type="expression" dxfId="7490" priority="166">
      <formula>AND(B$9&gt;=8/24,B$9&lt;14/24)</formula>
    </cfRule>
    <cfRule type="expression" dxfId="7489" priority="167">
      <formula>B$9&lt;8/24</formula>
    </cfRule>
  </conditionalFormatting>
  <conditionalFormatting sqref="A77">
    <cfRule type="expression" dxfId="7488" priority="163">
      <formula>$AH77=0</formula>
    </cfRule>
  </conditionalFormatting>
  <conditionalFormatting sqref="B71:AG71">
    <cfRule type="expression" dxfId="7487" priority="159">
      <formula>B$9&gt;=20/24</formula>
    </cfRule>
    <cfRule type="expression" dxfId="7486" priority="160">
      <formula>AND(B$9&gt;=14/24,B$9&lt;20/24)</formula>
    </cfRule>
    <cfRule type="expression" dxfId="7485" priority="161">
      <formula>AND(B$9&gt;=8/24,B$9&lt;14/24)</formula>
    </cfRule>
    <cfRule type="expression" dxfId="7484" priority="162">
      <formula>B$9&lt;8/24</formula>
    </cfRule>
  </conditionalFormatting>
  <conditionalFormatting sqref="A71">
    <cfRule type="expression" dxfId="7483" priority="158">
      <formula>$AH71=0</formula>
    </cfRule>
  </conditionalFormatting>
  <conditionalFormatting sqref="AL32:AL33 AL7:AL30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T58:X65">
    <cfRule type="expression" dxfId="7482" priority="154">
      <formula>T$9&gt;=20/24</formula>
    </cfRule>
    <cfRule type="expression" dxfId="7481" priority="155">
      <formula>AND(T$9&gt;=14/24,T$9&lt;20/24)</formula>
    </cfRule>
    <cfRule type="expression" dxfId="7480" priority="156">
      <formula>AND(T$9&gt;=8/24,T$9&lt;14/24)</formula>
    </cfRule>
    <cfRule type="expression" dxfId="7479" priority="157">
      <formula>T$9&lt;8/24</formula>
    </cfRule>
  </conditionalFormatting>
  <conditionalFormatting sqref="T83:X89">
    <cfRule type="expression" dxfId="7478" priority="150">
      <formula>T$9&gt;=20/24</formula>
    </cfRule>
    <cfRule type="expression" dxfId="7477" priority="151">
      <formula>AND(T$9&gt;=14/24,T$9&lt;20/24)</formula>
    </cfRule>
    <cfRule type="expression" dxfId="7476" priority="152">
      <formula>AND(T$9&gt;=8/24,T$9&lt;14/24)</formula>
    </cfRule>
    <cfRule type="expression" dxfId="7475" priority="153">
      <formula>T$9&lt;8/24</formula>
    </cfRule>
  </conditionalFormatting>
  <conditionalFormatting sqref="B82:S89">
    <cfRule type="expression" dxfId="7474" priority="146">
      <formula>B$9&gt;=20/24</formula>
    </cfRule>
    <cfRule type="expression" dxfId="7473" priority="147">
      <formula>AND(B$9&gt;=14/24,B$9&lt;20/24)</formula>
    </cfRule>
    <cfRule type="expression" dxfId="7472" priority="148">
      <formula>AND(B$9&gt;=8/24,B$9&lt;14/24)</formula>
    </cfRule>
    <cfRule type="expression" dxfId="7471" priority="149">
      <formula>B$9&lt;8/24</formula>
    </cfRule>
  </conditionalFormatting>
  <conditionalFormatting sqref="B93:L95 B92:E92">
    <cfRule type="expression" dxfId="7470" priority="138">
      <formula>B$9&gt;=20/24</formula>
    </cfRule>
    <cfRule type="expression" dxfId="7469" priority="139">
      <formula>AND(B$9&gt;=14/24,B$9&lt;20/24)</formula>
    </cfRule>
    <cfRule type="expression" dxfId="7468" priority="140">
      <formula>AND(B$9&gt;=8/24,B$9&lt;14/24)</formula>
    </cfRule>
    <cfRule type="expression" dxfId="7467" priority="141">
      <formula>B$9&lt;8/24</formula>
    </cfRule>
  </conditionalFormatting>
  <conditionalFormatting sqref="M93:Q95 N92:Q92 R92:S95">
    <cfRule type="expression" dxfId="7466" priority="134">
      <formula>M$9&gt;=20/24</formula>
    </cfRule>
    <cfRule type="expression" dxfId="7465" priority="135">
      <formula>AND(M$9&gt;=14/24,M$9&lt;20/24)</formula>
    </cfRule>
    <cfRule type="expression" dxfId="7464" priority="136">
      <formula>AND(M$9&gt;=8/24,M$9&lt;14/24)</formula>
    </cfRule>
    <cfRule type="expression" dxfId="7463" priority="137">
      <formula>M$9&lt;8/24</formula>
    </cfRule>
  </conditionalFormatting>
  <conditionalFormatting sqref="B96:L96">
    <cfRule type="expression" dxfId="7462" priority="126">
      <formula>B$9&gt;=20/24</formula>
    </cfRule>
    <cfRule type="expression" dxfId="7461" priority="127">
      <formula>AND(B$9&gt;=14/24,B$9&lt;20/24)</formula>
    </cfRule>
    <cfRule type="expression" dxfId="7460" priority="128">
      <formula>AND(B$9&gt;=8/24,B$9&lt;14/24)</formula>
    </cfRule>
    <cfRule type="expression" dxfId="7459" priority="129">
      <formula>B$9&lt;8/24</formula>
    </cfRule>
  </conditionalFormatting>
  <conditionalFormatting sqref="M96:S96">
    <cfRule type="expression" dxfId="7458" priority="122">
      <formula>M$9&gt;=20/24</formula>
    </cfRule>
    <cfRule type="expression" dxfId="7457" priority="123">
      <formula>AND(M$9&gt;=14/24,M$9&lt;20/24)</formula>
    </cfRule>
    <cfRule type="expression" dxfId="7456" priority="124">
      <formula>AND(M$9&gt;=8/24,M$9&lt;14/24)</formula>
    </cfRule>
    <cfRule type="expression" dxfId="7455" priority="125">
      <formula>M$9&lt;8/24</formula>
    </cfRule>
  </conditionalFormatting>
  <conditionalFormatting sqref="L92:M92">
    <cfRule type="expression" dxfId="7454" priority="114">
      <formula>L$9&gt;=20/24</formula>
    </cfRule>
    <cfRule type="expression" dxfId="7453" priority="115">
      <formula>AND(L$9&gt;=14/24,L$9&lt;20/24)</formula>
    </cfRule>
    <cfRule type="expression" dxfId="7452" priority="116">
      <formula>AND(L$9&gt;=8/24,L$9&lt;14/24)</formula>
    </cfRule>
    <cfRule type="expression" dxfId="7451" priority="117">
      <formula>L$9&lt;8/24</formula>
    </cfRule>
  </conditionalFormatting>
  <conditionalFormatting sqref="F92:K92">
    <cfRule type="expression" dxfId="7450" priority="110">
      <formula>F$9&gt;=20/24</formula>
    </cfRule>
    <cfRule type="expression" dxfId="7449" priority="111">
      <formula>AND(F$9&gt;=14/24,F$9&lt;20/24)</formula>
    </cfRule>
    <cfRule type="expression" dxfId="7448" priority="112">
      <formula>AND(F$9&gt;=8/24,F$9&lt;14/24)</formula>
    </cfRule>
    <cfRule type="expression" dxfId="7447" priority="113">
      <formula>F$9&lt;8/24</formula>
    </cfRule>
  </conditionalFormatting>
  <conditionalFormatting sqref="T92:Y92">
    <cfRule type="expression" dxfId="7446" priority="106">
      <formula>T$9&gt;=20/24</formula>
    </cfRule>
    <cfRule type="expression" dxfId="7445" priority="107">
      <formula>AND(T$9&gt;=14/24,T$9&lt;20/24)</formula>
    </cfRule>
    <cfRule type="expression" dxfId="7444" priority="108">
      <formula>AND(T$9&gt;=8/24,T$9&lt;14/24)</formula>
    </cfRule>
    <cfRule type="expression" dxfId="7443" priority="109">
      <formula>T$9&lt;8/24</formula>
    </cfRule>
  </conditionalFormatting>
  <conditionalFormatting sqref="M92:S92">
    <cfRule type="expression" dxfId="7442" priority="102">
      <formula>M$9&gt;=20/24</formula>
    </cfRule>
    <cfRule type="expression" dxfId="7441" priority="103">
      <formula>AND(M$9&gt;=14/24,M$9&lt;20/24)</formula>
    </cfRule>
    <cfRule type="expression" dxfId="7440" priority="104">
      <formula>AND(M$9&gt;=8/24,M$9&lt;14/24)</formula>
    </cfRule>
    <cfRule type="expression" dxfId="7439" priority="105">
      <formula>M$9&lt;8/24</formula>
    </cfRule>
  </conditionalFormatting>
  <conditionalFormatting sqref="AA97:AF97">
    <cfRule type="expression" dxfId="7438" priority="98">
      <formula>AA$9&gt;=20/24</formula>
    </cfRule>
    <cfRule type="expression" dxfId="7437" priority="99">
      <formula>AND(AA$9&gt;=14/24,AA$9&lt;20/24)</formula>
    </cfRule>
    <cfRule type="expression" dxfId="7436" priority="100">
      <formula>AND(AA$9&gt;=8/24,AA$9&lt;14/24)</formula>
    </cfRule>
    <cfRule type="expression" dxfId="7435" priority="101">
      <formula>AA$9&lt;8/24</formula>
    </cfRule>
  </conditionalFormatting>
  <conditionalFormatting sqref="T97:Z97">
    <cfRule type="expression" dxfId="7434" priority="94">
      <formula>T$9&gt;=20/24</formula>
    </cfRule>
    <cfRule type="expression" dxfId="7433" priority="95">
      <formula>AND(T$9&gt;=14/24,T$9&lt;20/24)</formula>
    </cfRule>
    <cfRule type="expression" dxfId="7432" priority="96">
      <formula>AND(T$9&gt;=8/24,T$9&lt;14/24)</formula>
    </cfRule>
    <cfRule type="expression" dxfId="7431" priority="97">
      <formula>T$9&lt;8/24</formula>
    </cfRule>
  </conditionalFormatting>
  <conditionalFormatting sqref="A97">
    <cfRule type="expression" dxfId="7430" priority="93">
      <formula>$AH97=0</formula>
    </cfRule>
  </conditionalFormatting>
  <conditionalFormatting sqref="B97:L97">
    <cfRule type="expression" dxfId="7429" priority="89">
      <formula>B$9&gt;=20/24</formula>
    </cfRule>
    <cfRule type="expression" dxfId="7428" priority="90">
      <formula>AND(B$9&gt;=14/24,B$9&lt;20/24)</formula>
    </cfRule>
    <cfRule type="expression" dxfId="7427" priority="91">
      <formula>AND(B$9&gt;=8/24,B$9&lt;14/24)</formula>
    </cfRule>
    <cfRule type="expression" dxfId="7426" priority="92">
      <formula>B$9&lt;8/24</formula>
    </cfRule>
  </conditionalFormatting>
  <conditionalFormatting sqref="M97:S97">
    <cfRule type="expression" dxfId="7425" priority="85">
      <formula>M$9&gt;=20/24</formula>
    </cfRule>
    <cfRule type="expression" dxfId="7424" priority="86">
      <formula>AND(M$9&gt;=14/24,M$9&lt;20/24)</formula>
    </cfRule>
    <cfRule type="expression" dxfId="7423" priority="87">
      <formula>AND(M$9&gt;=8/24,M$9&lt;14/24)</formula>
    </cfRule>
    <cfRule type="expression" dxfId="7422" priority="88">
      <formula>M$9&lt;8/24</formula>
    </cfRule>
  </conditionalFormatting>
  <conditionalFormatting sqref="T12:X15">
    <cfRule type="expression" dxfId="7421" priority="77">
      <formula>T$9&gt;=20/24</formula>
    </cfRule>
    <cfRule type="expression" dxfId="7420" priority="78">
      <formula>AND(T$9&gt;=14/24,T$9&lt;20/24)</formula>
    </cfRule>
    <cfRule type="expression" dxfId="7419" priority="79">
      <formula>AND(T$9&gt;=8/24,T$9&lt;14/24)</formula>
    </cfRule>
    <cfRule type="expression" dxfId="7418" priority="80">
      <formula>T$9&lt;8/24</formula>
    </cfRule>
  </conditionalFormatting>
  <conditionalFormatting sqref="T16:X16">
    <cfRule type="expression" dxfId="7417" priority="73">
      <formula>T$9&gt;=20/24</formula>
    </cfRule>
    <cfRule type="expression" dxfId="7416" priority="74">
      <formula>AND(T$9&gt;=14/24,T$9&lt;20/24)</formula>
    </cfRule>
    <cfRule type="expression" dxfId="7415" priority="75">
      <formula>AND(T$9&gt;=8/24,T$9&lt;14/24)</formula>
    </cfRule>
    <cfRule type="expression" dxfId="7414" priority="76">
      <formula>T$9&lt;8/24</formula>
    </cfRule>
  </conditionalFormatting>
  <conditionalFormatting sqref="T12:X12">
    <cfRule type="expression" dxfId="7413" priority="69">
      <formula>T$9&gt;=20/24</formula>
    </cfRule>
    <cfRule type="expression" dxfId="7412" priority="70">
      <formula>AND(T$9&gt;=14/24,T$9&lt;20/24)</formula>
    </cfRule>
    <cfRule type="expression" dxfId="7411" priority="71">
      <formula>AND(T$9&gt;=8/24,T$9&lt;14/24)</formula>
    </cfRule>
    <cfRule type="expression" dxfId="7410" priority="72">
      <formula>T$9&lt;8/24</formula>
    </cfRule>
  </conditionalFormatting>
  <conditionalFormatting sqref="AA56:AD57">
    <cfRule type="expression" dxfId="7409" priority="65">
      <formula>AA$9&gt;=20/24</formula>
    </cfRule>
    <cfRule type="expression" dxfId="7408" priority="66">
      <formula>AND(AA$9&gt;=14/24,AA$9&lt;20/24)</formula>
    </cfRule>
    <cfRule type="expression" dxfId="7407" priority="67">
      <formula>AND(AA$9&gt;=8/24,AA$9&lt;14/24)</formula>
    </cfRule>
    <cfRule type="expression" dxfId="7406" priority="68">
      <formula>AA$9&lt;8/24</formula>
    </cfRule>
  </conditionalFormatting>
  <conditionalFormatting sqref="Y11:Y23 Y28:Y35 Y25">
    <cfRule type="expression" dxfId="7405" priority="50">
      <formula>Y$9&gt;=20/24</formula>
    </cfRule>
    <cfRule type="expression" dxfId="7404" priority="51">
      <formula>AND(Y$9&gt;=14/24,Y$9&lt;20/24)</formula>
    </cfRule>
    <cfRule type="expression" dxfId="7403" priority="52">
      <formula>AND(Y$9&gt;=8/24,Y$9&lt;14/24)</formula>
    </cfRule>
    <cfRule type="expression" dxfId="7402" priority="53">
      <formula>Y$9&lt;8/24</formula>
    </cfRule>
  </conditionalFormatting>
  <conditionalFormatting sqref="Y11:Y23 Y28:Y35 Y25">
    <cfRule type="expression" dxfId="7401" priority="49">
      <formula>Y11&gt;$AG11</formula>
    </cfRule>
  </conditionalFormatting>
  <conditionalFormatting sqref="Y37:Y48">
    <cfRule type="expression" dxfId="7400" priority="45">
      <formula>Y$9&gt;=20/24</formula>
    </cfRule>
    <cfRule type="expression" dxfId="7399" priority="46">
      <formula>AND(Y$9&gt;=14/24,Y$9&lt;20/24)</formula>
    </cfRule>
    <cfRule type="expression" dxfId="7398" priority="47">
      <formula>AND(Y$9&gt;=8/24,Y$9&lt;14/24)</formula>
    </cfRule>
    <cfRule type="expression" dxfId="7397" priority="48">
      <formula>Y$9&lt;8/24</formula>
    </cfRule>
  </conditionalFormatting>
  <conditionalFormatting sqref="Y37:Y48">
    <cfRule type="expression" dxfId="7396" priority="44">
      <formula>Y37&gt;$AG37</formula>
    </cfRule>
  </conditionalFormatting>
  <conditionalFormatting sqref="Y49">
    <cfRule type="expression" dxfId="7395" priority="43">
      <formula>Y49&gt;$AG49</formula>
    </cfRule>
  </conditionalFormatting>
  <conditionalFormatting sqref="Y51:Y53">
    <cfRule type="expression" dxfId="7394" priority="39">
      <formula>Y$9&gt;=20/24</formula>
    </cfRule>
    <cfRule type="expression" dxfId="7393" priority="40">
      <formula>AND(Y$9&gt;=14/24,Y$9&lt;20/24)</formula>
    </cfRule>
    <cfRule type="expression" dxfId="7392" priority="41">
      <formula>AND(Y$9&gt;=8/24,Y$9&lt;14/24)</formula>
    </cfRule>
    <cfRule type="expression" dxfId="7391" priority="42">
      <formula>Y$9&lt;8/24</formula>
    </cfRule>
  </conditionalFormatting>
  <conditionalFormatting sqref="Y51:Y53">
    <cfRule type="expression" dxfId="7390" priority="38">
      <formula>Y51&gt;$AG51</formula>
    </cfRule>
  </conditionalFormatting>
  <conditionalFormatting sqref="R26:X26">
    <cfRule type="expression" dxfId="7389" priority="34">
      <formula>R$9&gt;=20/24</formula>
    </cfRule>
    <cfRule type="expression" dxfId="7388" priority="35">
      <formula>AND(R$9&gt;=14/24,R$9&lt;20/24)</formula>
    </cfRule>
    <cfRule type="expression" dxfId="7387" priority="36">
      <formula>AND(R$9&gt;=8/24,R$9&lt;14/24)</formula>
    </cfRule>
    <cfRule type="expression" dxfId="7386" priority="37">
      <formula>R$9&lt;8/24</formula>
    </cfRule>
  </conditionalFormatting>
  <conditionalFormatting sqref="R26:X26">
    <cfRule type="expression" dxfId="7385" priority="33">
      <formula>R26&gt;$AG26</formula>
    </cfRule>
  </conditionalFormatting>
  <conditionalFormatting sqref="Y26">
    <cfRule type="expression" dxfId="7384" priority="29">
      <formula>Y$9&gt;=20/24</formula>
    </cfRule>
    <cfRule type="expression" dxfId="7383" priority="30">
      <formula>AND(Y$9&gt;=14/24,Y$9&lt;20/24)</formula>
    </cfRule>
    <cfRule type="expression" dxfId="7382" priority="31">
      <formula>AND(Y$9&gt;=8/24,Y$9&lt;14/24)</formula>
    </cfRule>
    <cfRule type="expression" dxfId="7381" priority="32">
      <formula>Y$9&lt;8/24</formula>
    </cfRule>
  </conditionalFormatting>
  <conditionalFormatting sqref="Y26">
    <cfRule type="expression" dxfId="7380" priority="28">
      <formula>Y26&gt;$AG26</formula>
    </cfRule>
  </conditionalFormatting>
  <conditionalFormatting sqref="M26:Q26">
    <cfRule type="expression" dxfId="7379" priority="24">
      <formula>M$9&gt;=20/24</formula>
    </cfRule>
    <cfRule type="expression" dxfId="7378" priority="25">
      <formula>AND(M$9&gt;=14/24,M$9&lt;20/24)</formula>
    </cfRule>
    <cfRule type="expression" dxfId="7377" priority="26">
      <formula>AND(M$9&gt;=8/24,M$9&lt;14/24)</formula>
    </cfRule>
    <cfRule type="expression" dxfId="7376" priority="27">
      <formula>M$9&lt;8/24</formula>
    </cfRule>
  </conditionalFormatting>
  <conditionalFormatting sqref="L11:L13 L15:L25 L27:L31 M24:Q24 M27:Q27">
    <cfRule type="expression" dxfId="7375" priority="20">
      <formula>L$9&gt;=20/24</formula>
    </cfRule>
    <cfRule type="expression" dxfId="7374" priority="21">
      <formula>AND(L$9&gt;=14/24,L$9&lt;20/24)</formula>
    </cfRule>
    <cfRule type="expression" dxfId="7373" priority="22">
      <formula>AND(L$9&gt;=8/24,L$9&lt;14/24)</formula>
    </cfRule>
    <cfRule type="expression" dxfId="7372" priority="23">
      <formula>L$9&lt;8/24</formula>
    </cfRule>
  </conditionalFormatting>
  <conditionalFormatting sqref="L33">
    <cfRule type="expression" dxfId="7371" priority="16">
      <formula>L$9&gt;=20/24</formula>
    </cfRule>
    <cfRule type="expression" dxfId="7370" priority="17">
      <formula>AND(L$9&gt;=14/24,L$9&lt;20/24)</formula>
    </cfRule>
    <cfRule type="expression" dxfId="7369" priority="18">
      <formula>AND(L$9&gt;=8/24,L$9&lt;14/24)</formula>
    </cfRule>
    <cfRule type="expression" dxfId="7368" priority="19">
      <formula>L$9&lt;8/24</formula>
    </cfRule>
  </conditionalFormatting>
  <conditionalFormatting sqref="L33 L11:L13 L15:L31 M24:Q24 M27:Q27">
    <cfRule type="expression" dxfId="7367" priority="15">
      <formula>L11&gt;$AG11</formula>
    </cfRule>
  </conditionalFormatting>
  <conditionalFormatting sqref="L32">
    <cfRule type="expression" dxfId="7366" priority="11">
      <formula>L$9&gt;=20/24</formula>
    </cfRule>
    <cfRule type="expression" dxfId="7365" priority="12">
      <formula>AND(L$9&gt;=14/24,L$9&lt;20/24)</formula>
    </cfRule>
    <cfRule type="expression" dxfId="7364" priority="13">
      <formula>AND(L$9&gt;=8/24,L$9&lt;14/24)</formula>
    </cfRule>
    <cfRule type="expression" dxfId="7363" priority="14">
      <formula>L$9&lt;8/24</formula>
    </cfRule>
  </conditionalFormatting>
  <conditionalFormatting sqref="L32">
    <cfRule type="expression" dxfId="7362" priority="10">
      <formula>L32&gt;$AG32</formula>
    </cfRule>
  </conditionalFormatting>
  <conditionalFormatting sqref="L14">
    <cfRule type="expression" dxfId="7361" priority="6">
      <formula>L$9&gt;=20/24</formula>
    </cfRule>
    <cfRule type="expression" dxfId="7360" priority="7">
      <formula>AND(L$9&gt;=14/24,L$9&lt;20/24)</formula>
    </cfRule>
    <cfRule type="expression" dxfId="7359" priority="8">
      <formula>AND(L$9&gt;=8/24,L$9&lt;14/24)</formula>
    </cfRule>
    <cfRule type="expression" dxfId="7358" priority="9">
      <formula>L$9&lt;8/24</formula>
    </cfRule>
  </conditionalFormatting>
  <conditionalFormatting sqref="L14">
    <cfRule type="expression" dxfId="7357" priority="5">
      <formula>L14&gt;$AG14</formula>
    </cfRule>
  </conditionalFormatting>
  <conditionalFormatting sqref="L26">
    <cfRule type="expression" dxfId="7356" priority="1">
      <formula>L$9&gt;=20/24</formula>
    </cfRule>
    <cfRule type="expression" dxfId="7355" priority="2">
      <formula>AND(L$9&gt;=14/24,L$9&lt;20/24)</formula>
    </cfRule>
    <cfRule type="expression" dxfId="7354" priority="3">
      <formula>AND(L$9&gt;=8/24,L$9&lt;14/24)</formula>
    </cfRule>
    <cfRule type="expression" dxfId="7353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Q84" sqref="Q8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" bestFit="1" customWidth="1"/>
    <col min="12" max="12" width="8.28515625" bestFit="1" customWidth="1"/>
    <col min="13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2078/04/12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-52</v>
      </c>
      <c r="C5" s="32">
        <f t="shared" ref="C5:AF5" si="0">C66</f>
        <v>-8</v>
      </c>
      <c r="D5" s="32">
        <f t="shared" si="0"/>
        <v>-65.2</v>
      </c>
      <c r="E5" s="32">
        <f t="shared" si="0"/>
        <v>3.3</v>
      </c>
      <c r="F5" s="32">
        <f t="shared" si="0"/>
        <v>-33.1</v>
      </c>
      <c r="G5" s="32">
        <f t="shared" si="0"/>
        <v>-27</v>
      </c>
      <c r="H5" s="32">
        <f t="shared" si="0"/>
        <v>-31</v>
      </c>
      <c r="I5" s="32">
        <f t="shared" si="0"/>
        <v>-72.7</v>
      </c>
      <c r="J5" s="32">
        <f t="shared" si="0"/>
        <v>-44.4</v>
      </c>
      <c r="K5" s="32">
        <f t="shared" si="0"/>
        <v>-40.299999999999997</v>
      </c>
      <c r="L5" s="32">
        <f t="shared" si="0"/>
        <v>-65</v>
      </c>
      <c r="M5" s="32">
        <f t="shared" si="0"/>
        <v>-42</v>
      </c>
      <c r="N5" s="32">
        <f t="shared" si="0"/>
        <v>-17.7</v>
      </c>
      <c r="O5" s="32">
        <f t="shared" si="0"/>
        <v>-47.4</v>
      </c>
      <c r="P5" s="32">
        <f t="shared" si="0"/>
        <v>190</v>
      </c>
      <c r="Q5" s="32">
        <f t="shared" si="0"/>
        <v>175</v>
      </c>
      <c r="R5" s="32">
        <f t="shared" si="0"/>
        <v>5.2</v>
      </c>
      <c r="S5" s="32">
        <f t="shared" si="0"/>
        <v>36.299999999999997</v>
      </c>
      <c r="T5" s="32">
        <f t="shared" si="0"/>
        <v>38.9</v>
      </c>
      <c r="U5" s="32">
        <f t="shared" si="0"/>
        <v>-48.8</v>
      </c>
      <c r="V5" s="32">
        <f t="shared" si="0"/>
        <v>0</v>
      </c>
      <c r="W5" s="32">
        <f t="shared" si="0"/>
        <v>-7.2</v>
      </c>
      <c r="X5" s="32">
        <f t="shared" si="0"/>
        <v>-25.3</v>
      </c>
      <c r="Y5" s="32">
        <f t="shared" si="0"/>
        <v>-27.2</v>
      </c>
      <c r="Z5" s="32">
        <f t="shared" si="0"/>
        <v>8.8000000000000007</v>
      </c>
      <c r="AA5" s="32">
        <f t="shared" si="0"/>
        <v>-38.200000000000003</v>
      </c>
      <c r="AB5" s="32">
        <f t="shared" si="0"/>
        <v>-32.9</v>
      </c>
      <c r="AC5" s="32">
        <f t="shared" si="0"/>
        <v>-40.200000000000003</v>
      </c>
      <c r="AD5" s="32">
        <f t="shared" si="0"/>
        <v>-66.599999999999994</v>
      </c>
      <c r="AE5" s="32">
        <f t="shared" si="0"/>
        <v>-61.1</v>
      </c>
      <c r="AF5" s="32">
        <f t="shared" si="0"/>
        <v>-48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1324MW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Load=1123</v>
      </c>
      <c r="B7" s="37">
        <f t="shared" ref="B7:AF7" si="1">B73</f>
        <v>1170.74</v>
      </c>
      <c r="C7" s="37">
        <f t="shared" si="1"/>
        <v>1184.74</v>
      </c>
      <c r="D7" s="37">
        <f t="shared" si="1"/>
        <v>1123.1399999999999</v>
      </c>
      <c r="E7" s="37">
        <f t="shared" si="1"/>
        <v>1137.1399999999999</v>
      </c>
      <c r="F7" s="37">
        <f t="shared" si="1"/>
        <v>1139.8399999999999</v>
      </c>
      <c r="G7" s="37">
        <f t="shared" si="1"/>
        <v>1150.8399999999999</v>
      </c>
      <c r="H7" s="37">
        <f t="shared" si="1"/>
        <v>1156.94</v>
      </c>
      <c r="I7" s="37">
        <f t="shared" si="1"/>
        <v>1145.1399999999999</v>
      </c>
      <c r="J7" s="37">
        <f t="shared" si="1"/>
        <v>1243.04</v>
      </c>
      <c r="K7" s="37">
        <f t="shared" si="1"/>
        <v>1288.8399999999999</v>
      </c>
      <c r="L7" s="37">
        <f>L73</f>
        <v>1303.7400000000002</v>
      </c>
      <c r="M7" s="37">
        <f t="shared" si="1"/>
        <v>1323.8400000000001</v>
      </c>
      <c r="N7" s="37">
        <f t="shared" si="1"/>
        <v>1340.24</v>
      </c>
      <c r="O7" s="37">
        <f t="shared" si="1"/>
        <v>1328.44</v>
      </c>
      <c r="P7" s="37">
        <f t="shared" si="1"/>
        <v>1294.74</v>
      </c>
      <c r="Q7" s="37">
        <f t="shared" si="1"/>
        <v>1286.44</v>
      </c>
      <c r="R7" s="37">
        <f t="shared" si="1"/>
        <v>1303.1400000000001</v>
      </c>
      <c r="S7" s="37">
        <f t="shared" si="1"/>
        <v>1346.3400000000001</v>
      </c>
      <c r="T7" s="37">
        <f t="shared" si="1"/>
        <v>1363.04</v>
      </c>
      <c r="U7" s="37">
        <f t="shared" si="1"/>
        <v>1279.6399999999999</v>
      </c>
      <c r="V7" s="37">
        <f t="shared" si="1"/>
        <v>1255.6399999999999</v>
      </c>
      <c r="W7" s="37">
        <f t="shared" si="1"/>
        <v>1372.94</v>
      </c>
      <c r="X7" s="37">
        <f t="shared" si="1"/>
        <v>1387.54</v>
      </c>
      <c r="Y7" s="37">
        <f t="shared" si="1"/>
        <v>1377.04</v>
      </c>
      <c r="Z7" s="37">
        <f t="shared" si="1"/>
        <v>1392.74</v>
      </c>
      <c r="AA7" s="37">
        <f t="shared" si="1"/>
        <v>1346.74</v>
      </c>
      <c r="AB7" s="37">
        <f t="shared" si="1"/>
        <v>1309.04</v>
      </c>
      <c r="AC7" s="37">
        <f t="shared" si="1"/>
        <v>1287.04</v>
      </c>
      <c r="AD7" s="37">
        <f t="shared" si="1"/>
        <v>1166.8400000000001</v>
      </c>
      <c r="AE7" s="37">
        <f t="shared" si="1"/>
        <v>1132.54</v>
      </c>
      <c r="AF7" s="37">
        <f t="shared" si="1"/>
        <v>1147.6399999999999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115">
        <v>220</v>
      </c>
      <c r="C11" s="115">
        <v>220</v>
      </c>
      <c r="D11" s="49">
        <v>200</v>
      </c>
      <c r="E11" s="49">
        <v>170</v>
      </c>
      <c r="F11" s="49">
        <v>180</v>
      </c>
      <c r="G11" s="49">
        <v>180</v>
      </c>
      <c r="H11" s="49">
        <v>180</v>
      </c>
      <c r="I11" s="49">
        <v>200</v>
      </c>
      <c r="J11" s="49">
        <v>260</v>
      </c>
      <c r="K11" s="49">
        <v>300</v>
      </c>
      <c r="L11" s="50">
        <v>330</v>
      </c>
      <c r="M11" s="50">
        <v>330</v>
      </c>
      <c r="N11" s="50">
        <v>300</v>
      </c>
      <c r="O11" s="50">
        <v>320</v>
      </c>
      <c r="P11" s="50">
        <v>0</v>
      </c>
      <c r="Q11" s="51">
        <v>0</v>
      </c>
      <c r="R11" s="51">
        <v>255</v>
      </c>
      <c r="S11" s="52">
        <v>300</v>
      </c>
      <c r="T11" s="52">
        <v>300</v>
      </c>
      <c r="U11" s="52">
        <v>300</v>
      </c>
      <c r="V11" s="52">
        <v>221</v>
      </c>
      <c r="W11" s="52">
        <v>302</v>
      </c>
      <c r="X11" s="52">
        <v>302</v>
      </c>
      <c r="Y11" s="52">
        <v>300</v>
      </c>
      <c r="Z11" s="52">
        <v>280</v>
      </c>
      <c r="AA11" s="52">
        <v>280</v>
      </c>
      <c r="AB11" s="52">
        <v>280</v>
      </c>
      <c r="AC11" s="115">
        <v>280</v>
      </c>
      <c r="AD11" s="115">
        <v>260</v>
      </c>
      <c r="AE11" s="49">
        <v>220</v>
      </c>
      <c r="AF11" s="49">
        <v>240</v>
      </c>
      <c r="AG11" s="54">
        <v>456</v>
      </c>
      <c r="AH11" s="55">
        <f>MAX(B11:AF11)</f>
        <v>330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45</v>
      </c>
      <c r="C12" s="50">
        <v>45</v>
      </c>
      <c r="D12" s="49">
        <v>45</v>
      </c>
      <c r="E12" s="49">
        <v>45</v>
      </c>
      <c r="F12" s="49">
        <v>50</v>
      </c>
      <c r="G12" s="49">
        <v>50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52">
        <v>60</v>
      </c>
      <c r="Z12" s="52">
        <v>60</v>
      </c>
      <c r="AA12" s="52">
        <v>60</v>
      </c>
      <c r="AB12" s="52">
        <v>60</v>
      </c>
      <c r="AC12" s="52">
        <v>60</v>
      </c>
      <c r="AD12" s="52">
        <v>48</v>
      </c>
      <c r="AE12" s="52">
        <v>48</v>
      </c>
      <c r="AF12" s="52">
        <v>48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2">
        <v>0</v>
      </c>
      <c r="Z13" s="52">
        <v>0</v>
      </c>
      <c r="AA13" s="52">
        <v>0</v>
      </c>
      <c r="AB13" s="52">
        <v>0</v>
      </c>
      <c r="AC13" s="52">
        <v>0</v>
      </c>
      <c r="AD13" s="52">
        <v>0</v>
      </c>
      <c r="AE13" s="52">
        <v>0</v>
      </c>
      <c r="AF13" s="52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35</v>
      </c>
      <c r="C14" s="50">
        <v>35</v>
      </c>
      <c r="D14" s="62">
        <v>36.1</v>
      </c>
      <c r="E14" s="62">
        <v>36</v>
      </c>
      <c r="F14" s="62">
        <v>35.799999999999997</v>
      </c>
      <c r="G14" s="62">
        <v>35.799999999999997</v>
      </c>
      <c r="H14" s="62">
        <v>35.799999999999997</v>
      </c>
      <c r="I14" s="62">
        <v>41.5</v>
      </c>
      <c r="J14" s="62">
        <v>46.1</v>
      </c>
      <c r="K14" s="62">
        <v>45.8</v>
      </c>
      <c r="L14" s="50">
        <v>45.8</v>
      </c>
      <c r="M14" s="50">
        <v>45.6</v>
      </c>
      <c r="N14" s="50">
        <v>45.9</v>
      </c>
      <c r="O14" s="50">
        <v>45.9</v>
      </c>
      <c r="P14" s="50">
        <v>0</v>
      </c>
      <c r="Q14" s="50">
        <v>45.5</v>
      </c>
      <c r="R14" s="50">
        <v>45.5</v>
      </c>
      <c r="S14" s="50">
        <v>45.5</v>
      </c>
      <c r="T14" s="50">
        <v>45.6</v>
      </c>
      <c r="U14" s="50">
        <v>45.6</v>
      </c>
      <c r="V14" s="50">
        <v>45.6</v>
      </c>
      <c r="W14" s="50">
        <v>45.6</v>
      </c>
      <c r="X14" s="50">
        <v>45.6</v>
      </c>
      <c r="Y14" s="52">
        <v>45.6</v>
      </c>
      <c r="Z14" s="52">
        <v>45.7</v>
      </c>
      <c r="AA14" s="52">
        <v>45.7</v>
      </c>
      <c r="AB14" s="52">
        <v>45.7</v>
      </c>
      <c r="AC14" s="52">
        <v>45.7</v>
      </c>
      <c r="AD14" s="52">
        <v>36</v>
      </c>
      <c r="AE14" s="52">
        <v>36</v>
      </c>
      <c r="AF14" s="52">
        <v>36</v>
      </c>
      <c r="AG14" s="63">
        <v>45</v>
      </c>
      <c r="AH14" s="55">
        <f t="shared" si="2"/>
        <v>46.1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0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2">
        <v>26</v>
      </c>
      <c r="Z15" s="52">
        <v>26</v>
      </c>
      <c r="AA15" s="52">
        <v>26</v>
      </c>
      <c r="AB15" s="52">
        <v>26</v>
      </c>
      <c r="AC15" s="52">
        <v>26</v>
      </c>
      <c r="AD15" s="52">
        <v>21</v>
      </c>
      <c r="AE15" s="52">
        <v>21</v>
      </c>
      <c r="AF15" s="52">
        <v>21</v>
      </c>
      <c r="AG15" s="60">
        <v>45</v>
      </c>
      <c r="AH15" s="55">
        <f t="shared" si="2"/>
        <v>26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2">
        <v>25</v>
      </c>
      <c r="Z16" s="52">
        <v>25</v>
      </c>
      <c r="AA16" s="52">
        <v>25</v>
      </c>
      <c r="AB16" s="52">
        <v>25</v>
      </c>
      <c r="AC16" s="52">
        <v>25</v>
      </c>
      <c r="AD16" s="52">
        <v>20</v>
      </c>
      <c r="AE16" s="52">
        <v>20</v>
      </c>
      <c r="AF16" s="52">
        <v>20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0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2">
        <v>25</v>
      </c>
      <c r="Z17" s="52">
        <v>25</v>
      </c>
      <c r="AA17" s="52">
        <v>25</v>
      </c>
      <c r="AB17" s="52">
        <v>25</v>
      </c>
      <c r="AC17" s="52">
        <v>25</v>
      </c>
      <c r="AD17" s="52">
        <v>25</v>
      </c>
      <c r="AE17" s="52">
        <v>25</v>
      </c>
      <c r="AF17" s="52">
        <v>25</v>
      </c>
      <c r="AG17" s="60">
        <v>36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25</v>
      </c>
      <c r="C18" s="50">
        <v>20</v>
      </c>
      <c r="D18" s="49">
        <v>20</v>
      </c>
      <c r="E18" s="49">
        <v>20</v>
      </c>
      <c r="F18" s="49">
        <v>20</v>
      </c>
      <c r="G18" s="49">
        <v>25</v>
      </c>
      <c r="H18" s="49">
        <v>25</v>
      </c>
      <c r="I18" s="49">
        <v>25.2</v>
      </c>
      <c r="J18" s="49">
        <v>25.2</v>
      </c>
      <c r="K18" s="49">
        <v>25.4</v>
      </c>
      <c r="L18" s="50">
        <v>25.4</v>
      </c>
      <c r="M18" s="50">
        <v>25.4</v>
      </c>
      <c r="N18" s="50">
        <v>25.4</v>
      </c>
      <c r="O18" s="50">
        <v>25.2</v>
      </c>
      <c r="P18" s="50">
        <v>0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2">
        <v>25</v>
      </c>
      <c r="Z18" s="52">
        <v>25</v>
      </c>
      <c r="AA18" s="52">
        <v>25</v>
      </c>
      <c r="AB18" s="52">
        <v>25</v>
      </c>
      <c r="AC18" s="52">
        <v>25</v>
      </c>
      <c r="AD18" s="52">
        <v>25</v>
      </c>
      <c r="AE18" s="52">
        <v>25</v>
      </c>
      <c r="AF18" s="52">
        <v>20</v>
      </c>
      <c r="AG18" s="60">
        <v>30</v>
      </c>
      <c r="AH18" s="55">
        <f t="shared" si="2"/>
        <v>25.4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2">
        <v>6.2</v>
      </c>
      <c r="Z19" s="52">
        <v>6.2</v>
      </c>
      <c r="AA19" s="52">
        <v>6.2</v>
      </c>
      <c r="AB19" s="52">
        <v>6.2</v>
      </c>
      <c r="AC19" s="52">
        <v>6.2</v>
      </c>
      <c r="AD19" s="52">
        <v>6.2</v>
      </c>
      <c r="AE19" s="52">
        <v>6.2</v>
      </c>
      <c r="AF19" s="52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0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2">
        <v>11</v>
      </c>
      <c r="Z20" s="52">
        <v>11</v>
      </c>
      <c r="AA20" s="52">
        <v>11</v>
      </c>
      <c r="AB20" s="52">
        <v>11</v>
      </c>
      <c r="AC20" s="52">
        <v>11</v>
      </c>
      <c r="AD20" s="52">
        <v>11</v>
      </c>
      <c r="AE20" s="52">
        <v>11</v>
      </c>
      <c r="AF20" s="52">
        <v>11</v>
      </c>
      <c r="AG20" s="60">
        <v>25</v>
      </c>
      <c r="AH20" s="55">
        <f t="shared" si="2"/>
        <v>11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0</v>
      </c>
      <c r="Q21" s="50">
        <v>22</v>
      </c>
      <c r="R21" s="50">
        <v>0</v>
      </c>
      <c r="S21" s="50">
        <v>0</v>
      </c>
      <c r="T21" s="50">
        <v>21</v>
      </c>
      <c r="U21" s="50">
        <v>0</v>
      </c>
      <c r="V21" s="50">
        <v>8</v>
      </c>
      <c r="W21" s="50">
        <v>22</v>
      </c>
      <c r="X21" s="50">
        <v>22</v>
      </c>
      <c r="Y21" s="52">
        <v>22</v>
      </c>
      <c r="Z21" s="52">
        <v>22</v>
      </c>
      <c r="AA21" s="52">
        <v>22</v>
      </c>
      <c r="AB21" s="52">
        <v>22</v>
      </c>
      <c r="AC21" s="52">
        <v>22</v>
      </c>
      <c r="AD21" s="52">
        <v>22</v>
      </c>
      <c r="AE21" s="52">
        <v>22</v>
      </c>
      <c r="AF21" s="52">
        <v>22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</v>
      </c>
      <c r="C22" s="50">
        <v>22</v>
      </c>
      <c r="D22" s="49">
        <v>17</v>
      </c>
      <c r="E22" s="49">
        <v>17</v>
      </c>
      <c r="F22" s="49">
        <v>17</v>
      </c>
      <c r="G22" s="49">
        <v>17</v>
      </c>
      <c r="H22" s="49">
        <v>17</v>
      </c>
      <c r="I22" s="49">
        <v>17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2">
        <v>22</v>
      </c>
      <c r="Z22" s="52">
        <v>22</v>
      </c>
      <c r="AA22" s="52">
        <v>22</v>
      </c>
      <c r="AB22" s="52">
        <v>22</v>
      </c>
      <c r="AC22" s="52">
        <v>22</v>
      </c>
      <c r="AD22" s="52">
        <v>17</v>
      </c>
      <c r="AE22" s="52">
        <v>17</v>
      </c>
      <c r="AF22" s="52">
        <v>17</v>
      </c>
      <c r="AG22" s="60">
        <v>25</v>
      </c>
      <c r="AH22" s="55">
        <f t="shared" si="2"/>
        <v>22</v>
      </c>
      <c r="AI22" s="56">
        <f t="shared" si="3"/>
        <v>17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2">
        <v>22</v>
      </c>
      <c r="Z23" s="52">
        <v>22</v>
      </c>
      <c r="AA23" s="52">
        <v>22</v>
      </c>
      <c r="AB23" s="52">
        <v>22</v>
      </c>
      <c r="AC23" s="52">
        <v>22</v>
      </c>
      <c r="AD23" s="52">
        <v>17</v>
      </c>
      <c r="AE23" s="52">
        <v>17</v>
      </c>
      <c r="AF23" s="52">
        <v>17</v>
      </c>
      <c r="AG23" s="60">
        <v>25</v>
      </c>
      <c r="AH23" s="55">
        <f t="shared" si="2"/>
        <v>22</v>
      </c>
      <c r="AI23" s="56">
        <f t="shared" si="3"/>
        <v>17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2">
        <v>22</v>
      </c>
      <c r="Z24" s="52">
        <v>22</v>
      </c>
      <c r="AA24" s="52">
        <v>22</v>
      </c>
      <c r="AB24" s="52">
        <v>22</v>
      </c>
      <c r="AC24" s="52">
        <v>22</v>
      </c>
      <c r="AD24" s="52">
        <v>17</v>
      </c>
      <c r="AE24" s="52">
        <v>17</v>
      </c>
      <c r="AF24" s="52">
        <v>17</v>
      </c>
      <c r="AG24" s="60">
        <v>24.2</v>
      </c>
      <c r="AH24" s="55">
        <f t="shared" si="2"/>
        <v>22</v>
      </c>
      <c r="AI24" s="56">
        <f t="shared" si="3"/>
        <v>17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14</v>
      </c>
      <c r="C25" s="50">
        <v>14</v>
      </c>
      <c r="D25" s="49">
        <v>17</v>
      </c>
      <c r="E25" s="49">
        <v>17</v>
      </c>
      <c r="F25" s="49">
        <v>17</v>
      </c>
      <c r="G25" s="49">
        <v>17</v>
      </c>
      <c r="H25" s="49">
        <v>17</v>
      </c>
      <c r="I25" s="49">
        <v>17</v>
      </c>
      <c r="J25" s="49">
        <v>17</v>
      </c>
      <c r="K25" s="49">
        <v>17</v>
      </c>
      <c r="L25" s="50">
        <v>18</v>
      </c>
      <c r="M25" s="50">
        <v>16</v>
      </c>
      <c r="N25" s="50">
        <v>16</v>
      </c>
      <c r="O25" s="50">
        <v>16</v>
      </c>
      <c r="P25" s="50">
        <v>0</v>
      </c>
      <c r="Q25" s="50">
        <v>10</v>
      </c>
      <c r="R25" s="50">
        <v>10</v>
      </c>
      <c r="S25" s="50">
        <v>10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2">
        <v>7</v>
      </c>
      <c r="Z25" s="52">
        <v>7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18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15</v>
      </c>
      <c r="C26" s="49">
        <v>15</v>
      </c>
      <c r="D26" s="49">
        <v>15</v>
      </c>
      <c r="E26" s="49">
        <v>15</v>
      </c>
      <c r="F26" s="49">
        <v>15</v>
      </c>
      <c r="G26" s="49">
        <v>15</v>
      </c>
      <c r="H26" s="49">
        <v>15</v>
      </c>
      <c r="I26" s="49">
        <v>15</v>
      </c>
      <c r="J26" s="49">
        <v>15</v>
      </c>
      <c r="K26" s="49">
        <v>15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2">
        <v>15</v>
      </c>
      <c r="Z26" s="52">
        <v>15</v>
      </c>
      <c r="AA26" s="52">
        <v>15</v>
      </c>
      <c r="AB26" s="52">
        <v>15</v>
      </c>
      <c r="AC26" s="52">
        <v>15</v>
      </c>
      <c r="AD26" s="52">
        <v>15</v>
      </c>
      <c r="AE26" s="52">
        <v>15</v>
      </c>
      <c r="AF26" s="52">
        <v>15</v>
      </c>
      <c r="AG26" s="60">
        <v>23.5</v>
      </c>
      <c r="AH26" s="55">
        <f t="shared" si="2"/>
        <v>15</v>
      </c>
      <c r="AI26" s="56">
        <f t="shared" si="3"/>
        <v>15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2">
        <v>10</v>
      </c>
      <c r="Z27" s="52">
        <v>10</v>
      </c>
      <c r="AA27" s="52">
        <v>10</v>
      </c>
      <c r="AB27" s="52">
        <v>10</v>
      </c>
      <c r="AC27" s="52">
        <v>10</v>
      </c>
      <c r="AD27" s="52">
        <v>10</v>
      </c>
      <c r="AE27" s="52">
        <v>10</v>
      </c>
      <c r="AF27" s="52">
        <v>10</v>
      </c>
      <c r="AG27" s="60">
        <v>22.2</v>
      </c>
      <c r="AH27" s="55">
        <f t="shared" si="2"/>
        <v>10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12.4</v>
      </c>
      <c r="C28" s="50">
        <v>12.4</v>
      </c>
      <c r="D28" s="50">
        <v>12.4</v>
      </c>
      <c r="E28" s="50">
        <v>12.4</v>
      </c>
      <c r="F28" s="50">
        <v>12.4</v>
      </c>
      <c r="G28" s="50">
        <v>12.4</v>
      </c>
      <c r="H28" s="50">
        <v>12.4</v>
      </c>
      <c r="I28" s="49">
        <v>12.3</v>
      </c>
      <c r="J28" s="49">
        <v>12.3</v>
      </c>
      <c r="K28" s="49">
        <v>12.3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2">
        <v>12.4</v>
      </c>
      <c r="Z28" s="52">
        <v>12.4</v>
      </c>
      <c r="AA28" s="52">
        <v>12.4</v>
      </c>
      <c r="AB28" s="52">
        <v>12.4</v>
      </c>
      <c r="AC28" s="52">
        <v>12.4</v>
      </c>
      <c r="AD28" s="52">
        <v>12.4</v>
      </c>
      <c r="AE28" s="52">
        <v>12.4</v>
      </c>
      <c r="AF28" s="52">
        <v>12.4</v>
      </c>
      <c r="AG28" s="60">
        <v>22.1</v>
      </c>
      <c r="AH28" s="55">
        <f t="shared" si="2"/>
        <v>12.4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0</v>
      </c>
      <c r="C29" s="50">
        <v>4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0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2">
        <v>12</v>
      </c>
      <c r="Z29" s="52">
        <v>12</v>
      </c>
      <c r="AA29" s="52">
        <v>12</v>
      </c>
      <c r="AB29" s="52">
        <v>12</v>
      </c>
      <c r="AC29" s="52">
        <v>12</v>
      </c>
      <c r="AD29" s="52">
        <v>12</v>
      </c>
      <c r="AE29" s="52">
        <v>12</v>
      </c>
      <c r="AF29" s="52">
        <v>12</v>
      </c>
      <c r="AG29" s="60">
        <v>22.1</v>
      </c>
      <c r="AH29" s="55">
        <f t="shared" si="2"/>
        <v>12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2">
        <v>12</v>
      </c>
      <c r="Z30" s="52">
        <v>12</v>
      </c>
      <c r="AA30" s="52">
        <v>12</v>
      </c>
      <c r="AB30" s="52">
        <v>12</v>
      </c>
      <c r="AC30" s="52">
        <v>12</v>
      </c>
      <c r="AD30" s="52">
        <v>12</v>
      </c>
      <c r="AE30" s="52">
        <v>12</v>
      </c>
      <c r="AF30" s="52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2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2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2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/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52">
        <v>220</v>
      </c>
      <c r="Z34" s="52">
        <v>220</v>
      </c>
      <c r="AA34" s="52">
        <v>220</v>
      </c>
      <c r="AB34" s="52">
        <v>220</v>
      </c>
      <c r="AC34" s="52">
        <v>220</v>
      </c>
      <c r="AD34" s="52">
        <v>220</v>
      </c>
      <c r="AE34" s="52">
        <v>220</v>
      </c>
      <c r="AF34" s="5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f>74.8+95.3</f>
        <v>170.1</v>
      </c>
      <c r="C35" s="62">
        <f>74.8+95.1</f>
        <v>169.89999999999998</v>
      </c>
      <c r="D35" s="62">
        <f>74.6+95.5</f>
        <v>170.1</v>
      </c>
      <c r="E35" s="62">
        <f>74.7+95.8</f>
        <v>170.5</v>
      </c>
      <c r="F35" s="62">
        <f>74.4+95.5</f>
        <v>169.9</v>
      </c>
      <c r="G35" s="62">
        <f>74.2+94.8</f>
        <v>169</v>
      </c>
      <c r="H35" s="62">
        <f>74.2+94.8</f>
        <v>169</v>
      </c>
      <c r="I35" s="62">
        <f>74.2+94.3</f>
        <v>168.5</v>
      </c>
      <c r="J35" s="62">
        <f>73.9+94</f>
        <v>167.9</v>
      </c>
      <c r="K35" s="62">
        <f>74.1+93.7</f>
        <v>167.8</v>
      </c>
      <c r="L35" s="70">
        <f>74.2+93.7</f>
        <v>167.9</v>
      </c>
      <c r="M35" s="70">
        <f>74.2+93.7</f>
        <v>167.9</v>
      </c>
      <c r="N35" s="70">
        <f>94.1+74.1</f>
        <v>168.2</v>
      </c>
      <c r="O35" s="70">
        <f>74.3+94.2</f>
        <v>168.5</v>
      </c>
      <c r="P35" s="70">
        <v>168</v>
      </c>
      <c r="Q35" s="70">
        <f>95.4+74.4</f>
        <v>169.8</v>
      </c>
      <c r="R35" s="70">
        <v>156.9</v>
      </c>
      <c r="S35" s="70">
        <v>160</v>
      </c>
      <c r="T35" s="70">
        <v>167</v>
      </c>
      <c r="U35" s="70">
        <v>167</v>
      </c>
      <c r="V35" s="70">
        <v>167</v>
      </c>
      <c r="W35" s="70">
        <v>167</v>
      </c>
      <c r="X35" s="70">
        <v>167</v>
      </c>
      <c r="Y35" s="52">
        <v>167.7</v>
      </c>
      <c r="Z35" s="52">
        <v>167.7</v>
      </c>
      <c r="AA35" s="70">
        <v>178.3</v>
      </c>
      <c r="AB35" s="70">
        <v>169.5</v>
      </c>
      <c r="AC35" s="70">
        <v>169.8</v>
      </c>
      <c r="AD35" s="70">
        <v>163.69999999999999</v>
      </c>
      <c r="AE35" s="62">
        <v>163.30000000000001</v>
      </c>
      <c r="AF35" s="62">
        <v>163.9</v>
      </c>
      <c r="AG35" s="67">
        <v>240</v>
      </c>
      <c r="AH35" s="55">
        <f t="shared" si="2"/>
        <v>178.3</v>
      </c>
      <c r="AI35" s="56">
        <f t="shared" si="3"/>
        <v>156.9</v>
      </c>
      <c r="AK35" s="57"/>
    </row>
    <row r="36" spans="1:88" ht="15.75" thickBot="1" x14ac:dyDescent="0.3">
      <c r="A36" s="71" t="s">
        <v>43</v>
      </c>
      <c r="B36" s="72">
        <f>SUM(B11:B34)</f>
        <v>789.6</v>
      </c>
      <c r="C36" s="72">
        <f t="shared" ref="C36:AF36" si="4">SUM(C11:C34)</f>
        <v>788.6</v>
      </c>
      <c r="D36" s="72">
        <f t="shared" si="4"/>
        <v>775.69999999999993</v>
      </c>
      <c r="E36" s="72">
        <f t="shared" si="4"/>
        <v>745.59999999999991</v>
      </c>
      <c r="F36" s="72">
        <f t="shared" si="4"/>
        <v>760.4</v>
      </c>
      <c r="G36" s="72">
        <f t="shared" si="4"/>
        <v>765.4</v>
      </c>
      <c r="H36" s="72">
        <f t="shared" si="4"/>
        <v>775.4</v>
      </c>
      <c r="I36" s="72">
        <f t="shared" si="4"/>
        <v>801.19999999999993</v>
      </c>
      <c r="J36" s="72">
        <f t="shared" si="4"/>
        <v>870.8</v>
      </c>
      <c r="K36" s="72">
        <f t="shared" si="4"/>
        <v>910.69999999999993</v>
      </c>
      <c r="L36" s="72">
        <f t="shared" si="4"/>
        <v>929.40000000000009</v>
      </c>
      <c r="M36" s="72">
        <f t="shared" si="4"/>
        <v>927.2</v>
      </c>
      <c r="N36" s="72">
        <f t="shared" si="4"/>
        <v>897.5</v>
      </c>
      <c r="O36" s="72">
        <f t="shared" si="4"/>
        <v>917.30000000000007</v>
      </c>
      <c r="P36" s="72">
        <f t="shared" si="4"/>
        <v>124.2</v>
      </c>
      <c r="Q36" s="72">
        <f t="shared" si="4"/>
        <v>590.70000000000005</v>
      </c>
      <c r="R36" s="72">
        <f t="shared" si="4"/>
        <v>823.7</v>
      </c>
      <c r="S36" s="72">
        <f t="shared" si="4"/>
        <v>868.7</v>
      </c>
      <c r="T36" s="72">
        <f t="shared" si="4"/>
        <v>886.80000000000007</v>
      </c>
      <c r="U36" s="72">
        <f t="shared" si="4"/>
        <v>865.80000000000007</v>
      </c>
      <c r="V36" s="72">
        <f t="shared" si="4"/>
        <v>794.8</v>
      </c>
      <c r="W36" s="72">
        <f t="shared" si="4"/>
        <v>889.80000000000007</v>
      </c>
      <c r="X36" s="72">
        <f t="shared" si="4"/>
        <v>889.80000000000007</v>
      </c>
      <c r="Y36" s="72">
        <f t="shared" si="4"/>
        <v>900.2</v>
      </c>
      <c r="Z36" s="72">
        <f t="shared" si="4"/>
        <v>880.3</v>
      </c>
      <c r="AA36" s="72">
        <f t="shared" si="4"/>
        <v>883.3</v>
      </c>
      <c r="AB36" s="72">
        <f t="shared" si="4"/>
        <v>883.3</v>
      </c>
      <c r="AC36" s="72">
        <f t="shared" si="4"/>
        <v>883.3</v>
      </c>
      <c r="AD36" s="72">
        <f t="shared" si="4"/>
        <v>816.6</v>
      </c>
      <c r="AE36" s="72">
        <f t="shared" si="4"/>
        <v>776.6</v>
      </c>
      <c r="AF36" s="72">
        <f t="shared" si="4"/>
        <v>791.6</v>
      </c>
      <c r="AG36" s="67">
        <f>SUM(AG11:AG35)</f>
        <v>1431.83</v>
      </c>
      <c r="AH36" s="55">
        <f t="shared" si="2"/>
        <v>929.40000000000009</v>
      </c>
      <c r="AI36" s="56">
        <f t="shared" si="3"/>
        <v>124.2</v>
      </c>
      <c r="AK36" s="57"/>
    </row>
    <row r="37" spans="1:88" x14ac:dyDescent="0.25">
      <c r="A37" s="58" t="s">
        <v>44</v>
      </c>
      <c r="B37" s="49">
        <v>144</v>
      </c>
      <c r="C37" s="62">
        <v>144.5</v>
      </c>
      <c r="D37" s="62">
        <v>144.6</v>
      </c>
      <c r="E37" s="62">
        <v>144.69999999999999</v>
      </c>
      <c r="F37" s="62">
        <v>144.69999999999999</v>
      </c>
      <c r="G37" s="62">
        <v>144.9</v>
      </c>
      <c r="H37" s="62">
        <v>144.80000000000001</v>
      </c>
      <c r="I37" s="62">
        <v>144.80000000000001</v>
      </c>
      <c r="J37" s="62">
        <v>144.80000000000001</v>
      </c>
      <c r="K37" s="62">
        <v>144.80000000000001</v>
      </c>
      <c r="L37" s="50">
        <v>144.5</v>
      </c>
      <c r="M37" s="50">
        <v>144.5</v>
      </c>
      <c r="N37" s="50">
        <v>144.5</v>
      </c>
      <c r="O37" s="50">
        <v>144.5</v>
      </c>
      <c r="P37" s="50">
        <v>0</v>
      </c>
      <c r="Q37" s="50">
        <v>144.1</v>
      </c>
      <c r="R37" s="50">
        <v>144.1</v>
      </c>
      <c r="S37" s="50">
        <v>144</v>
      </c>
      <c r="T37" s="50">
        <v>144</v>
      </c>
      <c r="U37" s="50">
        <v>144.19999999999999</v>
      </c>
      <c r="V37" s="50">
        <v>144.19999999999999</v>
      </c>
      <c r="W37" s="50">
        <v>144.5</v>
      </c>
      <c r="X37" s="50">
        <v>144.5</v>
      </c>
      <c r="Y37" s="50">
        <v>144.5</v>
      </c>
      <c r="Z37" s="50">
        <v>144.5</v>
      </c>
      <c r="AA37" s="50">
        <v>144.5</v>
      </c>
      <c r="AB37" s="50">
        <v>144.5</v>
      </c>
      <c r="AC37" s="50">
        <v>144.5</v>
      </c>
      <c r="AD37" s="50">
        <v>144.5</v>
      </c>
      <c r="AE37" s="50">
        <v>144.5</v>
      </c>
      <c r="AF37" s="50">
        <v>131.5</v>
      </c>
      <c r="AG37" s="63">
        <v>144</v>
      </c>
      <c r="AH37" s="55">
        <f t="shared" si="2"/>
        <v>144.9</v>
      </c>
      <c r="AI37" s="56">
        <f t="shared" si="3"/>
        <v>0</v>
      </c>
      <c r="AK37" s="57"/>
    </row>
    <row r="38" spans="1:88" x14ac:dyDescent="0.25">
      <c r="A38" s="66" t="s">
        <v>45</v>
      </c>
      <c r="B38" s="62">
        <v>70</v>
      </c>
      <c r="C38" s="62">
        <v>65</v>
      </c>
      <c r="D38" s="62">
        <v>69.8</v>
      </c>
      <c r="E38" s="62">
        <v>60</v>
      </c>
      <c r="F38" s="62">
        <v>69.599999999999994</v>
      </c>
      <c r="G38" s="62">
        <v>70</v>
      </c>
      <c r="H38" s="62">
        <v>70</v>
      </c>
      <c r="I38" s="62">
        <v>69.7</v>
      </c>
      <c r="J38" s="62">
        <v>69.7</v>
      </c>
      <c r="K38" s="62">
        <v>69.599999999999994</v>
      </c>
      <c r="L38" s="52">
        <v>69.5</v>
      </c>
      <c r="M38" s="52">
        <v>69.8</v>
      </c>
      <c r="N38" s="52">
        <v>70.2</v>
      </c>
      <c r="O38" s="52">
        <v>69.900000000000006</v>
      </c>
      <c r="P38" s="52">
        <v>70</v>
      </c>
      <c r="Q38" s="52">
        <v>69</v>
      </c>
      <c r="R38" s="52">
        <v>69</v>
      </c>
      <c r="S38" s="52">
        <v>71</v>
      </c>
      <c r="T38" s="52">
        <v>71</v>
      </c>
      <c r="U38" s="52">
        <v>71.2</v>
      </c>
      <c r="V38" s="52">
        <v>70.2</v>
      </c>
      <c r="W38" s="52">
        <v>70.2</v>
      </c>
      <c r="X38" s="52">
        <v>70.2</v>
      </c>
      <c r="Y38" s="50">
        <v>71</v>
      </c>
      <c r="Z38" s="50">
        <v>71</v>
      </c>
      <c r="AA38" s="50">
        <v>71</v>
      </c>
      <c r="AB38" s="50">
        <v>71</v>
      </c>
      <c r="AC38" s="50">
        <v>71</v>
      </c>
      <c r="AD38" s="50">
        <v>59.7</v>
      </c>
      <c r="AE38" s="50">
        <v>60.2</v>
      </c>
      <c r="AF38" s="50">
        <v>60.2</v>
      </c>
      <c r="AG38" s="67">
        <v>70</v>
      </c>
      <c r="AH38" s="55">
        <f t="shared" si="2"/>
        <v>71.2</v>
      </c>
      <c r="AI38" s="56">
        <f t="shared" si="3"/>
        <v>59.7</v>
      </c>
      <c r="AK38" s="57"/>
    </row>
    <row r="39" spans="1:88" x14ac:dyDescent="0.25">
      <c r="A39" s="66" t="s">
        <v>46</v>
      </c>
      <c r="B39" s="62">
        <v>69.3</v>
      </c>
      <c r="C39" s="62">
        <v>60</v>
      </c>
      <c r="D39" s="62">
        <v>69.8</v>
      </c>
      <c r="E39" s="62">
        <v>55</v>
      </c>
      <c r="F39" s="62">
        <v>69.7</v>
      </c>
      <c r="G39" s="62">
        <v>69</v>
      </c>
      <c r="H39" s="62">
        <v>69.2</v>
      </c>
      <c r="I39" s="62">
        <v>69.599999999999994</v>
      </c>
      <c r="J39" s="62">
        <v>69.599999999999994</v>
      </c>
      <c r="K39" s="62">
        <v>69.599999999999994</v>
      </c>
      <c r="L39" s="52">
        <v>69.8</v>
      </c>
      <c r="M39" s="52">
        <v>68.8</v>
      </c>
      <c r="N39" s="52">
        <v>70.7</v>
      </c>
      <c r="O39" s="52">
        <v>69.599999999999994</v>
      </c>
      <c r="P39" s="52">
        <v>70</v>
      </c>
      <c r="Q39" s="52">
        <v>70</v>
      </c>
      <c r="R39" s="52">
        <v>70</v>
      </c>
      <c r="S39" s="52">
        <v>70</v>
      </c>
      <c r="T39" s="52">
        <v>70</v>
      </c>
      <c r="U39" s="52">
        <v>69.7</v>
      </c>
      <c r="V39" s="52">
        <v>69.7</v>
      </c>
      <c r="W39" s="52">
        <v>69.8</v>
      </c>
      <c r="X39" s="52">
        <v>69.599999999999994</v>
      </c>
      <c r="Y39" s="50">
        <v>69.5</v>
      </c>
      <c r="Z39" s="50">
        <v>69.5</v>
      </c>
      <c r="AA39" s="50">
        <v>69.5</v>
      </c>
      <c r="AB39" s="50">
        <v>69.5</v>
      </c>
      <c r="AC39" s="50">
        <v>69.5</v>
      </c>
      <c r="AD39" s="50">
        <v>60.5</v>
      </c>
      <c r="AE39" s="50">
        <v>60.2</v>
      </c>
      <c r="AF39" s="50">
        <v>60.2</v>
      </c>
      <c r="AG39" s="67">
        <v>69</v>
      </c>
      <c r="AH39" s="55">
        <f t="shared" si="2"/>
        <v>70.7</v>
      </c>
      <c r="AI39" s="56">
        <f t="shared" si="3"/>
        <v>55</v>
      </c>
      <c r="AK39" s="57"/>
    </row>
    <row r="40" spans="1:88" x14ac:dyDescent="0.25">
      <c r="A40" s="66" t="s">
        <v>47</v>
      </c>
      <c r="B40" s="62">
        <v>60</v>
      </c>
      <c r="C40" s="62">
        <v>45</v>
      </c>
      <c r="D40" s="62">
        <v>38.799999999999997</v>
      </c>
      <c r="E40" s="62">
        <v>38.799999999999997</v>
      </c>
      <c r="F40" s="62">
        <v>38.799999999999997</v>
      </c>
      <c r="G40" s="62">
        <v>38.799999999999997</v>
      </c>
      <c r="H40" s="62">
        <v>38.799999999999997</v>
      </c>
      <c r="I40" s="62">
        <v>38.799999999999997</v>
      </c>
      <c r="J40" s="62">
        <v>38.799999999999997</v>
      </c>
      <c r="K40" s="62">
        <v>38.799999999999997</v>
      </c>
      <c r="L40" s="52">
        <v>60</v>
      </c>
      <c r="M40" s="52">
        <v>60</v>
      </c>
      <c r="N40" s="52">
        <v>58.2</v>
      </c>
      <c r="O40" s="52">
        <v>58.2</v>
      </c>
      <c r="P40" s="52">
        <v>0</v>
      </c>
      <c r="Q40" s="52">
        <v>61.7</v>
      </c>
      <c r="R40" s="52">
        <v>39.5</v>
      </c>
      <c r="S40" s="52">
        <v>39.5</v>
      </c>
      <c r="T40" s="52">
        <v>35.5</v>
      </c>
      <c r="U40" s="52">
        <v>60.7</v>
      </c>
      <c r="V40" s="52">
        <v>60.7</v>
      </c>
      <c r="W40" s="52">
        <v>60.7</v>
      </c>
      <c r="X40" s="52">
        <v>60.7</v>
      </c>
      <c r="Y40" s="50">
        <v>60.4</v>
      </c>
      <c r="Z40" s="50">
        <v>60.4</v>
      </c>
      <c r="AA40" s="50">
        <v>60.4</v>
      </c>
      <c r="AB40" s="50">
        <v>60.4</v>
      </c>
      <c r="AC40" s="50">
        <v>60.4</v>
      </c>
      <c r="AD40" s="50">
        <v>60.4</v>
      </c>
      <c r="AE40" s="50">
        <v>60.4</v>
      </c>
      <c r="AF40" s="50">
        <v>60.4</v>
      </c>
      <c r="AG40" s="67">
        <v>60</v>
      </c>
      <c r="AH40" s="55">
        <f t="shared" si="2"/>
        <v>61.7</v>
      </c>
      <c r="AI40" s="56">
        <f t="shared" si="3"/>
        <v>0</v>
      </c>
      <c r="AK40" s="57"/>
    </row>
    <row r="41" spans="1:88" x14ac:dyDescent="0.25">
      <c r="A41" s="66" t="s">
        <v>48</v>
      </c>
      <c r="B41" s="62">
        <v>29.6</v>
      </c>
      <c r="C41" s="62">
        <v>29.4</v>
      </c>
      <c r="D41" s="62">
        <v>29.4</v>
      </c>
      <c r="E41" s="62">
        <v>29.5</v>
      </c>
      <c r="F41" s="62">
        <v>29.5</v>
      </c>
      <c r="G41" s="62">
        <v>29.5</v>
      </c>
      <c r="H41" s="62">
        <v>29.5</v>
      </c>
      <c r="I41" s="62">
        <v>29.5</v>
      </c>
      <c r="J41" s="62">
        <v>29.5</v>
      </c>
      <c r="K41" s="62">
        <v>29.4</v>
      </c>
      <c r="L41" s="50">
        <v>29.3</v>
      </c>
      <c r="M41" s="50">
        <v>29.3</v>
      </c>
      <c r="N41" s="50">
        <v>29.6</v>
      </c>
      <c r="O41" s="50">
        <v>29.7</v>
      </c>
      <c r="P41" s="50">
        <v>0</v>
      </c>
      <c r="Q41" s="50">
        <v>29.5</v>
      </c>
      <c r="R41" s="50">
        <v>29.4</v>
      </c>
      <c r="S41" s="50">
        <v>29.4</v>
      </c>
      <c r="T41" s="50">
        <v>29.4</v>
      </c>
      <c r="U41" s="50">
        <v>29.4</v>
      </c>
      <c r="V41" s="50">
        <v>29.4</v>
      </c>
      <c r="W41" s="50">
        <v>29.4</v>
      </c>
      <c r="X41" s="50">
        <v>29.4</v>
      </c>
      <c r="Y41" s="50">
        <v>29.5</v>
      </c>
      <c r="Z41" s="50">
        <v>29.5</v>
      </c>
      <c r="AA41" s="50">
        <v>29.5</v>
      </c>
      <c r="AB41" s="50">
        <v>29.5</v>
      </c>
      <c r="AC41" s="50">
        <v>29.5</v>
      </c>
      <c r="AD41" s="50">
        <v>29.5</v>
      </c>
      <c r="AE41" s="50">
        <v>29.5</v>
      </c>
      <c r="AF41" s="50">
        <v>29.5</v>
      </c>
      <c r="AG41" s="67">
        <v>30</v>
      </c>
      <c r="AH41" s="55">
        <f t="shared" si="2"/>
        <v>29.7</v>
      </c>
      <c r="AI41" s="56">
        <f t="shared" si="3"/>
        <v>0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62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0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</v>
      </c>
      <c r="AI43" s="56">
        <f t="shared" si="3"/>
        <v>0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0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0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0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62">
        <v>8</v>
      </c>
      <c r="C46" s="73">
        <v>8</v>
      </c>
      <c r="D46" s="73">
        <v>8</v>
      </c>
      <c r="E46" s="73">
        <v>8</v>
      </c>
      <c r="F46" s="73">
        <v>8</v>
      </c>
      <c r="G46" s="73">
        <v>8</v>
      </c>
      <c r="H46" s="73">
        <v>8</v>
      </c>
      <c r="I46" s="73">
        <v>12</v>
      </c>
      <c r="J46" s="73">
        <v>12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0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12</v>
      </c>
      <c r="AB46" s="50">
        <v>10</v>
      </c>
      <c r="AC46" s="50">
        <v>10</v>
      </c>
      <c r="AD46" s="50">
        <v>10</v>
      </c>
      <c r="AE46" s="50">
        <v>10</v>
      </c>
      <c r="AF46" s="50">
        <v>10</v>
      </c>
      <c r="AG46" s="67">
        <v>14</v>
      </c>
      <c r="AH46" s="55">
        <f t="shared" si="2"/>
        <v>14</v>
      </c>
      <c r="AI46" s="56">
        <f t="shared" si="3"/>
        <v>0</v>
      </c>
      <c r="AK46" s="57"/>
    </row>
    <row r="47" spans="1:88" x14ac:dyDescent="0.25">
      <c r="A47" s="66" t="s">
        <v>54</v>
      </c>
      <c r="B47" s="62">
        <v>9.3000000000000007</v>
      </c>
      <c r="C47" s="62">
        <v>9.3000000000000007</v>
      </c>
      <c r="D47" s="62">
        <v>9.3000000000000007</v>
      </c>
      <c r="E47" s="62">
        <v>9.3000000000000007</v>
      </c>
      <c r="F47" s="62">
        <v>9.3000000000000007</v>
      </c>
      <c r="G47" s="62">
        <v>9.3000000000000007</v>
      </c>
      <c r="H47" s="62">
        <v>9.3000000000000007</v>
      </c>
      <c r="I47" s="62">
        <v>9.3000000000000007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0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50">
        <v>9.3000000000000007</v>
      </c>
      <c r="AF47" s="50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0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0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0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433.14000000000004</v>
      </c>
      <c r="C50" s="72">
        <f t="shared" ref="C50:AF50" si="6">SUM(C37:C49)</f>
        <v>404.14</v>
      </c>
      <c r="D50" s="72">
        <f t="shared" si="6"/>
        <v>412.64</v>
      </c>
      <c r="E50" s="72">
        <f t="shared" si="6"/>
        <v>388.24</v>
      </c>
      <c r="F50" s="72">
        <f t="shared" si="6"/>
        <v>412.54</v>
      </c>
      <c r="G50" s="72">
        <f t="shared" si="6"/>
        <v>412.44</v>
      </c>
      <c r="H50" s="72">
        <f t="shared" si="6"/>
        <v>412.54</v>
      </c>
      <c r="I50" s="72">
        <f t="shared" si="6"/>
        <v>416.64000000000004</v>
      </c>
      <c r="J50" s="72">
        <f t="shared" si="6"/>
        <v>416.64000000000004</v>
      </c>
      <c r="K50" s="72">
        <f t="shared" si="6"/>
        <v>418.44</v>
      </c>
      <c r="L50" s="72">
        <f t="shared" si="6"/>
        <v>439.34000000000003</v>
      </c>
      <c r="M50" s="72">
        <f t="shared" si="6"/>
        <v>438.64000000000004</v>
      </c>
      <c r="N50" s="72">
        <f t="shared" si="6"/>
        <v>439.44</v>
      </c>
      <c r="O50" s="72">
        <f t="shared" si="6"/>
        <v>438.14</v>
      </c>
      <c r="P50" s="72">
        <f t="shared" si="6"/>
        <v>143.54</v>
      </c>
      <c r="Q50" s="72">
        <f t="shared" si="6"/>
        <v>440.54</v>
      </c>
      <c r="R50" s="72">
        <f t="shared" si="6"/>
        <v>418.24</v>
      </c>
      <c r="S50" s="72">
        <f t="shared" si="6"/>
        <v>420.14</v>
      </c>
      <c r="T50" s="72">
        <f t="shared" si="6"/>
        <v>416.14</v>
      </c>
      <c r="U50" s="72">
        <f t="shared" si="6"/>
        <v>441.43999999999994</v>
      </c>
      <c r="V50" s="72">
        <f t="shared" si="6"/>
        <v>440.43999999999994</v>
      </c>
      <c r="W50" s="72">
        <f t="shared" si="6"/>
        <v>440.84</v>
      </c>
      <c r="X50" s="72">
        <f t="shared" si="6"/>
        <v>440.63999999999993</v>
      </c>
      <c r="Y50" s="72">
        <f t="shared" si="6"/>
        <v>441.14</v>
      </c>
      <c r="Z50" s="72">
        <f t="shared" si="6"/>
        <v>441.14</v>
      </c>
      <c r="AA50" s="72">
        <f t="shared" si="6"/>
        <v>439.14</v>
      </c>
      <c r="AB50" s="72">
        <f t="shared" si="6"/>
        <v>437.14</v>
      </c>
      <c r="AC50" s="72">
        <f t="shared" si="6"/>
        <v>437.14</v>
      </c>
      <c r="AD50" s="72">
        <f t="shared" si="6"/>
        <v>416.84</v>
      </c>
      <c r="AE50" s="72">
        <f t="shared" si="6"/>
        <v>417.03999999999996</v>
      </c>
      <c r="AF50" s="72">
        <f t="shared" si="6"/>
        <v>404.03999999999996</v>
      </c>
      <c r="AG50" s="77">
        <f>SUM(AG37:AG49)</f>
        <v>489.91</v>
      </c>
      <c r="AH50" s="55">
        <f t="shared" si="2"/>
        <v>441.43999999999994</v>
      </c>
      <c r="AI50" s="56">
        <f t="shared" si="3"/>
        <v>143.54</v>
      </c>
      <c r="AK50" s="57"/>
    </row>
    <row r="51" spans="1:37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13.9</v>
      </c>
      <c r="O51" s="174">
        <v>13.9</v>
      </c>
      <c r="P51" s="50">
        <v>50</v>
      </c>
      <c r="Q51" s="50">
        <v>49.1</v>
      </c>
      <c r="R51" s="50">
        <v>36.1</v>
      </c>
      <c r="S51" s="50">
        <v>14</v>
      </c>
      <c r="T51" s="50">
        <v>14</v>
      </c>
      <c r="U51" s="50">
        <v>14</v>
      </c>
      <c r="V51" s="50">
        <v>14</v>
      </c>
      <c r="W51" s="50">
        <v>30.4</v>
      </c>
      <c r="X51" s="50">
        <v>50.3</v>
      </c>
      <c r="Y51" s="50">
        <v>39.799999999999997</v>
      </c>
      <c r="Z51" s="50">
        <v>39.700000000000003</v>
      </c>
      <c r="AA51" s="50">
        <v>39.700000000000003</v>
      </c>
      <c r="AB51" s="50">
        <v>13.8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50.3</v>
      </c>
      <c r="AI51" s="56">
        <f t="shared" si="3"/>
        <v>0</v>
      </c>
      <c r="AK51" s="57"/>
    </row>
    <row r="52" spans="1:37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5.2</v>
      </c>
      <c r="O52" s="174">
        <v>4.8</v>
      </c>
      <c r="P52" s="52">
        <v>27</v>
      </c>
      <c r="Q52" s="52">
        <v>22.8</v>
      </c>
      <c r="R52" s="52">
        <v>14.6</v>
      </c>
      <c r="S52" s="52">
        <v>5.3</v>
      </c>
      <c r="T52" s="52">
        <v>5.3</v>
      </c>
      <c r="U52" s="52">
        <v>5.3</v>
      </c>
      <c r="V52" s="52">
        <v>4.7</v>
      </c>
      <c r="W52" s="52">
        <v>14</v>
      </c>
      <c r="X52" s="52">
        <v>23.5</v>
      </c>
      <c r="Y52" s="50">
        <v>16.899999999999999</v>
      </c>
      <c r="Z52" s="50">
        <v>16.7</v>
      </c>
      <c r="AA52" s="50">
        <v>16.7</v>
      </c>
      <c r="AB52" s="52">
        <v>5.6</v>
      </c>
      <c r="AC52" s="52">
        <v>5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27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1.9</v>
      </c>
      <c r="O53" s="175">
        <v>1.7</v>
      </c>
      <c r="P53" s="78">
        <v>10</v>
      </c>
      <c r="Q53" s="78">
        <v>8.3000000000000007</v>
      </c>
      <c r="R53" s="78">
        <v>5.3</v>
      </c>
      <c r="S53" s="78">
        <v>1.9</v>
      </c>
      <c r="T53" s="78">
        <v>1.9</v>
      </c>
      <c r="U53" s="78">
        <v>1.9</v>
      </c>
      <c r="V53" s="78">
        <v>1.7</v>
      </c>
      <c r="W53" s="78">
        <v>5.0999999999999996</v>
      </c>
      <c r="X53" s="78">
        <v>8.6</v>
      </c>
      <c r="Y53" s="50">
        <v>6.2</v>
      </c>
      <c r="Z53" s="50">
        <v>6.1</v>
      </c>
      <c r="AA53" s="50">
        <v>6.1</v>
      </c>
      <c r="AB53" s="78">
        <v>2.1</v>
      </c>
      <c r="AC53" s="78">
        <v>1.8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21</v>
      </c>
      <c r="O54" s="72">
        <f t="shared" si="7"/>
        <v>20.399999999999999</v>
      </c>
      <c r="P54" s="72">
        <f t="shared" si="7"/>
        <v>87</v>
      </c>
      <c r="Q54" s="72">
        <f t="shared" si="7"/>
        <v>80.2</v>
      </c>
      <c r="R54" s="72">
        <f t="shared" si="7"/>
        <v>56</v>
      </c>
      <c r="S54" s="72">
        <f t="shared" si="7"/>
        <v>21.2</v>
      </c>
      <c r="T54" s="72">
        <f t="shared" si="7"/>
        <v>21.2</v>
      </c>
      <c r="U54" s="72">
        <f t="shared" si="7"/>
        <v>21.2</v>
      </c>
      <c r="V54" s="72">
        <f t="shared" si="7"/>
        <v>20.399999999999999</v>
      </c>
      <c r="W54" s="72">
        <f t="shared" si="7"/>
        <v>49.5</v>
      </c>
      <c r="X54" s="72">
        <f t="shared" si="7"/>
        <v>82.399999999999991</v>
      </c>
      <c r="Y54" s="72">
        <f t="shared" si="7"/>
        <v>62.9</v>
      </c>
      <c r="Z54" s="72">
        <f t="shared" si="7"/>
        <v>62.500000000000007</v>
      </c>
      <c r="AA54" s="72">
        <f t="shared" si="7"/>
        <v>62.500000000000007</v>
      </c>
      <c r="AB54" s="72">
        <f t="shared" si="7"/>
        <v>21.5</v>
      </c>
      <c r="AC54" s="72">
        <f t="shared" si="7"/>
        <v>6.8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87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35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2">
        <v>21.8</v>
      </c>
      <c r="Z55" s="52">
        <v>8.8000000000000007</v>
      </c>
      <c r="AA55" s="50">
        <v>12.7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35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66" t="s">
        <v>64</v>
      </c>
      <c r="B57" s="52">
        <v>-60</v>
      </c>
      <c r="C57" s="52">
        <v>-16</v>
      </c>
      <c r="D57" s="52">
        <v>-73.2</v>
      </c>
      <c r="E57" s="52">
        <v>-4.7</v>
      </c>
      <c r="F57" s="52">
        <v>-41.1</v>
      </c>
      <c r="G57" s="50">
        <v>-27</v>
      </c>
      <c r="H57" s="50">
        <v>-31</v>
      </c>
      <c r="I57" s="50">
        <v>-72.7</v>
      </c>
      <c r="J57" s="50">
        <v>-44.4</v>
      </c>
      <c r="K57" s="50">
        <v>-40.299999999999997</v>
      </c>
      <c r="L57" s="52">
        <v>-65</v>
      </c>
      <c r="M57" s="52">
        <v>-42</v>
      </c>
      <c r="N57" s="52">
        <v>-17.7</v>
      </c>
      <c r="O57" s="52">
        <v>-47.4</v>
      </c>
      <c r="P57" s="52">
        <v>155</v>
      </c>
      <c r="Q57" s="52">
        <v>175</v>
      </c>
      <c r="R57" s="52">
        <v>5.2</v>
      </c>
      <c r="S57" s="52">
        <v>36.299999999999997</v>
      </c>
      <c r="T57" s="52">
        <v>38.9</v>
      </c>
      <c r="U57" s="52">
        <v>-48.8</v>
      </c>
      <c r="V57" s="52">
        <v>0</v>
      </c>
      <c r="W57" s="52">
        <v>-7.2</v>
      </c>
      <c r="X57" s="52">
        <v>-25.3</v>
      </c>
      <c r="Y57" s="52">
        <v>-49</v>
      </c>
      <c r="Z57" s="52">
        <v>0</v>
      </c>
      <c r="AA57" s="52">
        <v>-50.9</v>
      </c>
      <c r="AB57" s="52">
        <v>-32.9</v>
      </c>
      <c r="AC57" s="52">
        <v>-40.200000000000003</v>
      </c>
      <c r="AD57" s="52">
        <v>-66.599999999999994</v>
      </c>
      <c r="AE57" s="52">
        <v>-61.1</v>
      </c>
      <c r="AF57" s="52">
        <v>-48</v>
      </c>
      <c r="AG57" s="82"/>
      <c r="AH57" s="55">
        <f t="shared" si="2"/>
        <v>175</v>
      </c>
      <c r="AI57" s="56">
        <f t="shared" si="3"/>
        <v>-73.2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0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-52</v>
      </c>
      <c r="C66" s="72">
        <f t="shared" ref="C66:AF66" si="8">SUM(C55:C65)</f>
        <v>-8</v>
      </c>
      <c r="D66" s="72">
        <f t="shared" si="8"/>
        <v>-65.2</v>
      </c>
      <c r="E66" s="72">
        <f t="shared" si="8"/>
        <v>3.3</v>
      </c>
      <c r="F66" s="72">
        <f t="shared" si="8"/>
        <v>-33.1</v>
      </c>
      <c r="G66" s="72">
        <f t="shared" si="8"/>
        <v>-27</v>
      </c>
      <c r="H66" s="72">
        <f t="shared" si="8"/>
        <v>-31</v>
      </c>
      <c r="I66" s="72">
        <f t="shared" si="8"/>
        <v>-72.7</v>
      </c>
      <c r="J66" s="72">
        <f t="shared" si="8"/>
        <v>-44.4</v>
      </c>
      <c r="K66" s="72">
        <f t="shared" si="8"/>
        <v>-40.299999999999997</v>
      </c>
      <c r="L66" s="72">
        <f t="shared" si="8"/>
        <v>-65</v>
      </c>
      <c r="M66" s="72">
        <f t="shared" si="8"/>
        <v>-42</v>
      </c>
      <c r="N66" s="72">
        <f t="shared" si="8"/>
        <v>-17.7</v>
      </c>
      <c r="O66" s="72">
        <f t="shared" si="8"/>
        <v>-47.4</v>
      </c>
      <c r="P66" s="72">
        <f t="shared" si="8"/>
        <v>190</v>
      </c>
      <c r="Q66" s="72">
        <f t="shared" si="8"/>
        <v>175</v>
      </c>
      <c r="R66" s="72">
        <f t="shared" si="8"/>
        <v>5.2</v>
      </c>
      <c r="S66" s="72">
        <f t="shared" si="8"/>
        <v>36.299999999999997</v>
      </c>
      <c r="T66" s="72">
        <f t="shared" si="8"/>
        <v>38.9</v>
      </c>
      <c r="U66" s="72">
        <f t="shared" si="8"/>
        <v>-48.8</v>
      </c>
      <c r="V66" s="72">
        <f t="shared" si="8"/>
        <v>0</v>
      </c>
      <c r="W66" s="72">
        <f t="shared" si="8"/>
        <v>-7.2</v>
      </c>
      <c r="X66" s="72">
        <f t="shared" si="8"/>
        <v>-25.3</v>
      </c>
      <c r="Y66" s="72">
        <f t="shared" si="8"/>
        <v>-27.2</v>
      </c>
      <c r="Z66" s="72">
        <f t="shared" si="8"/>
        <v>8.8000000000000007</v>
      </c>
      <c r="AA66" s="72">
        <f t="shared" si="8"/>
        <v>-38.200000000000003</v>
      </c>
      <c r="AB66" s="72">
        <f t="shared" si="8"/>
        <v>-32.9</v>
      </c>
      <c r="AC66" s="72">
        <f t="shared" si="8"/>
        <v>-40.200000000000003</v>
      </c>
      <c r="AD66" s="72">
        <f t="shared" si="8"/>
        <v>-66.599999999999994</v>
      </c>
      <c r="AE66" s="72">
        <f t="shared" si="8"/>
        <v>-61.1</v>
      </c>
      <c r="AF66" s="72">
        <f t="shared" si="8"/>
        <v>-48</v>
      </c>
      <c r="AG66" s="77">
        <f>SUM(AG55:AG65)</f>
        <v>0</v>
      </c>
      <c r="AH66" s="55">
        <f t="shared" si="2"/>
        <v>190</v>
      </c>
      <c r="AI66" s="56">
        <f t="shared" si="3"/>
        <v>-72.7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1170.74</v>
      </c>
      <c r="C71" s="87">
        <f t="shared" ref="C71:AG71" si="10">C66+C54+C50+C36+C70</f>
        <v>1184.74</v>
      </c>
      <c r="D71" s="87">
        <f t="shared" si="10"/>
        <v>1123.1399999999999</v>
      </c>
      <c r="E71" s="87">
        <f t="shared" si="10"/>
        <v>1137.1399999999999</v>
      </c>
      <c r="F71" s="87">
        <f t="shared" si="10"/>
        <v>1139.8399999999999</v>
      </c>
      <c r="G71" s="87">
        <f t="shared" si="10"/>
        <v>1150.8399999999999</v>
      </c>
      <c r="H71" s="87">
        <f t="shared" si="10"/>
        <v>1156.94</v>
      </c>
      <c r="I71" s="87">
        <f t="shared" si="10"/>
        <v>1145.1399999999999</v>
      </c>
      <c r="J71" s="87">
        <f t="shared" si="10"/>
        <v>1243.04</v>
      </c>
      <c r="K71" s="87">
        <f t="shared" si="10"/>
        <v>1288.8399999999999</v>
      </c>
      <c r="L71" s="87">
        <f t="shared" si="10"/>
        <v>1303.7400000000002</v>
      </c>
      <c r="M71" s="87">
        <f t="shared" si="10"/>
        <v>1323.8400000000001</v>
      </c>
      <c r="N71" s="87">
        <f t="shared" si="10"/>
        <v>1340.24</v>
      </c>
      <c r="O71" s="87">
        <f t="shared" si="10"/>
        <v>1328.44</v>
      </c>
      <c r="P71" s="87">
        <f t="shared" si="10"/>
        <v>544.74</v>
      </c>
      <c r="Q71" s="87">
        <f t="shared" si="10"/>
        <v>1286.44</v>
      </c>
      <c r="R71" s="87">
        <f t="shared" si="10"/>
        <v>1303.1400000000001</v>
      </c>
      <c r="S71" s="87">
        <f t="shared" si="10"/>
        <v>1346.3400000000001</v>
      </c>
      <c r="T71" s="87">
        <f t="shared" si="10"/>
        <v>1363.04</v>
      </c>
      <c r="U71" s="87">
        <f t="shared" si="10"/>
        <v>1279.6399999999999</v>
      </c>
      <c r="V71" s="87">
        <f t="shared" si="10"/>
        <v>1255.6399999999999</v>
      </c>
      <c r="W71" s="87">
        <f t="shared" si="10"/>
        <v>1372.94</v>
      </c>
      <c r="X71" s="87">
        <f t="shared" si="10"/>
        <v>1387.54</v>
      </c>
      <c r="Y71" s="87">
        <f t="shared" si="10"/>
        <v>1377.04</v>
      </c>
      <c r="Z71" s="87">
        <f t="shared" si="10"/>
        <v>1392.74</v>
      </c>
      <c r="AA71" s="87">
        <f t="shared" si="10"/>
        <v>1346.74</v>
      </c>
      <c r="AB71" s="87">
        <f t="shared" si="10"/>
        <v>1309.04</v>
      </c>
      <c r="AC71" s="87">
        <f t="shared" si="10"/>
        <v>1287.04</v>
      </c>
      <c r="AD71" s="87">
        <f t="shared" si="10"/>
        <v>1166.8400000000001</v>
      </c>
      <c r="AE71" s="87">
        <f t="shared" si="10"/>
        <v>1132.54</v>
      </c>
      <c r="AF71" s="87">
        <f t="shared" si="10"/>
        <v>1147.6399999999999</v>
      </c>
      <c r="AG71" s="87">
        <f t="shared" si="10"/>
        <v>2083.14</v>
      </c>
      <c r="AH71" s="55">
        <f t="shared" si="2"/>
        <v>1392.74</v>
      </c>
      <c r="AI71" s="56">
        <f t="shared" si="3"/>
        <v>544.74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>
        <v>750</v>
      </c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750</v>
      </c>
      <c r="AI72" s="56">
        <f t="shared" si="3"/>
        <v>750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1170.74</v>
      </c>
      <c r="C73" s="87">
        <f t="shared" ref="C73:AF73" si="11">C70+C66+C54+C50+C36+C72</f>
        <v>1184.74</v>
      </c>
      <c r="D73" s="87">
        <f t="shared" si="11"/>
        <v>1123.1399999999999</v>
      </c>
      <c r="E73" s="87">
        <f t="shared" si="11"/>
        <v>1137.1399999999999</v>
      </c>
      <c r="F73" s="87">
        <f t="shared" si="11"/>
        <v>1139.8399999999999</v>
      </c>
      <c r="G73" s="87">
        <f t="shared" si="11"/>
        <v>1150.8399999999999</v>
      </c>
      <c r="H73" s="87">
        <f t="shared" si="11"/>
        <v>1156.94</v>
      </c>
      <c r="I73" s="87">
        <f t="shared" si="11"/>
        <v>1145.1399999999999</v>
      </c>
      <c r="J73" s="87">
        <f t="shared" si="11"/>
        <v>1243.04</v>
      </c>
      <c r="K73" s="87">
        <f t="shared" si="11"/>
        <v>1288.8399999999999</v>
      </c>
      <c r="L73" s="87">
        <f t="shared" si="11"/>
        <v>1303.7400000000002</v>
      </c>
      <c r="M73" s="87">
        <f t="shared" si="11"/>
        <v>1323.8400000000001</v>
      </c>
      <c r="N73" s="87">
        <f t="shared" si="11"/>
        <v>1340.24</v>
      </c>
      <c r="O73" s="87">
        <f t="shared" si="11"/>
        <v>1328.44</v>
      </c>
      <c r="P73" s="87">
        <f t="shared" si="11"/>
        <v>1294.74</v>
      </c>
      <c r="Q73" s="87">
        <f t="shared" si="11"/>
        <v>1286.44</v>
      </c>
      <c r="R73" s="87">
        <f t="shared" si="11"/>
        <v>1303.1400000000001</v>
      </c>
      <c r="S73" s="87">
        <f t="shared" si="11"/>
        <v>1346.3400000000001</v>
      </c>
      <c r="T73" s="87">
        <f t="shared" si="11"/>
        <v>1363.04</v>
      </c>
      <c r="U73" s="87">
        <f t="shared" si="11"/>
        <v>1279.6399999999999</v>
      </c>
      <c r="V73" s="87">
        <f t="shared" si="11"/>
        <v>1255.6399999999999</v>
      </c>
      <c r="W73" s="87">
        <f t="shared" si="11"/>
        <v>1372.94</v>
      </c>
      <c r="X73" s="87">
        <f t="shared" si="11"/>
        <v>1387.54</v>
      </c>
      <c r="Y73" s="87">
        <f t="shared" si="11"/>
        <v>1377.04</v>
      </c>
      <c r="Z73" s="87">
        <f t="shared" si="11"/>
        <v>1392.74</v>
      </c>
      <c r="AA73" s="87">
        <f t="shared" si="11"/>
        <v>1346.74</v>
      </c>
      <c r="AB73" s="87">
        <f t="shared" si="11"/>
        <v>1309.04</v>
      </c>
      <c r="AC73" s="87">
        <f t="shared" si="11"/>
        <v>1287.04</v>
      </c>
      <c r="AD73" s="87">
        <f t="shared" si="11"/>
        <v>1166.8400000000001</v>
      </c>
      <c r="AE73" s="87">
        <f t="shared" si="11"/>
        <v>1132.54</v>
      </c>
      <c r="AF73" s="87">
        <f t="shared" si="11"/>
        <v>1147.6399999999999</v>
      </c>
      <c r="AG73" s="77">
        <f>AG70+AG66+AG54+AG50+AG36+AG72</f>
        <v>2083.14</v>
      </c>
      <c r="AH73" s="55">
        <f t="shared" si="2"/>
        <v>1392.74</v>
      </c>
      <c r="AI73" s="56">
        <f t="shared" si="3"/>
        <v>1123.1399999999999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0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0</v>
      </c>
      <c r="AB76" s="59">
        <f t="shared" si="14"/>
        <v>0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60</v>
      </c>
      <c r="C77" s="59">
        <f t="shared" ref="C77:AF77" si="15">IF(C57&lt;0,C57*-1,0)</f>
        <v>16</v>
      </c>
      <c r="D77" s="59">
        <f t="shared" si="15"/>
        <v>73.2</v>
      </c>
      <c r="E77" s="59">
        <f t="shared" si="15"/>
        <v>4.7</v>
      </c>
      <c r="F77" s="59">
        <f t="shared" si="15"/>
        <v>41.1</v>
      </c>
      <c r="G77" s="59">
        <f t="shared" si="15"/>
        <v>27</v>
      </c>
      <c r="H77" s="59">
        <f t="shared" si="15"/>
        <v>31</v>
      </c>
      <c r="I77" s="59">
        <f t="shared" si="15"/>
        <v>72.7</v>
      </c>
      <c r="J77" s="59">
        <f t="shared" si="15"/>
        <v>44.4</v>
      </c>
      <c r="K77" s="59">
        <f t="shared" si="15"/>
        <v>40.299999999999997</v>
      </c>
      <c r="L77" s="59">
        <f t="shared" si="15"/>
        <v>65</v>
      </c>
      <c r="M77" s="59">
        <f t="shared" si="15"/>
        <v>42</v>
      </c>
      <c r="N77" s="59">
        <f t="shared" si="15"/>
        <v>17.7</v>
      </c>
      <c r="O77" s="59">
        <f t="shared" si="15"/>
        <v>47.4</v>
      </c>
      <c r="P77" s="59">
        <f t="shared" si="15"/>
        <v>0</v>
      </c>
      <c r="Q77" s="59">
        <f t="shared" si="15"/>
        <v>0</v>
      </c>
      <c r="R77" s="59">
        <f t="shared" si="15"/>
        <v>0</v>
      </c>
      <c r="S77" s="59">
        <f t="shared" si="15"/>
        <v>0</v>
      </c>
      <c r="T77" s="59">
        <f t="shared" si="15"/>
        <v>0</v>
      </c>
      <c r="U77" s="59">
        <f t="shared" si="15"/>
        <v>48.8</v>
      </c>
      <c r="V77" s="59">
        <f t="shared" si="15"/>
        <v>0</v>
      </c>
      <c r="W77" s="59">
        <f t="shared" si="15"/>
        <v>7.2</v>
      </c>
      <c r="X77" s="59">
        <f t="shared" si="15"/>
        <v>25.3</v>
      </c>
      <c r="Y77" s="59">
        <f t="shared" si="15"/>
        <v>49</v>
      </c>
      <c r="Z77" s="59">
        <f t="shared" si="15"/>
        <v>0</v>
      </c>
      <c r="AA77" s="59">
        <f t="shared" si="15"/>
        <v>50.9</v>
      </c>
      <c r="AB77" s="59">
        <f t="shared" si="15"/>
        <v>32.9</v>
      </c>
      <c r="AC77" s="59">
        <f t="shared" si="15"/>
        <v>40.200000000000003</v>
      </c>
      <c r="AD77" s="59">
        <f t="shared" si="15"/>
        <v>66.599999999999994</v>
      </c>
      <c r="AE77" s="59">
        <f t="shared" si="15"/>
        <v>61.1</v>
      </c>
      <c r="AF77" s="59">
        <f t="shared" si="15"/>
        <v>48</v>
      </c>
      <c r="AG77" s="90"/>
      <c r="AH77" s="55">
        <f t="shared" ref="AH77:AH89" si="16">MAX(B77:AF77)</f>
        <v>73.2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60</v>
      </c>
      <c r="C80" s="72">
        <f t="shared" ref="C80:AG80" si="19">SUM(C74:C79)</f>
        <v>16</v>
      </c>
      <c r="D80" s="72">
        <f t="shared" si="19"/>
        <v>73.2</v>
      </c>
      <c r="E80" s="72">
        <f t="shared" si="19"/>
        <v>4.7</v>
      </c>
      <c r="F80" s="72">
        <f t="shared" si="19"/>
        <v>41.1</v>
      </c>
      <c r="G80" s="72">
        <f t="shared" si="19"/>
        <v>27</v>
      </c>
      <c r="H80" s="72">
        <f t="shared" si="19"/>
        <v>31</v>
      </c>
      <c r="I80" s="72">
        <f t="shared" si="19"/>
        <v>72.7</v>
      </c>
      <c r="J80" s="72">
        <f t="shared" si="19"/>
        <v>44.4</v>
      </c>
      <c r="K80" s="72">
        <f t="shared" si="19"/>
        <v>40.299999999999997</v>
      </c>
      <c r="L80" s="72">
        <f t="shared" si="19"/>
        <v>65</v>
      </c>
      <c r="M80" s="72">
        <f t="shared" si="19"/>
        <v>42</v>
      </c>
      <c r="N80" s="72">
        <f t="shared" si="19"/>
        <v>17.7</v>
      </c>
      <c r="O80" s="72">
        <f t="shared" si="19"/>
        <v>47.4</v>
      </c>
      <c r="P80" s="72">
        <f t="shared" si="19"/>
        <v>0</v>
      </c>
      <c r="Q80" s="72">
        <f t="shared" si="19"/>
        <v>0</v>
      </c>
      <c r="R80" s="72">
        <f t="shared" si="19"/>
        <v>0</v>
      </c>
      <c r="S80" s="72">
        <f t="shared" si="19"/>
        <v>0</v>
      </c>
      <c r="T80" s="72">
        <f t="shared" si="19"/>
        <v>0</v>
      </c>
      <c r="U80" s="72">
        <f t="shared" si="19"/>
        <v>48.8</v>
      </c>
      <c r="V80" s="72">
        <f t="shared" si="19"/>
        <v>0</v>
      </c>
      <c r="W80" s="72">
        <f t="shared" si="19"/>
        <v>7.2</v>
      </c>
      <c r="X80" s="72">
        <f t="shared" si="19"/>
        <v>25.3</v>
      </c>
      <c r="Y80" s="72">
        <f t="shared" si="19"/>
        <v>49</v>
      </c>
      <c r="Z80" s="72">
        <f t="shared" si="19"/>
        <v>0</v>
      </c>
      <c r="AA80" s="72">
        <f t="shared" si="19"/>
        <v>50.9</v>
      </c>
      <c r="AB80" s="72">
        <f t="shared" si="19"/>
        <v>32.9</v>
      </c>
      <c r="AC80" s="72">
        <f t="shared" si="19"/>
        <v>40.200000000000003</v>
      </c>
      <c r="AD80" s="72">
        <f t="shared" si="19"/>
        <v>66.599999999999994</v>
      </c>
      <c r="AE80" s="72">
        <f t="shared" si="19"/>
        <v>61.1</v>
      </c>
      <c r="AF80" s="72">
        <f t="shared" si="19"/>
        <v>48</v>
      </c>
      <c r="AG80" s="77">
        <f t="shared" si="19"/>
        <v>0</v>
      </c>
      <c r="AH80" s="55">
        <f t="shared" si="16"/>
        <v>73.2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2461.48</v>
      </c>
      <c r="C81" s="72">
        <f t="shared" ref="C81:AG81" si="20">SUM(C68:C80)</f>
        <v>2401.48</v>
      </c>
      <c r="D81" s="72">
        <f t="shared" si="20"/>
        <v>2392.6799999999994</v>
      </c>
      <c r="E81" s="72">
        <f t="shared" si="20"/>
        <v>2283.6799999999994</v>
      </c>
      <c r="F81" s="72">
        <f t="shared" si="20"/>
        <v>2361.8799999999997</v>
      </c>
      <c r="G81" s="72">
        <f t="shared" si="20"/>
        <v>2355.6799999999998</v>
      </c>
      <c r="H81" s="72">
        <f t="shared" si="20"/>
        <v>2375.88</v>
      </c>
      <c r="I81" s="72">
        <f t="shared" si="20"/>
        <v>2435.6799999999994</v>
      </c>
      <c r="J81" s="72">
        <f t="shared" si="20"/>
        <v>2574.88</v>
      </c>
      <c r="K81" s="72">
        <f t="shared" si="20"/>
        <v>2658.28</v>
      </c>
      <c r="L81" s="72">
        <f t="shared" si="20"/>
        <v>2737.4800000000005</v>
      </c>
      <c r="M81" s="72">
        <f t="shared" si="20"/>
        <v>2731.6800000000003</v>
      </c>
      <c r="N81" s="72">
        <f t="shared" si="20"/>
        <v>2715.8799999999997</v>
      </c>
      <c r="O81" s="72">
        <f t="shared" si="20"/>
        <v>2751.6800000000003</v>
      </c>
      <c r="P81" s="72">
        <f t="shared" si="20"/>
        <v>2589.48</v>
      </c>
      <c r="Q81" s="72">
        <f t="shared" si="20"/>
        <v>2572.88</v>
      </c>
      <c r="R81" s="72">
        <f t="shared" si="20"/>
        <v>2606.2800000000002</v>
      </c>
      <c r="S81" s="72">
        <f t="shared" si="20"/>
        <v>2692.6800000000003</v>
      </c>
      <c r="T81" s="72">
        <f t="shared" si="20"/>
        <v>2726.08</v>
      </c>
      <c r="U81" s="72">
        <f t="shared" si="20"/>
        <v>2656.88</v>
      </c>
      <c r="V81" s="72">
        <f t="shared" si="20"/>
        <v>2511.2799999999997</v>
      </c>
      <c r="W81" s="72">
        <f t="shared" si="20"/>
        <v>2760.2799999999997</v>
      </c>
      <c r="X81" s="72">
        <f t="shared" si="20"/>
        <v>2825.6800000000003</v>
      </c>
      <c r="Y81" s="72">
        <f t="shared" si="20"/>
        <v>2852.08</v>
      </c>
      <c r="Z81" s="72">
        <f t="shared" si="20"/>
        <v>2785.48</v>
      </c>
      <c r="AA81" s="72">
        <f t="shared" si="20"/>
        <v>2795.28</v>
      </c>
      <c r="AB81" s="72">
        <f t="shared" si="20"/>
        <v>2683.88</v>
      </c>
      <c r="AC81" s="72">
        <f t="shared" si="20"/>
        <v>2654.4799999999996</v>
      </c>
      <c r="AD81" s="72">
        <f t="shared" si="20"/>
        <v>2466.88</v>
      </c>
      <c r="AE81" s="72">
        <f t="shared" si="20"/>
        <v>2387.2799999999997</v>
      </c>
      <c r="AF81" s="72">
        <f t="shared" si="20"/>
        <v>2391.2799999999997</v>
      </c>
      <c r="AG81" s="77">
        <f t="shared" si="20"/>
        <v>4238.08</v>
      </c>
      <c r="AH81" s="55">
        <f t="shared" si="16"/>
        <v>2852.08</v>
      </c>
      <c r="AI81" s="56">
        <f t="shared" si="17"/>
        <v>2283.6799999999994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4">
        <v>49.95</v>
      </c>
      <c r="C82" s="93">
        <v>49.98</v>
      </c>
      <c r="D82" s="93">
        <v>50.036000000000001</v>
      </c>
      <c r="E82" s="93">
        <v>50.030999999999999</v>
      </c>
      <c r="F82" s="93">
        <v>50.027000000000001</v>
      </c>
      <c r="G82" s="93">
        <v>49.923000000000002</v>
      </c>
      <c r="H82" s="93">
        <v>50.030999999999999</v>
      </c>
      <c r="I82" s="93">
        <v>50.055999999999997</v>
      </c>
      <c r="J82" s="93">
        <v>50.052999999999997</v>
      </c>
      <c r="K82" s="93">
        <v>49.999000000000002</v>
      </c>
      <c r="L82" s="93">
        <v>50.055</v>
      </c>
      <c r="M82" s="93">
        <v>49.991</v>
      </c>
      <c r="N82" s="93">
        <v>49.99</v>
      </c>
      <c r="O82" s="93">
        <v>50.05</v>
      </c>
      <c r="P82" s="93">
        <v>50</v>
      </c>
      <c r="Q82" s="93">
        <v>50.116999999999997</v>
      </c>
      <c r="R82" s="93">
        <v>50.08</v>
      </c>
      <c r="S82" s="93">
        <v>50.01</v>
      </c>
      <c r="T82" s="93">
        <v>50.84</v>
      </c>
      <c r="U82" s="93">
        <v>49.982999999999997</v>
      </c>
      <c r="V82" s="93">
        <v>50.03</v>
      </c>
      <c r="W82" s="93">
        <v>49.97</v>
      </c>
      <c r="X82" s="93">
        <v>49.97</v>
      </c>
      <c r="Y82" s="93">
        <v>49.97</v>
      </c>
      <c r="Z82" s="93">
        <v>50.03</v>
      </c>
      <c r="AA82" s="93">
        <v>50.05</v>
      </c>
      <c r="AB82" s="93">
        <v>50.045999999999999</v>
      </c>
      <c r="AC82" s="93">
        <v>49.99</v>
      </c>
      <c r="AD82" s="93">
        <v>50.034999999999997</v>
      </c>
      <c r="AE82" s="93">
        <v>50.017000000000003</v>
      </c>
      <c r="AF82" s="94">
        <v>49.981999999999999</v>
      </c>
      <c r="AG82" s="95"/>
      <c r="AH82" s="55">
        <f t="shared" si="16"/>
        <v>50.84</v>
      </c>
      <c r="AI82" s="56">
        <f t="shared" si="17"/>
        <v>49.923000000000002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8">
        <v>126.8</v>
      </c>
      <c r="C83" s="52">
        <v>126.6</v>
      </c>
      <c r="D83" s="52">
        <v>125.6</v>
      </c>
      <c r="E83" s="52">
        <v>127.1</v>
      </c>
      <c r="F83" s="52">
        <v>126.9</v>
      </c>
      <c r="G83" s="52">
        <v>125.6</v>
      </c>
      <c r="H83" s="52">
        <v>124.7</v>
      </c>
      <c r="I83" s="52">
        <v>124.9</v>
      </c>
      <c r="J83" s="52">
        <v>124.6</v>
      </c>
      <c r="K83" s="52">
        <v>122.4</v>
      </c>
      <c r="L83" s="52">
        <v>123.3</v>
      </c>
      <c r="M83" s="52">
        <v>123</v>
      </c>
      <c r="N83" s="52">
        <v>121.3</v>
      </c>
      <c r="O83" s="52">
        <v>121.1</v>
      </c>
      <c r="P83" s="52"/>
      <c r="Q83" s="52">
        <v>125.1</v>
      </c>
      <c r="R83" s="52">
        <v>123.8</v>
      </c>
      <c r="S83" s="52">
        <v>122.2</v>
      </c>
      <c r="T83" s="52">
        <v>121.8</v>
      </c>
      <c r="U83" s="97">
        <v>123.6</v>
      </c>
      <c r="V83" s="97">
        <v>124.7</v>
      </c>
      <c r="W83" s="97">
        <v>124.2</v>
      </c>
      <c r="X83" s="97">
        <v>124.5</v>
      </c>
      <c r="Y83" s="97">
        <v>124.9</v>
      </c>
      <c r="Z83" s="97">
        <v>125.9</v>
      </c>
      <c r="AA83" s="52">
        <v>125.2</v>
      </c>
      <c r="AB83" s="52">
        <v>123.6</v>
      </c>
      <c r="AC83" s="52">
        <v>123.4</v>
      </c>
      <c r="AD83" s="52">
        <v>124.9</v>
      </c>
      <c r="AE83" s="52">
        <v>125.4</v>
      </c>
      <c r="AF83" s="98">
        <v>124.6</v>
      </c>
      <c r="AG83" s="99"/>
      <c r="AH83" s="55">
        <f t="shared" si="16"/>
        <v>127.1</v>
      </c>
      <c r="AI83" s="56">
        <f t="shared" si="17"/>
        <v>121.1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8">
        <v>131.1</v>
      </c>
      <c r="C84" s="52">
        <v>131.1</v>
      </c>
      <c r="D84" s="52">
        <v>130.19999999999999</v>
      </c>
      <c r="E84" s="52">
        <v>131.4</v>
      </c>
      <c r="F84" s="52">
        <v>131</v>
      </c>
      <c r="G84" s="52">
        <v>129.69999999999999</v>
      </c>
      <c r="H84" s="52">
        <v>128.30000000000001</v>
      </c>
      <c r="I84" s="52">
        <v>128.19999999999999</v>
      </c>
      <c r="J84" s="52">
        <v>127.7</v>
      </c>
      <c r="K84" s="52">
        <v>126.1</v>
      </c>
      <c r="L84" s="52">
        <v>127.1</v>
      </c>
      <c r="M84" s="52">
        <v>126.8</v>
      </c>
      <c r="N84" s="52">
        <v>125.2</v>
      </c>
      <c r="O84" s="52">
        <v>125.2</v>
      </c>
      <c r="P84" s="52"/>
      <c r="Q84" s="52">
        <v>127.1</v>
      </c>
      <c r="R84" s="52">
        <v>126.7</v>
      </c>
      <c r="S84" s="52">
        <v>124.9</v>
      </c>
      <c r="T84" s="52">
        <v>124.3</v>
      </c>
      <c r="U84" s="97">
        <v>126.5</v>
      </c>
      <c r="V84" s="97">
        <v>127.4</v>
      </c>
      <c r="W84" s="97">
        <v>127</v>
      </c>
      <c r="X84" s="97">
        <v>127.1</v>
      </c>
      <c r="Y84" s="97">
        <v>127.8</v>
      </c>
      <c r="Z84" s="97">
        <v>128.6</v>
      </c>
      <c r="AA84" s="52">
        <v>128.5</v>
      </c>
      <c r="AB84" s="52">
        <v>127.3</v>
      </c>
      <c r="AC84" s="52">
        <v>127.3</v>
      </c>
      <c r="AD84" s="52">
        <v>128.6</v>
      </c>
      <c r="AE84" s="52">
        <v>129.4</v>
      </c>
      <c r="AF84" s="98">
        <v>129</v>
      </c>
      <c r="AG84" s="99"/>
      <c r="AH84" s="55">
        <f t="shared" si="16"/>
        <v>131.4</v>
      </c>
      <c r="AI84" s="56">
        <f t="shared" si="17"/>
        <v>124.3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8">
        <v>127</v>
      </c>
      <c r="C85" s="52">
        <v>126</v>
      </c>
      <c r="D85" s="52">
        <v>126.7</v>
      </c>
      <c r="E85" s="52">
        <v>128.1</v>
      </c>
      <c r="F85" s="52">
        <v>127</v>
      </c>
      <c r="G85" s="52">
        <v>127.6</v>
      </c>
      <c r="H85" s="52">
        <v>127.4</v>
      </c>
      <c r="I85" s="52">
        <v>126.8</v>
      </c>
      <c r="J85" s="52">
        <v>124.6</v>
      </c>
      <c r="K85" s="52">
        <v>122.9</v>
      </c>
      <c r="L85" s="52">
        <v>124.3</v>
      </c>
      <c r="M85" s="52">
        <v>120</v>
      </c>
      <c r="N85" s="52">
        <v>121.2</v>
      </c>
      <c r="O85" s="52">
        <v>120.9</v>
      </c>
      <c r="P85" s="52">
        <v>124</v>
      </c>
      <c r="Q85" s="52">
        <v>129</v>
      </c>
      <c r="R85" s="52">
        <v>122.3</v>
      </c>
      <c r="S85" s="52">
        <v>127.5</v>
      </c>
      <c r="T85" s="52">
        <v>129.4</v>
      </c>
      <c r="U85" s="52">
        <v>130.19999999999999</v>
      </c>
      <c r="V85" s="52">
        <v>129</v>
      </c>
      <c r="W85" s="52">
        <v>127.5</v>
      </c>
      <c r="X85" s="52">
        <v>126.5</v>
      </c>
      <c r="Y85" s="97">
        <v>128.4</v>
      </c>
      <c r="Z85" s="97">
        <v>128.1</v>
      </c>
      <c r="AA85" s="52">
        <v>129.19999999999999</v>
      </c>
      <c r="AB85" s="52">
        <v>129.4</v>
      </c>
      <c r="AC85" s="52">
        <v>127.9</v>
      </c>
      <c r="AD85" s="52">
        <v>129.69999999999999</v>
      </c>
      <c r="AE85" s="52">
        <v>127.8</v>
      </c>
      <c r="AF85" s="98">
        <v>125.7</v>
      </c>
      <c r="AG85" s="99"/>
      <c r="AH85" s="55">
        <f t="shared" si="16"/>
        <v>130.19999999999999</v>
      </c>
      <c r="AI85" s="56">
        <f t="shared" si="17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8">
        <v>130</v>
      </c>
      <c r="C86" s="52">
        <v>129.69999999999999</v>
      </c>
      <c r="D86" s="52">
        <v>130.6</v>
      </c>
      <c r="E86" s="52">
        <v>131.6</v>
      </c>
      <c r="F86" s="52">
        <v>131.1</v>
      </c>
      <c r="G86" s="52">
        <v>131</v>
      </c>
      <c r="H86" s="52">
        <v>130.30000000000001</v>
      </c>
      <c r="I86" s="52">
        <v>129.69999999999999</v>
      </c>
      <c r="J86" s="52">
        <v>128.5</v>
      </c>
      <c r="K86" s="52">
        <v>126.5</v>
      </c>
      <c r="L86" s="52">
        <v>128</v>
      </c>
      <c r="M86" s="52">
        <v>123.6</v>
      </c>
      <c r="N86" s="52">
        <v>124</v>
      </c>
      <c r="O86" s="52">
        <v>123.9</v>
      </c>
      <c r="P86" s="52">
        <v>132.4</v>
      </c>
      <c r="Q86" s="52">
        <v>132.1</v>
      </c>
      <c r="R86" s="52">
        <v>125.6</v>
      </c>
      <c r="S86" s="52">
        <v>131.80000000000001</v>
      </c>
      <c r="T86" s="52">
        <v>133.5</v>
      </c>
      <c r="U86" s="52">
        <v>133.1</v>
      </c>
      <c r="V86" s="52">
        <v>131.9</v>
      </c>
      <c r="W86" s="52">
        <v>130.4</v>
      </c>
      <c r="X86" s="52">
        <v>130</v>
      </c>
      <c r="Y86" s="97">
        <v>133</v>
      </c>
      <c r="Z86" s="97">
        <v>132.4</v>
      </c>
      <c r="AA86" s="52">
        <v>133.5</v>
      </c>
      <c r="AB86" s="52">
        <v>134.5</v>
      </c>
      <c r="AC86" s="52">
        <v>131.4</v>
      </c>
      <c r="AD86" s="52">
        <v>132.4</v>
      </c>
      <c r="AE86" s="52">
        <v>130.9</v>
      </c>
      <c r="AF86" s="98">
        <v>128.80000000000001</v>
      </c>
      <c r="AG86" s="99"/>
      <c r="AH86" s="55">
        <f t="shared" si="16"/>
        <v>134.5</v>
      </c>
      <c r="AI86" s="56">
        <f t="shared" si="17"/>
        <v>123.6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2">
        <v>134</v>
      </c>
      <c r="C87" s="101">
        <v>133.80000000000001</v>
      </c>
      <c r="D87" s="101">
        <v>132.9</v>
      </c>
      <c r="E87" s="101">
        <v>132.80000000000001</v>
      </c>
      <c r="F87" s="101">
        <v>132.6</v>
      </c>
      <c r="G87" s="101">
        <v>132.6</v>
      </c>
      <c r="H87" s="101">
        <v>133.9</v>
      </c>
      <c r="I87" s="101">
        <v>133.1</v>
      </c>
      <c r="J87" s="101">
        <v>136.9</v>
      </c>
      <c r="K87" s="101">
        <v>134.19999999999999</v>
      </c>
      <c r="L87" s="101">
        <v>134.5</v>
      </c>
      <c r="M87" s="101">
        <v>134.1</v>
      </c>
      <c r="N87" s="101">
        <v>131.4</v>
      </c>
      <c r="O87" s="101">
        <v>132.9</v>
      </c>
      <c r="P87" s="101"/>
      <c r="Q87" s="101">
        <v>132.4</v>
      </c>
      <c r="R87" s="101">
        <v>128.9</v>
      </c>
      <c r="S87" s="101">
        <v>128.9</v>
      </c>
      <c r="T87" s="101">
        <v>128.9</v>
      </c>
      <c r="U87" s="101">
        <v>134.80000000000001</v>
      </c>
      <c r="V87" s="101">
        <v>135.30000000000001</v>
      </c>
      <c r="W87" s="101">
        <v>135.30000000000001</v>
      </c>
      <c r="X87" s="101">
        <v>135.1</v>
      </c>
      <c r="Y87" s="97">
        <v>133.9</v>
      </c>
      <c r="Z87" s="97">
        <v>134.69999999999999</v>
      </c>
      <c r="AA87" s="101">
        <v>134.9</v>
      </c>
      <c r="AB87" s="101">
        <v>133.69999999999999</v>
      </c>
      <c r="AC87" s="101">
        <v>134.19999999999999</v>
      </c>
      <c r="AD87" s="101">
        <v>134.5</v>
      </c>
      <c r="AE87" s="101">
        <v>134.6</v>
      </c>
      <c r="AF87" s="102">
        <v>132</v>
      </c>
      <c r="AG87" s="103"/>
      <c r="AH87" s="55">
        <f t="shared" si="16"/>
        <v>136.9</v>
      </c>
      <c r="AI87" s="56">
        <f t="shared" si="17"/>
        <v>128.9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8">
        <v>133.9</v>
      </c>
      <c r="C88" s="52">
        <v>132</v>
      </c>
      <c r="D88" s="52">
        <v>132.9</v>
      </c>
      <c r="E88" s="52">
        <v>133.5</v>
      </c>
      <c r="F88" s="52">
        <v>133.69999999999999</v>
      </c>
      <c r="G88" s="52">
        <v>133.5</v>
      </c>
      <c r="H88" s="52">
        <v>133.9</v>
      </c>
      <c r="I88" s="52">
        <v>133.1</v>
      </c>
      <c r="J88" s="52">
        <v>135.5</v>
      </c>
      <c r="K88" s="52">
        <v>131.19999999999999</v>
      </c>
      <c r="L88" s="52">
        <v>130.19999999999999</v>
      </c>
      <c r="M88" s="52">
        <v>126</v>
      </c>
      <c r="N88" s="52">
        <v>126.1</v>
      </c>
      <c r="O88" s="52">
        <v>128.80000000000001</v>
      </c>
      <c r="P88" s="52"/>
      <c r="Q88" s="52">
        <v>130.19999999999999</v>
      </c>
      <c r="R88" s="52">
        <v>124.6</v>
      </c>
      <c r="S88" s="52">
        <v>129.80000000000001</v>
      </c>
      <c r="T88" s="52">
        <v>129.80000000000001</v>
      </c>
      <c r="U88" s="52">
        <v>132</v>
      </c>
      <c r="V88" s="52">
        <v>136.5</v>
      </c>
      <c r="W88" s="52">
        <v>136.5</v>
      </c>
      <c r="X88" s="52">
        <v>133.9</v>
      </c>
      <c r="Y88" s="97">
        <v>130.69999999999999</v>
      </c>
      <c r="Z88" s="97">
        <v>133.19999999999999</v>
      </c>
      <c r="AA88" s="52">
        <v>132.69999999999999</v>
      </c>
      <c r="AB88" s="52">
        <v>131.69999999999999</v>
      </c>
      <c r="AC88" s="52">
        <v>133.5</v>
      </c>
      <c r="AD88" s="52">
        <v>133.19999999999999</v>
      </c>
      <c r="AE88" s="52">
        <v>133</v>
      </c>
      <c r="AF88" s="98">
        <v>130</v>
      </c>
      <c r="AG88" s="99"/>
      <c r="AH88" s="55">
        <f t="shared" si="16"/>
        <v>136.5</v>
      </c>
      <c r="AI88" s="56">
        <f t="shared" si="17"/>
        <v>124.6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5">
        <v>66.3</v>
      </c>
      <c r="C89" s="104">
        <v>66.400000000000006</v>
      </c>
      <c r="D89" s="104">
        <v>66.099999999999994</v>
      </c>
      <c r="E89" s="104">
        <v>66.7</v>
      </c>
      <c r="F89" s="104">
        <v>66.099999999999994</v>
      </c>
      <c r="G89" s="104">
        <v>65.5</v>
      </c>
      <c r="H89" s="104">
        <v>65.2</v>
      </c>
      <c r="I89" s="104">
        <v>64.7</v>
      </c>
      <c r="J89" s="104">
        <v>64.7</v>
      </c>
      <c r="K89" s="104">
        <v>63.9</v>
      </c>
      <c r="L89" s="104">
        <v>64</v>
      </c>
      <c r="M89" s="104">
        <v>64.3</v>
      </c>
      <c r="N89" s="104">
        <v>63.5</v>
      </c>
      <c r="O89" s="104">
        <v>63.5</v>
      </c>
      <c r="P89" s="104">
        <v>64</v>
      </c>
      <c r="Q89" s="104">
        <v>65</v>
      </c>
      <c r="R89" s="104">
        <v>64.099999999999994</v>
      </c>
      <c r="S89" s="104">
        <v>63.6</v>
      </c>
      <c r="T89" s="104">
        <v>63.6</v>
      </c>
      <c r="U89" s="104">
        <v>64.099999999999994</v>
      </c>
      <c r="V89" s="104">
        <v>64.900000000000006</v>
      </c>
      <c r="W89" s="104">
        <v>64.599999999999994</v>
      </c>
      <c r="X89" s="104">
        <v>64.5</v>
      </c>
      <c r="Y89" s="104">
        <v>64.900000000000006</v>
      </c>
      <c r="Z89" s="104">
        <v>65.3</v>
      </c>
      <c r="AA89" s="104">
        <v>65.400000000000006</v>
      </c>
      <c r="AB89" s="104">
        <v>64.599999999999994</v>
      </c>
      <c r="AC89" s="104">
        <v>64.8</v>
      </c>
      <c r="AD89" s="104">
        <v>65.400000000000006</v>
      </c>
      <c r="AE89" s="104">
        <v>65.599999999999994</v>
      </c>
      <c r="AF89" s="105">
        <v>65.5</v>
      </c>
      <c r="AG89" s="106"/>
      <c r="AH89" s="55">
        <f t="shared" si="16"/>
        <v>66.7</v>
      </c>
      <c r="AI89" s="56">
        <f t="shared" si="17"/>
        <v>63.5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127.64</v>
      </c>
      <c r="C91" s="178">
        <f t="shared" ref="C91:AF91" si="21">SUM(C14,C17,C20:C21,C40,C42:C43,C45,C47,C92:C95,C100,C106,C112,C121,C123,C135,C142,C145:C146,C153,C155,C157,C161:C163,C165:C167,C172,C178:C179,C181:C183,C191,C196)</f>
        <v>131.94</v>
      </c>
      <c r="D91" s="178">
        <f t="shared" si="21"/>
        <v>123.23999999999997</v>
      </c>
      <c r="E91" s="178">
        <f t="shared" si="21"/>
        <v>128.04000000000002</v>
      </c>
      <c r="F91" s="111">
        <f t="shared" si="21"/>
        <v>156.43999999999997</v>
      </c>
      <c r="G91" s="111">
        <f t="shared" si="21"/>
        <v>169.73999999999998</v>
      </c>
      <c r="H91" s="111">
        <f t="shared" si="21"/>
        <v>208.54000000000002</v>
      </c>
      <c r="I91" s="111">
        <f t="shared" si="21"/>
        <v>231.44</v>
      </c>
      <c r="J91" s="111">
        <f t="shared" si="21"/>
        <v>261.44000000000005</v>
      </c>
      <c r="K91" s="111">
        <f t="shared" si="21"/>
        <v>273.54000000000002</v>
      </c>
      <c r="L91" s="111">
        <f t="shared" si="21"/>
        <v>292.94000000000005</v>
      </c>
      <c r="M91" s="111">
        <f t="shared" si="21"/>
        <v>285.24</v>
      </c>
      <c r="N91" s="111">
        <f t="shared" si="21"/>
        <v>289.34000000000009</v>
      </c>
      <c r="O91" s="111">
        <f t="shared" si="21"/>
        <v>274.04000000000008</v>
      </c>
      <c r="P91" s="111">
        <f t="shared" si="21"/>
        <v>58.839999999999996</v>
      </c>
      <c r="Q91" s="111">
        <f t="shared" si="21"/>
        <v>303.64000000000004</v>
      </c>
      <c r="R91" s="111">
        <f t="shared" si="21"/>
        <v>271.54000000000002</v>
      </c>
      <c r="S91" s="111">
        <f t="shared" si="21"/>
        <v>276.64000000000004</v>
      </c>
      <c r="T91" s="111">
        <f t="shared" si="21"/>
        <v>296.54000000000008</v>
      </c>
      <c r="U91" s="111">
        <f t="shared" si="21"/>
        <v>280.34000000000003</v>
      </c>
      <c r="V91" s="111">
        <f t="shared" si="21"/>
        <v>303.44000000000005</v>
      </c>
      <c r="W91" s="111">
        <f t="shared" si="21"/>
        <v>338.84000000000003</v>
      </c>
      <c r="X91" s="111">
        <f t="shared" si="21"/>
        <v>339.84000000000003</v>
      </c>
      <c r="Y91" s="111">
        <f t="shared" si="21"/>
        <v>330.04</v>
      </c>
      <c r="Z91" s="111">
        <f t="shared" si="21"/>
        <v>301.74000000000007</v>
      </c>
      <c r="AA91" s="111">
        <f t="shared" si="21"/>
        <v>279.64</v>
      </c>
      <c r="AB91" s="111">
        <f t="shared" si="21"/>
        <v>256.94</v>
      </c>
      <c r="AC91" s="111">
        <f t="shared" si="21"/>
        <v>242.04000000000002</v>
      </c>
      <c r="AD91" s="111">
        <f t="shared" si="21"/>
        <v>183.93999999999997</v>
      </c>
      <c r="AE91" s="111">
        <f t="shared" si="21"/>
        <v>160.13999999999996</v>
      </c>
      <c r="AF91" s="111">
        <f t="shared" si="21"/>
        <v>165.14000000000001</v>
      </c>
      <c r="AG91" s="112"/>
      <c r="AH91" s="55">
        <f>MAX(B91:AF91)</f>
        <v>339.84000000000003</v>
      </c>
      <c r="AI91" s="56">
        <f>MIN(B91:AF91)</f>
        <v>58.839999999999996</v>
      </c>
    </row>
    <row r="92" spans="1:88" x14ac:dyDescent="0.25">
      <c r="A92" s="113" t="s">
        <v>95</v>
      </c>
      <c r="B92" s="116">
        <v>27</v>
      </c>
      <c r="C92" s="59">
        <v>19.399999999999999</v>
      </c>
      <c r="D92" s="59">
        <v>41.6</v>
      </c>
      <c r="E92" s="59">
        <v>31.1</v>
      </c>
      <c r="F92" s="114">
        <v>41.6</v>
      </c>
      <c r="G92" s="114">
        <v>27.4</v>
      </c>
      <c r="H92" s="114">
        <v>51.7</v>
      </c>
      <c r="I92" s="114">
        <v>50.2</v>
      </c>
      <c r="J92" s="114">
        <v>41.1</v>
      </c>
      <c r="K92" s="114">
        <v>35.299999999999997</v>
      </c>
      <c r="L92" s="115">
        <v>33.1</v>
      </c>
      <c r="M92" s="114">
        <v>42</v>
      </c>
      <c r="N92" s="114">
        <v>32.299999999999997</v>
      </c>
      <c r="O92" s="114">
        <v>32.799999999999997</v>
      </c>
      <c r="P92" s="114">
        <v>42</v>
      </c>
      <c r="Q92" s="114">
        <v>35.799999999999997</v>
      </c>
      <c r="R92" s="114">
        <v>35.700000000000003</v>
      </c>
      <c r="S92" s="114">
        <v>47.3</v>
      </c>
      <c r="T92" s="114">
        <v>42.2</v>
      </c>
      <c r="U92" s="115">
        <v>45.4</v>
      </c>
      <c r="V92" s="115">
        <v>48.7</v>
      </c>
      <c r="W92" s="115">
        <v>30.6</v>
      </c>
      <c r="X92" s="115">
        <v>35</v>
      </c>
      <c r="Y92" s="114">
        <v>39.5</v>
      </c>
      <c r="Z92" s="114">
        <v>28.4</v>
      </c>
      <c r="AA92" s="115">
        <v>33.9</v>
      </c>
      <c r="AB92" s="115">
        <v>30.5</v>
      </c>
      <c r="AC92" s="115">
        <v>33.200000000000003</v>
      </c>
      <c r="AD92" s="115">
        <v>34.799999999999997</v>
      </c>
      <c r="AE92" s="115">
        <v>36.299999999999997</v>
      </c>
      <c r="AF92" s="116">
        <v>28.4</v>
      </c>
      <c r="AG92" s="117">
        <v>75</v>
      </c>
      <c r="AH92" s="55">
        <f t="shared" ref="AH92:AH97" si="22">IF(ABS(MAX(B92:AF92))&gt;ABS(MIN(B92:AF92)),MAX(B92:AF92),MIN(B92:AF92))</f>
        <v>51.7</v>
      </c>
      <c r="AI92" s="118">
        <f t="shared" ref="AI92:AI97" si="23">INDEX($B$9:$AF$9,1,MATCH(AH92,B92:AF92,0))</f>
        <v>0.25</v>
      </c>
    </row>
    <row r="93" spans="1:88" x14ac:dyDescent="0.25">
      <c r="A93" s="119" t="s">
        <v>96</v>
      </c>
      <c r="B93" s="120">
        <f>-48.6-57.9</f>
        <v>-106.5</v>
      </c>
      <c r="C93" s="61">
        <f>-41.9-50.6</f>
        <v>-92.5</v>
      </c>
      <c r="D93" s="61">
        <v>-98.1</v>
      </c>
      <c r="E93" s="61">
        <v>-92.3</v>
      </c>
      <c r="F93" s="61">
        <v>-82.5</v>
      </c>
      <c r="G93" s="61">
        <v>-71.5</v>
      </c>
      <c r="H93" s="61">
        <v>-61</v>
      </c>
      <c r="I93" s="61">
        <v>-53.7</v>
      </c>
      <c r="J93" s="61">
        <v>-44.8</v>
      </c>
      <c r="K93" s="61">
        <v>-42.3</v>
      </c>
      <c r="L93" s="61">
        <v>-48</v>
      </c>
      <c r="M93" s="61">
        <v>-47</v>
      </c>
      <c r="N93" s="61">
        <v>-52.9</v>
      </c>
      <c r="O93" s="61">
        <v>-58</v>
      </c>
      <c r="P93" s="61">
        <v>-58</v>
      </c>
      <c r="Q93" s="61">
        <v>-35.200000000000003</v>
      </c>
      <c r="R93" s="61">
        <f>-13.3-21.2</f>
        <v>-34.5</v>
      </c>
      <c r="S93" s="61">
        <f>-17.1-22.4</f>
        <v>-39.5</v>
      </c>
      <c r="T93" s="61">
        <f>-15.7-20.5</f>
        <v>-36.200000000000003</v>
      </c>
      <c r="U93" s="61">
        <v>-47.8</v>
      </c>
      <c r="V93" s="61">
        <f>-17.9-23.1</f>
        <v>-41</v>
      </c>
      <c r="W93" s="61">
        <f>-12.1-19</f>
        <v>-31.1</v>
      </c>
      <c r="X93" s="61">
        <f>-10.2-19.7</f>
        <v>-29.9</v>
      </c>
      <c r="Y93" s="61">
        <v>-37.799999999999997</v>
      </c>
      <c r="Z93" s="61">
        <f>-18.8-27.9</f>
        <v>-46.7</v>
      </c>
      <c r="AA93" s="52">
        <v>-54.8</v>
      </c>
      <c r="AB93" s="52">
        <v>-66</v>
      </c>
      <c r="AC93" s="52">
        <v>-70.400000000000006</v>
      </c>
      <c r="AD93" s="52">
        <v>-89.5</v>
      </c>
      <c r="AE93" s="52">
        <v>-98.8</v>
      </c>
      <c r="AF93" s="120">
        <v>-92.2</v>
      </c>
      <c r="AG93" s="117">
        <v>240</v>
      </c>
      <c r="AH93" s="55">
        <f t="shared" si="22"/>
        <v>-106.5</v>
      </c>
      <c r="AI93" s="118">
        <f t="shared" si="23"/>
        <v>4.1666666666666664E-2</v>
      </c>
    </row>
    <row r="94" spans="1:88" x14ac:dyDescent="0.25">
      <c r="A94" s="119" t="s">
        <v>97</v>
      </c>
      <c r="B94" s="120">
        <v>-17.899999999999999</v>
      </c>
      <c r="C94" s="61">
        <v>-17.899999999999999</v>
      </c>
      <c r="D94" s="61">
        <v>-19.899999999999999</v>
      </c>
      <c r="E94" s="61">
        <v>-15.6</v>
      </c>
      <c r="F94" s="61">
        <v>-12.5</v>
      </c>
      <c r="G94" s="61">
        <v>-12</v>
      </c>
      <c r="H94" s="61">
        <v>-6.7</v>
      </c>
      <c r="I94" s="61">
        <v>-4.2</v>
      </c>
      <c r="J94" s="61">
        <v>-1.3</v>
      </c>
      <c r="K94" s="61">
        <v>0.9</v>
      </c>
      <c r="L94" s="61">
        <v>1.5</v>
      </c>
      <c r="M94" s="61">
        <v>-2.1</v>
      </c>
      <c r="N94" s="61">
        <v>3.4</v>
      </c>
      <c r="O94" s="61">
        <v>0.5</v>
      </c>
      <c r="P94" s="61">
        <v>40</v>
      </c>
      <c r="Q94" s="61">
        <v>38.700000000000003</v>
      </c>
      <c r="R94" s="61">
        <v>17.8</v>
      </c>
      <c r="S94" s="61">
        <v>15</v>
      </c>
      <c r="T94" s="61">
        <v>15.5</v>
      </c>
      <c r="U94" s="61">
        <v>12.7</v>
      </c>
      <c r="V94" s="61">
        <v>15</v>
      </c>
      <c r="W94" s="61">
        <v>27.9</v>
      </c>
      <c r="X94" s="61">
        <v>35.1</v>
      </c>
      <c r="Y94" s="61">
        <v>30.1</v>
      </c>
      <c r="Z94" s="61">
        <v>22.7</v>
      </c>
      <c r="AA94" s="52">
        <v>19.5</v>
      </c>
      <c r="AB94" s="52">
        <v>2.2999999999999998</v>
      </c>
      <c r="AC94" s="52">
        <v>-2.7</v>
      </c>
      <c r="AD94" s="52">
        <v>-12.4</v>
      </c>
      <c r="AE94" s="52">
        <v>-17.2</v>
      </c>
      <c r="AF94" s="120">
        <v>-15.9</v>
      </c>
      <c r="AG94" s="117">
        <v>60</v>
      </c>
      <c r="AH94" s="55">
        <f t="shared" si="22"/>
        <v>40</v>
      </c>
      <c r="AI94" s="118">
        <f t="shared" si="23"/>
        <v>0.5</v>
      </c>
    </row>
    <row r="95" spans="1:88" x14ac:dyDescent="0.25">
      <c r="A95" s="121" t="s">
        <v>98</v>
      </c>
      <c r="B95" s="123">
        <v>-2.1</v>
      </c>
      <c r="C95" s="84">
        <v>10.8</v>
      </c>
      <c r="D95" s="84">
        <v>-7.4</v>
      </c>
      <c r="E95" s="84">
        <v>-2.1</v>
      </c>
      <c r="F95" s="84">
        <v>3.1</v>
      </c>
      <c r="G95" s="84">
        <v>19.100000000000001</v>
      </c>
      <c r="H95" s="84">
        <v>17.8</v>
      </c>
      <c r="I95" s="84">
        <v>26.7</v>
      </c>
      <c r="J95" s="84">
        <v>49.4</v>
      </c>
      <c r="K95" s="84">
        <v>62.9</v>
      </c>
      <c r="L95" s="84">
        <v>68.400000000000006</v>
      </c>
      <c r="M95" s="84">
        <v>54.6</v>
      </c>
      <c r="N95" s="84">
        <v>70.3</v>
      </c>
      <c r="O95" s="84">
        <v>62.5</v>
      </c>
      <c r="P95" s="84">
        <v>0</v>
      </c>
      <c r="Q95" s="84">
        <v>25</v>
      </c>
      <c r="R95" s="84">
        <v>57.4</v>
      </c>
      <c r="S95" s="84">
        <v>58.7</v>
      </c>
      <c r="T95" s="84">
        <v>62.8</v>
      </c>
      <c r="U95" s="84">
        <v>53.6</v>
      </c>
      <c r="V95" s="84">
        <v>56.3</v>
      </c>
      <c r="W95" s="84">
        <v>73</v>
      </c>
      <c r="X95" s="84">
        <v>61.2</v>
      </c>
      <c r="Y95" s="84">
        <v>60.1</v>
      </c>
      <c r="Z95" s="84">
        <v>59.1</v>
      </c>
      <c r="AA95" s="122">
        <v>42.8</v>
      </c>
      <c r="AB95" s="122">
        <v>51.9</v>
      </c>
      <c r="AC95" s="122">
        <v>43.7</v>
      </c>
      <c r="AD95" s="122">
        <v>22.5</v>
      </c>
      <c r="AE95" s="122">
        <v>11.3</v>
      </c>
      <c r="AF95" s="123">
        <v>16.3</v>
      </c>
      <c r="AG95" s="124">
        <v>120</v>
      </c>
      <c r="AH95" s="55">
        <f t="shared" si="22"/>
        <v>73</v>
      </c>
      <c r="AI95" s="118">
        <f t="shared" si="23"/>
        <v>0.75</v>
      </c>
    </row>
    <row r="96" spans="1:88" x14ac:dyDescent="0.25">
      <c r="A96" s="121" t="s">
        <v>99</v>
      </c>
      <c r="B96" s="123">
        <v>22.8</v>
      </c>
      <c r="C96" s="84">
        <v>34</v>
      </c>
      <c r="D96" s="84">
        <v>16.2</v>
      </c>
      <c r="E96" s="84">
        <v>23.3</v>
      </c>
      <c r="F96" s="84">
        <v>20.9</v>
      </c>
      <c r="G96" s="84">
        <v>32.700000000000003</v>
      </c>
      <c r="H96" s="84">
        <v>20.3</v>
      </c>
      <c r="I96" s="84">
        <v>29.2</v>
      </c>
      <c r="J96" s="84">
        <v>45.5</v>
      </c>
      <c r="K96" s="84">
        <v>53.4</v>
      </c>
      <c r="L96" s="84">
        <v>55.7</v>
      </c>
      <c r="M96" s="84">
        <v>69.3</v>
      </c>
      <c r="N96" s="84">
        <v>65.099999999999994</v>
      </c>
      <c r="O96" s="84">
        <v>59.8</v>
      </c>
      <c r="P96" s="84">
        <v>160</v>
      </c>
      <c r="Q96" s="84">
        <v>36.6</v>
      </c>
      <c r="R96" s="84">
        <v>52.7</v>
      </c>
      <c r="S96" s="84">
        <v>56.6</v>
      </c>
      <c r="T96" s="84">
        <v>60.9</v>
      </c>
      <c r="U96" s="84">
        <v>56.3</v>
      </c>
      <c r="V96" s="84">
        <v>55.7</v>
      </c>
      <c r="W96" s="84">
        <v>61.7</v>
      </c>
      <c r="X96" s="84">
        <v>50.3</v>
      </c>
      <c r="Y96" s="84">
        <v>50.5</v>
      </c>
      <c r="Z96" s="84">
        <v>56.6</v>
      </c>
      <c r="AA96" s="122">
        <v>42.2</v>
      </c>
      <c r="AB96" s="122">
        <v>53.4</v>
      </c>
      <c r="AC96" s="122">
        <v>46.6</v>
      </c>
      <c r="AD96" s="122">
        <v>36.5</v>
      </c>
      <c r="AE96" s="122">
        <v>29.5</v>
      </c>
      <c r="AF96" s="123">
        <v>33</v>
      </c>
      <c r="AG96" s="124"/>
      <c r="AH96" s="55">
        <f t="shared" si="22"/>
        <v>160</v>
      </c>
      <c r="AI96" s="118">
        <f t="shared" si="23"/>
        <v>0.5</v>
      </c>
    </row>
    <row r="97" spans="1:37" ht="15.75" thickBot="1" x14ac:dyDescent="0.3">
      <c r="A97" s="121" t="s">
        <v>100</v>
      </c>
      <c r="B97" s="123">
        <v>38</v>
      </c>
      <c r="C97" s="84">
        <v>35</v>
      </c>
      <c r="D97" s="84">
        <v>4</v>
      </c>
      <c r="E97" s="84">
        <v>2.2999999999999998</v>
      </c>
      <c r="F97" s="84">
        <v>7.3</v>
      </c>
      <c r="G97" s="84">
        <v>1.3</v>
      </c>
      <c r="H97" s="84">
        <v>13.8</v>
      </c>
      <c r="I97" s="84">
        <v>-9.8000000000000007</v>
      </c>
      <c r="J97" s="84">
        <v>3.1</v>
      </c>
      <c r="K97" s="84">
        <v>14</v>
      </c>
      <c r="L97" s="84">
        <v>12.7</v>
      </c>
      <c r="M97" s="84">
        <v>42.4</v>
      </c>
      <c r="N97" s="84">
        <v>57.2</v>
      </c>
      <c r="O97" s="84">
        <v>51.9</v>
      </c>
      <c r="P97" s="84">
        <v>0</v>
      </c>
      <c r="Q97" s="84">
        <v>47.6</v>
      </c>
      <c r="R97" s="84">
        <v>58.5</v>
      </c>
      <c r="S97" s="84">
        <v>44.3</v>
      </c>
      <c r="T97" s="84">
        <v>43.3</v>
      </c>
      <c r="U97" s="84">
        <v>39</v>
      </c>
      <c r="V97" s="84">
        <v>37</v>
      </c>
      <c r="W97" s="84">
        <v>45.8</v>
      </c>
      <c r="X97" s="84">
        <v>52.9</v>
      </c>
      <c r="Y97" s="84">
        <v>66.3</v>
      </c>
      <c r="Z97" s="84">
        <v>67.2</v>
      </c>
      <c r="AA97" s="122">
        <v>62.1</v>
      </c>
      <c r="AB97" s="122">
        <v>68.400000000000006</v>
      </c>
      <c r="AC97" s="122">
        <v>64.099999999999994</v>
      </c>
      <c r="AD97" s="122">
        <v>53</v>
      </c>
      <c r="AE97" s="122">
        <v>52.9</v>
      </c>
      <c r="AF97" s="123">
        <v>62.9</v>
      </c>
      <c r="AG97" s="125"/>
      <c r="AH97" s="55">
        <f t="shared" si="22"/>
        <v>68.400000000000006</v>
      </c>
      <c r="AI97" s="118">
        <f t="shared" si="23"/>
        <v>0.85416666666666663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1323.8400000000001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12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2078/04/12)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2078/04/12)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1170.74</v>
      </c>
      <c r="U211" s="170">
        <f t="shared" si="52"/>
        <v>1184.74</v>
      </c>
      <c r="V211" s="170">
        <f t="shared" si="52"/>
        <v>1123.1399999999999</v>
      </c>
      <c r="W211" s="170">
        <f t="shared" si="52"/>
        <v>1137.1399999999999</v>
      </c>
      <c r="X211" s="170">
        <f t="shared" si="52"/>
        <v>1139.8399999999999</v>
      </c>
      <c r="Y211" s="170">
        <f t="shared" si="52"/>
        <v>1150.8399999999999</v>
      </c>
      <c r="Z211" s="170">
        <f t="shared" si="52"/>
        <v>1156.94</v>
      </c>
      <c r="AA211" s="170">
        <f t="shared" si="52"/>
        <v>1145.1399999999999</v>
      </c>
      <c r="AB211" s="170">
        <f t="shared" si="52"/>
        <v>1243.04</v>
      </c>
      <c r="AC211" s="170">
        <f t="shared" si="52"/>
        <v>1288.8399999999999</v>
      </c>
      <c r="AD211" s="170">
        <f t="shared" si="52"/>
        <v>1303.7400000000002</v>
      </c>
      <c r="AE211" s="170">
        <f t="shared" si="52"/>
        <v>1323.8400000000001</v>
      </c>
      <c r="AF211" s="170">
        <f t="shared" si="52"/>
        <v>1340.24</v>
      </c>
      <c r="AG211" s="170">
        <f t="shared" si="52"/>
        <v>1328.44</v>
      </c>
      <c r="AH211" s="170">
        <f t="shared" si="52"/>
        <v>1294.74</v>
      </c>
      <c r="AI211" s="170">
        <f t="shared" si="52"/>
        <v>1286.44</v>
      </c>
      <c r="AJ211" s="170">
        <f t="shared" si="52"/>
        <v>1303.1400000000001</v>
      </c>
      <c r="AK211" s="170">
        <f t="shared" si="52"/>
        <v>1346.3400000000001</v>
      </c>
      <c r="AL211" s="170">
        <f t="shared" si="52"/>
        <v>1363.04</v>
      </c>
      <c r="AM211" s="170">
        <f t="shared" si="52"/>
        <v>1279.6399999999999</v>
      </c>
      <c r="AN211" s="170">
        <f t="shared" si="52"/>
        <v>1255.6399999999999</v>
      </c>
      <c r="AO211" s="170">
        <f t="shared" si="52"/>
        <v>1372.94</v>
      </c>
      <c r="AP211" s="170">
        <f t="shared" si="52"/>
        <v>1387.54</v>
      </c>
      <c r="AQ211" s="170">
        <f t="shared" si="52"/>
        <v>1377.04</v>
      </c>
      <c r="AR211" s="170">
        <f t="shared" si="52"/>
        <v>1392.74</v>
      </c>
      <c r="AS211" s="170">
        <f t="shared" si="52"/>
        <v>1346.74</v>
      </c>
      <c r="AT211" s="170">
        <f t="shared" si="52"/>
        <v>1309.04</v>
      </c>
      <c r="AU211" s="170">
        <f t="shared" si="52"/>
        <v>1287.04</v>
      </c>
      <c r="AV211" s="170">
        <f t="shared" si="52"/>
        <v>1166.8400000000001</v>
      </c>
      <c r="AW211" s="170">
        <f t="shared" si="52"/>
        <v>1132.54</v>
      </c>
      <c r="AX211" s="170">
        <f t="shared" si="52"/>
        <v>1147.6399999999999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352" priority="393">
      <formula>S$9&gt;=20/24</formula>
    </cfRule>
    <cfRule type="expression" dxfId="7351" priority="394">
      <formula>AND(S$9&gt;=14/24,S$9&lt;20/24)</formula>
    </cfRule>
    <cfRule type="expression" dxfId="7350" priority="395">
      <formula>AND(S$9&gt;=8/24,S$9&lt;14/24)</formula>
    </cfRule>
    <cfRule type="expression" dxfId="7349" priority="396">
      <formula>S$9&lt;8/24</formula>
    </cfRule>
  </conditionalFormatting>
  <conditionalFormatting sqref="B8:AF10 AA79:AF79 C79:Q79 C54:AF54 C80:AF80 C191:AF197 AE55:AF57 C66:AF70 M60:M65 T210:AX210 C61:C65 M12:Q13 L11:Q11 L56:Q57 AA82:AF89 C72:AF76 C78:AF78 I58:M59 I55:K57 C55:H59 M15:Q18 N19:Q22 L25:M31 N23:N31 P23:Q31 P46:P48 O58:Q65 L37:R40 N43:T46 R56:T65 R11:X13 L35:X35 S38:X40 L51:X53 U56:X57 R15:X31 AB51:AF53 Y83:Z89 AC11:AD11 AF58 AA25:AF25">
    <cfRule type="expression" dxfId="7348" priority="389">
      <formula>B$9&gt;=20/24</formula>
    </cfRule>
    <cfRule type="expression" dxfId="7347" priority="390">
      <formula>AND(B$9&gt;=14/24,B$9&lt;20/24)</formula>
    </cfRule>
    <cfRule type="expression" dxfId="7346" priority="391">
      <formula>AND(B$9&gt;=8/24,B$9&lt;14/24)</formula>
    </cfRule>
    <cfRule type="expression" dxfId="7345" priority="392">
      <formula>B$9&lt;8/24</formula>
    </cfRule>
  </conditionalFormatting>
  <conditionalFormatting sqref="B189:AF189">
    <cfRule type="expression" dxfId="7344" priority="385">
      <formula>B$9&gt;=20/24</formula>
    </cfRule>
    <cfRule type="expression" dxfId="7343" priority="386">
      <formula>AND(B$9&gt;=14/24,B$9&lt;20/24)</formula>
    </cfRule>
    <cfRule type="expression" dxfId="7342" priority="387">
      <formula>AND(B$9&gt;=8/24,B$9&lt;14/24)</formula>
    </cfRule>
    <cfRule type="expression" dxfId="7341" priority="388">
      <formula>B$9&lt;8/24</formula>
    </cfRule>
  </conditionalFormatting>
  <conditionalFormatting sqref="AL4:AL6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L55:T55">
    <cfRule type="expression" dxfId="7340" priority="380">
      <formula>L$9&gt;=20/24</formula>
    </cfRule>
    <cfRule type="expression" dxfId="7339" priority="381">
      <formula>AND(L$9&gt;=14/24,L$9&lt;20/24)</formula>
    </cfRule>
    <cfRule type="expression" dxfId="7338" priority="382">
      <formula>AND(L$9&gt;=8/24,L$9&lt;14/24)</formula>
    </cfRule>
    <cfRule type="expression" dxfId="7337" priority="383">
      <formula>L$9&lt;8/24</formula>
    </cfRule>
  </conditionalFormatting>
  <conditionalFormatting sqref="L41:T41">
    <cfRule type="expression" dxfId="7336" priority="376">
      <formula>L$9&gt;=20/24</formula>
    </cfRule>
    <cfRule type="expression" dxfId="7335" priority="377">
      <formula>AND(L$9&gt;=14/24,L$9&lt;20/24)</formula>
    </cfRule>
    <cfRule type="expression" dxfId="7334" priority="378">
      <formula>AND(L$9&gt;=8/24,L$9&lt;14/24)</formula>
    </cfRule>
    <cfRule type="expression" dxfId="7333" priority="379">
      <formula>L$9&lt;8/24</formula>
    </cfRule>
  </conditionalFormatting>
  <conditionalFormatting sqref="S37:X37">
    <cfRule type="expression" dxfId="7332" priority="368">
      <formula>S$9&gt;=20/24</formula>
    </cfRule>
    <cfRule type="expression" dxfId="7331" priority="369">
      <formula>AND(S$9&gt;=14/24,S$9&lt;20/24)</formula>
    </cfRule>
    <cfRule type="expression" dxfId="7330" priority="370">
      <formula>AND(S$9&gt;=8/24,S$9&lt;14/24)</formula>
    </cfRule>
    <cfRule type="expression" dxfId="7329" priority="371">
      <formula>S$9&lt;8/24</formula>
    </cfRule>
  </conditionalFormatting>
  <conditionalFormatting sqref="U55:X55 AA55:AD55">
    <cfRule type="expression" dxfId="7328" priority="364">
      <formula>U$9&gt;=20/24</formula>
    </cfRule>
    <cfRule type="expression" dxfId="7327" priority="365">
      <formula>AND(U$9&gt;=14/24,U$9&lt;20/24)</formula>
    </cfRule>
    <cfRule type="expression" dxfId="7326" priority="366">
      <formula>AND(U$9&gt;=8/24,U$9&lt;14/24)</formula>
    </cfRule>
    <cfRule type="expression" dxfId="7325" priority="367">
      <formula>U$9&lt;8/24</formula>
    </cfRule>
  </conditionalFormatting>
  <conditionalFormatting sqref="R79:Z79">
    <cfRule type="expression" dxfId="7324" priority="360">
      <formula>R$9&gt;=20/24</formula>
    </cfRule>
    <cfRule type="expression" dxfId="7323" priority="361">
      <formula>AND(R$9&gt;=14/24,R$9&lt;20/24)</formula>
    </cfRule>
    <cfRule type="expression" dxfId="7322" priority="362">
      <formula>AND(R$9&gt;=8/24,R$9&lt;14/24)</formula>
    </cfRule>
    <cfRule type="expression" dxfId="7321" priority="363">
      <formula>R$9&lt;8/24</formula>
    </cfRule>
  </conditionalFormatting>
  <conditionalFormatting sqref="U82:Z82">
    <cfRule type="expression" dxfId="7320" priority="356">
      <formula>U$9&gt;=20/24</formula>
    </cfRule>
    <cfRule type="expression" dxfId="7319" priority="357">
      <formula>AND(U$9&gt;=14/24,U$9&lt;20/24)</formula>
    </cfRule>
    <cfRule type="expression" dxfId="7318" priority="358">
      <formula>AND(U$9&gt;=8/24,U$9&lt;14/24)</formula>
    </cfRule>
    <cfRule type="expression" dxfId="7317" priority="359">
      <formula>U$9&lt;8/24</formula>
    </cfRule>
  </conditionalFormatting>
  <conditionalFormatting sqref="L33:N33 P33:X33">
    <cfRule type="expression" dxfId="7316" priority="352">
      <formula>L$9&gt;=20/24</formula>
    </cfRule>
    <cfRule type="expression" dxfId="7315" priority="353">
      <formula>AND(L$9&gt;=14/24,L$9&lt;20/24)</formula>
    </cfRule>
    <cfRule type="expression" dxfId="7314" priority="354">
      <formula>AND(L$9&gt;=8/24,L$9&lt;14/24)</formula>
    </cfRule>
    <cfRule type="expression" dxfId="7313" priority="355">
      <formula>L$9&lt;8/24</formula>
    </cfRule>
  </conditionalFormatting>
  <conditionalFormatting sqref="L47:T47">
    <cfRule type="expression" dxfId="7312" priority="348">
      <formula>L$9&gt;=20/24</formula>
    </cfRule>
    <cfRule type="expression" dxfId="7311" priority="349">
      <formula>AND(L$9&gt;=14/24,L$9&lt;20/24)</formula>
    </cfRule>
    <cfRule type="expression" dxfId="7310" priority="350">
      <formula>AND(L$9&gt;=8/24,L$9&lt;14/24)</formula>
    </cfRule>
    <cfRule type="expression" dxfId="7309" priority="351">
      <formula>L$9&lt;8/24</formula>
    </cfRule>
  </conditionalFormatting>
  <conditionalFormatting sqref="L48:T48">
    <cfRule type="expression" dxfId="7308" priority="344">
      <formula>L$9&gt;=20/24</formula>
    </cfRule>
    <cfRule type="expression" dxfId="7307" priority="345">
      <formula>AND(L$9&gt;=14/24,L$9&lt;20/24)</formula>
    </cfRule>
    <cfRule type="expression" dxfId="7306" priority="346">
      <formula>AND(L$9&gt;=8/24,L$9&lt;14/24)</formula>
    </cfRule>
    <cfRule type="expression" dxfId="7305" priority="347">
      <formula>L$9&lt;8/24</formula>
    </cfRule>
  </conditionalFormatting>
  <conditionalFormatting sqref="P46:P48 L43:T46">
    <cfRule type="expression" dxfId="7304" priority="340">
      <formula>L$9&gt;=20/24</formula>
    </cfRule>
    <cfRule type="expression" dxfId="7303" priority="341">
      <formula>AND(L$9&gt;=14/24,L$9&lt;20/24)</formula>
    </cfRule>
    <cfRule type="expression" dxfId="7302" priority="342">
      <formula>AND(L$9&gt;=8/24,L$9&lt;14/24)</formula>
    </cfRule>
    <cfRule type="expression" dxfId="7301" priority="343">
      <formula>L$9&lt;8/24</formula>
    </cfRule>
  </conditionalFormatting>
  <conditionalFormatting sqref="AA35:AD35">
    <cfRule type="expression" dxfId="7300" priority="336">
      <formula>AA$9&gt;=20/24</formula>
    </cfRule>
    <cfRule type="expression" dxfId="7299" priority="337">
      <formula>AND(AA$9&gt;=14/24,AA$9&lt;20/24)</formula>
    </cfRule>
    <cfRule type="expression" dxfId="7298" priority="338">
      <formula>AND(AA$9&gt;=8/24,AA$9&lt;14/24)</formula>
    </cfRule>
    <cfRule type="expression" dxfId="7297" priority="339">
      <formula>AA$9&lt;8/24</formula>
    </cfRule>
  </conditionalFormatting>
  <conditionalFormatting sqref="U41:X41 U43:X46 AB46:AF46">
    <cfRule type="expression" dxfId="7296" priority="328">
      <formula>U$9&gt;=20/24</formula>
    </cfRule>
    <cfRule type="expression" dxfId="7295" priority="329">
      <formula>AND(U$9&gt;=14/24,U$9&lt;20/24)</formula>
    </cfRule>
    <cfRule type="expression" dxfId="7294" priority="330">
      <formula>AND(U$9&gt;=8/24,U$9&lt;14/24)</formula>
    </cfRule>
    <cfRule type="expression" dxfId="7293" priority="331">
      <formula>U$9&lt;8/24</formula>
    </cfRule>
  </conditionalFormatting>
  <conditionalFormatting sqref="U47:X47">
    <cfRule type="expression" dxfId="7292" priority="324">
      <formula>U$9&gt;=20/24</formula>
    </cfRule>
    <cfRule type="expression" dxfId="7291" priority="325">
      <formula>AND(U$9&gt;=14/24,U$9&lt;20/24)</formula>
    </cfRule>
    <cfRule type="expression" dxfId="7290" priority="326">
      <formula>AND(U$9&gt;=8/24,U$9&lt;14/24)</formula>
    </cfRule>
    <cfRule type="expression" dxfId="7289" priority="327">
      <formula>U$9&lt;8/24</formula>
    </cfRule>
  </conditionalFormatting>
  <conditionalFormatting sqref="U48:X48">
    <cfRule type="expression" dxfId="7288" priority="320">
      <formula>U$9&gt;=20/24</formula>
    </cfRule>
    <cfRule type="expression" dxfId="7287" priority="321">
      <formula>AND(U$9&gt;=14/24,U$9&lt;20/24)</formula>
    </cfRule>
    <cfRule type="expression" dxfId="7286" priority="322">
      <formula>AND(U$9&gt;=8/24,U$9&lt;14/24)</formula>
    </cfRule>
    <cfRule type="expression" dxfId="7285" priority="323">
      <formula>U$9&lt;8/24</formula>
    </cfRule>
  </conditionalFormatting>
  <conditionalFormatting sqref="AF59:AF65 AD58:AE65">
    <cfRule type="expression" dxfId="7284" priority="316">
      <formula>AD$9&gt;=20/24</formula>
    </cfRule>
    <cfRule type="expression" dxfId="7283" priority="317">
      <formula>AND(AD$9&gt;=14/24,AD$9&lt;20/24)</formula>
    </cfRule>
    <cfRule type="expression" dxfId="7282" priority="318">
      <formula>AND(AD$9&gt;=8/24,AD$9&lt;14/24)</formula>
    </cfRule>
    <cfRule type="expression" dxfId="7281" priority="319">
      <formula>AD$9&lt;8/24</formula>
    </cfRule>
  </conditionalFormatting>
  <conditionalFormatting sqref="AA92:AF95">
    <cfRule type="expression" dxfId="7280" priority="312">
      <formula>AA$9&gt;=20/24</formula>
    </cfRule>
    <cfRule type="expression" dxfId="7279" priority="313">
      <formula>AND(AA$9&gt;=14/24,AA$9&lt;20/24)</formula>
    </cfRule>
    <cfRule type="expression" dxfId="7278" priority="314">
      <formula>AND(AA$9&gt;=8/24,AA$9&lt;14/24)</formula>
    </cfRule>
    <cfRule type="expression" dxfId="7277" priority="315">
      <formula>AA$9&lt;8/24</formula>
    </cfRule>
  </conditionalFormatting>
  <conditionalFormatting sqref="I60:K65 C60:H60">
    <cfRule type="expression" dxfId="7276" priority="308">
      <formula>C$9&gt;=20/24</formula>
    </cfRule>
    <cfRule type="expression" dxfId="7275" priority="309">
      <formula>AND(C$9&gt;=14/24,C$9&lt;20/24)</formula>
    </cfRule>
    <cfRule type="expression" dxfId="7274" priority="310">
      <formula>AND(C$9&gt;=8/24,C$9&lt;14/24)</formula>
    </cfRule>
    <cfRule type="expression" dxfId="7273" priority="311">
      <formula>C$9&lt;8/24</formula>
    </cfRule>
  </conditionalFormatting>
  <conditionalFormatting sqref="U92:Z95">
    <cfRule type="expression" dxfId="7272" priority="304">
      <formula>U$9&gt;=20/24</formula>
    </cfRule>
    <cfRule type="expression" dxfId="7271" priority="305">
      <formula>AND(U$9&gt;=14/24,U$9&lt;20/24)</formula>
    </cfRule>
    <cfRule type="expression" dxfId="7270" priority="306">
      <formula>AND(U$9&gt;=8/24,U$9&lt;14/24)</formula>
    </cfRule>
    <cfRule type="expression" dxfId="7269" priority="307">
      <formula>U$9&lt;8/24</formula>
    </cfRule>
  </conditionalFormatting>
  <conditionalFormatting sqref="D29:H31 K11:Q11 D11:J13 I26:L31 D26:H27 D25:L25 M15:Q18 K12:K13 D15:K24 M12:Q13 N19:Q22 D35:Q35 M25:M31 D33:N34 P33:Q34 N23:N31 P23:Q31 R11:X13 R33:X35 C36:AF36 C50:AF50 R15:X31 AA35:AF35 C43:X49 Z49:AG49 C37:X41 C54:AF54 C51:X53 AB51:AF53 AC11:AF11 AA25:AF25 AB46:AF46">
    <cfRule type="expression" dxfId="7268" priority="303">
      <formula>C11&gt;$AG11</formula>
    </cfRule>
  </conditionalFormatting>
  <conditionalFormatting sqref="A98:A154 A82:A95 A11:A13 A15:A31 A43:A70 A78:A80 A72:A76 A33:A41 A167:A198">
    <cfRule type="expression" dxfId="7267" priority="302">
      <formula>$AH11=0</formula>
    </cfRule>
  </conditionalFormatting>
  <conditionalFormatting sqref="AA96:AF96">
    <cfRule type="expression" dxfId="7266" priority="298">
      <formula>AA$9&gt;=20/24</formula>
    </cfRule>
    <cfRule type="expression" dxfId="7265" priority="299">
      <formula>AND(AA$9&gt;=14/24,AA$9&lt;20/24)</formula>
    </cfRule>
    <cfRule type="expression" dxfId="7264" priority="300">
      <formula>AND(AA$9&gt;=8/24,AA$9&lt;14/24)</formula>
    </cfRule>
    <cfRule type="expression" dxfId="7263" priority="301">
      <formula>AA$9&lt;8/24</formula>
    </cfRule>
  </conditionalFormatting>
  <conditionalFormatting sqref="U96:Z96">
    <cfRule type="expression" dxfId="7262" priority="294">
      <formula>U$9&gt;=20/24</formula>
    </cfRule>
    <cfRule type="expression" dxfId="7261" priority="295">
      <formula>AND(U$9&gt;=14/24,U$9&lt;20/24)</formula>
    </cfRule>
    <cfRule type="expression" dxfId="7260" priority="296">
      <formula>AND(U$9&gt;=8/24,U$9&lt;14/24)</formula>
    </cfRule>
    <cfRule type="expression" dxfId="7259" priority="297">
      <formula>U$9&lt;8/24</formula>
    </cfRule>
  </conditionalFormatting>
  <conditionalFormatting sqref="A96">
    <cfRule type="expression" dxfId="7258" priority="293">
      <formula>$AH96=0</formula>
    </cfRule>
  </conditionalFormatting>
  <conditionalFormatting sqref="D34:N34 P34:X34">
    <cfRule type="expression" dxfId="7257" priority="289">
      <formula>D$9&gt;=20/24</formula>
    </cfRule>
    <cfRule type="expression" dxfId="7256" priority="290">
      <formula>AND(D$9&gt;=14/24,D$9&lt;20/24)</formula>
    </cfRule>
    <cfRule type="expression" dxfId="7255" priority="291">
      <formula>AND(D$9&gt;=8/24,D$9&lt;14/24)</formula>
    </cfRule>
    <cfRule type="expression" dxfId="7254" priority="292">
      <formula>D$9&lt;8/24</formula>
    </cfRule>
  </conditionalFormatting>
  <conditionalFormatting sqref="D61:H65">
    <cfRule type="expression" dxfId="7253" priority="277">
      <formula>D$9&gt;=20/24</formula>
    </cfRule>
    <cfRule type="expression" dxfId="7252" priority="278">
      <formula>AND(D$9&gt;=14/24,D$9&lt;20/24)</formula>
    </cfRule>
    <cfRule type="expression" dxfId="7251" priority="279">
      <formula>AND(D$9&gt;=8/24,D$9&lt;14/24)</formula>
    </cfRule>
    <cfRule type="expression" dxfId="7250" priority="280">
      <formula>D$9&lt;8/24</formula>
    </cfRule>
  </conditionalFormatting>
  <conditionalFormatting sqref="L60:L65">
    <cfRule type="expression" dxfId="7249" priority="273">
      <formula>L$9&gt;=20/24</formula>
    </cfRule>
    <cfRule type="expression" dxfId="7248" priority="274">
      <formula>AND(L$9&gt;=14/24,L$9&lt;20/24)</formula>
    </cfRule>
    <cfRule type="expression" dxfId="7247" priority="275">
      <formula>AND(L$9&gt;=8/24,L$9&lt;14/24)</formula>
    </cfRule>
    <cfRule type="expression" dxfId="7246" priority="276">
      <formula>L$9&lt;8/24</formula>
    </cfRule>
  </conditionalFormatting>
  <conditionalFormatting sqref="AL31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L32:N32 P32:X32">
    <cfRule type="expression" dxfId="7245" priority="264">
      <formula>L$9&gt;=20/24</formula>
    </cfRule>
    <cfRule type="expression" dxfId="7244" priority="265">
      <formula>AND(L$9&gt;=14/24,L$9&lt;20/24)</formula>
    </cfRule>
    <cfRule type="expression" dxfId="7243" priority="266">
      <formula>AND(L$9&gt;=8/24,L$9&lt;14/24)</formula>
    </cfRule>
    <cfRule type="expression" dxfId="7242" priority="267">
      <formula>L$9&lt;8/24</formula>
    </cfRule>
  </conditionalFormatting>
  <conditionalFormatting sqref="D32:N32 P32:X32">
    <cfRule type="expression" dxfId="7241" priority="259">
      <formula>D32&gt;$AG32</formula>
    </cfRule>
  </conditionalFormatting>
  <conditionalFormatting sqref="A32">
    <cfRule type="expression" dxfId="7240" priority="258">
      <formula>$AH32=0</formula>
    </cfRule>
  </conditionalFormatting>
  <conditionalFormatting sqref="C81:AF81">
    <cfRule type="expression" dxfId="7239" priority="254">
      <formula>C$9&gt;=20/24</formula>
    </cfRule>
    <cfRule type="expression" dxfId="7238" priority="255">
      <formula>AND(C$9&gt;=14/24,C$9&lt;20/24)</formula>
    </cfRule>
    <cfRule type="expression" dxfId="7237" priority="256">
      <formula>AND(C$9&gt;=8/24,C$9&lt;14/24)</formula>
    </cfRule>
    <cfRule type="expression" dxfId="7236" priority="257">
      <formula>C$9&lt;8/24</formula>
    </cfRule>
  </conditionalFormatting>
  <conditionalFormatting sqref="A81">
    <cfRule type="expression" dxfId="7235" priority="253">
      <formula>$AH81=0</formula>
    </cfRule>
  </conditionalFormatting>
  <conditionalFormatting sqref="M14:X14">
    <cfRule type="expression" dxfId="7234" priority="245">
      <formula>M$9&gt;=20/24</formula>
    </cfRule>
    <cfRule type="expression" dxfId="7233" priority="246">
      <formula>AND(M$9&gt;=14/24,M$9&lt;20/24)</formula>
    </cfRule>
    <cfRule type="expression" dxfId="7232" priority="247">
      <formula>AND(M$9&gt;=8/24,M$9&lt;14/24)</formula>
    </cfRule>
    <cfRule type="expression" dxfId="7231" priority="248">
      <formula>M$9&lt;8/24</formula>
    </cfRule>
  </conditionalFormatting>
  <conditionalFormatting sqref="D14:K14 M14:X14">
    <cfRule type="expression" dxfId="7230" priority="244">
      <formula>D14&gt;$AG14</formula>
    </cfRule>
  </conditionalFormatting>
  <conditionalFormatting sqref="A14">
    <cfRule type="expression" dxfId="7229" priority="243">
      <formula>$AH14=0</formula>
    </cfRule>
  </conditionalFormatting>
  <conditionalFormatting sqref="A161:A166">
    <cfRule type="expression" dxfId="7228" priority="242">
      <formula>$AH161=0</formula>
    </cfRule>
  </conditionalFormatting>
  <conditionalFormatting sqref="A155:A160">
    <cfRule type="expression" dxfId="7227" priority="241">
      <formula>$AH155=0</formula>
    </cfRule>
  </conditionalFormatting>
  <conditionalFormatting sqref="L42:T42">
    <cfRule type="expression" dxfId="7226" priority="233">
      <formula>L$9&gt;=20/24</formula>
    </cfRule>
    <cfRule type="expression" dxfId="7225" priority="234">
      <formula>AND(L$9&gt;=14/24,L$9&lt;20/24)</formula>
    </cfRule>
    <cfRule type="expression" dxfId="7224" priority="235">
      <formula>AND(L$9&gt;=8/24,L$9&lt;14/24)</formula>
    </cfRule>
    <cfRule type="expression" dxfId="7223" priority="236">
      <formula>L$9&lt;8/24</formula>
    </cfRule>
  </conditionalFormatting>
  <conditionalFormatting sqref="U42:X42">
    <cfRule type="expression" dxfId="7222" priority="229">
      <formula>U$9&gt;=20/24</formula>
    </cfRule>
    <cfRule type="expression" dxfId="7221" priority="230">
      <formula>AND(U$9&gt;=14/24,U$9&lt;20/24)</formula>
    </cfRule>
    <cfRule type="expression" dxfId="7220" priority="231">
      <formula>AND(U$9&gt;=8/24,U$9&lt;14/24)</formula>
    </cfRule>
    <cfRule type="expression" dxfId="7219" priority="232">
      <formula>U$9&lt;8/24</formula>
    </cfRule>
  </conditionalFormatting>
  <conditionalFormatting sqref="C42:X42">
    <cfRule type="expression" dxfId="7218" priority="228">
      <formula>C42&gt;$AG42</formula>
    </cfRule>
  </conditionalFormatting>
  <conditionalFormatting sqref="A42">
    <cfRule type="expression" dxfId="7217" priority="227">
      <formula>$AH42=0</formula>
    </cfRule>
  </conditionalFormatting>
  <conditionalFormatting sqref="C77:AF77">
    <cfRule type="expression" dxfId="7216" priority="223">
      <formula>C$9&gt;=20/24</formula>
    </cfRule>
    <cfRule type="expression" dxfId="7215" priority="224">
      <formula>AND(C$9&gt;=14/24,C$9&lt;20/24)</formula>
    </cfRule>
    <cfRule type="expression" dxfId="7214" priority="225">
      <formula>AND(C$9&gt;=8/24,C$9&lt;14/24)</formula>
    </cfRule>
    <cfRule type="expression" dxfId="7213" priority="226">
      <formula>C$9&lt;8/24</formula>
    </cfRule>
  </conditionalFormatting>
  <conditionalFormatting sqref="A77">
    <cfRule type="expression" dxfId="7212" priority="222">
      <formula>$AH77=0</formula>
    </cfRule>
  </conditionalFormatting>
  <conditionalFormatting sqref="C71:AG71">
    <cfRule type="expression" dxfId="7211" priority="218">
      <formula>C$9&gt;=20/24</formula>
    </cfRule>
    <cfRule type="expression" dxfId="7210" priority="219">
      <formula>AND(C$9&gt;=14/24,C$9&lt;20/24)</formula>
    </cfRule>
    <cfRule type="expression" dxfId="7209" priority="220">
      <formula>AND(C$9&gt;=8/24,C$9&lt;14/24)</formula>
    </cfRule>
    <cfRule type="expression" dxfId="7208" priority="221">
      <formula>C$9&lt;8/24</formula>
    </cfRule>
  </conditionalFormatting>
  <conditionalFormatting sqref="A71">
    <cfRule type="expression" dxfId="7207" priority="217">
      <formula>$AH71=0</formula>
    </cfRule>
  </conditionalFormatting>
  <conditionalFormatting sqref="AL32:AL33 AL7:AL30">
    <cfRule type="iconSet" priority="399">
      <iconSet iconSet="3TrafficLights2" reverse="1">
        <cfvo type="percent" val="0"/>
        <cfvo type="num" val="1"/>
        <cfvo type="num" val="1"/>
      </iconSet>
    </cfRule>
  </conditionalFormatting>
  <conditionalFormatting sqref="U58:X65">
    <cfRule type="expression" dxfId="7206" priority="213">
      <formula>U$9&gt;=20/24</formula>
    </cfRule>
    <cfRule type="expression" dxfId="7205" priority="214">
      <formula>AND(U$9&gt;=14/24,U$9&lt;20/24)</formula>
    </cfRule>
    <cfRule type="expression" dxfId="7204" priority="215">
      <formula>AND(U$9&gt;=8/24,U$9&lt;14/24)</formula>
    </cfRule>
    <cfRule type="expression" dxfId="7203" priority="216">
      <formula>U$9&lt;8/24</formula>
    </cfRule>
  </conditionalFormatting>
  <conditionalFormatting sqref="U83:X89">
    <cfRule type="expression" dxfId="7202" priority="209">
      <formula>U$9&gt;=20/24</formula>
    </cfRule>
    <cfRule type="expression" dxfId="7201" priority="210">
      <formula>AND(U$9&gt;=14/24,U$9&lt;20/24)</formula>
    </cfRule>
    <cfRule type="expression" dxfId="7200" priority="211">
      <formula>AND(U$9&gt;=8/24,U$9&lt;14/24)</formula>
    </cfRule>
    <cfRule type="expression" dxfId="7199" priority="212">
      <formula>U$9&lt;8/24</formula>
    </cfRule>
  </conditionalFormatting>
  <conditionalFormatting sqref="C82:T89">
    <cfRule type="expression" dxfId="7198" priority="205">
      <formula>C$9&gt;=20/24</formula>
    </cfRule>
    <cfRule type="expression" dxfId="7197" priority="206">
      <formula>AND(C$9&gt;=14/24,C$9&lt;20/24)</formula>
    </cfRule>
    <cfRule type="expression" dxfId="7196" priority="207">
      <formula>AND(C$9&gt;=8/24,C$9&lt;14/24)</formula>
    </cfRule>
    <cfRule type="expression" dxfId="7195" priority="208">
      <formula>C$9&lt;8/24</formula>
    </cfRule>
  </conditionalFormatting>
  <conditionalFormatting sqref="C92:E92 C93:L95">
    <cfRule type="expression" dxfId="7194" priority="197">
      <formula>C$9&gt;=20/24</formula>
    </cfRule>
    <cfRule type="expression" dxfId="7193" priority="198">
      <formula>AND(C$9&gt;=14/24,C$9&lt;20/24)</formula>
    </cfRule>
    <cfRule type="expression" dxfId="7192" priority="199">
      <formula>AND(C$9&gt;=8/24,C$9&lt;14/24)</formula>
    </cfRule>
    <cfRule type="expression" dxfId="7191" priority="200">
      <formula>C$9&lt;8/24</formula>
    </cfRule>
  </conditionalFormatting>
  <conditionalFormatting sqref="M93:Q95 N92:Q92 R92:T95">
    <cfRule type="expression" dxfId="7190" priority="193">
      <formula>M$9&gt;=20/24</formula>
    </cfRule>
    <cfRule type="expression" dxfId="7189" priority="194">
      <formula>AND(M$9&gt;=14/24,M$9&lt;20/24)</formula>
    </cfRule>
    <cfRule type="expression" dxfId="7188" priority="195">
      <formula>AND(M$9&gt;=8/24,M$9&lt;14/24)</formula>
    </cfRule>
    <cfRule type="expression" dxfId="7187" priority="196">
      <formula>M$9&lt;8/24</formula>
    </cfRule>
  </conditionalFormatting>
  <conditionalFormatting sqref="C96:L96">
    <cfRule type="expression" dxfId="7186" priority="185">
      <formula>C$9&gt;=20/24</formula>
    </cfRule>
    <cfRule type="expression" dxfId="7185" priority="186">
      <formula>AND(C$9&gt;=14/24,C$9&lt;20/24)</formula>
    </cfRule>
    <cfRule type="expression" dxfId="7184" priority="187">
      <formula>AND(C$9&gt;=8/24,C$9&lt;14/24)</formula>
    </cfRule>
    <cfRule type="expression" dxfId="7183" priority="188">
      <formula>C$9&lt;8/24</formula>
    </cfRule>
  </conditionalFormatting>
  <conditionalFormatting sqref="M96:T96">
    <cfRule type="expression" dxfId="7182" priority="181">
      <formula>M$9&gt;=20/24</formula>
    </cfRule>
    <cfRule type="expression" dxfId="7181" priority="182">
      <formula>AND(M$9&gt;=14/24,M$9&lt;20/24)</formula>
    </cfRule>
    <cfRule type="expression" dxfId="7180" priority="183">
      <formula>AND(M$9&gt;=8/24,M$9&lt;14/24)</formula>
    </cfRule>
    <cfRule type="expression" dxfId="7179" priority="184">
      <formula>M$9&lt;8/24</formula>
    </cfRule>
  </conditionalFormatting>
  <conditionalFormatting sqref="L92:M92">
    <cfRule type="expression" dxfId="7178" priority="173">
      <formula>L$9&gt;=20/24</formula>
    </cfRule>
    <cfRule type="expression" dxfId="7177" priority="174">
      <formula>AND(L$9&gt;=14/24,L$9&lt;20/24)</formula>
    </cfRule>
    <cfRule type="expression" dxfId="7176" priority="175">
      <formula>AND(L$9&gt;=8/24,L$9&lt;14/24)</formula>
    </cfRule>
    <cfRule type="expression" dxfId="7175" priority="176">
      <formula>L$9&lt;8/24</formula>
    </cfRule>
  </conditionalFormatting>
  <conditionalFormatting sqref="F92:K92">
    <cfRule type="expression" dxfId="7174" priority="169">
      <formula>F$9&gt;=20/24</formula>
    </cfRule>
    <cfRule type="expression" dxfId="7173" priority="170">
      <formula>AND(F$9&gt;=14/24,F$9&lt;20/24)</formula>
    </cfRule>
    <cfRule type="expression" dxfId="7172" priority="171">
      <formula>AND(F$9&gt;=8/24,F$9&lt;14/24)</formula>
    </cfRule>
    <cfRule type="expression" dxfId="7171" priority="172">
      <formula>F$9&lt;8/24</formula>
    </cfRule>
  </conditionalFormatting>
  <conditionalFormatting sqref="U92:X92">
    <cfRule type="expression" dxfId="7170" priority="165">
      <formula>U$9&gt;=20/24</formula>
    </cfRule>
    <cfRule type="expression" dxfId="7169" priority="166">
      <formula>AND(U$9&gt;=14/24,U$9&lt;20/24)</formula>
    </cfRule>
    <cfRule type="expression" dxfId="7168" priority="167">
      <formula>AND(U$9&gt;=8/24,U$9&lt;14/24)</formula>
    </cfRule>
    <cfRule type="expression" dxfId="7167" priority="168">
      <formula>U$9&lt;8/24</formula>
    </cfRule>
  </conditionalFormatting>
  <conditionalFormatting sqref="M92:T92">
    <cfRule type="expression" dxfId="7166" priority="161">
      <formula>M$9&gt;=20/24</formula>
    </cfRule>
    <cfRule type="expression" dxfId="7165" priority="162">
      <formula>AND(M$9&gt;=14/24,M$9&lt;20/24)</formula>
    </cfRule>
    <cfRule type="expression" dxfId="7164" priority="163">
      <formula>AND(M$9&gt;=8/24,M$9&lt;14/24)</formula>
    </cfRule>
    <cfRule type="expression" dxfId="7163" priority="164">
      <formula>M$9&lt;8/24</formula>
    </cfRule>
  </conditionalFormatting>
  <conditionalFormatting sqref="AA97:AF97">
    <cfRule type="expression" dxfId="7162" priority="157">
      <formula>AA$9&gt;=20/24</formula>
    </cfRule>
    <cfRule type="expression" dxfId="7161" priority="158">
      <formula>AND(AA$9&gt;=14/24,AA$9&lt;20/24)</formula>
    </cfRule>
    <cfRule type="expression" dxfId="7160" priority="159">
      <formula>AND(AA$9&gt;=8/24,AA$9&lt;14/24)</formula>
    </cfRule>
    <cfRule type="expression" dxfId="7159" priority="160">
      <formula>AA$9&lt;8/24</formula>
    </cfRule>
  </conditionalFormatting>
  <conditionalFormatting sqref="U97:Z97">
    <cfRule type="expression" dxfId="7158" priority="153">
      <formula>U$9&gt;=20/24</formula>
    </cfRule>
    <cfRule type="expression" dxfId="7157" priority="154">
      <formula>AND(U$9&gt;=14/24,U$9&lt;20/24)</formula>
    </cfRule>
    <cfRule type="expression" dxfId="7156" priority="155">
      <formula>AND(U$9&gt;=8/24,U$9&lt;14/24)</formula>
    </cfRule>
    <cfRule type="expression" dxfId="7155" priority="156">
      <formula>U$9&lt;8/24</formula>
    </cfRule>
  </conditionalFormatting>
  <conditionalFormatting sqref="A97">
    <cfRule type="expression" dxfId="7154" priority="152">
      <formula>$AH97=0</formula>
    </cfRule>
  </conditionalFormatting>
  <conditionalFormatting sqref="C97:L97">
    <cfRule type="expression" dxfId="7153" priority="148">
      <formula>C$9&gt;=20/24</formula>
    </cfRule>
    <cfRule type="expression" dxfId="7152" priority="149">
      <formula>AND(C$9&gt;=14/24,C$9&lt;20/24)</formula>
    </cfRule>
    <cfRule type="expression" dxfId="7151" priority="150">
      <formula>AND(C$9&gt;=8/24,C$9&lt;14/24)</formula>
    </cfRule>
    <cfRule type="expression" dxfId="7150" priority="151">
      <formula>C$9&lt;8/24</formula>
    </cfRule>
  </conditionalFormatting>
  <conditionalFormatting sqref="M97:T97">
    <cfRule type="expression" dxfId="7149" priority="144">
      <formula>M$9&gt;=20/24</formula>
    </cfRule>
    <cfRule type="expression" dxfId="7148" priority="145">
      <formula>AND(M$9&gt;=14/24,M$9&lt;20/24)</formula>
    </cfRule>
    <cfRule type="expression" dxfId="7147" priority="146">
      <formula>AND(M$9&gt;=8/24,M$9&lt;14/24)</formula>
    </cfRule>
    <cfRule type="expression" dxfId="7146" priority="147">
      <formula>M$9&lt;8/24</formula>
    </cfRule>
  </conditionalFormatting>
  <conditionalFormatting sqref="AA56:AD57">
    <cfRule type="expression" dxfId="7145" priority="124">
      <formula>AA$9&gt;=20/24</formula>
    </cfRule>
    <cfRule type="expression" dxfId="7144" priority="125">
      <formula>AND(AA$9&gt;=14/24,AA$9&lt;20/24)</formula>
    </cfRule>
    <cfRule type="expression" dxfId="7143" priority="126">
      <formula>AND(AA$9&gt;=8/24,AA$9&lt;14/24)</formula>
    </cfRule>
    <cfRule type="expression" dxfId="7142" priority="127">
      <formula>AA$9&lt;8/24</formula>
    </cfRule>
  </conditionalFormatting>
  <conditionalFormatting sqref="B66:B70 B82:B89 B72:B76 B78:B80 B51:B58 B15:C25 B27:C27 B11:C13 B29:C30 B28:H28">
    <cfRule type="expression" dxfId="7141" priority="120">
      <formula>B$9&gt;=20/24</formula>
    </cfRule>
    <cfRule type="expression" dxfId="7140" priority="121">
      <formula>AND(B$9&gt;=14/24,B$9&lt;20/24)</formula>
    </cfRule>
    <cfRule type="expression" dxfId="7139" priority="122">
      <formula>AND(B$9&gt;=8/24,B$9&lt;14/24)</formula>
    </cfRule>
    <cfRule type="expression" dxfId="7138" priority="123">
      <formula>B$9&lt;8/24</formula>
    </cfRule>
  </conditionalFormatting>
  <conditionalFormatting sqref="B31:C31">
    <cfRule type="expression" dxfId="7137" priority="116">
      <formula>B$9&gt;=20/24</formula>
    </cfRule>
    <cfRule type="expression" dxfId="7136" priority="117">
      <formula>AND(B$9&gt;=14/24,B$9&lt;20/24)</formula>
    </cfRule>
    <cfRule type="expression" dxfId="7135" priority="118">
      <formula>AND(B$9&gt;=8/24,B$9&lt;14/24)</formula>
    </cfRule>
    <cfRule type="expression" dxfId="7134" priority="119">
      <formula>B$9&lt;8/24</formula>
    </cfRule>
  </conditionalFormatting>
  <conditionalFormatting sqref="B33:C33">
    <cfRule type="expression" dxfId="7133" priority="112">
      <formula>B$9&gt;=20/24</formula>
    </cfRule>
    <cfRule type="expression" dxfId="7132" priority="113">
      <formula>AND(B$9&gt;=14/24,B$9&lt;20/24)</formula>
    </cfRule>
    <cfRule type="expression" dxfId="7131" priority="114">
      <formula>AND(B$9&gt;=8/24,B$9&lt;14/24)</formula>
    </cfRule>
    <cfRule type="expression" dxfId="7130" priority="115">
      <formula>B$9&lt;8/24</formula>
    </cfRule>
  </conditionalFormatting>
  <conditionalFormatting sqref="B59:B65">
    <cfRule type="expression" dxfId="7129" priority="108">
      <formula>B$9&gt;=20/24</formula>
    </cfRule>
    <cfRule type="expression" dxfId="7128" priority="109">
      <formula>AND(B$9&gt;=14/24,B$9&lt;20/24)</formula>
    </cfRule>
    <cfRule type="expression" dxfId="7127" priority="110">
      <formula>AND(B$9&gt;=8/24,B$9&lt;14/24)</formula>
    </cfRule>
    <cfRule type="expression" dxfId="7126" priority="111">
      <formula>B$9&lt;8/24</formula>
    </cfRule>
  </conditionalFormatting>
  <conditionalFormatting sqref="B92:B95">
    <cfRule type="expression" dxfId="7125" priority="104">
      <formula>B$9&gt;=20/24</formula>
    </cfRule>
    <cfRule type="expression" dxfId="7124" priority="105">
      <formula>AND(B$9&gt;=14/24,B$9&lt;20/24)</formula>
    </cfRule>
    <cfRule type="expression" dxfId="7123" priority="106">
      <formula>AND(B$9&gt;=8/24,B$9&lt;14/24)</formula>
    </cfRule>
    <cfRule type="expression" dxfId="7122" priority="107">
      <formula>B$9&lt;8/24</formula>
    </cfRule>
  </conditionalFormatting>
  <conditionalFormatting sqref="B43:B54 B33:B41 B15:C27 B11:C13 C33:C35 B29:C31 B28:H28">
    <cfRule type="expression" dxfId="7121" priority="103">
      <formula>B11&gt;$AG11</formula>
    </cfRule>
  </conditionalFormatting>
  <conditionalFormatting sqref="B96">
    <cfRule type="expression" dxfId="7120" priority="99">
      <formula>B$9&gt;=20/24</formula>
    </cfRule>
    <cfRule type="expression" dxfId="7119" priority="100">
      <formula>AND(B$9&gt;=14/24,B$9&lt;20/24)</formula>
    </cfRule>
    <cfRule type="expression" dxfId="7118" priority="101">
      <formula>AND(B$9&gt;=8/24,B$9&lt;14/24)</formula>
    </cfRule>
    <cfRule type="expression" dxfId="7117" priority="102">
      <formula>B$9&lt;8/24</formula>
    </cfRule>
  </conditionalFormatting>
  <conditionalFormatting sqref="B34:C34">
    <cfRule type="expression" dxfId="7116" priority="95">
      <formula>B$9&gt;=20/24</formula>
    </cfRule>
    <cfRule type="expression" dxfId="7115" priority="96">
      <formula>AND(B$9&gt;=14/24,B$9&lt;20/24)</formula>
    </cfRule>
    <cfRule type="expression" dxfId="7114" priority="97">
      <formula>AND(B$9&gt;=8/24,B$9&lt;14/24)</formula>
    </cfRule>
    <cfRule type="expression" dxfId="7113" priority="98">
      <formula>B$9&lt;8/24</formula>
    </cfRule>
  </conditionalFormatting>
  <conditionalFormatting sqref="B34:C34">
    <cfRule type="expression" dxfId="7112" priority="91">
      <formula>B$9&gt;=20/24</formula>
    </cfRule>
    <cfRule type="expression" dxfId="7111" priority="92">
      <formula>AND(B$9&gt;=14/24,B$9&lt;20/24)</formula>
    </cfRule>
    <cfRule type="expression" dxfId="7110" priority="93">
      <formula>AND(B$9&gt;=8/24,B$9&lt;14/24)</formula>
    </cfRule>
    <cfRule type="expression" dxfId="7109" priority="94">
      <formula>B$9&lt;8/24</formula>
    </cfRule>
  </conditionalFormatting>
  <conditionalFormatting sqref="B32:C32">
    <cfRule type="expression" dxfId="7108" priority="87">
      <formula>B$9&gt;=20/24</formula>
    </cfRule>
    <cfRule type="expression" dxfId="7107" priority="88">
      <formula>AND(B$9&gt;=14/24,B$9&lt;20/24)</formula>
    </cfRule>
    <cfRule type="expression" dxfId="7106" priority="89">
      <formula>AND(B$9&gt;=8/24,B$9&lt;14/24)</formula>
    </cfRule>
    <cfRule type="expression" dxfId="7105" priority="90">
      <formula>B$9&lt;8/24</formula>
    </cfRule>
  </conditionalFormatting>
  <conditionalFormatting sqref="B32:C32">
    <cfRule type="expression" dxfId="7104" priority="86">
      <formula>B32&gt;$AG32</formula>
    </cfRule>
  </conditionalFormatting>
  <conditionalFormatting sqref="B81">
    <cfRule type="expression" dxfId="7103" priority="82">
      <formula>B$9&gt;=20/24</formula>
    </cfRule>
    <cfRule type="expression" dxfId="7102" priority="83">
      <formula>AND(B$9&gt;=14/24,B$9&lt;20/24)</formula>
    </cfRule>
    <cfRule type="expression" dxfId="7101" priority="84">
      <formula>AND(B$9&gt;=8/24,B$9&lt;14/24)</formula>
    </cfRule>
    <cfRule type="expression" dxfId="7100" priority="85">
      <formula>B$9&lt;8/24</formula>
    </cfRule>
  </conditionalFormatting>
  <conditionalFormatting sqref="B14:C14">
    <cfRule type="expression" dxfId="7099" priority="78">
      <formula>B$9&gt;=20/24</formula>
    </cfRule>
    <cfRule type="expression" dxfId="7098" priority="79">
      <formula>AND(B$9&gt;=14/24,B$9&lt;20/24)</formula>
    </cfRule>
    <cfRule type="expression" dxfId="7097" priority="80">
      <formula>AND(B$9&gt;=8/24,B$9&lt;14/24)</formula>
    </cfRule>
    <cfRule type="expression" dxfId="7096" priority="81">
      <formula>B$9&lt;8/24</formula>
    </cfRule>
  </conditionalFormatting>
  <conditionalFormatting sqref="B14:C14">
    <cfRule type="expression" dxfId="7095" priority="77">
      <formula>B14&gt;$AG14</formula>
    </cfRule>
  </conditionalFormatting>
  <conditionalFormatting sqref="B42">
    <cfRule type="expression" dxfId="7094" priority="76">
      <formula>B42&gt;$AG42</formula>
    </cfRule>
  </conditionalFormatting>
  <conditionalFormatting sqref="B77">
    <cfRule type="expression" dxfId="7093" priority="72">
      <formula>B$9&gt;=20/24</formula>
    </cfRule>
    <cfRule type="expression" dxfId="7092" priority="73">
      <formula>AND(B$9&gt;=14/24,B$9&lt;20/24)</formula>
    </cfRule>
    <cfRule type="expression" dxfId="7091" priority="74">
      <formula>AND(B$9&gt;=8/24,B$9&lt;14/24)</formula>
    </cfRule>
    <cfRule type="expression" dxfId="7090" priority="75">
      <formula>B$9&lt;8/24</formula>
    </cfRule>
  </conditionalFormatting>
  <conditionalFormatting sqref="B71">
    <cfRule type="expression" dxfId="7089" priority="68">
      <formula>B$9&gt;=20/24</formula>
    </cfRule>
    <cfRule type="expression" dxfId="7088" priority="69">
      <formula>AND(B$9&gt;=14/24,B$9&lt;20/24)</formula>
    </cfRule>
    <cfRule type="expression" dxfId="7087" priority="70">
      <formula>AND(B$9&gt;=8/24,B$9&lt;14/24)</formula>
    </cfRule>
    <cfRule type="expression" dxfId="7086" priority="71">
      <formula>B$9&lt;8/24</formula>
    </cfRule>
  </conditionalFormatting>
  <conditionalFormatting sqref="B97">
    <cfRule type="expression" dxfId="7085" priority="64">
      <formula>B$9&gt;=20/24</formula>
    </cfRule>
    <cfRule type="expression" dxfId="7084" priority="65">
      <formula>AND(B$9&gt;=14/24,B$9&lt;20/24)</formula>
    </cfRule>
    <cfRule type="expression" dxfId="7083" priority="66">
      <formula>AND(B$9&gt;=8/24,B$9&lt;14/24)</formula>
    </cfRule>
    <cfRule type="expression" dxfId="7082" priority="67">
      <formula>B$9&lt;8/24</formula>
    </cfRule>
  </conditionalFormatting>
  <conditionalFormatting sqref="L12:L13 L15:L24 M19:M24">
    <cfRule type="expression" dxfId="7081" priority="60">
      <formula>L$9&gt;=20/24</formula>
    </cfRule>
    <cfRule type="expression" dxfId="7080" priority="61">
      <formula>AND(L$9&gt;=14/24,L$9&lt;20/24)</formula>
    </cfRule>
    <cfRule type="expression" dxfId="7079" priority="62">
      <formula>AND(L$9&gt;=8/24,L$9&lt;14/24)</formula>
    </cfRule>
    <cfRule type="expression" dxfId="7078" priority="63">
      <formula>L$9&lt;8/24</formula>
    </cfRule>
  </conditionalFormatting>
  <conditionalFormatting sqref="L15:L24 L12:L13 M19:M24">
    <cfRule type="expression" dxfId="7077" priority="59">
      <formula>L12&gt;$AG12</formula>
    </cfRule>
  </conditionalFormatting>
  <conditionalFormatting sqref="L14">
    <cfRule type="expression" dxfId="7076" priority="55">
      <formula>L$9&gt;=20/24</formula>
    </cfRule>
    <cfRule type="expression" dxfId="7075" priority="56">
      <formula>AND(L$9&gt;=14/24,L$9&lt;20/24)</formula>
    </cfRule>
    <cfRule type="expression" dxfId="7074" priority="57">
      <formula>AND(L$9&gt;=8/24,L$9&lt;14/24)</formula>
    </cfRule>
    <cfRule type="expression" dxfId="7073" priority="58">
      <formula>L$9&lt;8/24</formula>
    </cfRule>
  </conditionalFormatting>
  <conditionalFormatting sqref="L14">
    <cfRule type="expression" dxfId="7072" priority="54">
      <formula>L14&gt;$AG14</formula>
    </cfRule>
  </conditionalFormatting>
  <conditionalFormatting sqref="N58:N65">
    <cfRule type="expression" dxfId="7071" priority="50">
      <formula>N$9&gt;=20/24</formula>
    </cfRule>
    <cfRule type="expression" dxfId="7070" priority="51">
      <formula>AND(N$9&gt;=14/24,N$9&lt;20/24)</formula>
    </cfRule>
    <cfRule type="expression" dxfId="7069" priority="52">
      <formula>AND(N$9&gt;=8/24,N$9&lt;14/24)</formula>
    </cfRule>
    <cfRule type="expression" dxfId="7068" priority="53">
      <formula>N$9&lt;8/24</formula>
    </cfRule>
  </conditionalFormatting>
  <conditionalFormatting sqref="O23:O31">
    <cfRule type="expression" dxfId="7067" priority="46">
      <formula>O$9&gt;=20/24</formula>
    </cfRule>
    <cfRule type="expression" dxfId="7066" priority="47">
      <formula>AND(O$9&gt;=14/24,O$9&lt;20/24)</formula>
    </cfRule>
    <cfRule type="expression" dxfId="7065" priority="48">
      <formula>AND(O$9&gt;=8/24,O$9&lt;14/24)</formula>
    </cfRule>
    <cfRule type="expression" dxfId="7064" priority="49">
      <formula>O$9&lt;8/24</formula>
    </cfRule>
  </conditionalFormatting>
  <conditionalFormatting sqref="O33">
    <cfRule type="expression" dxfId="7063" priority="42">
      <formula>O$9&gt;=20/24</formula>
    </cfRule>
    <cfRule type="expression" dxfId="7062" priority="43">
      <formula>AND(O$9&gt;=14/24,O$9&lt;20/24)</formula>
    </cfRule>
    <cfRule type="expression" dxfId="7061" priority="44">
      <formula>AND(O$9&gt;=8/24,O$9&lt;14/24)</formula>
    </cfRule>
    <cfRule type="expression" dxfId="7060" priority="45">
      <formula>O$9&lt;8/24</formula>
    </cfRule>
  </conditionalFormatting>
  <conditionalFormatting sqref="O33:O34 O23:O31">
    <cfRule type="expression" dxfId="7059" priority="41">
      <formula>O23&gt;$AG23</formula>
    </cfRule>
  </conditionalFormatting>
  <conditionalFormatting sqref="O34">
    <cfRule type="expression" dxfId="7058" priority="37">
      <formula>O$9&gt;=20/24</formula>
    </cfRule>
    <cfRule type="expression" dxfId="7057" priority="38">
      <formula>AND(O$9&gt;=14/24,O$9&lt;20/24)</formula>
    </cfRule>
    <cfRule type="expression" dxfId="7056" priority="39">
      <formula>AND(O$9&gt;=8/24,O$9&lt;14/24)</formula>
    </cfRule>
    <cfRule type="expression" dxfId="7055" priority="40">
      <formula>O$9&lt;8/24</formula>
    </cfRule>
  </conditionalFormatting>
  <conditionalFormatting sqref="O32">
    <cfRule type="expression" dxfId="7054" priority="33">
      <formula>O$9&gt;=20/24</formula>
    </cfRule>
    <cfRule type="expression" dxfId="7053" priority="34">
      <formula>AND(O$9&gt;=14/24,O$9&lt;20/24)</formula>
    </cfRule>
    <cfRule type="expression" dxfId="7052" priority="35">
      <formula>AND(O$9&gt;=8/24,O$9&lt;14/24)</formula>
    </cfRule>
    <cfRule type="expression" dxfId="7051" priority="36">
      <formula>O$9&lt;8/24</formula>
    </cfRule>
  </conditionalFormatting>
  <conditionalFormatting sqref="O32">
    <cfRule type="expression" dxfId="7050" priority="32">
      <formula>O32&gt;$AG32</formula>
    </cfRule>
  </conditionalFormatting>
  <conditionalFormatting sqref="Y11:Z27 AA11:AB24 AC12:AF24 AA26:AF27 AA29:AF34 Y29:Z35 Y28:AF28">
    <cfRule type="expression" dxfId="7049" priority="17">
      <formula>Y$9&gt;=20/24</formula>
    </cfRule>
    <cfRule type="expression" dxfId="7048" priority="18">
      <formula>AND(Y$9&gt;=14/24,Y$9&lt;20/24)</formula>
    </cfRule>
    <cfRule type="expression" dxfId="7047" priority="19">
      <formula>AND(Y$9&gt;=8/24,Y$9&lt;14/24)</formula>
    </cfRule>
    <cfRule type="expression" dxfId="7046" priority="20">
      <formula>Y$9&lt;8/24</formula>
    </cfRule>
  </conditionalFormatting>
  <conditionalFormatting sqref="Y11:Z27 AA11:AB24 AC12:AF24 AA26:AF27 AA29:AF34 Y29:Z35 Y28:AF28">
    <cfRule type="expression" dxfId="7045" priority="16">
      <formula>Y11&gt;$AG11</formula>
    </cfRule>
  </conditionalFormatting>
  <conditionalFormatting sqref="Y37:AA48 AB37:AF45 AB47:AF48">
    <cfRule type="expression" dxfId="7044" priority="12">
      <formula>Y$9&gt;=20/24</formula>
    </cfRule>
    <cfRule type="expression" dxfId="7043" priority="13">
      <formula>AND(Y$9&gt;=14/24,Y$9&lt;20/24)</formula>
    </cfRule>
    <cfRule type="expression" dxfId="7042" priority="14">
      <formula>AND(Y$9&gt;=8/24,Y$9&lt;14/24)</formula>
    </cfRule>
    <cfRule type="expression" dxfId="7041" priority="15">
      <formula>Y$9&lt;8/24</formula>
    </cfRule>
  </conditionalFormatting>
  <conditionalFormatting sqref="Y37:AA48 AB37:AF45 AB47:AF48">
    <cfRule type="expression" dxfId="7040" priority="11">
      <formula>Y37&gt;$AG37</formula>
    </cfRule>
  </conditionalFormatting>
  <conditionalFormatting sqref="Y49">
    <cfRule type="expression" dxfId="7039" priority="10">
      <formula>Y49&gt;$AG49</formula>
    </cfRule>
  </conditionalFormatting>
  <conditionalFormatting sqref="Y51:AA53">
    <cfRule type="expression" dxfId="7038" priority="6">
      <formula>Y$9&gt;=20/24</formula>
    </cfRule>
    <cfRule type="expression" dxfId="7037" priority="7">
      <formula>AND(Y$9&gt;=14/24,Y$9&lt;20/24)</formula>
    </cfRule>
    <cfRule type="expression" dxfId="7036" priority="8">
      <formula>AND(Y$9&gt;=8/24,Y$9&lt;14/24)</formula>
    </cfRule>
    <cfRule type="expression" dxfId="7035" priority="9">
      <formula>Y$9&lt;8/24</formula>
    </cfRule>
  </conditionalFormatting>
  <conditionalFormatting sqref="Y51:AA53">
    <cfRule type="expression" dxfId="7034" priority="5">
      <formula>Y51&gt;$AG51</formula>
    </cfRule>
  </conditionalFormatting>
  <conditionalFormatting sqref="Y55:Z65 AA58:AC65">
    <cfRule type="expression" dxfId="7033" priority="1">
      <formula>Y$9&gt;=20/24</formula>
    </cfRule>
    <cfRule type="expression" dxfId="7032" priority="2">
      <formula>AND(Y$9&gt;=14/24,Y$9&lt;20/24)</formula>
    </cfRule>
    <cfRule type="expression" dxfId="7031" priority="3">
      <formula>AND(Y$9&gt;=8/24,Y$9&lt;14/24)</formula>
    </cfRule>
    <cfRule type="expression" dxfId="7030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H11" activePane="bottomRight" state="frozen"/>
      <selection activeCell="AF88" sqref="AF88"/>
      <selection pane="topRight" activeCell="AF88" sqref="AF88"/>
      <selection pane="bottomLeft" activeCell="AF88" sqref="AF88"/>
      <selection pane="bottomRight" activeCell="AM12" sqref="AM12:AN1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7" max="37" width="14.42578125" customWidth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2078/04/13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-50.8</v>
      </c>
      <c r="C5" s="32">
        <f t="shared" ref="C5:AF5" si="0">C66</f>
        <v>-42.6</v>
      </c>
      <c r="D5" s="32">
        <f t="shared" si="0"/>
        <v>-51.8</v>
      </c>
      <c r="E5" s="32">
        <f t="shared" si="0"/>
        <v>-65</v>
      </c>
      <c r="F5" s="32">
        <f t="shared" si="0"/>
        <v>-40</v>
      </c>
      <c r="G5" s="32">
        <f t="shared" si="0"/>
        <v>-50</v>
      </c>
      <c r="H5" s="32">
        <f t="shared" si="0"/>
        <v>-56</v>
      </c>
      <c r="I5" s="32">
        <f t="shared" si="0"/>
        <v>-65</v>
      </c>
      <c r="J5" s="32">
        <f t="shared" si="0"/>
        <v>-21.5</v>
      </c>
      <c r="K5" s="32">
        <f t="shared" si="0"/>
        <v>-48.5</v>
      </c>
      <c r="L5" s="32">
        <f t="shared" si="0"/>
        <v>-51.3</v>
      </c>
      <c r="M5" s="32">
        <f t="shared" si="0"/>
        <v>-46.1</v>
      </c>
      <c r="N5" s="32">
        <f t="shared" si="0"/>
        <v>-40.200000000000003</v>
      </c>
      <c r="O5" s="32">
        <f t="shared" si="0"/>
        <v>-36.6</v>
      </c>
      <c r="P5" s="32">
        <f t="shared" si="0"/>
        <v>-28.5</v>
      </c>
      <c r="Q5" s="32">
        <f t="shared" si="0"/>
        <v>-42.399999999999991</v>
      </c>
      <c r="R5" s="32">
        <f t="shared" si="0"/>
        <v>-11.8</v>
      </c>
      <c r="S5" s="32">
        <f t="shared" si="0"/>
        <v>-13.2</v>
      </c>
      <c r="T5" s="32">
        <f t="shared" si="0"/>
        <v>-13.2</v>
      </c>
      <c r="U5" s="32">
        <f t="shared" si="0"/>
        <v>-31</v>
      </c>
      <c r="V5" s="32">
        <f t="shared" si="0"/>
        <v>-31</v>
      </c>
      <c r="W5" s="32">
        <f t="shared" si="0"/>
        <v>-4.7</v>
      </c>
      <c r="X5" s="32">
        <f t="shared" si="0"/>
        <v>-15.7</v>
      </c>
      <c r="Y5" s="32">
        <f t="shared" si="0"/>
        <v>-130.4</v>
      </c>
      <c r="Z5" s="32">
        <f t="shared" si="0"/>
        <v>-164.8</v>
      </c>
      <c r="AA5" s="32">
        <f t="shared" si="0"/>
        <v>-140.6</v>
      </c>
      <c r="AB5" s="32">
        <f t="shared" si="0"/>
        <v>-32.1</v>
      </c>
      <c r="AC5" s="32">
        <f t="shared" si="0"/>
        <v>-111.8</v>
      </c>
      <c r="AD5" s="32">
        <f t="shared" si="0"/>
        <v>-36.700000000000003</v>
      </c>
      <c r="AE5" s="32">
        <f t="shared" si="0"/>
        <v>-40</v>
      </c>
      <c r="AF5" s="32">
        <f t="shared" si="0"/>
        <v>-38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1279MW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Load=1032</v>
      </c>
      <c r="B7" s="37">
        <f t="shared" ref="B7:AF7" si="1">B73</f>
        <v>1128.24</v>
      </c>
      <c r="C7" s="37">
        <f t="shared" si="1"/>
        <v>1109.44</v>
      </c>
      <c r="D7" s="37">
        <f t="shared" si="1"/>
        <v>1082.24</v>
      </c>
      <c r="E7" s="37">
        <f t="shared" si="1"/>
        <v>1047.04</v>
      </c>
      <c r="F7" s="37">
        <f t="shared" si="1"/>
        <v>1031.74</v>
      </c>
      <c r="G7" s="37">
        <f t="shared" si="1"/>
        <v>1074.54</v>
      </c>
      <c r="H7" s="37">
        <f t="shared" si="1"/>
        <v>1087.8399999999999</v>
      </c>
      <c r="I7" s="37">
        <f t="shared" si="1"/>
        <v>1135.54</v>
      </c>
      <c r="J7" s="37">
        <f t="shared" si="1"/>
        <v>1182.8399999999999</v>
      </c>
      <c r="K7" s="37">
        <f t="shared" si="1"/>
        <v>1234.1399999999999</v>
      </c>
      <c r="L7" s="37">
        <f>L73</f>
        <v>1276.3399999999999</v>
      </c>
      <c r="M7" s="37">
        <f t="shared" si="1"/>
        <v>1278.6399999999999</v>
      </c>
      <c r="N7" s="37">
        <f t="shared" si="1"/>
        <v>1307.94</v>
      </c>
      <c r="O7" s="37">
        <f t="shared" si="1"/>
        <v>1334.3400000000001</v>
      </c>
      <c r="P7" s="37">
        <f t="shared" si="1"/>
        <v>1311.74</v>
      </c>
      <c r="Q7" s="37">
        <f t="shared" si="1"/>
        <v>1287.44</v>
      </c>
      <c r="R7" s="37">
        <f t="shared" si="1"/>
        <v>1296.44</v>
      </c>
      <c r="S7" s="37">
        <f t="shared" si="1"/>
        <v>1242.6399999999999</v>
      </c>
      <c r="T7" s="37">
        <f t="shared" si="1"/>
        <v>1233.1399999999999</v>
      </c>
      <c r="U7" s="37">
        <f t="shared" si="1"/>
        <v>1231.9399999999998</v>
      </c>
      <c r="V7" s="37">
        <f t="shared" si="1"/>
        <v>1231.3399999999999</v>
      </c>
      <c r="W7" s="37">
        <f t="shared" si="1"/>
        <v>1284.74</v>
      </c>
      <c r="X7" s="37">
        <f t="shared" si="1"/>
        <v>1464.3400000000001</v>
      </c>
      <c r="Y7" s="37">
        <f t="shared" si="1"/>
        <v>1420.04</v>
      </c>
      <c r="Z7" s="37">
        <f t="shared" si="1"/>
        <v>1413.9399999999998</v>
      </c>
      <c r="AA7" s="37">
        <f t="shared" si="1"/>
        <v>1387.54</v>
      </c>
      <c r="AB7" s="37">
        <f t="shared" si="1"/>
        <v>1496.04</v>
      </c>
      <c r="AC7" s="37">
        <f t="shared" si="1"/>
        <v>1274.3400000000001</v>
      </c>
      <c r="AD7" s="37">
        <f t="shared" si="1"/>
        <v>1223.2399999999998</v>
      </c>
      <c r="AE7" s="37">
        <f t="shared" si="1"/>
        <v>1179.44</v>
      </c>
      <c r="AF7" s="37">
        <f t="shared" si="1"/>
        <v>1152.1399999999999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8" t="s">
        <v>19</v>
      </c>
      <c r="B11" s="49">
        <v>220</v>
      </c>
      <c r="C11" s="49">
        <v>200</v>
      </c>
      <c r="D11" s="49">
        <v>180</v>
      </c>
      <c r="E11" s="49">
        <v>180</v>
      </c>
      <c r="F11" s="49">
        <v>160</v>
      </c>
      <c r="G11" s="49">
        <v>170</v>
      </c>
      <c r="H11" s="49">
        <v>180</v>
      </c>
      <c r="I11" s="49">
        <v>180</v>
      </c>
      <c r="J11" s="49">
        <v>170</v>
      </c>
      <c r="K11" s="49">
        <v>240</v>
      </c>
      <c r="L11" s="50">
        <v>280</v>
      </c>
      <c r="M11" s="50">
        <v>280</v>
      </c>
      <c r="N11" s="50">
        <v>280</v>
      </c>
      <c r="O11" s="50">
        <v>300</v>
      </c>
      <c r="P11" s="50">
        <v>270</v>
      </c>
      <c r="Q11" s="51">
        <v>300</v>
      </c>
      <c r="R11" s="52">
        <v>241</v>
      </c>
      <c r="S11" s="52">
        <v>270</v>
      </c>
      <c r="T11" s="52">
        <v>260</v>
      </c>
      <c r="U11" s="52">
        <v>233</v>
      </c>
      <c r="V11" s="52">
        <v>233</v>
      </c>
      <c r="W11" s="52">
        <v>250</v>
      </c>
      <c r="X11" s="52">
        <v>377</v>
      </c>
      <c r="Y11" s="53">
        <v>416</v>
      </c>
      <c r="Z11" s="115">
        <v>456</v>
      </c>
      <c r="AA11" s="115">
        <v>450</v>
      </c>
      <c r="AB11" s="115">
        <v>450</v>
      </c>
      <c r="AC11" s="115">
        <v>355</v>
      </c>
      <c r="AD11" s="115">
        <v>250</v>
      </c>
      <c r="AE11" s="49">
        <v>240</v>
      </c>
      <c r="AF11" s="49">
        <v>230</v>
      </c>
      <c r="AG11" s="54">
        <v>456</v>
      </c>
      <c r="AH11" s="55">
        <f>MAX(B11:AF11)</f>
        <v>456</v>
      </c>
      <c r="AI11" s="56">
        <f>MIN(B11:AF11)</f>
        <v>160</v>
      </c>
      <c r="AJ11" s="180">
        <f>AVERAGE(B11:J11)</f>
        <v>182.22222222222223</v>
      </c>
      <c r="AK11" s="181">
        <v>300</v>
      </c>
      <c r="AL11" s="182">
        <f>(AK11-AJ11)*$AN$12</f>
        <v>706.66666666666663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5.75" thickBot="1" x14ac:dyDescent="0.3">
      <c r="A12" s="58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J12" s="183">
        <f>AVERAGE(B12:J12)</f>
        <v>53.333333333333336</v>
      </c>
      <c r="AK12" s="184">
        <v>60</v>
      </c>
      <c r="AL12" s="182">
        <f t="shared" ref="AL12:AL25" si="4">(AK12-AJ12)*$AN$12</f>
        <v>39.999999999999986</v>
      </c>
      <c r="AM12" s="26" t="s">
        <v>229</v>
      </c>
      <c r="AN12" s="184">
        <v>6</v>
      </c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5.75" thickBot="1" x14ac:dyDescent="0.3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J13" s="183"/>
      <c r="AK13" s="184"/>
      <c r="AL13" s="182">
        <f t="shared" si="4"/>
        <v>0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5.75" thickBot="1" x14ac:dyDescent="0.3">
      <c r="A14" s="58" t="s">
        <v>22</v>
      </c>
      <c r="B14" s="62">
        <v>36</v>
      </c>
      <c r="C14" s="62">
        <v>36</v>
      </c>
      <c r="D14" s="62">
        <v>36</v>
      </c>
      <c r="E14" s="62">
        <v>36</v>
      </c>
      <c r="F14" s="62">
        <v>36</v>
      </c>
      <c r="G14" s="62">
        <v>45.8</v>
      </c>
      <c r="H14" s="62">
        <v>45.8</v>
      </c>
      <c r="I14" s="62">
        <v>45.8</v>
      </c>
      <c r="J14" s="62">
        <v>45.8</v>
      </c>
      <c r="K14" s="62">
        <v>45.9</v>
      </c>
      <c r="L14" s="50">
        <v>45.9</v>
      </c>
      <c r="M14" s="50">
        <v>45.6</v>
      </c>
      <c r="N14" s="50">
        <v>45.6</v>
      </c>
      <c r="O14" s="50">
        <v>45.8</v>
      </c>
      <c r="P14" s="50">
        <v>45.6</v>
      </c>
      <c r="Q14" s="50">
        <v>45.7</v>
      </c>
      <c r="R14" s="61">
        <v>45.8</v>
      </c>
      <c r="S14" s="61">
        <v>45.9</v>
      </c>
      <c r="T14" s="61">
        <v>45.8</v>
      </c>
      <c r="U14" s="61">
        <v>45.7</v>
      </c>
      <c r="V14" s="61">
        <v>45.7</v>
      </c>
      <c r="W14" s="61">
        <v>45.9</v>
      </c>
      <c r="X14" s="61">
        <v>45.9</v>
      </c>
      <c r="Y14" s="50">
        <v>45.9</v>
      </c>
      <c r="Z14" s="50">
        <v>45.9</v>
      </c>
      <c r="AA14" s="50">
        <v>45.9</v>
      </c>
      <c r="AB14" s="50">
        <v>45.9</v>
      </c>
      <c r="AC14" s="50">
        <v>45.9</v>
      </c>
      <c r="AD14" s="50">
        <v>45.9</v>
      </c>
      <c r="AE14" s="62">
        <v>45.9</v>
      </c>
      <c r="AF14" s="62">
        <v>45.9</v>
      </c>
      <c r="AG14" s="63">
        <v>45</v>
      </c>
      <c r="AH14" s="55">
        <f t="shared" si="2"/>
        <v>45.9</v>
      </c>
      <c r="AI14" s="56">
        <f t="shared" si="3"/>
        <v>36</v>
      </c>
      <c r="AJ14" s="183">
        <f>AVERAGE(B14:J14)</f>
        <v>40.355555555555561</v>
      </c>
      <c r="AK14" s="184">
        <v>45</v>
      </c>
      <c r="AL14" s="182">
        <f t="shared" si="4"/>
        <v>27.866666666666632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5.75" thickBot="1" x14ac:dyDescent="0.3">
      <c r="A15" s="58" t="s">
        <v>23</v>
      </c>
      <c r="B15" s="49">
        <v>22</v>
      </c>
      <c r="C15" s="49">
        <v>22</v>
      </c>
      <c r="D15" s="49">
        <v>22</v>
      </c>
      <c r="E15" s="49">
        <v>22</v>
      </c>
      <c r="F15" s="49">
        <v>22</v>
      </c>
      <c r="G15" s="49">
        <v>22</v>
      </c>
      <c r="H15" s="49">
        <v>22</v>
      </c>
      <c r="I15" s="49">
        <v>22</v>
      </c>
      <c r="J15" s="49">
        <v>22</v>
      </c>
      <c r="K15" s="49">
        <v>24</v>
      </c>
      <c r="L15" s="50">
        <v>28</v>
      </c>
      <c r="M15" s="50">
        <v>28</v>
      </c>
      <c r="N15" s="50">
        <v>28</v>
      </c>
      <c r="O15" s="50">
        <v>28</v>
      </c>
      <c r="P15" s="50">
        <v>28</v>
      </c>
      <c r="Q15" s="50">
        <v>28</v>
      </c>
      <c r="R15" s="50">
        <v>28</v>
      </c>
      <c r="S15" s="84">
        <v>25</v>
      </c>
      <c r="T15" s="84">
        <v>25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49">
        <v>26</v>
      </c>
      <c r="AF15" s="49">
        <v>26</v>
      </c>
      <c r="AG15" s="60">
        <v>45</v>
      </c>
      <c r="AH15" s="55">
        <f t="shared" si="2"/>
        <v>28</v>
      </c>
      <c r="AI15" s="56">
        <f t="shared" si="3"/>
        <v>22</v>
      </c>
      <c r="AJ15" s="183">
        <f>AVERAGE(B15:J15)</f>
        <v>22</v>
      </c>
      <c r="AK15" s="184">
        <v>26</v>
      </c>
      <c r="AL15" s="182">
        <f t="shared" si="4"/>
        <v>24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49">
        <v>25</v>
      </c>
      <c r="AF16" s="49">
        <v>25</v>
      </c>
      <c r="AG16" s="60">
        <v>42</v>
      </c>
      <c r="AH16" s="55">
        <f t="shared" si="2"/>
        <v>25</v>
      </c>
      <c r="AI16" s="56">
        <f t="shared" si="3"/>
        <v>20</v>
      </c>
      <c r="AJ16" s="183">
        <f>AVERAGE(B16:J16)</f>
        <v>21.111111111111111</v>
      </c>
      <c r="AK16" s="184">
        <v>25</v>
      </c>
      <c r="AL16" s="182">
        <f t="shared" si="4"/>
        <v>23.333333333333336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21</v>
      </c>
      <c r="E17" s="49">
        <v>21</v>
      </c>
      <c r="F17" s="49">
        <v>21</v>
      </c>
      <c r="G17" s="49">
        <v>21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25</v>
      </c>
      <c r="AF17" s="49">
        <v>25</v>
      </c>
      <c r="AG17" s="60">
        <v>36</v>
      </c>
      <c r="AH17" s="55">
        <f t="shared" si="2"/>
        <v>25</v>
      </c>
      <c r="AI17" s="56">
        <f t="shared" si="3"/>
        <v>21</v>
      </c>
      <c r="AJ17" s="183">
        <f>AVERAGE(B17:J17)</f>
        <v>23.222222222222221</v>
      </c>
      <c r="AK17" s="184">
        <v>25</v>
      </c>
      <c r="AL17" s="60">
        <f t="shared" si="4"/>
        <v>10.666666666666671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25</v>
      </c>
      <c r="H18" s="49">
        <v>25</v>
      </c>
      <c r="I18" s="49">
        <v>25</v>
      </c>
      <c r="J18" s="49">
        <v>25</v>
      </c>
      <c r="K18" s="49">
        <v>25.2</v>
      </c>
      <c r="L18" s="50">
        <v>25.2</v>
      </c>
      <c r="M18" s="50">
        <v>25.2</v>
      </c>
      <c r="N18" s="50">
        <v>25.2</v>
      </c>
      <c r="O18" s="50">
        <v>25.2</v>
      </c>
      <c r="P18" s="50">
        <v>25.2</v>
      </c>
      <c r="Q18" s="50">
        <v>25.2</v>
      </c>
      <c r="R18" s="50">
        <v>25.2</v>
      </c>
      <c r="S18" s="50">
        <v>25.2</v>
      </c>
      <c r="T18" s="50">
        <v>25.2</v>
      </c>
      <c r="U18" s="50">
        <v>25.2</v>
      </c>
      <c r="V18" s="50">
        <v>25.2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49">
        <v>25.2</v>
      </c>
      <c r="AF18" s="49">
        <v>25.2</v>
      </c>
      <c r="AG18" s="60">
        <v>30</v>
      </c>
      <c r="AH18" s="55">
        <f t="shared" si="2"/>
        <v>25.2</v>
      </c>
      <c r="AI18" s="56">
        <f t="shared" si="3"/>
        <v>20</v>
      </c>
      <c r="AJ18" s="183">
        <f>AVERAGE(B18:J18)</f>
        <v>22.222222222222221</v>
      </c>
      <c r="AK18" s="184">
        <v>25</v>
      </c>
      <c r="AL18" s="60">
        <f t="shared" si="4"/>
        <v>16.666666666666671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49">
        <v>6.2</v>
      </c>
      <c r="AF19" s="49">
        <v>6.2</v>
      </c>
      <c r="AG19" s="60">
        <v>27</v>
      </c>
      <c r="AH19" s="55">
        <f t="shared" si="2"/>
        <v>6.2</v>
      </c>
      <c r="AI19" s="56">
        <f t="shared" si="3"/>
        <v>6.2</v>
      </c>
      <c r="AJ19" s="186"/>
      <c r="AK19" s="187"/>
      <c r="AL19" s="60">
        <f t="shared" si="4"/>
        <v>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0">
        <v>25</v>
      </c>
      <c r="AH20" s="55">
        <f t="shared" si="2"/>
        <v>11</v>
      </c>
      <c r="AI20" s="56">
        <f t="shared" si="3"/>
        <v>11</v>
      </c>
      <c r="AJ20" s="186"/>
      <c r="AK20" s="187"/>
      <c r="AL20" s="60">
        <f t="shared" si="4"/>
        <v>0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49">
        <v>22</v>
      </c>
      <c r="AF21" s="49">
        <v>22</v>
      </c>
      <c r="AG21" s="60">
        <v>25</v>
      </c>
      <c r="AH21" s="55">
        <f t="shared" si="2"/>
        <v>22</v>
      </c>
      <c r="AI21" s="56">
        <f t="shared" si="3"/>
        <v>22</v>
      </c>
      <c r="AJ21" s="186"/>
      <c r="AK21" s="187"/>
      <c r="AL21" s="60">
        <f t="shared" si="4"/>
        <v>0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17</v>
      </c>
      <c r="C22" s="49">
        <v>17</v>
      </c>
      <c r="D22" s="49">
        <v>17</v>
      </c>
      <c r="E22" s="49">
        <v>17</v>
      </c>
      <c r="F22" s="49">
        <v>17</v>
      </c>
      <c r="G22" s="49">
        <v>17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49">
        <v>22</v>
      </c>
      <c r="AF22" s="49">
        <v>22</v>
      </c>
      <c r="AG22" s="60">
        <v>25</v>
      </c>
      <c r="AH22" s="55">
        <f t="shared" si="2"/>
        <v>22</v>
      </c>
      <c r="AI22" s="56">
        <f t="shared" si="3"/>
        <v>17</v>
      </c>
      <c r="AJ22" s="183">
        <f>AVERAGE(B22:J22)</f>
        <v>18.666666666666668</v>
      </c>
      <c r="AK22" s="184">
        <v>22</v>
      </c>
      <c r="AL22" s="60">
        <f t="shared" si="4"/>
        <v>19.999999999999993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17</v>
      </c>
      <c r="C23" s="49">
        <v>20</v>
      </c>
      <c r="D23" s="49">
        <v>17</v>
      </c>
      <c r="E23" s="49">
        <v>17</v>
      </c>
      <c r="F23" s="49">
        <v>17</v>
      </c>
      <c r="G23" s="49">
        <v>17</v>
      </c>
      <c r="H23" s="49">
        <v>17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17</v>
      </c>
      <c r="T23" s="50">
        <v>17</v>
      </c>
      <c r="U23" s="50">
        <v>0</v>
      </c>
      <c r="V23" s="50">
        <v>0</v>
      </c>
      <c r="W23" s="50">
        <v>0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49">
        <v>22</v>
      </c>
      <c r="AF23" s="49">
        <v>22</v>
      </c>
      <c r="AG23" s="60">
        <v>25</v>
      </c>
      <c r="AH23" s="55">
        <f t="shared" si="2"/>
        <v>22</v>
      </c>
      <c r="AI23" s="56">
        <f t="shared" si="3"/>
        <v>0</v>
      </c>
      <c r="AJ23" s="183">
        <f>AVERAGE(B23:J23)</f>
        <v>18.444444444444443</v>
      </c>
      <c r="AK23" s="184">
        <v>22</v>
      </c>
      <c r="AL23" s="60">
        <f t="shared" si="4"/>
        <v>21.333333333333343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17</v>
      </c>
      <c r="C24" s="49">
        <v>17</v>
      </c>
      <c r="D24" s="49">
        <v>17</v>
      </c>
      <c r="E24" s="49">
        <v>17</v>
      </c>
      <c r="F24" s="49">
        <v>17</v>
      </c>
      <c r="G24" s="49">
        <v>17</v>
      </c>
      <c r="H24" s="49">
        <v>17</v>
      </c>
      <c r="I24" s="49">
        <v>17</v>
      </c>
      <c r="J24" s="49">
        <v>17</v>
      </c>
      <c r="K24" s="49">
        <v>17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49">
        <v>22</v>
      </c>
      <c r="AF24" s="49">
        <v>22</v>
      </c>
      <c r="AG24" s="60">
        <v>24.2</v>
      </c>
      <c r="AH24" s="55">
        <f t="shared" si="2"/>
        <v>22</v>
      </c>
      <c r="AI24" s="56">
        <f t="shared" si="3"/>
        <v>17</v>
      </c>
      <c r="AJ24" s="183">
        <f>AVERAGE(B24:J24)</f>
        <v>17</v>
      </c>
      <c r="AK24" s="184">
        <v>22</v>
      </c>
      <c r="AL24" s="60">
        <f t="shared" si="4"/>
        <v>30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16</v>
      </c>
      <c r="L25" s="50">
        <v>12</v>
      </c>
      <c r="M25" s="50">
        <v>12</v>
      </c>
      <c r="N25" s="50">
        <v>12</v>
      </c>
      <c r="O25" s="50">
        <v>15</v>
      </c>
      <c r="P25" s="50">
        <v>13</v>
      </c>
      <c r="Q25" s="50">
        <v>13</v>
      </c>
      <c r="R25" s="50">
        <v>13</v>
      </c>
      <c r="S25" s="50">
        <v>13</v>
      </c>
      <c r="T25" s="50">
        <v>13</v>
      </c>
      <c r="U25" s="50">
        <v>13</v>
      </c>
      <c r="V25" s="50">
        <v>13</v>
      </c>
      <c r="W25" s="50">
        <v>13</v>
      </c>
      <c r="X25" s="50">
        <v>13</v>
      </c>
      <c r="Y25" s="50">
        <v>13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49">
        <v>10</v>
      </c>
      <c r="AF25" s="49">
        <v>10</v>
      </c>
      <c r="AG25" s="60">
        <v>20</v>
      </c>
      <c r="AH25" s="55">
        <f t="shared" si="2"/>
        <v>16</v>
      </c>
      <c r="AI25" s="56">
        <f t="shared" si="3"/>
        <v>10</v>
      </c>
      <c r="AJ25" s="183">
        <f>AVERAGE(B25:J25)</f>
        <v>10</v>
      </c>
      <c r="AK25" s="184">
        <v>20</v>
      </c>
      <c r="AL25" s="60">
        <f t="shared" si="4"/>
        <v>60</v>
      </c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15</v>
      </c>
      <c r="C26" s="49">
        <v>15</v>
      </c>
      <c r="D26" s="49">
        <v>15</v>
      </c>
      <c r="E26" s="49">
        <v>15</v>
      </c>
      <c r="F26" s="49">
        <v>15</v>
      </c>
      <c r="G26" s="49">
        <v>15</v>
      </c>
      <c r="H26" s="49">
        <v>15</v>
      </c>
      <c r="I26" s="49">
        <v>15</v>
      </c>
      <c r="J26" s="49">
        <v>15</v>
      </c>
      <c r="K26" s="49">
        <v>15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0">
        <v>15</v>
      </c>
      <c r="Z26" s="50">
        <v>15</v>
      </c>
      <c r="AA26" s="50">
        <v>15</v>
      </c>
      <c r="AB26" s="50">
        <v>15</v>
      </c>
      <c r="AC26" s="50">
        <v>15</v>
      </c>
      <c r="AD26" s="50">
        <v>15</v>
      </c>
      <c r="AE26" s="49">
        <v>15</v>
      </c>
      <c r="AF26" s="49">
        <v>15</v>
      </c>
      <c r="AG26" s="60">
        <v>23.5</v>
      </c>
      <c r="AH26" s="55">
        <f t="shared" si="2"/>
        <v>15</v>
      </c>
      <c r="AI26" s="56">
        <f t="shared" si="3"/>
        <v>15</v>
      </c>
      <c r="AJ26" s="186"/>
      <c r="AK26" s="187"/>
      <c r="AL26" s="6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49">
        <v>10</v>
      </c>
      <c r="AF27" s="49">
        <v>10</v>
      </c>
      <c r="AG27" s="60">
        <v>22.2</v>
      </c>
      <c r="AH27" s="55">
        <f t="shared" si="2"/>
        <v>10</v>
      </c>
      <c r="AI27" s="56">
        <f t="shared" si="3"/>
        <v>10</v>
      </c>
      <c r="AJ27" s="186"/>
      <c r="AK27" s="187" t="s">
        <v>226</v>
      </c>
      <c r="AL27" s="60">
        <f>SUM(AL11:AL25)</f>
        <v>980.5333333333333</v>
      </c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12.8</v>
      </c>
      <c r="C28" s="49">
        <v>12.8</v>
      </c>
      <c r="D28" s="49">
        <v>12.8</v>
      </c>
      <c r="E28" s="49">
        <v>12.8</v>
      </c>
      <c r="F28" s="49">
        <v>12.8</v>
      </c>
      <c r="G28" s="49">
        <v>12.8</v>
      </c>
      <c r="H28" s="49">
        <v>12.8</v>
      </c>
      <c r="I28" s="49">
        <v>12.8</v>
      </c>
      <c r="J28" s="49">
        <v>12.8</v>
      </c>
      <c r="K28" s="49">
        <v>12.8</v>
      </c>
      <c r="L28" s="49">
        <v>12.8</v>
      </c>
      <c r="M28" s="49">
        <v>12.8</v>
      </c>
      <c r="N28" s="49">
        <v>12.8</v>
      </c>
      <c r="O28" s="49">
        <v>12.8</v>
      </c>
      <c r="P28" s="49">
        <v>12.8</v>
      </c>
      <c r="Q28" s="49">
        <v>12.8</v>
      </c>
      <c r="R28" s="49">
        <v>12.8</v>
      </c>
      <c r="S28" s="50">
        <v>12.8</v>
      </c>
      <c r="T28" s="50">
        <v>12.8</v>
      </c>
      <c r="U28" s="50">
        <v>12.8</v>
      </c>
      <c r="V28" s="50">
        <v>12.8</v>
      </c>
      <c r="W28" s="50">
        <v>12.8</v>
      </c>
      <c r="X28" s="50">
        <v>12.8</v>
      </c>
      <c r="Y28" s="50">
        <v>12.8</v>
      </c>
      <c r="Z28" s="50">
        <v>12.8</v>
      </c>
      <c r="AA28" s="50">
        <v>12.8</v>
      </c>
      <c r="AB28" s="50">
        <v>12.8</v>
      </c>
      <c r="AC28" s="50">
        <v>12.8</v>
      </c>
      <c r="AD28" s="50">
        <v>12.8</v>
      </c>
      <c r="AE28" s="49">
        <v>12.8</v>
      </c>
      <c r="AF28" s="49">
        <v>12.8</v>
      </c>
      <c r="AG28" s="60">
        <v>22.1</v>
      </c>
      <c r="AH28" s="55">
        <f t="shared" si="2"/>
        <v>12.8</v>
      </c>
      <c r="AI28" s="56">
        <f t="shared" si="3"/>
        <v>12.8</v>
      </c>
      <c r="AJ28" s="186"/>
      <c r="AK28" s="187" t="s">
        <v>7</v>
      </c>
      <c r="AL28" s="60">
        <f>AL27-AL11</f>
        <v>273.86666666666667</v>
      </c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49">
        <v>12</v>
      </c>
      <c r="AF29" s="49">
        <v>12</v>
      </c>
      <c r="AG29" s="60">
        <v>22.1</v>
      </c>
      <c r="AH29" s="55">
        <f t="shared" si="2"/>
        <v>12</v>
      </c>
      <c r="AI29" s="56">
        <f t="shared" si="3"/>
        <v>12</v>
      </c>
      <c r="AJ29" s="186"/>
      <c r="AK29" s="187"/>
      <c r="AL29" s="185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62">
        <v>12</v>
      </c>
      <c r="AF30" s="62">
        <v>12</v>
      </c>
      <c r="AG30" s="63">
        <v>22</v>
      </c>
      <c r="AH30" s="55">
        <f t="shared" si="2"/>
        <v>12</v>
      </c>
      <c r="AI30" s="56">
        <f t="shared" si="3"/>
        <v>12</v>
      </c>
      <c r="AJ30" s="186"/>
      <c r="AK30" s="187"/>
      <c r="AL30" s="185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62">
        <v>0</v>
      </c>
      <c r="AF31" s="62">
        <v>0</v>
      </c>
      <c r="AG31" s="67">
        <v>22</v>
      </c>
      <c r="AH31" s="55">
        <f t="shared" si="2"/>
        <v>0</v>
      </c>
      <c r="AI31" s="56">
        <f t="shared" si="3"/>
        <v>0</v>
      </c>
      <c r="AJ31" s="186"/>
      <c r="AK31" s="187"/>
      <c r="AL31" s="185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62">
        <v>0</v>
      </c>
      <c r="AF32" s="62">
        <v>0</v>
      </c>
      <c r="AG32" s="67">
        <v>20</v>
      </c>
      <c r="AH32" s="55">
        <f t="shared" si="2"/>
        <v>0</v>
      </c>
      <c r="AI32" s="56">
        <f t="shared" si="3"/>
        <v>0</v>
      </c>
      <c r="AJ32" s="186"/>
      <c r="AK32" s="187"/>
      <c r="AL32" s="185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62">
        <v>0</v>
      </c>
      <c r="AF33" s="62">
        <v>0</v>
      </c>
      <c r="AG33" s="67">
        <v>15.33</v>
      </c>
      <c r="AH33" s="55">
        <f t="shared" si="2"/>
        <v>0</v>
      </c>
      <c r="AI33" s="56">
        <f t="shared" si="3"/>
        <v>0</v>
      </c>
      <c r="AJ33" s="186"/>
      <c r="AK33" s="187"/>
      <c r="AL33" s="185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J34" s="186"/>
      <c r="AK34" s="187"/>
      <c r="AL34" s="188"/>
    </row>
    <row r="35" spans="1:88" ht="15.75" thickBot="1" x14ac:dyDescent="0.3">
      <c r="A35" s="69" t="s">
        <v>42</v>
      </c>
      <c r="B35" s="62">
        <v>163.9</v>
      </c>
      <c r="C35" s="62">
        <v>164.1</v>
      </c>
      <c r="D35" s="62">
        <v>164</v>
      </c>
      <c r="E35" s="62">
        <v>164</v>
      </c>
      <c r="F35" s="62">
        <v>164</v>
      </c>
      <c r="G35" s="62">
        <v>164</v>
      </c>
      <c r="H35" s="62">
        <v>164</v>
      </c>
      <c r="I35" s="62">
        <v>164</v>
      </c>
      <c r="J35" s="62">
        <v>166.5</v>
      </c>
      <c r="K35" s="62">
        <v>166.4</v>
      </c>
      <c r="L35" s="70">
        <v>166.4</v>
      </c>
      <c r="M35" s="70">
        <v>165.5</v>
      </c>
      <c r="N35" s="70">
        <v>165.5</v>
      </c>
      <c r="O35" s="70">
        <f>92.5+75.2</f>
        <v>167.7</v>
      </c>
      <c r="P35" s="70">
        <f>92+75.5</f>
        <v>167.5</v>
      </c>
      <c r="Q35" s="70">
        <f>83.5+75</f>
        <v>158.5</v>
      </c>
      <c r="R35" s="70">
        <f>91.6+73.8</f>
        <v>165.39999999999998</v>
      </c>
      <c r="S35" s="70">
        <f>92+74</f>
        <v>166</v>
      </c>
      <c r="T35" s="70">
        <v>166</v>
      </c>
      <c r="U35" s="70">
        <v>166</v>
      </c>
      <c r="V35" s="70">
        <v>166</v>
      </c>
      <c r="W35" s="70">
        <f>87.7+73</f>
        <v>160.69999999999999</v>
      </c>
      <c r="X35" s="70">
        <f>86+73</f>
        <v>159</v>
      </c>
      <c r="Y35" s="70">
        <v>162.60000000000002</v>
      </c>
      <c r="Z35" s="70">
        <f>89.9+73</f>
        <v>162.9</v>
      </c>
      <c r="AA35" s="70">
        <v>163.1</v>
      </c>
      <c r="AB35" s="70">
        <v>163.1</v>
      </c>
      <c r="AC35" s="70">
        <v>165.2</v>
      </c>
      <c r="AD35" s="70">
        <v>165.2</v>
      </c>
      <c r="AE35" s="62">
        <v>164</v>
      </c>
      <c r="AF35" s="62">
        <v>164</v>
      </c>
      <c r="AG35" s="67">
        <v>240</v>
      </c>
      <c r="AH35" s="55">
        <f t="shared" si="2"/>
        <v>167.7</v>
      </c>
      <c r="AI35" s="56">
        <f t="shared" si="3"/>
        <v>158.5</v>
      </c>
      <c r="AJ35" s="186"/>
      <c r="AK35" s="187"/>
      <c r="AL35" s="188"/>
    </row>
    <row r="36" spans="1:88" ht="15.75" thickBot="1" x14ac:dyDescent="0.3">
      <c r="A36" s="71" t="s">
        <v>43</v>
      </c>
      <c r="B36" s="72">
        <f t="shared" ref="B36:AF36" si="5">SUM(B11:B34)</f>
        <v>773</v>
      </c>
      <c r="C36" s="72">
        <f t="shared" si="5"/>
        <v>756</v>
      </c>
      <c r="D36" s="72">
        <f t="shared" si="5"/>
        <v>729</v>
      </c>
      <c r="E36" s="72">
        <f t="shared" si="5"/>
        <v>729</v>
      </c>
      <c r="F36" s="72">
        <f t="shared" si="5"/>
        <v>709</v>
      </c>
      <c r="G36" s="72">
        <f t="shared" si="5"/>
        <v>745.8</v>
      </c>
      <c r="H36" s="72">
        <f t="shared" si="5"/>
        <v>764.8</v>
      </c>
      <c r="I36" s="72">
        <f t="shared" si="5"/>
        <v>774.8</v>
      </c>
      <c r="J36" s="72">
        <f t="shared" si="5"/>
        <v>764.8</v>
      </c>
      <c r="K36" s="72">
        <f t="shared" si="5"/>
        <v>843.09999999999991</v>
      </c>
      <c r="L36" s="72">
        <f t="shared" si="5"/>
        <v>888.09999999999991</v>
      </c>
      <c r="M36" s="72">
        <f t="shared" si="5"/>
        <v>887.8</v>
      </c>
      <c r="N36" s="72">
        <f t="shared" si="5"/>
        <v>887.8</v>
      </c>
      <c r="O36" s="72">
        <f t="shared" si="5"/>
        <v>911</v>
      </c>
      <c r="P36" s="72">
        <f t="shared" si="5"/>
        <v>878.8</v>
      </c>
      <c r="Q36" s="72">
        <f t="shared" si="5"/>
        <v>908.9</v>
      </c>
      <c r="R36" s="72">
        <f t="shared" si="5"/>
        <v>850</v>
      </c>
      <c r="S36" s="72">
        <f t="shared" si="5"/>
        <v>871.09999999999991</v>
      </c>
      <c r="T36" s="72">
        <f t="shared" si="5"/>
        <v>861</v>
      </c>
      <c r="U36" s="72">
        <f t="shared" si="5"/>
        <v>817.89999999999986</v>
      </c>
      <c r="V36" s="72">
        <f t="shared" si="5"/>
        <v>817.89999999999986</v>
      </c>
      <c r="W36" s="72">
        <f t="shared" si="5"/>
        <v>835.09999999999991</v>
      </c>
      <c r="X36" s="72">
        <f t="shared" si="5"/>
        <v>984.1</v>
      </c>
      <c r="Y36" s="72">
        <f t="shared" si="5"/>
        <v>1023.1</v>
      </c>
      <c r="Z36" s="72">
        <f t="shared" si="5"/>
        <v>1060.0999999999999</v>
      </c>
      <c r="AA36" s="72">
        <f t="shared" si="5"/>
        <v>1054.0999999999999</v>
      </c>
      <c r="AB36" s="72">
        <f t="shared" si="5"/>
        <v>1054.0999999999999</v>
      </c>
      <c r="AC36" s="72">
        <f t="shared" si="5"/>
        <v>959.1</v>
      </c>
      <c r="AD36" s="72">
        <f t="shared" si="5"/>
        <v>854.09999999999991</v>
      </c>
      <c r="AE36" s="72">
        <f t="shared" si="5"/>
        <v>844.09999999999991</v>
      </c>
      <c r="AF36" s="72">
        <f t="shared" si="5"/>
        <v>834.09999999999991</v>
      </c>
      <c r="AG36" s="67">
        <f>SUM(AG11:AG35)</f>
        <v>1431.83</v>
      </c>
      <c r="AH36" s="55">
        <f t="shared" si="2"/>
        <v>1060.0999999999999</v>
      </c>
      <c r="AI36" s="56">
        <f t="shared" si="3"/>
        <v>709</v>
      </c>
      <c r="AJ36" s="186"/>
      <c r="AK36" s="187"/>
      <c r="AL36" s="188"/>
    </row>
    <row r="37" spans="1:88" x14ac:dyDescent="0.25">
      <c r="A37" s="58" t="s">
        <v>44</v>
      </c>
      <c r="B37" s="50">
        <v>131.5</v>
      </c>
      <c r="C37" s="50">
        <v>131.5</v>
      </c>
      <c r="D37" s="62">
        <v>131.30000000000001</v>
      </c>
      <c r="E37" s="62">
        <v>126.1</v>
      </c>
      <c r="F37" s="62">
        <v>111.3</v>
      </c>
      <c r="G37" s="62">
        <v>121.2</v>
      </c>
      <c r="H37" s="62">
        <v>121.5</v>
      </c>
      <c r="I37" s="62">
        <v>131.4</v>
      </c>
      <c r="J37" s="62">
        <v>144.69999999999999</v>
      </c>
      <c r="K37" s="62">
        <v>144.69999999999999</v>
      </c>
      <c r="L37" s="62">
        <v>144.69999999999999</v>
      </c>
      <c r="M37" s="50">
        <v>144.30000000000001</v>
      </c>
      <c r="N37" s="50">
        <v>144.30000000000001</v>
      </c>
      <c r="O37" s="50">
        <v>144.6</v>
      </c>
      <c r="P37" s="50">
        <v>144.4</v>
      </c>
      <c r="Q37" s="50">
        <v>95.1</v>
      </c>
      <c r="R37" s="50">
        <v>145</v>
      </c>
      <c r="S37" s="50">
        <v>129.9</v>
      </c>
      <c r="T37" s="50">
        <v>136.19999999999999</v>
      </c>
      <c r="U37" s="50">
        <v>126.5</v>
      </c>
      <c r="V37" s="50">
        <v>126.5</v>
      </c>
      <c r="W37" s="50">
        <v>136</v>
      </c>
      <c r="X37" s="50">
        <v>136.1</v>
      </c>
      <c r="Y37" s="50">
        <v>143.4</v>
      </c>
      <c r="Z37" s="50">
        <v>142.9</v>
      </c>
      <c r="AA37" s="50">
        <v>142.9</v>
      </c>
      <c r="AB37" s="50">
        <v>142.9</v>
      </c>
      <c r="AC37" s="50">
        <v>131</v>
      </c>
      <c r="AD37" s="50">
        <v>130</v>
      </c>
      <c r="AE37" s="49">
        <v>120.9</v>
      </c>
      <c r="AF37" s="49">
        <v>121</v>
      </c>
      <c r="AG37" s="63">
        <v>144</v>
      </c>
      <c r="AH37" s="55">
        <f t="shared" si="2"/>
        <v>145</v>
      </c>
      <c r="AI37" s="56">
        <f t="shared" si="3"/>
        <v>95.1</v>
      </c>
      <c r="AJ37" s="183">
        <f>AVERAGE(B37:J37)</f>
        <v>127.83333333333333</v>
      </c>
      <c r="AK37" s="184">
        <v>144</v>
      </c>
      <c r="AL37" s="185">
        <f>(AK37-AJ37)*$AN$12</f>
        <v>97.000000000000028</v>
      </c>
    </row>
    <row r="38" spans="1:88" x14ac:dyDescent="0.25">
      <c r="A38" s="66" t="s">
        <v>45</v>
      </c>
      <c r="B38" s="50">
        <v>60.2</v>
      </c>
      <c r="C38" s="50">
        <v>70</v>
      </c>
      <c r="D38" s="62">
        <v>70</v>
      </c>
      <c r="E38" s="62">
        <v>59.8</v>
      </c>
      <c r="F38" s="62">
        <v>59.4</v>
      </c>
      <c r="G38" s="62">
        <v>61.2</v>
      </c>
      <c r="H38" s="62">
        <v>61.3</v>
      </c>
      <c r="I38" s="62">
        <v>70.5</v>
      </c>
      <c r="J38" s="62">
        <v>69.599999999999994</v>
      </c>
      <c r="K38" s="62">
        <v>69.599999999999994</v>
      </c>
      <c r="L38" s="62">
        <v>69.599999999999994</v>
      </c>
      <c r="M38" s="52">
        <v>69.3</v>
      </c>
      <c r="N38" s="52">
        <v>69.3</v>
      </c>
      <c r="O38" s="52">
        <v>69.599999999999994</v>
      </c>
      <c r="P38" s="52">
        <v>69.900000000000006</v>
      </c>
      <c r="Q38" s="52">
        <v>70.8</v>
      </c>
      <c r="R38" s="52">
        <v>70.5</v>
      </c>
      <c r="S38" s="52">
        <v>70.099999999999994</v>
      </c>
      <c r="T38" s="52">
        <v>70.099999999999994</v>
      </c>
      <c r="U38" s="52">
        <v>70.599999999999994</v>
      </c>
      <c r="V38" s="52">
        <v>70.599999999999994</v>
      </c>
      <c r="W38" s="52">
        <v>71</v>
      </c>
      <c r="X38" s="52">
        <v>70.8</v>
      </c>
      <c r="Y38" s="52">
        <v>70.2</v>
      </c>
      <c r="Z38" s="52">
        <v>69.8</v>
      </c>
      <c r="AA38" s="52">
        <v>69.5</v>
      </c>
      <c r="AB38" s="52">
        <v>69.5</v>
      </c>
      <c r="AC38" s="52">
        <v>69.900000000000006</v>
      </c>
      <c r="AD38" s="52">
        <v>60.6</v>
      </c>
      <c r="AE38" s="62">
        <v>50.9</v>
      </c>
      <c r="AF38" s="62">
        <v>50.5</v>
      </c>
      <c r="AG38" s="67">
        <v>70</v>
      </c>
      <c r="AH38" s="55">
        <f t="shared" si="2"/>
        <v>71</v>
      </c>
      <c r="AI38" s="56">
        <f t="shared" si="3"/>
        <v>50.5</v>
      </c>
      <c r="AJ38" s="183">
        <f>AVERAGE(B38:J38)</f>
        <v>64.666666666666671</v>
      </c>
      <c r="AK38" s="184">
        <v>70</v>
      </c>
      <c r="AL38" s="185">
        <f>(AK38-AJ38)*$AN$12</f>
        <v>31.999999999999972</v>
      </c>
    </row>
    <row r="39" spans="1:88" x14ac:dyDescent="0.25">
      <c r="A39" s="66" t="s">
        <v>46</v>
      </c>
      <c r="B39" s="50">
        <v>60.2</v>
      </c>
      <c r="C39" s="50">
        <v>60.2</v>
      </c>
      <c r="D39" s="62">
        <v>69.7</v>
      </c>
      <c r="E39" s="62">
        <v>62.8</v>
      </c>
      <c r="F39" s="62">
        <v>57.7</v>
      </c>
      <c r="G39" s="62">
        <v>62</v>
      </c>
      <c r="H39" s="62">
        <v>61.9</v>
      </c>
      <c r="I39" s="62">
        <v>69.400000000000006</v>
      </c>
      <c r="J39" s="62">
        <v>71</v>
      </c>
      <c r="K39" s="62">
        <v>71</v>
      </c>
      <c r="L39" s="62">
        <v>71</v>
      </c>
      <c r="M39" s="52">
        <v>69.5</v>
      </c>
      <c r="N39" s="52">
        <v>70.5</v>
      </c>
      <c r="O39" s="52">
        <v>70.5</v>
      </c>
      <c r="P39" s="52">
        <v>69.3</v>
      </c>
      <c r="Q39" s="52">
        <v>69.3</v>
      </c>
      <c r="R39" s="52">
        <v>69.599999999999994</v>
      </c>
      <c r="S39" s="52">
        <v>70.3</v>
      </c>
      <c r="T39" s="52">
        <v>61</v>
      </c>
      <c r="U39" s="52">
        <v>69.7</v>
      </c>
      <c r="V39" s="52">
        <v>69.7</v>
      </c>
      <c r="W39" s="52">
        <v>69.7</v>
      </c>
      <c r="X39" s="52">
        <v>69.599999999999994</v>
      </c>
      <c r="Y39" s="52">
        <v>69.599999999999994</v>
      </c>
      <c r="Z39" s="52">
        <v>70</v>
      </c>
      <c r="AA39" s="52">
        <v>70</v>
      </c>
      <c r="AB39" s="52">
        <v>70</v>
      </c>
      <c r="AC39" s="52">
        <v>70.099999999999994</v>
      </c>
      <c r="AD39" s="52">
        <v>63.1</v>
      </c>
      <c r="AE39" s="62">
        <v>51.5</v>
      </c>
      <c r="AF39" s="62">
        <v>51.4</v>
      </c>
      <c r="AG39" s="67">
        <v>69</v>
      </c>
      <c r="AH39" s="55">
        <f t="shared" si="2"/>
        <v>71</v>
      </c>
      <c r="AI39" s="56">
        <f t="shared" si="3"/>
        <v>51.4</v>
      </c>
      <c r="AJ39" s="183">
        <f>AVERAGE(B39:J39)</f>
        <v>63.877777777777773</v>
      </c>
      <c r="AK39" s="184">
        <v>69</v>
      </c>
      <c r="AL39" s="185">
        <f>(AK39-AJ39)*$AN$12</f>
        <v>30.733333333333363</v>
      </c>
    </row>
    <row r="40" spans="1:88" x14ac:dyDescent="0.25">
      <c r="A40" s="66" t="s">
        <v>47</v>
      </c>
      <c r="B40" s="50">
        <v>60.4</v>
      </c>
      <c r="C40" s="50">
        <v>40.6</v>
      </c>
      <c r="D40" s="62">
        <v>40.299999999999997</v>
      </c>
      <c r="E40" s="62">
        <v>40.6</v>
      </c>
      <c r="F40" s="62">
        <v>40.6</v>
      </c>
      <c r="G40" s="62">
        <v>40.6</v>
      </c>
      <c r="H40" s="62">
        <v>40.6</v>
      </c>
      <c r="I40" s="62">
        <v>60.7</v>
      </c>
      <c r="J40" s="62">
        <v>60.5</v>
      </c>
      <c r="K40" s="62">
        <v>60.5</v>
      </c>
      <c r="L40" s="62">
        <v>60.5</v>
      </c>
      <c r="M40" s="52">
        <v>60</v>
      </c>
      <c r="N40" s="52">
        <v>60</v>
      </c>
      <c r="O40" s="52">
        <v>60.2</v>
      </c>
      <c r="P40" s="52">
        <v>60.2</v>
      </c>
      <c r="Q40" s="52">
        <v>60.2</v>
      </c>
      <c r="R40" s="52">
        <v>60.2</v>
      </c>
      <c r="S40" s="52">
        <v>0</v>
      </c>
      <c r="T40" s="52">
        <v>0</v>
      </c>
      <c r="U40" s="52">
        <v>60</v>
      </c>
      <c r="V40" s="52">
        <v>60</v>
      </c>
      <c r="W40" s="52">
        <v>60</v>
      </c>
      <c r="X40" s="52">
        <v>60</v>
      </c>
      <c r="Y40" s="52">
        <v>60.4</v>
      </c>
      <c r="Z40" s="52">
        <v>60.4</v>
      </c>
      <c r="AA40" s="52">
        <v>60.2</v>
      </c>
      <c r="AB40" s="52">
        <v>60.2</v>
      </c>
      <c r="AC40" s="52">
        <v>60.2</v>
      </c>
      <c r="AD40" s="52">
        <v>60.2</v>
      </c>
      <c r="AE40" s="62">
        <v>60.2</v>
      </c>
      <c r="AF40" s="62">
        <v>41.3</v>
      </c>
      <c r="AG40" s="67">
        <v>60</v>
      </c>
      <c r="AH40" s="55">
        <f t="shared" si="2"/>
        <v>60.7</v>
      </c>
      <c r="AI40" s="56">
        <f t="shared" si="3"/>
        <v>0</v>
      </c>
      <c r="AJ40" s="183">
        <f>AVERAGE(B40:J40)</f>
        <v>47.211111111111116</v>
      </c>
      <c r="AK40" s="184">
        <v>60</v>
      </c>
      <c r="AL40" s="185">
        <f>(AK40-AJ40)*$AN$12</f>
        <v>76.733333333333306</v>
      </c>
    </row>
    <row r="41" spans="1:88" x14ac:dyDescent="0.25">
      <c r="A41" s="66" t="s">
        <v>48</v>
      </c>
      <c r="B41" s="50">
        <v>29.5</v>
      </c>
      <c r="C41" s="50">
        <v>29.5</v>
      </c>
      <c r="D41" s="50">
        <v>29.5</v>
      </c>
      <c r="E41" s="50">
        <v>29.5</v>
      </c>
      <c r="F41" s="50">
        <v>29.5</v>
      </c>
      <c r="G41" s="50">
        <v>29.5</v>
      </c>
      <c r="H41" s="50">
        <v>29.5</v>
      </c>
      <c r="I41" s="50">
        <v>29.5</v>
      </c>
      <c r="J41" s="50">
        <v>29.5</v>
      </c>
      <c r="K41" s="50">
        <v>29.5</v>
      </c>
      <c r="L41" s="50">
        <v>29.5</v>
      </c>
      <c r="M41" s="50">
        <v>29.6</v>
      </c>
      <c r="N41" s="50">
        <v>29.6</v>
      </c>
      <c r="O41" s="50">
        <v>29.6</v>
      </c>
      <c r="P41" s="50">
        <v>29.8</v>
      </c>
      <c r="Q41" s="50">
        <v>29.8</v>
      </c>
      <c r="R41" s="50">
        <v>29.8</v>
      </c>
      <c r="S41" s="50">
        <v>29.8</v>
      </c>
      <c r="T41" s="50">
        <v>29.8</v>
      </c>
      <c r="U41" s="50">
        <v>29.8</v>
      </c>
      <c r="V41" s="50">
        <v>29.8</v>
      </c>
      <c r="W41" s="50">
        <v>29.8</v>
      </c>
      <c r="X41" s="50">
        <v>29.8</v>
      </c>
      <c r="Y41" s="52">
        <v>29.5</v>
      </c>
      <c r="Z41" s="52">
        <v>29.5</v>
      </c>
      <c r="AA41" s="52">
        <v>29.7</v>
      </c>
      <c r="AB41" s="52">
        <v>29.7</v>
      </c>
      <c r="AC41" s="52">
        <v>29.8</v>
      </c>
      <c r="AD41" s="52">
        <v>29.9</v>
      </c>
      <c r="AE41" s="62">
        <v>29.8</v>
      </c>
      <c r="AF41" s="62">
        <v>29.8</v>
      </c>
      <c r="AG41" s="67">
        <v>30</v>
      </c>
      <c r="AH41" s="55">
        <f t="shared" si="2"/>
        <v>29.9</v>
      </c>
      <c r="AI41" s="56">
        <f t="shared" si="3"/>
        <v>29.5</v>
      </c>
      <c r="AJ41" s="186"/>
      <c r="AK41" s="187"/>
      <c r="AL41" s="188"/>
    </row>
    <row r="42" spans="1:88" x14ac:dyDescent="0.25">
      <c r="A42" s="66" t="s">
        <v>49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J42" s="186"/>
      <c r="AK42" s="187" t="s">
        <v>227</v>
      </c>
      <c r="AL42" s="185">
        <f>SUM(AL37:AL40)</f>
        <v>236.46666666666664</v>
      </c>
    </row>
    <row r="43" spans="1:88" x14ac:dyDescent="0.25">
      <c r="A43" s="66" t="s">
        <v>50</v>
      </c>
      <c r="B43" s="50">
        <v>18</v>
      </c>
      <c r="C43" s="50">
        <v>18</v>
      </c>
      <c r="D43" s="50">
        <v>18</v>
      </c>
      <c r="E43" s="50">
        <v>18</v>
      </c>
      <c r="F43" s="50">
        <v>18</v>
      </c>
      <c r="G43" s="50">
        <v>18</v>
      </c>
      <c r="H43" s="50">
        <v>18</v>
      </c>
      <c r="I43" s="50">
        <v>18</v>
      </c>
      <c r="J43" s="50">
        <v>18</v>
      </c>
      <c r="K43" s="50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62">
        <v>18</v>
      </c>
      <c r="AF43" s="62">
        <v>18</v>
      </c>
      <c r="AG43" s="67">
        <v>24</v>
      </c>
      <c r="AH43" s="55">
        <f t="shared" si="2"/>
        <v>18</v>
      </c>
      <c r="AI43" s="56">
        <f t="shared" si="3"/>
        <v>18</v>
      </c>
      <c r="AJ43" s="186"/>
      <c r="AK43" s="187"/>
      <c r="AL43" s="188"/>
    </row>
    <row r="44" spans="1:88" x14ac:dyDescent="0.25">
      <c r="A44" s="66" t="s">
        <v>51</v>
      </c>
      <c r="B44" s="50">
        <v>3.2</v>
      </c>
      <c r="C44" s="50">
        <v>3.2</v>
      </c>
      <c r="D44" s="50">
        <v>3.2</v>
      </c>
      <c r="E44" s="50">
        <v>3.2</v>
      </c>
      <c r="F44" s="50">
        <v>3.2</v>
      </c>
      <c r="G44" s="50">
        <v>3.2</v>
      </c>
      <c r="H44" s="50">
        <v>3.2</v>
      </c>
      <c r="I44" s="50">
        <v>3.2</v>
      </c>
      <c r="J44" s="50">
        <v>3.2</v>
      </c>
      <c r="K44" s="50">
        <v>3.2</v>
      </c>
      <c r="L44" s="50">
        <v>3.2</v>
      </c>
      <c r="M44" s="50">
        <v>3.2</v>
      </c>
      <c r="N44" s="50">
        <v>3.2</v>
      </c>
      <c r="O44" s="50">
        <v>0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62">
        <v>3</v>
      </c>
      <c r="AF44" s="62">
        <v>3</v>
      </c>
      <c r="AG44" s="67">
        <v>15</v>
      </c>
      <c r="AH44" s="55">
        <f t="shared" si="2"/>
        <v>3.2</v>
      </c>
      <c r="AI44" s="56">
        <f t="shared" si="3"/>
        <v>0</v>
      </c>
      <c r="AJ44" s="186"/>
      <c r="AK44" s="187" t="s">
        <v>228</v>
      </c>
      <c r="AL44" s="189">
        <f>AL42+AL28+AL27</f>
        <v>1490.8666666666666</v>
      </c>
      <c r="AO44" s="74"/>
    </row>
    <row r="45" spans="1:88" s="74" customFormat="1" ht="15.75" thickBot="1" x14ac:dyDescent="0.3">
      <c r="A45" s="66" t="s">
        <v>52</v>
      </c>
      <c r="B45" s="50">
        <v>12</v>
      </c>
      <c r="C45" s="50">
        <v>12</v>
      </c>
      <c r="D45" s="50">
        <v>12</v>
      </c>
      <c r="E45" s="50">
        <v>12</v>
      </c>
      <c r="F45" s="50">
        <v>12</v>
      </c>
      <c r="G45" s="50">
        <v>12</v>
      </c>
      <c r="H45" s="50">
        <v>12</v>
      </c>
      <c r="I45" s="50">
        <v>12</v>
      </c>
      <c r="J45" s="50">
        <v>12</v>
      </c>
      <c r="K45" s="50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90"/>
      <c r="AK45" s="191"/>
      <c r="AL45" s="192"/>
      <c r="AM45"/>
      <c r="AN45"/>
      <c r="AO45"/>
    </row>
    <row r="46" spans="1:88" x14ac:dyDescent="0.25">
      <c r="A46" s="75" t="s">
        <v>53</v>
      </c>
      <c r="B46" s="50">
        <v>12</v>
      </c>
      <c r="C46" s="50">
        <v>12</v>
      </c>
      <c r="D46" s="50">
        <v>12</v>
      </c>
      <c r="E46" s="50">
        <v>12</v>
      </c>
      <c r="F46" s="50">
        <v>12</v>
      </c>
      <c r="G46" s="50">
        <v>12</v>
      </c>
      <c r="H46" s="50">
        <v>12</v>
      </c>
      <c r="I46" s="50">
        <v>12</v>
      </c>
      <c r="J46" s="50">
        <v>12</v>
      </c>
      <c r="K46" s="50">
        <v>12</v>
      </c>
      <c r="L46" s="50">
        <v>12</v>
      </c>
      <c r="M46" s="50">
        <v>12</v>
      </c>
      <c r="N46" s="50">
        <v>12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10</v>
      </c>
      <c r="AE46" s="62">
        <v>10</v>
      </c>
      <c r="AF46" s="62">
        <v>10</v>
      </c>
      <c r="AG46" s="67">
        <v>14</v>
      </c>
      <c r="AH46" s="55">
        <f t="shared" si="2"/>
        <v>14</v>
      </c>
      <c r="AI46" s="56">
        <f t="shared" si="3"/>
        <v>10</v>
      </c>
      <c r="AK46" s="57"/>
    </row>
    <row r="47" spans="1:88" x14ac:dyDescent="0.25">
      <c r="A47" s="66" t="s">
        <v>54</v>
      </c>
      <c r="B47" s="50">
        <v>9.3000000000000007</v>
      </c>
      <c r="C47" s="50">
        <v>9.3000000000000007</v>
      </c>
      <c r="D47" s="50">
        <v>9.3000000000000007</v>
      </c>
      <c r="E47" s="50">
        <v>9.3000000000000007</v>
      </c>
      <c r="F47" s="50">
        <v>9.3000000000000007</v>
      </c>
      <c r="G47" s="50">
        <v>9.3000000000000007</v>
      </c>
      <c r="H47" s="50">
        <v>9.3000000000000007</v>
      </c>
      <c r="I47" s="50">
        <v>9.3000000000000007</v>
      </c>
      <c r="J47" s="50">
        <v>9.3000000000000007</v>
      </c>
      <c r="K47" s="50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9.3000000000000007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62">
        <v>9.3000000000000007</v>
      </c>
      <c r="AF47" s="62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9.3000000000000007</v>
      </c>
      <c r="AK47" s="57"/>
    </row>
    <row r="48" spans="1:88" x14ac:dyDescent="0.25">
      <c r="A48" s="66" t="s">
        <v>55</v>
      </c>
      <c r="B48" s="50">
        <v>6.2</v>
      </c>
      <c r="C48" s="50">
        <v>6.2</v>
      </c>
      <c r="D48" s="50">
        <v>6.2</v>
      </c>
      <c r="E48" s="50">
        <v>6.2</v>
      </c>
      <c r="F48" s="50">
        <v>6.2</v>
      </c>
      <c r="G48" s="50">
        <v>6.2</v>
      </c>
      <c r="H48" s="50">
        <v>6.2</v>
      </c>
      <c r="I48" s="50">
        <v>6.2</v>
      </c>
      <c r="J48" s="50">
        <v>6.2</v>
      </c>
      <c r="K48" s="50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6">T197</f>
        <v>3.54</v>
      </c>
      <c r="U49" s="76">
        <f t="shared" si="6"/>
        <v>3.54</v>
      </c>
      <c r="V49" s="76">
        <f t="shared" si="6"/>
        <v>3.54</v>
      </c>
      <c r="W49" s="76">
        <f t="shared" si="6"/>
        <v>3.54</v>
      </c>
      <c r="X49" s="76">
        <f t="shared" si="6"/>
        <v>3.54</v>
      </c>
      <c r="Y49" s="76">
        <v>3.54</v>
      </c>
      <c r="Z49" s="76">
        <f t="shared" si="6"/>
        <v>3.54</v>
      </c>
      <c r="AA49" s="76">
        <f t="shared" si="6"/>
        <v>3.54</v>
      </c>
      <c r="AB49" s="76">
        <f t="shared" si="6"/>
        <v>3.54</v>
      </c>
      <c r="AC49" s="76">
        <f t="shared" si="6"/>
        <v>3.54</v>
      </c>
      <c r="AD49" s="76">
        <f t="shared" si="6"/>
        <v>3.54</v>
      </c>
      <c r="AE49" s="76">
        <f t="shared" si="6"/>
        <v>3.54</v>
      </c>
      <c r="AF49" s="76">
        <f t="shared" si="6"/>
        <v>3.54</v>
      </c>
      <c r="AG49" s="76">
        <f t="shared" si="6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7">SUM(B37:B49)</f>
        <v>406.03999999999996</v>
      </c>
      <c r="C50" s="72">
        <f t="shared" si="7"/>
        <v>396.04</v>
      </c>
      <c r="D50" s="72">
        <f t="shared" si="7"/>
        <v>405.04</v>
      </c>
      <c r="E50" s="72">
        <f t="shared" si="7"/>
        <v>383.04</v>
      </c>
      <c r="F50" s="72">
        <f t="shared" si="7"/>
        <v>362.74</v>
      </c>
      <c r="G50" s="72">
        <f t="shared" si="7"/>
        <v>378.74</v>
      </c>
      <c r="H50" s="72">
        <f t="shared" si="7"/>
        <v>379.04</v>
      </c>
      <c r="I50" s="72">
        <f t="shared" si="7"/>
        <v>425.74</v>
      </c>
      <c r="J50" s="72">
        <f t="shared" si="7"/>
        <v>439.53999999999996</v>
      </c>
      <c r="K50" s="72">
        <f t="shared" si="7"/>
        <v>439.53999999999996</v>
      </c>
      <c r="L50" s="72">
        <f t="shared" si="7"/>
        <v>439.53999999999996</v>
      </c>
      <c r="M50" s="72">
        <f t="shared" si="7"/>
        <v>436.94000000000005</v>
      </c>
      <c r="N50" s="72">
        <f t="shared" si="7"/>
        <v>437.94000000000005</v>
      </c>
      <c r="O50" s="72">
        <f t="shared" si="7"/>
        <v>437.54</v>
      </c>
      <c r="P50" s="72">
        <f t="shared" si="7"/>
        <v>439.64000000000004</v>
      </c>
      <c r="Q50" s="72">
        <f t="shared" si="7"/>
        <v>391.24</v>
      </c>
      <c r="R50" s="72">
        <f t="shared" si="7"/>
        <v>441.14000000000004</v>
      </c>
      <c r="S50" s="72">
        <f t="shared" si="7"/>
        <v>366.14000000000004</v>
      </c>
      <c r="T50" s="72">
        <f t="shared" si="7"/>
        <v>363.14</v>
      </c>
      <c r="U50" s="72">
        <f t="shared" si="7"/>
        <v>422.64000000000004</v>
      </c>
      <c r="V50" s="72">
        <f t="shared" si="7"/>
        <v>422.64000000000004</v>
      </c>
      <c r="W50" s="72">
        <f t="shared" si="7"/>
        <v>432.54</v>
      </c>
      <c r="X50" s="72">
        <f t="shared" si="7"/>
        <v>432.34000000000003</v>
      </c>
      <c r="Y50" s="72">
        <f t="shared" si="7"/>
        <v>439.14000000000004</v>
      </c>
      <c r="Z50" s="72">
        <f t="shared" si="7"/>
        <v>438.64</v>
      </c>
      <c r="AA50" s="72">
        <f t="shared" si="7"/>
        <v>438.34</v>
      </c>
      <c r="AB50" s="72">
        <f t="shared" si="7"/>
        <v>438.34</v>
      </c>
      <c r="AC50" s="72">
        <f t="shared" si="7"/>
        <v>427.04</v>
      </c>
      <c r="AD50" s="72">
        <f t="shared" si="7"/>
        <v>405.84</v>
      </c>
      <c r="AE50" s="72">
        <f t="shared" si="7"/>
        <v>375.34000000000003</v>
      </c>
      <c r="AF50" s="72">
        <f t="shared" si="7"/>
        <v>356.04</v>
      </c>
      <c r="AG50" s="77">
        <f>SUM(AG37:AG49)</f>
        <v>489.91</v>
      </c>
      <c r="AH50" s="55">
        <f t="shared" si="2"/>
        <v>441.14000000000004</v>
      </c>
      <c r="AI50" s="56">
        <f t="shared" si="3"/>
        <v>356.04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174">
        <v>0</v>
      </c>
      <c r="N51" s="174">
        <v>14.6</v>
      </c>
      <c r="O51" s="174">
        <v>14.6</v>
      </c>
      <c r="P51" s="50">
        <v>14.6</v>
      </c>
      <c r="Q51" s="50">
        <v>14.3</v>
      </c>
      <c r="R51" s="50">
        <v>10.8</v>
      </c>
      <c r="S51" s="50">
        <v>12.6</v>
      </c>
      <c r="T51" s="50">
        <v>14.4</v>
      </c>
      <c r="U51" s="50">
        <v>14.4</v>
      </c>
      <c r="V51" s="50">
        <v>14.4</v>
      </c>
      <c r="W51" s="50">
        <v>14.4</v>
      </c>
      <c r="X51" s="50">
        <v>43.4</v>
      </c>
      <c r="Y51" s="50">
        <v>49.8</v>
      </c>
      <c r="Z51" s="50">
        <v>49.8</v>
      </c>
      <c r="AA51" s="50">
        <v>21.1</v>
      </c>
      <c r="AB51" s="50">
        <v>21.1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49.8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174">
        <v>0</v>
      </c>
      <c r="N52" s="174">
        <v>5.8</v>
      </c>
      <c r="O52" s="174">
        <v>5.8</v>
      </c>
      <c r="P52" s="52">
        <v>5.3</v>
      </c>
      <c r="Q52" s="52">
        <v>11.3</v>
      </c>
      <c r="R52" s="50">
        <v>4.5999999999999996</v>
      </c>
      <c r="S52" s="50">
        <v>4.4000000000000004</v>
      </c>
      <c r="T52" s="50">
        <v>5.7</v>
      </c>
      <c r="U52" s="52">
        <v>5.9</v>
      </c>
      <c r="V52" s="52">
        <v>5.4</v>
      </c>
      <c r="W52" s="52">
        <v>5.4</v>
      </c>
      <c r="X52" s="52">
        <v>14.8</v>
      </c>
      <c r="Y52" s="52">
        <v>28.1</v>
      </c>
      <c r="Z52" s="52">
        <v>22.1</v>
      </c>
      <c r="AA52" s="52">
        <v>10.7</v>
      </c>
      <c r="AB52" s="52">
        <v>10.7</v>
      </c>
      <c r="AC52" s="52">
        <v>0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28.1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73">
        <v>0</v>
      </c>
      <c r="M53" s="175">
        <v>0</v>
      </c>
      <c r="N53" s="175">
        <v>2</v>
      </c>
      <c r="O53" s="175">
        <v>2</v>
      </c>
      <c r="P53" s="78">
        <v>1.9</v>
      </c>
      <c r="Q53" s="78">
        <v>4.0999999999999996</v>
      </c>
      <c r="R53" s="50">
        <v>1.7</v>
      </c>
      <c r="S53" s="50">
        <v>1.6</v>
      </c>
      <c r="T53" s="50">
        <v>2.1</v>
      </c>
      <c r="U53" s="78">
        <v>2.1</v>
      </c>
      <c r="V53" s="78">
        <v>2</v>
      </c>
      <c r="W53" s="78">
        <v>2</v>
      </c>
      <c r="X53" s="78">
        <v>5.4</v>
      </c>
      <c r="Y53" s="78">
        <v>10.3</v>
      </c>
      <c r="Z53" s="78">
        <v>8.1</v>
      </c>
      <c r="AA53" s="78">
        <v>3.9</v>
      </c>
      <c r="AB53" s="78">
        <v>3.9</v>
      </c>
      <c r="AC53" s="78">
        <v>0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10.3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8">SUM(C51:C53)</f>
        <v>0</v>
      </c>
      <c r="D54" s="72">
        <f t="shared" si="8"/>
        <v>0</v>
      </c>
      <c r="E54" s="72">
        <f t="shared" si="8"/>
        <v>0</v>
      </c>
      <c r="F54" s="72">
        <f t="shared" si="8"/>
        <v>0</v>
      </c>
      <c r="G54" s="72">
        <f t="shared" si="8"/>
        <v>0</v>
      </c>
      <c r="H54" s="72">
        <f t="shared" si="8"/>
        <v>0</v>
      </c>
      <c r="I54" s="72">
        <f t="shared" si="8"/>
        <v>0</v>
      </c>
      <c r="J54" s="72">
        <f t="shared" si="8"/>
        <v>0</v>
      </c>
      <c r="K54" s="72">
        <f t="shared" si="8"/>
        <v>0</v>
      </c>
      <c r="L54" s="72">
        <f t="shared" si="8"/>
        <v>0</v>
      </c>
      <c r="M54" s="72">
        <f t="shared" si="8"/>
        <v>0</v>
      </c>
      <c r="N54" s="72">
        <f t="shared" si="8"/>
        <v>22.4</v>
      </c>
      <c r="O54" s="72">
        <f t="shared" si="8"/>
        <v>22.4</v>
      </c>
      <c r="P54" s="72">
        <f t="shared" si="8"/>
        <v>21.799999999999997</v>
      </c>
      <c r="Q54" s="72">
        <f t="shared" si="8"/>
        <v>29.700000000000003</v>
      </c>
      <c r="R54" s="72">
        <f t="shared" si="8"/>
        <v>17.100000000000001</v>
      </c>
      <c r="S54" s="72">
        <f t="shared" si="8"/>
        <v>18.600000000000001</v>
      </c>
      <c r="T54" s="72">
        <f t="shared" si="8"/>
        <v>22.200000000000003</v>
      </c>
      <c r="U54" s="72">
        <f t="shared" si="8"/>
        <v>22.400000000000002</v>
      </c>
      <c r="V54" s="72">
        <f t="shared" si="8"/>
        <v>21.8</v>
      </c>
      <c r="W54" s="72">
        <f t="shared" si="8"/>
        <v>21.8</v>
      </c>
      <c r="X54" s="72">
        <f t="shared" si="8"/>
        <v>63.6</v>
      </c>
      <c r="Y54" s="72">
        <f t="shared" si="8"/>
        <v>88.2</v>
      </c>
      <c r="Z54" s="72">
        <f t="shared" si="8"/>
        <v>80</v>
      </c>
      <c r="AA54" s="72">
        <f>SUM(AA51:AA53)</f>
        <v>35.700000000000003</v>
      </c>
      <c r="AB54" s="72">
        <f t="shared" si="8"/>
        <v>35.700000000000003</v>
      </c>
      <c r="AC54" s="72">
        <f t="shared" si="8"/>
        <v>0</v>
      </c>
      <c r="AD54" s="72">
        <f t="shared" si="8"/>
        <v>0</v>
      </c>
      <c r="AE54" s="72">
        <f t="shared" si="8"/>
        <v>0</v>
      </c>
      <c r="AF54" s="72">
        <f t="shared" si="8"/>
        <v>0</v>
      </c>
      <c r="AG54" s="77">
        <f>SUM(AG51:AG53)</f>
        <v>106</v>
      </c>
      <c r="AH54" s="55">
        <f t="shared" si="2"/>
        <v>88.2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26.2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16.899999999999999</v>
      </c>
      <c r="Z55" s="50">
        <v>18.3</v>
      </c>
      <c r="AA55" s="50">
        <v>18.3</v>
      </c>
      <c r="AB55" s="50">
        <v>18.3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26.2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-62.7</v>
      </c>
      <c r="Z56" s="80">
        <v>-90</v>
      </c>
      <c r="AA56" s="52">
        <v>-12.3</v>
      </c>
      <c r="AB56" s="52">
        <v>-14.7</v>
      </c>
      <c r="AC56" s="52">
        <v>-14.2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>MIN(B56:AF56)</f>
        <v>-90</v>
      </c>
      <c r="AK56" s="57"/>
    </row>
    <row r="57" spans="1:37" x14ac:dyDescent="0.25">
      <c r="A57" s="66" t="s">
        <v>64</v>
      </c>
      <c r="B57" s="52">
        <v>-50.8</v>
      </c>
      <c r="C57" s="52">
        <v>-42.6</v>
      </c>
      <c r="D57" s="52">
        <v>-51.8</v>
      </c>
      <c r="E57" s="52">
        <v>-65</v>
      </c>
      <c r="F57" s="52">
        <v>-40</v>
      </c>
      <c r="G57" s="50">
        <v>-50</v>
      </c>
      <c r="H57" s="50">
        <v>-56</v>
      </c>
      <c r="I57" s="50">
        <v>-65</v>
      </c>
      <c r="J57" s="50">
        <v>-21.5</v>
      </c>
      <c r="K57" s="50">
        <v>-48.5</v>
      </c>
      <c r="L57" s="52">
        <v>-51.3</v>
      </c>
      <c r="M57" s="52">
        <v>-46.1</v>
      </c>
      <c r="N57" s="52">
        <v>-40.200000000000003</v>
      </c>
      <c r="O57" s="52">
        <v>-36.6</v>
      </c>
      <c r="P57" s="52">
        <v>-28.5</v>
      </c>
      <c r="Q57" s="52">
        <v>-68.599999999999994</v>
      </c>
      <c r="R57" s="52">
        <v>-11.8</v>
      </c>
      <c r="S57" s="52">
        <v>-13.2</v>
      </c>
      <c r="T57" s="52">
        <v>-13.2</v>
      </c>
      <c r="U57" s="52">
        <v>-31</v>
      </c>
      <c r="V57" s="52">
        <v>-31</v>
      </c>
      <c r="W57" s="81">
        <v>-4.7</v>
      </c>
      <c r="X57" s="81">
        <v>-15.7</v>
      </c>
      <c r="Y57" s="81">
        <v>-51</v>
      </c>
      <c r="Z57" s="81">
        <v>-46.1</v>
      </c>
      <c r="AA57" s="52">
        <v>-93</v>
      </c>
      <c r="AB57" s="52">
        <v>-1.5</v>
      </c>
      <c r="AC57" s="52">
        <v>-97.6</v>
      </c>
      <c r="AD57" s="52">
        <v>-36.700000000000003</v>
      </c>
      <c r="AE57" s="52">
        <v>-40</v>
      </c>
      <c r="AF57" s="52">
        <v>-38</v>
      </c>
      <c r="AG57" s="82"/>
      <c r="AH57" s="55">
        <f t="shared" si="2"/>
        <v>-1.5</v>
      </c>
      <c r="AI57" s="56">
        <f t="shared" si="3"/>
        <v>-97.6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0">
        <v>0</v>
      </c>
      <c r="C59" s="50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0">
        <v>0</v>
      </c>
      <c r="N59" s="52">
        <v>0</v>
      </c>
      <c r="O59" s="52">
        <v>0</v>
      </c>
      <c r="P59" s="50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0">
        <v>-33.6</v>
      </c>
      <c r="Z59" s="50">
        <v>-47</v>
      </c>
      <c r="AA59" s="50">
        <v>-53.6</v>
      </c>
      <c r="AB59" s="50">
        <v>-34.200000000000003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-53.6</v>
      </c>
      <c r="AK59" s="57"/>
    </row>
    <row r="60" spans="1:37" x14ac:dyDescent="0.25">
      <c r="A60" s="66" t="s">
        <v>67</v>
      </c>
      <c r="B60" s="61">
        <v>0</v>
      </c>
      <c r="C60" s="61">
        <v>0</v>
      </c>
      <c r="D60" s="61">
        <v>0</v>
      </c>
      <c r="E60" s="61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52">
        <v>0</v>
      </c>
      <c r="O60" s="52">
        <v>0</v>
      </c>
      <c r="P60" s="50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61">
        <v>0</v>
      </c>
      <c r="D61" s="61">
        <v>0</v>
      </c>
      <c r="E61" s="61">
        <v>0</v>
      </c>
      <c r="F61" s="59">
        <v>0</v>
      </c>
      <c r="G61" s="59">
        <v>0</v>
      </c>
      <c r="H61" s="59">
        <v>0</v>
      </c>
      <c r="I61" s="59">
        <v>0</v>
      </c>
      <c r="J61" s="50">
        <v>0</v>
      </c>
      <c r="K61" s="50">
        <v>0</v>
      </c>
      <c r="L61" s="50">
        <v>0</v>
      </c>
      <c r="M61" s="61">
        <v>0</v>
      </c>
      <c r="N61" s="52">
        <v>0</v>
      </c>
      <c r="O61" s="52">
        <v>0</v>
      </c>
      <c r="P61" s="50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2">
        <v>0</v>
      </c>
      <c r="O62" s="52">
        <v>0</v>
      </c>
      <c r="P62" s="50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2">
        <v>0</v>
      </c>
      <c r="O63" s="52">
        <v>0</v>
      </c>
      <c r="P63" s="50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52">
        <v>0</v>
      </c>
      <c r="K64" s="52">
        <v>0</v>
      </c>
      <c r="L64" s="52">
        <v>0</v>
      </c>
      <c r="M64" s="84">
        <v>0</v>
      </c>
      <c r="N64" s="52">
        <v>0</v>
      </c>
      <c r="O64" s="52">
        <v>0</v>
      </c>
      <c r="P64" s="50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50">
        <v>0</v>
      </c>
      <c r="K65" s="50">
        <v>0</v>
      </c>
      <c r="L65" s="50">
        <v>0</v>
      </c>
      <c r="M65" s="84">
        <v>0</v>
      </c>
      <c r="N65" s="52">
        <v>0</v>
      </c>
      <c r="O65" s="52">
        <v>0</v>
      </c>
      <c r="P65" s="50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-50.8</v>
      </c>
      <c r="C66" s="72">
        <f t="shared" ref="C66:AF66" si="9">SUM(C55:C65)</f>
        <v>-42.6</v>
      </c>
      <c r="D66" s="72">
        <f t="shared" si="9"/>
        <v>-51.8</v>
      </c>
      <c r="E66" s="72">
        <f t="shared" si="9"/>
        <v>-65</v>
      </c>
      <c r="F66" s="72">
        <f t="shared" si="9"/>
        <v>-40</v>
      </c>
      <c r="G66" s="72">
        <f t="shared" si="9"/>
        <v>-50</v>
      </c>
      <c r="H66" s="72">
        <f t="shared" si="9"/>
        <v>-56</v>
      </c>
      <c r="I66" s="72">
        <f t="shared" si="9"/>
        <v>-65</v>
      </c>
      <c r="J66" s="72">
        <f t="shared" si="9"/>
        <v>-21.5</v>
      </c>
      <c r="K66" s="72">
        <f t="shared" si="9"/>
        <v>-48.5</v>
      </c>
      <c r="L66" s="72">
        <f t="shared" si="9"/>
        <v>-51.3</v>
      </c>
      <c r="M66" s="72">
        <f t="shared" si="9"/>
        <v>-46.1</v>
      </c>
      <c r="N66" s="72">
        <f t="shared" si="9"/>
        <v>-40.200000000000003</v>
      </c>
      <c r="O66" s="72">
        <f t="shared" si="9"/>
        <v>-36.6</v>
      </c>
      <c r="P66" s="72">
        <f t="shared" si="9"/>
        <v>-28.5</v>
      </c>
      <c r="Q66" s="72">
        <f t="shared" si="9"/>
        <v>-42.399999999999991</v>
      </c>
      <c r="R66" s="72">
        <f t="shared" si="9"/>
        <v>-11.8</v>
      </c>
      <c r="S66" s="72">
        <f t="shared" si="9"/>
        <v>-13.2</v>
      </c>
      <c r="T66" s="72">
        <f t="shared" si="9"/>
        <v>-13.2</v>
      </c>
      <c r="U66" s="72">
        <f t="shared" si="9"/>
        <v>-31</v>
      </c>
      <c r="V66" s="72">
        <f t="shared" si="9"/>
        <v>-31</v>
      </c>
      <c r="W66" s="72">
        <f t="shared" si="9"/>
        <v>-4.7</v>
      </c>
      <c r="X66" s="72">
        <f t="shared" si="9"/>
        <v>-15.7</v>
      </c>
      <c r="Y66" s="72">
        <f t="shared" si="9"/>
        <v>-130.4</v>
      </c>
      <c r="Z66" s="72">
        <f t="shared" si="9"/>
        <v>-164.8</v>
      </c>
      <c r="AA66" s="72">
        <f>SUM(AA55:AA65)</f>
        <v>-140.6</v>
      </c>
      <c r="AB66" s="72">
        <f t="shared" si="9"/>
        <v>-32.1</v>
      </c>
      <c r="AC66" s="72">
        <f t="shared" si="9"/>
        <v>-111.8</v>
      </c>
      <c r="AD66" s="72">
        <f t="shared" si="9"/>
        <v>-36.700000000000003</v>
      </c>
      <c r="AE66" s="72">
        <f t="shared" si="9"/>
        <v>-40</v>
      </c>
      <c r="AF66" s="72">
        <f t="shared" si="9"/>
        <v>-38</v>
      </c>
      <c r="AG66" s="77">
        <f>SUM(AG55:AG65)</f>
        <v>0</v>
      </c>
      <c r="AH66" s="55">
        <f t="shared" si="2"/>
        <v>-4.7</v>
      </c>
      <c r="AI66" s="56">
        <f t="shared" si="3"/>
        <v>-164.8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10">SUM(C67:C69)</f>
        <v>0</v>
      </c>
      <c r="D70" s="72">
        <f t="shared" si="10"/>
        <v>0</v>
      </c>
      <c r="E70" s="72">
        <f t="shared" si="10"/>
        <v>0</v>
      </c>
      <c r="F70" s="72">
        <f t="shared" si="10"/>
        <v>0</v>
      </c>
      <c r="G70" s="72">
        <f t="shared" si="10"/>
        <v>0</v>
      </c>
      <c r="H70" s="72">
        <f t="shared" si="10"/>
        <v>0</v>
      </c>
      <c r="I70" s="72">
        <f t="shared" si="10"/>
        <v>0</v>
      </c>
      <c r="J70" s="72">
        <f t="shared" si="10"/>
        <v>0</v>
      </c>
      <c r="K70" s="72">
        <f t="shared" si="10"/>
        <v>0</v>
      </c>
      <c r="L70" s="72">
        <f t="shared" si="10"/>
        <v>0</v>
      </c>
      <c r="M70" s="72">
        <f t="shared" si="10"/>
        <v>0</v>
      </c>
      <c r="N70" s="72">
        <f t="shared" si="10"/>
        <v>0</v>
      </c>
      <c r="O70" s="72">
        <f t="shared" si="10"/>
        <v>0</v>
      </c>
      <c r="P70" s="72">
        <f t="shared" si="10"/>
        <v>0</v>
      </c>
      <c r="Q70" s="72">
        <f t="shared" si="10"/>
        <v>0</v>
      </c>
      <c r="R70" s="72">
        <f t="shared" si="10"/>
        <v>0</v>
      </c>
      <c r="S70" s="72">
        <f t="shared" si="10"/>
        <v>0</v>
      </c>
      <c r="T70" s="72">
        <f t="shared" si="10"/>
        <v>0</v>
      </c>
      <c r="U70" s="72">
        <f t="shared" si="10"/>
        <v>0</v>
      </c>
      <c r="V70" s="72">
        <f t="shared" si="10"/>
        <v>0</v>
      </c>
      <c r="W70" s="72">
        <f t="shared" si="10"/>
        <v>0</v>
      </c>
      <c r="X70" s="72">
        <f t="shared" si="10"/>
        <v>0</v>
      </c>
      <c r="Y70" s="72">
        <f t="shared" si="10"/>
        <v>0</v>
      </c>
      <c r="Z70" s="72">
        <f t="shared" si="10"/>
        <v>0</v>
      </c>
      <c r="AA70" s="72">
        <f t="shared" si="10"/>
        <v>0</v>
      </c>
      <c r="AB70" s="72">
        <f t="shared" si="10"/>
        <v>0</v>
      </c>
      <c r="AC70" s="72">
        <f t="shared" si="10"/>
        <v>0</v>
      </c>
      <c r="AD70" s="72">
        <f t="shared" si="10"/>
        <v>0</v>
      </c>
      <c r="AE70" s="72">
        <f t="shared" si="10"/>
        <v>0</v>
      </c>
      <c r="AF70" s="72">
        <f t="shared" si="10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1128.24</v>
      </c>
      <c r="C71" s="87">
        <f t="shared" ref="C71:AG71" si="11">C66+C54+C50+C36+C70</f>
        <v>1109.44</v>
      </c>
      <c r="D71" s="87">
        <f t="shared" si="11"/>
        <v>1082.24</v>
      </c>
      <c r="E71" s="87">
        <f t="shared" si="11"/>
        <v>1047.04</v>
      </c>
      <c r="F71" s="87">
        <f t="shared" si="11"/>
        <v>1031.74</v>
      </c>
      <c r="G71" s="87">
        <f t="shared" si="11"/>
        <v>1074.54</v>
      </c>
      <c r="H71" s="87">
        <f t="shared" si="11"/>
        <v>1087.8399999999999</v>
      </c>
      <c r="I71" s="87">
        <f t="shared" si="11"/>
        <v>1135.54</v>
      </c>
      <c r="J71" s="87">
        <f t="shared" si="11"/>
        <v>1182.8399999999999</v>
      </c>
      <c r="K71" s="87">
        <f t="shared" si="11"/>
        <v>1234.1399999999999</v>
      </c>
      <c r="L71" s="87">
        <f t="shared" si="11"/>
        <v>1276.3399999999999</v>
      </c>
      <c r="M71" s="87">
        <f t="shared" si="11"/>
        <v>1278.6399999999999</v>
      </c>
      <c r="N71" s="87">
        <f t="shared" si="11"/>
        <v>1307.94</v>
      </c>
      <c r="O71" s="87">
        <f t="shared" si="11"/>
        <v>1334.3400000000001</v>
      </c>
      <c r="P71" s="87">
        <f t="shared" si="11"/>
        <v>1311.74</v>
      </c>
      <c r="Q71" s="87">
        <f t="shared" si="11"/>
        <v>1287.44</v>
      </c>
      <c r="R71" s="87">
        <f t="shared" si="11"/>
        <v>1296.44</v>
      </c>
      <c r="S71" s="87">
        <f t="shared" si="11"/>
        <v>1242.6399999999999</v>
      </c>
      <c r="T71" s="87">
        <f t="shared" si="11"/>
        <v>1233.1399999999999</v>
      </c>
      <c r="U71" s="87">
        <f t="shared" si="11"/>
        <v>1231.9399999999998</v>
      </c>
      <c r="V71" s="87">
        <f t="shared" si="11"/>
        <v>1231.3399999999999</v>
      </c>
      <c r="W71" s="87">
        <f t="shared" si="11"/>
        <v>1284.74</v>
      </c>
      <c r="X71" s="87">
        <f t="shared" si="11"/>
        <v>1464.3400000000001</v>
      </c>
      <c r="Y71" s="87">
        <f t="shared" si="11"/>
        <v>1420.04</v>
      </c>
      <c r="Z71" s="87">
        <f t="shared" si="11"/>
        <v>1413.9399999999998</v>
      </c>
      <c r="AA71" s="87">
        <f>AA66+AA54+AA50+AA36+AA70</f>
        <v>1387.54</v>
      </c>
      <c r="AB71" s="87">
        <f t="shared" si="11"/>
        <v>1496.04</v>
      </c>
      <c r="AC71" s="87">
        <f t="shared" si="11"/>
        <v>1274.3400000000001</v>
      </c>
      <c r="AD71" s="87">
        <f t="shared" si="11"/>
        <v>1223.2399999999998</v>
      </c>
      <c r="AE71" s="87">
        <f t="shared" si="11"/>
        <v>1179.44</v>
      </c>
      <c r="AF71" s="87">
        <f t="shared" si="11"/>
        <v>1152.1399999999999</v>
      </c>
      <c r="AG71" s="87">
        <f t="shared" si="11"/>
        <v>2083.14</v>
      </c>
      <c r="AH71" s="55">
        <f t="shared" si="2"/>
        <v>1496.04</v>
      </c>
      <c r="AI71" s="56">
        <f t="shared" si="3"/>
        <v>1031.74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1128.24</v>
      </c>
      <c r="C73" s="87">
        <f t="shared" ref="C73:AF73" si="12">C70+C66+C54+C50+C36+C72</f>
        <v>1109.44</v>
      </c>
      <c r="D73" s="87">
        <f t="shared" si="12"/>
        <v>1082.24</v>
      </c>
      <c r="E73" s="87">
        <f t="shared" si="12"/>
        <v>1047.04</v>
      </c>
      <c r="F73" s="87">
        <f t="shared" si="12"/>
        <v>1031.74</v>
      </c>
      <c r="G73" s="87">
        <f t="shared" si="12"/>
        <v>1074.54</v>
      </c>
      <c r="H73" s="87">
        <f t="shared" si="12"/>
        <v>1087.8399999999999</v>
      </c>
      <c r="I73" s="87">
        <f t="shared" si="12"/>
        <v>1135.54</v>
      </c>
      <c r="J73" s="87">
        <f t="shared" si="12"/>
        <v>1182.8399999999999</v>
      </c>
      <c r="K73" s="87">
        <f t="shared" si="12"/>
        <v>1234.1399999999999</v>
      </c>
      <c r="L73" s="87">
        <f t="shared" si="12"/>
        <v>1276.3399999999999</v>
      </c>
      <c r="M73" s="87">
        <f t="shared" si="12"/>
        <v>1278.6399999999999</v>
      </c>
      <c r="N73" s="87">
        <f t="shared" si="12"/>
        <v>1307.94</v>
      </c>
      <c r="O73" s="87">
        <f t="shared" si="12"/>
        <v>1334.3400000000001</v>
      </c>
      <c r="P73" s="87">
        <f t="shared" si="12"/>
        <v>1311.74</v>
      </c>
      <c r="Q73" s="87">
        <f t="shared" si="12"/>
        <v>1287.44</v>
      </c>
      <c r="R73" s="87">
        <f t="shared" si="12"/>
        <v>1296.44</v>
      </c>
      <c r="S73" s="87">
        <f t="shared" si="12"/>
        <v>1242.6399999999999</v>
      </c>
      <c r="T73" s="87">
        <f t="shared" si="12"/>
        <v>1233.1399999999999</v>
      </c>
      <c r="U73" s="87">
        <f t="shared" si="12"/>
        <v>1231.9399999999998</v>
      </c>
      <c r="V73" s="87">
        <f t="shared" si="12"/>
        <v>1231.3399999999999</v>
      </c>
      <c r="W73" s="87">
        <f t="shared" si="12"/>
        <v>1284.74</v>
      </c>
      <c r="X73" s="87">
        <f t="shared" si="12"/>
        <v>1464.3400000000001</v>
      </c>
      <c r="Y73" s="87">
        <f t="shared" si="12"/>
        <v>1420.04</v>
      </c>
      <c r="Z73" s="87">
        <f t="shared" si="12"/>
        <v>1413.9399999999998</v>
      </c>
      <c r="AA73" s="87">
        <f>AA70+AA66+AA54+AA50+AA36+AA72</f>
        <v>1387.54</v>
      </c>
      <c r="AB73" s="87">
        <f t="shared" si="12"/>
        <v>1496.04</v>
      </c>
      <c r="AC73" s="87">
        <f t="shared" si="12"/>
        <v>1274.3400000000001</v>
      </c>
      <c r="AD73" s="87">
        <f t="shared" si="12"/>
        <v>1223.2399999999998</v>
      </c>
      <c r="AE73" s="87">
        <f t="shared" si="12"/>
        <v>1179.44</v>
      </c>
      <c r="AF73" s="87">
        <f t="shared" si="12"/>
        <v>1152.1399999999999</v>
      </c>
      <c r="AG73" s="77">
        <f>AG70+AG66+AG54+AG50+AG36+AG72</f>
        <v>2083.14</v>
      </c>
      <c r="AH73" s="55">
        <f t="shared" si="2"/>
        <v>1496.04</v>
      </c>
      <c r="AI73" s="56">
        <f t="shared" si="3"/>
        <v>1031.74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3">IF(C58&lt;0,C58*-1,0)</f>
        <v>0</v>
      </c>
      <c r="D74" s="59">
        <f t="shared" si="13"/>
        <v>0</v>
      </c>
      <c r="E74" s="59">
        <f t="shared" si="13"/>
        <v>0</v>
      </c>
      <c r="F74" s="59">
        <f t="shared" si="13"/>
        <v>0</v>
      </c>
      <c r="G74" s="59">
        <f t="shared" si="13"/>
        <v>0</v>
      </c>
      <c r="H74" s="59">
        <f t="shared" si="13"/>
        <v>0</v>
      </c>
      <c r="I74" s="59">
        <f t="shared" si="13"/>
        <v>0</v>
      </c>
      <c r="J74" s="59">
        <f t="shared" si="13"/>
        <v>0</v>
      </c>
      <c r="K74" s="59">
        <f t="shared" si="13"/>
        <v>0</v>
      </c>
      <c r="L74" s="59">
        <f t="shared" si="13"/>
        <v>0</v>
      </c>
      <c r="M74" s="59">
        <f t="shared" si="13"/>
        <v>0</v>
      </c>
      <c r="N74" s="59">
        <f t="shared" si="13"/>
        <v>0</v>
      </c>
      <c r="O74" s="59">
        <f t="shared" si="13"/>
        <v>0</v>
      </c>
      <c r="P74" s="59">
        <f t="shared" si="13"/>
        <v>0</v>
      </c>
      <c r="Q74" s="59">
        <f t="shared" si="13"/>
        <v>0</v>
      </c>
      <c r="R74" s="59">
        <f t="shared" si="13"/>
        <v>0</v>
      </c>
      <c r="S74" s="59">
        <f t="shared" si="13"/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4">IF(C56&lt;0,C56*-1,0)</f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 t="shared" si="14"/>
        <v>0</v>
      </c>
      <c r="S75" s="59">
        <f t="shared" si="14"/>
        <v>0</v>
      </c>
      <c r="T75" s="59">
        <f t="shared" si="14"/>
        <v>0</v>
      </c>
      <c r="U75" s="59">
        <f t="shared" si="14"/>
        <v>0</v>
      </c>
      <c r="V75" s="59">
        <f t="shared" si="14"/>
        <v>0</v>
      </c>
      <c r="W75" s="59">
        <f t="shared" si="14"/>
        <v>0</v>
      </c>
      <c r="X75" s="59">
        <f t="shared" si="14"/>
        <v>0</v>
      </c>
      <c r="Y75" s="59">
        <f t="shared" si="14"/>
        <v>62.7</v>
      </c>
      <c r="Z75" s="59">
        <f t="shared" si="14"/>
        <v>90</v>
      </c>
      <c r="AA75" s="59">
        <f t="shared" si="14"/>
        <v>12.3</v>
      </c>
      <c r="AB75" s="59">
        <f t="shared" si="14"/>
        <v>14.7</v>
      </c>
      <c r="AC75" s="59">
        <f t="shared" si="14"/>
        <v>14.2</v>
      </c>
      <c r="AD75" s="59">
        <f t="shared" si="14"/>
        <v>0</v>
      </c>
      <c r="AE75" s="59">
        <f t="shared" si="14"/>
        <v>0</v>
      </c>
      <c r="AF75" s="59">
        <f t="shared" si="14"/>
        <v>0</v>
      </c>
      <c r="AG75" s="67"/>
      <c r="AH75" s="55">
        <f t="shared" si="2"/>
        <v>90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5">IF(C59&lt;0,C59*-1,0)</f>
        <v>0</v>
      </c>
      <c r="D76" s="59">
        <f t="shared" si="15"/>
        <v>0</v>
      </c>
      <c r="E76" s="59">
        <f t="shared" si="15"/>
        <v>0</v>
      </c>
      <c r="F76" s="59">
        <f t="shared" si="15"/>
        <v>0</v>
      </c>
      <c r="G76" s="59">
        <f t="shared" si="15"/>
        <v>0</v>
      </c>
      <c r="H76" s="59">
        <f t="shared" si="15"/>
        <v>0</v>
      </c>
      <c r="I76" s="59">
        <f t="shared" si="15"/>
        <v>0</v>
      </c>
      <c r="J76" s="59">
        <f t="shared" si="15"/>
        <v>0</v>
      </c>
      <c r="K76" s="59">
        <f t="shared" si="15"/>
        <v>0</v>
      </c>
      <c r="L76" s="59">
        <f t="shared" si="15"/>
        <v>0</v>
      </c>
      <c r="M76" s="59">
        <f t="shared" si="15"/>
        <v>0</v>
      </c>
      <c r="N76" s="59">
        <f t="shared" si="15"/>
        <v>0</v>
      </c>
      <c r="O76" s="59">
        <f t="shared" si="15"/>
        <v>0</v>
      </c>
      <c r="P76" s="59">
        <f t="shared" si="15"/>
        <v>0</v>
      </c>
      <c r="Q76" s="59">
        <f t="shared" si="15"/>
        <v>0</v>
      </c>
      <c r="R76" s="59">
        <f t="shared" si="15"/>
        <v>0</v>
      </c>
      <c r="S76" s="59">
        <f t="shared" si="15"/>
        <v>0</v>
      </c>
      <c r="T76" s="59">
        <f t="shared" si="15"/>
        <v>0</v>
      </c>
      <c r="U76" s="59">
        <f t="shared" si="15"/>
        <v>0</v>
      </c>
      <c r="V76" s="59">
        <f t="shared" si="15"/>
        <v>0</v>
      </c>
      <c r="W76" s="59">
        <f t="shared" si="15"/>
        <v>0</v>
      </c>
      <c r="X76" s="59">
        <f t="shared" si="15"/>
        <v>0</v>
      </c>
      <c r="Y76" s="59">
        <f t="shared" si="15"/>
        <v>33.6</v>
      </c>
      <c r="Z76" s="59">
        <f t="shared" si="15"/>
        <v>47</v>
      </c>
      <c r="AA76" s="59">
        <f t="shared" si="15"/>
        <v>53.6</v>
      </c>
      <c r="AB76" s="59">
        <f t="shared" si="15"/>
        <v>34.200000000000003</v>
      </c>
      <c r="AC76" s="59">
        <f t="shared" si="15"/>
        <v>0</v>
      </c>
      <c r="AD76" s="59">
        <f t="shared" si="15"/>
        <v>0</v>
      </c>
      <c r="AE76" s="59">
        <f t="shared" si="15"/>
        <v>0</v>
      </c>
      <c r="AF76" s="59">
        <f t="shared" si="15"/>
        <v>0</v>
      </c>
      <c r="AG76" s="90"/>
      <c r="AH76" s="55">
        <f t="shared" si="2"/>
        <v>53.6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50.8</v>
      </c>
      <c r="C77" s="59">
        <f t="shared" ref="C77:AF77" si="16">IF(C57&lt;0,C57*-1,0)</f>
        <v>42.6</v>
      </c>
      <c r="D77" s="59">
        <f t="shared" si="16"/>
        <v>51.8</v>
      </c>
      <c r="E77" s="59">
        <f t="shared" si="16"/>
        <v>65</v>
      </c>
      <c r="F77" s="59">
        <f t="shared" si="16"/>
        <v>40</v>
      </c>
      <c r="G77" s="59">
        <f t="shared" si="16"/>
        <v>50</v>
      </c>
      <c r="H77" s="59">
        <f t="shared" si="16"/>
        <v>56</v>
      </c>
      <c r="I77" s="59">
        <f t="shared" si="16"/>
        <v>65</v>
      </c>
      <c r="J77" s="59">
        <f t="shared" si="16"/>
        <v>21.5</v>
      </c>
      <c r="K77" s="59">
        <f t="shared" si="16"/>
        <v>48.5</v>
      </c>
      <c r="L77" s="59">
        <f t="shared" si="16"/>
        <v>51.3</v>
      </c>
      <c r="M77" s="59">
        <f t="shared" si="16"/>
        <v>46.1</v>
      </c>
      <c r="N77" s="59">
        <f t="shared" si="16"/>
        <v>40.200000000000003</v>
      </c>
      <c r="O77" s="59">
        <f t="shared" si="16"/>
        <v>36.6</v>
      </c>
      <c r="P77" s="59">
        <f t="shared" si="16"/>
        <v>28.5</v>
      </c>
      <c r="Q77" s="59">
        <f t="shared" si="16"/>
        <v>68.599999999999994</v>
      </c>
      <c r="R77" s="59">
        <f t="shared" si="16"/>
        <v>11.8</v>
      </c>
      <c r="S77" s="59">
        <f t="shared" si="16"/>
        <v>13.2</v>
      </c>
      <c r="T77" s="59">
        <f t="shared" si="16"/>
        <v>13.2</v>
      </c>
      <c r="U77" s="59">
        <f t="shared" si="16"/>
        <v>31</v>
      </c>
      <c r="V77" s="59">
        <f t="shared" si="16"/>
        <v>31</v>
      </c>
      <c r="W77" s="59">
        <f t="shared" si="16"/>
        <v>4.7</v>
      </c>
      <c r="X77" s="59">
        <f t="shared" si="16"/>
        <v>15.7</v>
      </c>
      <c r="Y77" s="59">
        <f t="shared" si="16"/>
        <v>51</v>
      </c>
      <c r="Z77" s="59">
        <f t="shared" si="16"/>
        <v>46.1</v>
      </c>
      <c r="AA77" s="59">
        <f t="shared" si="16"/>
        <v>93</v>
      </c>
      <c r="AB77" s="59">
        <f t="shared" si="16"/>
        <v>1.5</v>
      </c>
      <c r="AC77" s="59">
        <f t="shared" si="16"/>
        <v>97.6</v>
      </c>
      <c r="AD77" s="59">
        <f t="shared" si="16"/>
        <v>36.700000000000003</v>
      </c>
      <c r="AE77" s="59">
        <f t="shared" si="16"/>
        <v>40</v>
      </c>
      <c r="AF77" s="59">
        <f t="shared" si="16"/>
        <v>38</v>
      </c>
      <c r="AG77" s="90"/>
      <c r="AH77" s="55">
        <f t="shared" ref="AH77:AH89" si="17">MAX(B77:AF77)</f>
        <v>97.6</v>
      </c>
      <c r="AI77" s="56">
        <f t="shared" ref="AI77:AI89" si="18">MIN(B77:AF77)</f>
        <v>1.5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9">IF(C55&lt;0,C55*-1,0)</f>
        <v>0</v>
      </c>
      <c r="D78" s="59">
        <f t="shared" si="19"/>
        <v>0</v>
      </c>
      <c r="E78" s="59">
        <f t="shared" si="19"/>
        <v>0</v>
      </c>
      <c r="F78" s="59">
        <f t="shared" si="19"/>
        <v>0</v>
      </c>
      <c r="G78" s="59">
        <f t="shared" si="19"/>
        <v>0</v>
      </c>
      <c r="H78" s="59">
        <f t="shared" si="19"/>
        <v>0</v>
      </c>
      <c r="I78" s="59">
        <f t="shared" si="19"/>
        <v>0</v>
      </c>
      <c r="J78" s="59">
        <f t="shared" si="19"/>
        <v>0</v>
      </c>
      <c r="K78" s="59">
        <f t="shared" si="19"/>
        <v>0</v>
      </c>
      <c r="L78" s="59">
        <f t="shared" si="19"/>
        <v>0</v>
      </c>
      <c r="M78" s="59">
        <f t="shared" si="19"/>
        <v>0</v>
      </c>
      <c r="N78" s="59">
        <f t="shared" si="19"/>
        <v>0</v>
      </c>
      <c r="O78" s="59">
        <f t="shared" si="19"/>
        <v>0</v>
      </c>
      <c r="P78" s="59">
        <f t="shared" si="19"/>
        <v>0</v>
      </c>
      <c r="Q78" s="59">
        <f t="shared" si="19"/>
        <v>0</v>
      </c>
      <c r="R78" s="59">
        <f t="shared" si="19"/>
        <v>0</v>
      </c>
      <c r="S78" s="59">
        <f t="shared" si="19"/>
        <v>0</v>
      </c>
      <c r="T78" s="59">
        <f t="shared" si="19"/>
        <v>0</v>
      </c>
      <c r="U78" s="59">
        <f t="shared" si="19"/>
        <v>0</v>
      </c>
      <c r="V78" s="59">
        <f t="shared" si="19"/>
        <v>0</v>
      </c>
      <c r="W78" s="59">
        <f t="shared" si="19"/>
        <v>0</v>
      </c>
      <c r="X78" s="59">
        <f t="shared" si="19"/>
        <v>0</v>
      </c>
      <c r="Y78" s="59">
        <f t="shared" si="19"/>
        <v>0</v>
      </c>
      <c r="Z78" s="59">
        <f t="shared" si="19"/>
        <v>0</v>
      </c>
      <c r="AA78" s="59">
        <f>IF(AA55&lt;0,AA55*-1,0)</f>
        <v>0</v>
      </c>
      <c r="AB78" s="59">
        <f t="shared" si="19"/>
        <v>0</v>
      </c>
      <c r="AC78" s="59">
        <f t="shared" si="19"/>
        <v>0</v>
      </c>
      <c r="AD78" s="59">
        <f t="shared" si="19"/>
        <v>0</v>
      </c>
      <c r="AE78" s="59">
        <f t="shared" si="19"/>
        <v>0</v>
      </c>
      <c r="AF78" s="59">
        <f t="shared" si="19"/>
        <v>0</v>
      </c>
      <c r="AG78" s="90"/>
      <c r="AH78" s="55">
        <f t="shared" si="17"/>
        <v>0</v>
      </c>
      <c r="AI78" s="56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7"/>
        <v>0</v>
      </c>
      <c r="AI79" s="56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0">SUM(B74:B79)</f>
        <v>50.8</v>
      </c>
      <c r="C80" s="72">
        <f t="shared" si="20"/>
        <v>42.6</v>
      </c>
      <c r="D80" s="72">
        <f t="shared" si="20"/>
        <v>51.8</v>
      </c>
      <c r="E80" s="72">
        <f t="shared" si="20"/>
        <v>65</v>
      </c>
      <c r="F80" s="72">
        <f t="shared" si="20"/>
        <v>40</v>
      </c>
      <c r="G80" s="72">
        <f t="shared" si="20"/>
        <v>50</v>
      </c>
      <c r="H80" s="72">
        <f t="shared" si="20"/>
        <v>56</v>
      </c>
      <c r="I80" s="72">
        <f t="shared" si="20"/>
        <v>65</v>
      </c>
      <c r="J80" s="72">
        <f t="shared" si="20"/>
        <v>21.5</v>
      </c>
      <c r="K80" s="72">
        <f t="shared" si="20"/>
        <v>48.5</v>
      </c>
      <c r="L80" s="72">
        <f t="shared" si="20"/>
        <v>51.3</v>
      </c>
      <c r="M80" s="72">
        <f t="shared" si="20"/>
        <v>46.1</v>
      </c>
      <c r="N80" s="72">
        <f t="shared" si="20"/>
        <v>40.200000000000003</v>
      </c>
      <c r="O80" s="72">
        <f t="shared" si="20"/>
        <v>36.6</v>
      </c>
      <c r="P80" s="72">
        <f t="shared" si="20"/>
        <v>28.5</v>
      </c>
      <c r="Q80" s="72">
        <f t="shared" si="20"/>
        <v>68.599999999999994</v>
      </c>
      <c r="R80" s="72">
        <f t="shared" si="20"/>
        <v>11.8</v>
      </c>
      <c r="S80" s="72">
        <f t="shared" si="20"/>
        <v>13.2</v>
      </c>
      <c r="T80" s="72">
        <f t="shared" si="20"/>
        <v>13.2</v>
      </c>
      <c r="U80" s="72">
        <f t="shared" si="20"/>
        <v>31</v>
      </c>
      <c r="V80" s="72">
        <f t="shared" si="20"/>
        <v>31</v>
      </c>
      <c r="W80" s="72">
        <f t="shared" si="20"/>
        <v>4.7</v>
      </c>
      <c r="X80" s="72">
        <f t="shared" si="20"/>
        <v>15.7</v>
      </c>
      <c r="Y80" s="72">
        <f t="shared" si="20"/>
        <v>147.30000000000001</v>
      </c>
      <c r="Z80" s="72">
        <f t="shared" si="20"/>
        <v>183.1</v>
      </c>
      <c r="AA80" s="72">
        <f t="shared" si="20"/>
        <v>158.9</v>
      </c>
      <c r="AB80" s="72">
        <f t="shared" si="20"/>
        <v>50.400000000000006</v>
      </c>
      <c r="AC80" s="72">
        <f t="shared" si="20"/>
        <v>111.8</v>
      </c>
      <c r="AD80" s="72">
        <f t="shared" si="20"/>
        <v>36.700000000000003</v>
      </c>
      <c r="AE80" s="72">
        <f t="shared" si="20"/>
        <v>40</v>
      </c>
      <c r="AF80" s="72">
        <f t="shared" si="20"/>
        <v>38</v>
      </c>
      <c r="AG80" s="77">
        <f t="shared" si="20"/>
        <v>0</v>
      </c>
      <c r="AH80" s="55">
        <f t="shared" si="17"/>
        <v>183.1</v>
      </c>
      <c r="AI80" s="56">
        <f t="shared" si="18"/>
        <v>4.7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1">SUM(B68:B80)</f>
        <v>2358.0800000000004</v>
      </c>
      <c r="C81" s="72">
        <f t="shared" si="21"/>
        <v>2304.08</v>
      </c>
      <c r="D81" s="72">
        <f t="shared" si="21"/>
        <v>2268.0800000000004</v>
      </c>
      <c r="E81" s="72">
        <f t="shared" si="21"/>
        <v>2224.08</v>
      </c>
      <c r="F81" s="72">
        <f t="shared" si="21"/>
        <v>2143.48</v>
      </c>
      <c r="G81" s="72">
        <f t="shared" si="21"/>
        <v>2249.08</v>
      </c>
      <c r="H81" s="72">
        <f t="shared" si="21"/>
        <v>2287.6799999999998</v>
      </c>
      <c r="I81" s="72">
        <f t="shared" si="21"/>
        <v>2401.08</v>
      </c>
      <c r="J81" s="72">
        <f t="shared" si="21"/>
        <v>2408.6799999999998</v>
      </c>
      <c r="K81" s="72">
        <f t="shared" si="21"/>
        <v>2565.2799999999997</v>
      </c>
      <c r="L81" s="72">
        <f t="shared" si="21"/>
        <v>2655.28</v>
      </c>
      <c r="M81" s="72">
        <f t="shared" si="21"/>
        <v>2649.4799999999996</v>
      </c>
      <c r="N81" s="72">
        <f t="shared" si="21"/>
        <v>2696.2799999999997</v>
      </c>
      <c r="O81" s="72">
        <f t="shared" si="21"/>
        <v>2741.88</v>
      </c>
      <c r="P81" s="72">
        <f t="shared" si="21"/>
        <v>2680.48</v>
      </c>
      <c r="Q81" s="72">
        <f t="shared" si="21"/>
        <v>2712.08</v>
      </c>
      <c r="R81" s="72">
        <f t="shared" si="21"/>
        <v>2616.4800000000005</v>
      </c>
      <c r="S81" s="72">
        <f t="shared" si="21"/>
        <v>2511.6799999999994</v>
      </c>
      <c r="T81" s="72">
        <f t="shared" si="21"/>
        <v>2492.6799999999994</v>
      </c>
      <c r="U81" s="72">
        <f t="shared" si="21"/>
        <v>2525.8799999999997</v>
      </c>
      <c r="V81" s="72">
        <f t="shared" si="21"/>
        <v>2524.6799999999998</v>
      </c>
      <c r="W81" s="72">
        <f t="shared" si="21"/>
        <v>2578.8799999999997</v>
      </c>
      <c r="X81" s="72">
        <f t="shared" si="21"/>
        <v>2960.08</v>
      </c>
      <c r="Y81" s="72">
        <f t="shared" si="21"/>
        <v>3134.68</v>
      </c>
      <c r="Z81" s="72">
        <f t="shared" si="21"/>
        <v>3194.0799999999995</v>
      </c>
      <c r="AA81" s="72">
        <f t="shared" si="21"/>
        <v>3092.88</v>
      </c>
      <c r="AB81" s="72">
        <f t="shared" si="21"/>
        <v>3092.8799999999997</v>
      </c>
      <c r="AC81" s="72">
        <f t="shared" si="21"/>
        <v>2772.28</v>
      </c>
      <c r="AD81" s="72">
        <f t="shared" si="21"/>
        <v>2519.8799999999992</v>
      </c>
      <c r="AE81" s="72">
        <f t="shared" si="21"/>
        <v>2438.88</v>
      </c>
      <c r="AF81" s="72">
        <f t="shared" si="21"/>
        <v>2380.2799999999997</v>
      </c>
      <c r="AG81" s="77">
        <f t="shared" si="21"/>
        <v>4238.08</v>
      </c>
      <c r="AH81" s="55">
        <f t="shared" si="17"/>
        <v>3194.0799999999995</v>
      </c>
      <c r="AI81" s="56">
        <f t="shared" si="18"/>
        <v>2143.48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50.042999999999999</v>
      </c>
      <c r="C82" s="93">
        <v>50</v>
      </c>
      <c r="D82" s="93">
        <v>50.029000000000003</v>
      </c>
      <c r="E82" s="93">
        <v>49.988999999999997</v>
      </c>
      <c r="F82" s="93">
        <v>50.029000000000003</v>
      </c>
      <c r="G82" s="93">
        <v>49.917999999999999</v>
      </c>
      <c r="H82" s="93">
        <v>49.97</v>
      </c>
      <c r="I82" s="93">
        <v>49.923000000000002</v>
      </c>
      <c r="J82" s="93">
        <v>50.078000000000003</v>
      </c>
      <c r="K82" s="93">
        <v>50.002000000000002</v>
      </c>
      <c r="L82" s="93">
        <v>49.973999999999997</v>
      </c>
      <c r="M82" s="93">
        <v>50.072000000000003</v>
      </c>
      <c r="N82" s="93">
        <v>50.01</v>
      </c>
      <c r="O82" s="93">
        <v>50.023000000000003</v>
      </c>
      <c r="P82" s="93">
        <v>49.99</v>
      </c>
      <c r="Q82" s="93">
        <v>50.027000000000001</v>
      </c>
      <c r="R82" s="93">
        <v>50.033999999999999</v>
      </c>
      <c r="S82" s="93">
        <v>50.042999999999999</v>
      </c>
      <c r="T82" s="93">
        <v>50.02</v>
      </c>
      <c r="U82" s="93">
        <v>50.009</v>
      </c>
      <c r="V82" s="93">
        <v>50.009</v>
      </c>
      <c r="W82" s="93">
        <v>50.006999999999998</v>
      </c>
      <c r="X82" s="93">
        <v>49.984999999999999</v>
      </c>
      <c r="Y82" s="93">
        <v>50.04</v>
      </c>
      <c r="Z82" s="93">
        <v>49.988999999999997</v>
      </c>
      <c r="AA82" s="93">
        <v>50.06</v>
      </c>
      <c r="AB82" s="93">
        <v>49.97</v>
      </c>
      <c r="AC82" s="93">
        <v>50.02</v>
      </c>
      <c r="AD82" s="93">
        <v>50.05</v>
      </c>
      <c r="AE82" s="93">
        <v>50.024000000000001</v>
      </c>
      <c r="AF82" s="94">
        <v>50.058999999999997</v>
      </c>
      <c r="AG82" s="95"/>
      <c r="AH82" s="55">
        <f t="shared" si="17"/>
        <v>50.078000000000003</v>
      </c>
      <c r="AI82" s="56">
        <f t="shared" si="18"/>
        <v>49.917999999999999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126.1</v>
      </c>
      <c r="C83" s="52">
        <v>125.1</v>
      </c>
      <c r="D83" s="52">
        <v>125.1</v>
      </c>
      <c r="E83" s="52">
        <v>125.7</v>
      </c>
      <c r="F83" s="52">
        <v>126.1</v>
      </c>
      <c r="G83" s="52">
        <v>125.4</v>
      </c>
      <c r="H83" s="52">
        <v>124.7</v>
      </c>
      <c r="I83" s="52">
        <v>123</v>
      </c>
      <c r="J83" s="52">
        <v>123.6</v>
      </c>
      <c r="K83" s="52">
        <v>121.8</v>
      </c>
      <c r="L83" s="52">
        <v>122.8</v>
      </c>
      <c r="M83" s="52">
        <v>121.3</v>
      </c>
      <c r="N83" s="52">
        <v>121.1</v>
      </c>
      <c r="O83" s="52">
        <v>121.1</v>
      </c>
      <c r="P83" s="52">
        <v>121.5</v>
      </c>
      <c r="Q83" s="52">
        <v>122.9</v>
      </c>
      <c r="R83" s="52">
        <v>122</v>
      </c>
      <c r="S83" s="52">
        <v>120.8</v>
      </c>
      <c r="T83" s="97">
        <v>120.8</v>
      </c>
      <c r="U83" s="97">
        <v>125.1</v>
      </c>
      <c r="V83" s="97">
        <v>125.1</v>
      </c>
      <c r="W83" s="97">
        <v>124.4</v>
      </c>
      <c r="X83" s="97">
        <v>122.6</v>
      </c>
      <c r="Y83" s="97">
        <v>123.9</v>
      </c>
      <c r="Z83" s="97">
        <v>123.5</v>
      </c>
      <c r="AA83" s="97">
        <v>122.9</v>
      </c>
      <c r="AB83" s="97">
        <v>123.4</v>
      </c>
      <c r="AC83" s="97">
        <v>124.5</v>
      </c>
      <c r="AD83" s="97">
        <v>125.9</v>
      </c>
      <c r="AE83" s="52">
        <v>124.4</v>
      </c>
      <c r="AF83" s="98">
        <v>125.9</v>
      </c>
      <c r="AG83" s="99"/>
      <c r="AH83" s="55">
        <f t="shared" si="17"/>
        <v>126.1</v>
      </c>
      <c r="AI83" s="56">
        <f t="shared" si="18"/>
        <v>120.8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130</v>
      </c>
      <c r="C84" s="52">
        <v>129.19999999999999</v>
      </c>
      <c r="D84" s="52">
        <v>129.4</v>
      </c>
      <c r="E84" s="52">
        <v>129.69999999999999</v>
      </c>
      <c r="F84" s="52">
        <v>130</v>
      </c>
      <c r="G84" s="52">
        <v>129.19999999999999</v>
      </c>
      <c r="H84" s="52">
        <v>128.4</v>
      </c>
      <c r="I84" s="52">
        <v>126.5</v>
      </c>
      <c r="J84" s="52">
        <v>127</v>
      </c>
      <c r="K84" s="52">
        <v>125.4</v>
      </c>
      <c r="L84" s="52">
        <v>126.3</v>
      </c>
      <c r="M84" s="52">
        <v>124.3</v>
      </c>
      <c r="N84" s="52">
        <v>124.7</v>
      </c>
      <c r="O84" s="52">
        <v>124.7</v>
      </c>
      <c r="P84" s="52">
        <v>125</v>
      </c>
      <c r="Q84" s="52">
        <v>126</v>
      </c>
      <c r="R84" s="52">
        <v>125.4</v>
      </c>
      <c r="S84" s="52">
        <v>123.6</v>
      </c>
      <c r="T84" s="97">
        <v>123.6</v>
      </c>
      <c r="U84" s="97">
        <v>128.19999999999999</v>
      </c>
      <c r="V84" s="97">
        <v>128.19999999999999</v>
      </c>
      <c r="W84" s="97">
        <v>127.5</v>
      </c>
      <c r="X84" s="97">
        <v>125.8</v>
      </c>
      <c r="Y84" s="97">
        <v>127.5</v>
      </c>
      <c r="Z84" s="97">
        <v>127.5</v>
      </c>
      <c r="AA84" s="97">
        <v>127.5</v>
      </c>
      <c r="AB84" s="97">
        <v>128</v>
      </c>
      <c r="AC84" s="97">
        <v>128.4</v>
      </c>
      <c r="AD84" s="97">
        <v>130</v>
      </c>
      <c r="AE84" s="52">
        <v>129.1</v>
      </c>
      <c r="AF84" s="98">
        <v>129.9</v>
      </c>
      <c r="AG84" s="99"/>
      <c r="AH84" s="55">
        <f t="shared" si="17"/>
        <v>130</v>
      </c>
      <c r="AI84" s="56">
        <f t="shared" si="18"/>
        <v>123.6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129.5</v>
      </c>
      <c r="C85" s="52">
        <v>130.1</v>
      </c>
      <c r="D85" s="52">
        <v>128.69999999999999</v>
      </c>
      <c r="E85" s="52">
        <v>127.6</v>
      </c>
      <c r="F85" s="52">
        <v>129.80000000000001</v>
      </c>
      <c r="G85" s="52">
        <v>131</v>
      </c>
      <c r="H85" s="52">
        <v>130</v>
      </c>
      <c r="I85" s="52">
        <v>126.8</v>
      </c>
      <c r="J85" s="52">
        <v>128.69999999999999</v>
      </c>
      <c r="K85" s="52">
        <v>124.6</v>
      </c>
      <c r="L85" s="52">
        <v>126.9</v>
      </c>
      <c r="M85" s="52">
        <v>126.7</v>
      </c>
      <c r="N85" s="52">
        <v>128.1</v>
      </c>
      <c r="O85" s="52">
        <v>128.1</v>
      </c>
      <c r="P85" s="52">
        <v>128.9</v>
      </c>
      <c r="Q85" s="52">
        <v>128.1</v>
      </c>
      <c r="R85" s="52">
        <v>125.9</v>
      </c>
      <c r="S85" s="52">
        <v>126.4</v>
      </c>
      <c r="T85" s="52">
        <v>127.8</v>
      </c>
      <c r="U85" s="52">
        <v>130.6</v>
      </c>
      <c r="V85" s="52">
        <v>130.6</v>
      </c>
      <c r="W85" s="97">
        <v>128</v>
      </c>
      <c r="X85" s="97">
        <v>125.5</v>
      </c>
      <c r="Y85" s="97">
        <v>128.30000000000001</v>
      </c>
      <c r="Z85" s="97">
        <v>122.1</v>
      </c>
      <c r="AA85" s="97">
        <v>127</v>
      </c>
      <c r="AB85" s="97">
        <v>128.30000000000001</v>
      </c>
      <c r="AC85" s="97">
        <v>127.6</v>
      </c>
      <c r="AD85" s="97">
        <v>128.30000000000001</v>
      </c>
      <c r="AE85" s="52">
        <v>128.30000000000001</v>
      </c>
      <c r="AF85" s="98">
        <v>128.30000000000001</v>
      </c>
      <c r="AG85" s="99"/>
      <c r="AH85" s="55">
        <f t="shared" si="17"/>
        <v>131</v>
      </c>
      <c r="AI85" s="56">
        <f t="shared" si="18"/>
        <v>122.1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131.80000000000001</v>
      </c>
      <c r="C86" s="52">
        <v>132.5</v>
      </c>
      <c r="D86" s="52">
        <v>132.4</v>
      </c>
      <c r="E86" s="52">
        <v>131.6</v>
      </c>
      <c r="F86" s="52">
        <v>133.4</v>
      </c>
      <c r="G86" s="52">
        <v>134.19999999999999</v>
      </c>
      <c r="H86" s="52">
        <v>133.80000000000001</v>
      </c>
      <c r="I86" s="52">
        <v>132.6</v>
      </c>
      <c r="J86" s="52">
        <v>131.9</v>
      </c>
      <c r="K86" s="52">
        <v>128.30000000000001</v>
      </c>
      <c r="L86" s="52">
        <v>131</v>
      </c>
      <c r="M86" s="52">
        <v>129.30000000000001</v>
      </c>
      <c r="N86" s="52">
        <v>131.1</v>
      </c>
      <c r="O86" s="52">
        <v>131.1</v>
      </c>
      <c r="P86" s="52">
        <v>131.30000000000001</v>
      </c>
      <c r="Q86" s="52">
        <v>131.4</v>
      </c>
      <c r="R86" s="52">
        <v>128.9</v>
      </c>
      <c r="S86" s="52">
        <v>129.30000000000001</v>
      </c>
      <c r="T86" s="52">
        <v>130.80000000000001</v>
      </c>
      <c r="U86" s="52">
        <v>133.4</v>
      </c>
      <c r="V86" s="52">
        <v>133.4</v>
      </c>
      <c r="W86" s="97">
        <v>130.4</v>
      </c>
      <c r="X86" s="97">
        <v>128.69999999999999</v>
      </c>
      <c r="Y86" s="97">
        <v>131.5</v>
      </c>
      <c r="Z86" s="97">
        <v>126.1</v>
      </c>
      <c r="AA86" s="97">
        <v>126.1</v>
      </c>
      <c r="AB86" s="97">
        <v>132.80000000000001</v>
      </c>
      <c r="AC86" s="97">
        <v>131.4</v>
      </c>
      <c r="AD86" s="97">
        <v>132.80000000000001</v>
      </c>
      <c r="AE86" s="52">
        <v>133.6</v>
      </c>
      <c r="AF86" s="98">
        <v>133.6</v>
      </c>
      <c r="AG86" s="99"/>
      <c r="AH86" s="55">
        <f t="shared" si="17"/>
        <v>134.19999999999999</v>
      </c>
      <c r="AI86" s="56">
        <f t="shared" si="18"/>
        <v>126.1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131.80000000000001</v>
      </c>
      <c r="C87" s="101">
        <v>131.1</v>
      </c>
      <c r="D87" s="101">
        <v>131.6</v>
      </c>
      <c r="E87" s="101">
        <v>135.30000000000001</v>
      </c>
      <c r="F87" s="101">
        <v>133.6</v>
      </c>
      <c r="G87" s="101">
        <v>133.6</v>
      </c>
      <c r="H87" s="101">
        <v>133.1</v>
      </c>
      <c r="I87" s="101">
        <v>132.69999999999999</v>
      </c>
      <c r="J87" s="101">
        <v>132.80000000000001</v>
      </c>
      <c r="K87" s="101">
        <v>131.9</v>
      </c>
      <c r="L87" s="101">
        <v>134.80000000000001</v>
      </c>
      <c r="M87" s="101">
        <v>132.9</v>
      </c>
      <c r="N87" s="101">
        <v>130.4</v>
      </c>
      <c r="O87" s="101">
        <v>130.4</v>
      </c>
      <c r="P87" s="101">
        <v>131.4</v>
      </c>
      <c r="Q87" s="101">
        <v>129.69999999999999</v>
      </c>
      <c r="R87" s="101">
        <v>132.80000000000001</v>
      </c>
      <c r="S87" s="101">
        <v>129.80000000000001</v>
      </c>
      <c r="T87" s="101">
        <v>134</v>
      </c>
      <c r="U87" s="101">
        <v>133</v>
      </c>
      <c r="V87" s="101">
        <v>133</v>
      </c>
      <c r="W87" s="97">
        <v>134.80000000000001</v>
      </c>
      <c r="X87" s="97">
        <v>129.69999999999999</v>
      </c>
      <c r="Y87" s="97">
        <v>133</v>
      </c>
      <c r="Z87" s="97">
        <v>136.5</v>
      </c>
      <c r="AA87" s="97">
        <v>136.5</v>
      </c>
      <c r="AB87" s="97">
        <v>135.30000000000001</v>
      </c>
      <c r="AC87" s="97">
        <v>134.6</v>
      </c>
      <c r="AD87" s="97">
        <v>136.5</v>
      </c>
      <c r="AE87" s="101">
        <v>132</v>
      </c>
      <c r="AF87" s="102">
        <v>130.9</v>
      </c>
      <c r="AG87" s="103"/>
      <c r="AH87" s="55">
        <f t="shared" si="17"/>
        <v>136.5</v>
      </c>
      <c r="AI87" s="56">
        <f t="shared" si="18"/>
        <v>129.69999999999999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130.30000000000001</v>
      </c>
      <c r="C88" s="52">
        <v>130.6</v>
      </c>
      <c r="D88" s="52">
        <v>129.1</v>
      </c>
      <c r="E88" s="52">
        <v>132.9</v>
      </c>
      <c r="F88" s="52">
        <v>131.69999999999999</v>
      </c>
      <c r="G88" s="52">
        <v>131.80000000000001</v>
      </c>
      <c r="H88" s="52">
        <v>132</v>
      </c>
      <c r="I88" s="52">
        <v>130</v>
      </c>
      <c r="J88" s="52">
        <v>129.9</v>
      </c>
      <c r="K88" s="52">
        <v>127.7</v>
      </c>
      <c r="L88" s="52">
        <v>132.30000000000001</v>
      </c>
      <c r="M88" s="52">
        <v>128.6</v>
      </c>
      <c r="N88" s="52">
        <v>126.4</v>
      </c>
      <c r="O88" s="52">
        <v>126.4</v>
      </c>
      <c r="P88" s="52">
        <v>127.4</v>
      </c>
      <c r="Q88" s="52">
        <v>127.8</v>
      </c>
      <c r="R88" s="52">
        <v>128.80000000000001</v>
      </c>
      <c r="S88" s="52">
        <v>125.4</v>
      </c>
      <c r="T88" s="52">
        <v>133</v>
      </c>
      <c r="U88" s="52">
        <v>131.19999999999999</v>
      </c>
      <c r="V88" s="52">
        <v>131.19999999999999</v>
      </c>
      <c r="W88" s="97">
        <v>133.54</v>
      </c>
      <c r="X88" s="97">
        <v>125.2</v>
      </c>
      <c r="Y88" s="97">
        <v>125.3</v>
      </c>
      <c r="Z88" s="97">
        <v>132</v>
      </c>
      <c r="AA88" s="97">
        <v>132</v>
      </c>
      <c r="AB88" s="97">
        <v>132.80000000000001</v>
      </c>
      <c r="AC88" s="97">
        <v>132.80000000000001</v>
      </c>
      <c r="AD88" s="97">
        <v>132.80000000000001</v>
      </c>
      <c r="AE88" s="52">
        <v>129.30000000000001</v>
      </c>
      <c r="AF88" s="98">
        <v>128.9</v>
      </c>
      <c r="AG88" s="99"/>
      <c r="AH88" s="55">
        <f t="shared" si="17"/>
        <v>133.54</v>
      </c>
      <c r="AI88" s="56">
        <f t="shared" si="18"/>
        <v>125.2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66.099999999999994</v>
      </c>
      <c r="C89" s="104">
        <v>65.599999999999994</v>
      </c>
      <c r="D89" s="104">
        <v>65.900000000000006</v>
      </c>
      <c r="E89" s="104">
        <v>66.099999999999994</v>
      </c>
      <c r="F89" s="104">
        <v>66.2</v>
      </c>
      <c r="G89" s="104">
        <v>65.7</v>
      </c>
      <c r="H89" s="104">
        <v>65.099999999999994</v>
      </c>
      <c r="I89" s="104">
        <v>63.8</v>
      </c>
      <c r="J89" s="104">
        <v>64.2</v>
      </c>
      <c r="K89" s="104">
        <v>63.5</v>
      </c>
      <c r="L89" s="104">
        <v>64</v>
      </c>
      <c r="M89" s="104">
        <v>63.5</v>
      </c>
      <c r="N89" s="104">
        <v>63.2</v>
      </c>
      <c r="O89" s="104">
        <v>63.2</v>
      </c>
      <c r="P89" s="104">
        <v>63.3</v>
      </c>
      <c r="Q89" s="104">
        <v>63.9</v>
      </c>
      <c r="R89" s="104">
        <v>63.5</v>
      </c>
      <c r="S89" s="104">
        <v>62.6</v>
      </c>
      <c r="T89" s="104">
        <v>62.9</v>
      </c>
      <c r="U89" s="104">
        <v>65.099999999999994</v>
      </c>
      <c r="V89" s="104">
        <v>65.099999999999994</v>
      </c>
      <c r="W89" s="104">
        <v>64.8</v>
      </c>
      <c r="X89" s="104">
        <v>63.9</v>
      </c>
      <c r="Y89" s="104">
        <v>64.8</v>
      </c>
      <c r="Z89" s="104">
        <v>64.8</v>
      </c>
      <c r="AA89" s="104">
        <v>64.8</v>
      </c>
      <c r="AB89" s="104">
        <v>65.2</v>
      </c>
      <c r="AC89" s="104">
        <v>65.5</v>
      </c>
      <c r="AD89" s="104">
        <v>66.099999999999994</v>
      </c>
      <c r="AE89" s="104">
        <v>65.599999999999994</v>
      </c>
      <c r="AF89" s="105">
        <v>66.099999999999994</v>
      </c>
      <c r="AG89" s="106"/>
      <c r="AH89" s="55">
        <f t="shared" si="17"/>
        <v>66.2</v>
      </c>
      <c r="AI89" s="56">
        <f t="shared" si="18"/>
        <v>62.6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158.44</v>
      </c>
      <c r="C91" s="178">
        <f t="shared" ref="C91:AF91" si="22">SUM(C14,C17,C20:C21,C40,C42:C43,C45,C47,C92:C95,C100,C106,C112,C121,C123,C135,C142,C145:C146,C153,C155,C157,C161:C163,C165:C167,C172,C178:C179,C181:C183,C191,C196)</f>
        <v>171.33999999999997</v>
      </c>
      <c r="D91" s="178">
        <f t="shared" si="22"/>
        <v>131.63999999999999</v>
      </c>
      <c r="E91" s="178">
        <f t="shared" si="22"/>
        <v>133.23999999999998</v>
      </c>
      <c r="F91" s="111">
        <f t="shared" si="22"/>
        <v>153.04</v>
      </c>
      <c r="G91" s="111">
        <f t="shared" si="22"/>
        <v>175.04</v>
      </c>
      <c r="H91" s="111">
        <f t="shared" si="22"/>
        <v>198.73999999999998</v>
      </c>
      <c r="I91" s="111">
        <f t="shared" si="22"/>
        <v>245.54</v>
      </c>
      <c r="J91" s="111">
        <f t="shared" si="22"/>
        <v>265.34000000000003</v>
      </c>
      <c r="K91" s="111">
        <f t="shared" si="22"/>
        <v>285.94</v>
      </c>
      <c r="L91" s="111">
        <f t="shared" si="22"/>
        <v>297.04000000000002</v>
      </c>
      <c r="M91" s="111">
        <f t="shared" si="22"/>
        <v>288.64000000000004</v>
      </c>
      <c r="N91" s="111">
        <f t="shared" si="22"/>
        <v>276.74</v>
      </c>
      <c r="O91" s="111">
        <f t="shared" si="22"/>
        <v>280.14</v>
      </c>
      <c r="P91" s="111">
        <f t="shared" si="22"/>
        <v>273.34000000000003</v>
      </c>
      <c r="Q91" s="111">
        <f t="shared" si="22"/>
        <v>265.94</v>
      </c>
      <c r="R91" s="111">
        <f t="shared" si="22"/>
        <v>286.44000000000005</v>
      </c>
      <c r="S91" s="111">
        <f t="shared" si="22"/>
        <v>270.84000000000003</v>
      </c>
      <c r="T91" s="111">
        <f t="shared" si="22"/>
        <v>267.24</v>
      </c>
      <c r="U91" s="111">
        <f t="shared" si="22"/>
        <v>306.34000000000003</v>
      </c>
      <c r="V91" s="111">
        <f t="shared" si="22"/>
        <v>306.34000000000003</v>
      </c>
      <c r="W91" s="111">
        <f t="shared" si="22"/>
        <v>322.04000000000008</v>
      </c>
      <c r="X91" s="111">
        <f t="shared" si="22"/>
        <v>347.84000000000003</v>
      </c>
      <c r="Y91" s="111">
        <f t="shared" si="22"/>
        <v>328.74000000000007</v>
      </c>
      <c r="Z91" s="111">
        <f t="shared" si="22"/>
        <v>319.24000000000007</v>
      </c>
      <c r="AA91" s="111">
        <f t="shared" si="22"/>
        <v>275.34000000000009</v>
      </c>
      <c r="AB91" s="111">
        <f t="shared" si="22"/>
        <v>259.74000000000007</v>
      </c>
      <c r="AC91" s="111">
        <f t="shared" si="22"/>
        <v>221.84000000000003</v>
      </c>
      <c r="AD91" s="111">
        <f t="shared" si="22"/>
        <v>191.94</v>
      </c>
      <c r="AE91" s="111">
        <f t="shared" si="22"/>
        <v>155.63999999999999</v>
      </c>
      <c r="AF91" s="111">
        <f t="shared" si="22"/>
        <v>149.43999999999997</v>
      </c>
      <c r="AG91" s="112"/>
      <c r="AH91" s="55">
        <f>MAX(B91:AF91)</f>
        <v>347.84000000000003</v>
      </c>
      <c r="AI91" s="56">
        <f>MIN(B91:AF91)</f>
        <v>131.63999999999999</v>
      </c>
    </row>
    <row r="92" spans="1:88" x14ac:dyDescent="0.25">
      <c r="A92" s="113" t="s">
        <v>95</v>
      </c>
      <c r="B92" s="59">
        <v>27.4</v>
      </c>
      <c r="C92" s="59">
        <v>34.6</v>
      </c>
      <c r="D92" s="59">
        <v>47.2</v>
      </c>
      <c r="E92" s="59">
        <v>40.6</v>
      </c>
      <c r="F92" s="114">
        <v>35.1</v>
      </c>
      <c r="G92" s="114">
        <v>41.4</v>
      </c>
      <c r="H92" s="114">
        <v>43.3</v>
      </c>
      <c r="I92" s="114">
        <v>49.9</v>
      </c>
      <c r="J92" s="114">
        <v>50.4</v>
      </c>
      <c r="K92" s="114">
        <v>50.8</v>
      </c>
      <c r="L92" s="115">
        <v>46.8</v>
      </c>
      <c r="M92" s="114">
        <v>52.7</v>
      </c>
      <c r="N92" s="114">
        <v>34.1</v>
      </c>
      <c r="O92" s="114">
        <v>34.1</v>
      </c>
      <c r="P92" s="114">
        <v>31.5</v>
      </c>
      <c r="Q92" s="114">
        <v>30.7</v>
      </c>
      <c r="R92" s="114">
        <v>37</v>
      </c>
      <c r="S92" s="114">
        <v>49</v>
      </c>
      <c r="T92" s="115">
        <v>47.7</v>
      </c>
      <c r="U92" s="115">
        <v>45.9</v>
      </c>
      <c r="V92" s="115">
        <v>45.9</v>
      </c>
      <c r="W92" s="114">
        <v>49</v>
      </c>
      <c r="X92" s="114">
        <v>24.3</v>
      </c>
      <c r="Y92" s="114">
        <v>35.4</v>
      </c>
      <c r="Z92" s="114">
        <v>33.299999999999997</v>
      </c>
      <c r="AA92" s="114">
        <v>22.5</v>
      </c>
      <c r="AB92" s="114">
        <v>26.1</v>
      </c>
      <c r="AC92" s="114">
        <v>31.7</v>
      </c>
      <c r="AD92" s="114">
        <v>27.2</v>
      </c>
      <c r="AE92" s="115">
        <v>13.7</v>
      </c>
      <c r="AF92" s="116">
        <v>20</v>
      </c>
      <c r="AG92" s="117">
        <v>75</v>
      </c>
      <c r="AH92" s="55">
        <f t="shared" ref="AH92:AH97" si="23">IF(ABS(MAX(B92:AF92))&gt;ABS(MIN(B92:AF92)),MAX(B92:AF92),MIN(B92:AF92))</f>
        <v>52.7</v>
      </c>
      <c r="AI92" s="118">
        <f t="shared" ref="AI92:AI97" si="24">INDEX($B$9:$AF$9,1,MATCH(AH92,B92:AF92,0))</f>
        <v>0.375</v>
      </c>
    </row>
    <row r="93" spans="1:88" x14ac:dyDescent="0.25">
      <c r="A93" s="119" t="s">
        <v>96</v>
      </c>
      <c r="B93" s="61">
        <v>-93.8</v>
      </c>
      <c r="C93" s="61">
        <v>-97.6</v>
      </c>
      <c r="D93" s="61">
        <v>-98</v>
      </c>
      <c r="E93" s="61">
        <v>-95</v>
      </c>
      <c r="F93" s="61">
        <v>-83</v>
      </c>
      <c r="G93" s="61">
        <v>-80</v>
      </c>
      <c r="H93" s="61">
        <v>-73</v>
      </c>
      <c r="I93" s="61">
        <v>-65</v>
      </c>
      <c r="J93" s="61">
        <v>-57</v>
      </c>
      <c r="K93" s="61">
        <v>-53.1</v>
      </c>
      <c r="L93" s="61">
        <v>-50.4</v>
      </c>
      <c r="M93" s="61">
        <v>-55.8</v>
      </c>
      <c r="N93" s="61">
        <v>-58.7</v>
      </c>
      <c r="O93" s="61">
        <v>-55.7</v>
      </c>
      <c r="P93" s="61">
        <v>-59.1</v>
      </c>
      <c r="Q93" s="61">
        <v>-58.6</v>
      </c>
      <c r="R93" s="61">
        <v>-49</v>
      </c>
      <c r="S93" s="61">
        <v>-29.6</v>
      </c>
      <c r="T93" s="61">
        <v>-26.9</v>
      </c>
      <c r="U93" s="61">
        <v>-34</v>
      </c>
      <c r="V93" s="61">
        <v>-34</v>
      </c>
      <c r="W93" s="61">
        <v>-42</v>
      </c>
      <c r="X93" s="61">
        <v>-32</v>
      </c>
      <c r="Y93" s="61">
        <v>-45</v>
      </c>
      <c r="Z93" s="61">
        <v>-54</v>
      </c>
      <c r="AA93" s="61">
        <f>-31.4-40.8</f>
        <v>-72.199999999999989</v>
      </c>
      <c r="AB93" s="61">
        <f>-34.3-41.6</f>
        <v>-75.900000000000006</v>
      </c>
      <c r="AC93" s="61">
        <f>-36.7-44.5</f>
        <v>-81.2</v>
      </c>
      <c r="AD93" s="61">
        <f>-42.6-51.1</f>
        <v>-93.7</v>
      </c>
      <c r="AE93" s="52">
        <v>-104</v>
      </c>
      <c r="AF93" s="120">
        <v>-80</v>
      </c>
      <c r="AG93" s="117">
        <v>240</v>
      </c>
      <c r="AH93" s="55">
        <f t="shared" si="23"/>
        <v>-104</v>
      </c>
      <c r="AI93" s="118">
        <f t="shared" si="24"/>
        <v>0.95833333333333304</v>
      </c>
    </row>
    <row r="94" spans="1:88" x14ac:dyDescent="0.25">
      <c r="A94" s="119" t="s">
        <v>97</v>
      </c>
      <c r="B94" s="61">
        <v>-13.7</v>
      </c>
      <c r="C94" s="61">
        <v>18.899999999999999</v>
      </c>
      <c r="D94" s="61">
        <v>-19.3</v>
      </c>
      <c r="E94" s="61">
        <v>-15.2</v>
      </c>
      <c r="F94" s="61">
        <v>-12.5</v>
      </c>
      <c r="G94" s="61">
        <v>-12.6</v>
      </c>
      <c r="H94" s="61">
        <v>-5.6</v>
      </c>
      <c r="I94" s="61">
        <v>-4.7</v>
      </c>
      <c r="J94" s="61">
        <v>-2.2999999999999998</v>
      </c>
      <c r="K94" s="61">
        <v>-0.4</v>
      </c>
      <c r="L94" s="61">
        <v>1.6</v>
      </c>
      <c r="M94" s="61">
        <v>1.1000000000000001</v>
      </c>
      <c r="N94" s="61">
        <v>3.2</v>
      </c>
      <c r="O94" s="61">
        <v>3.2</v>
      </c>
      <c r="P94" s="61">
        <v>7.5</v>
      </c>
      <c r="Q94" s="61">
        <v>2.7</v>
      </c>
      <c r="R94" s="61">
        <v>2.2999999999999998</v>
      </c>
      <c r="S94" s="61">
        <v>7.5</v>
      </c>
      <c r="T94" s="61">
        <v>-1.5</v>
      </c>
      <c r="U94" s="61">
        <v>2.5</v>
      </c>
      <c r="V94" s="61">
        <v>2.5</v>
      </c>
      <c r="W94" s="61">
        <v>18.5</v>
      </c>
      <c r="X94" s="61">
        <v>29.6</v>
      </c>
      <c r="Y94" s="61">
        <v>28.4</v>
      </c>
      <c r="Z94" s="61">
        <v>23.5</v>
      </c>
      <c r="AA94" s="61">
        <v>9.4</v>
      </c>
      <c r="AB94" s="61">
        <v>-3.3</v>
      </c>
      <c r="AC94" s="61">
        <v>-6.2</v>
      </c>
      <c r="AD94" s="61">
        <v>-11.2</v>
      </c>
      <c r="AE94" s="52">
        <v>-13.2</v>
      </c>
      <c r="AF94" s="120">
        <v>-9.9</v>
      </c>
      <c r="AG94" s="117">
        <v>60</v>
      </c>
      <c r="AH94" s="55">
        <f t="shared" si="23"/>
        <v>29.6</v>
      </c>
      <c r="AI94" s="118">
        <f t="shared" si="24"/>
        <v>0.77083333333333337</v>
      </c>
    </row>
    <row r="95" spans="1:88" x14ac:dyDescent="0.25">
      <c r="A95" s="121" t="s">
        <v>98</v>
      </c>
      <c r="B95" s="84">
        <v>10</v>
      </c>
      <c r="C95" s="84">
        <v>6.7</v>
      </c>
      <c r="D95" s="84">
        <v>-2.7</v>
      </c>
      <c r="E95" s="84">
        <v>-1.9</v>
      </c>
      <c r="F95" s="84">
        <v>8.6999999999999993</v>
      </c>
      <c r="G95" s="84">
        <v>11.7</v>
      </c>
      <c r="H95" s="84">
        <v>15.5</v>
      </c>
      <c r="I95" s="84">
        <v>26.7</v>
      </c>
      <c r="J95" s="84">
        <v>35.799999999999997</v>
      </c>
      <c r="K95" s="84">
        <v>50.1</v>
      </c>
      <c r="L95" s="84">
        <v>60.5</v>
      </c>
      <c r="M95" s="84">
        <v>52.9</v>
      </c>
      <c r="N95" s="84">
        <v>60.4</v>
      </c>
      <c r="O95" s="84">
        <v>60.4</v>
      </c>
      <c r="P95" s="84">
        <v>55.5</v>
      </c>
      <c r="Q95" s="84">
        <v>53.1</v>
      </c>
      <c r="R95" s="84">
        <v>58</v>
      </c>
      <c r="S95" s="84">
        <v>65.900000000000006</v>
      </c>
      <c r="T95" s="84">
        <v>70</v>
      </c>
      <c r="U95" s="84">
        <v>54.1</v>
      </c>
      <c r="V95" s="84">
        <v>54.1</v>
      </c>
      <c r="W95" s="84">
        <v>58.5</v>
      </c>
      <c r="X95" s="84">
        <v>87.9</v>
      </c>
      <c r="Y95" s="84">
        <v>71.5</v>
      </c>
      <c r="Z95" s="84">
        <v>78</v>
      </c>
      <c r="AA95" s="84">
        <v>77.400000000000006</v>
      </c>
      <c r="AB95" s="84">
        <v>74.599999999999994</v>
      </c>
      <c r="AC95" s="84">
        <v>39.299999999999997</v>
      </c>
      <c r="AD95" s="84">
        <v>31.4</v>
      </c>
      <c r="AE95" s="122">
        <v>20.9</v>
      </c>
      <c r="AF95" s="123">
        <v>0</v>
      </c>
      <c r="AG95" s="124">
        <v>120</v>
      </c>
      <c r="AH95" s="55">
        <f t="shared" si="23"/>
        <v>87.9</v>
      </c>
      <c r="AI95" s="118">
        <f t="shared" si="24"/>
        <v>0.77083333333333337</v>
      </c>
    </row>
    <row r="96" spans="1:88" x14ac:dyDescent="0.25">
      <c r="A96" s="121" t="s">
        <v>99</v>
      </c>
      <c r="B96" s="84">
        <v>28.8</v>
      </c>
      <c r="C96" s="84">
        <v>28.5</v>
      </c>
      <c r="D96" s="84">
        <v>20.100000000000001</v>
      </c>
      <c r="E96" s="84">
        <v>18.5</v>
      </c>
      <c r="F96" s="84">
        <v>29</v>
      </c>
      <c r="G96" s="84">
        <v>26</v>
      </c>
      <c r="H96" s="84">
        <v>28.7</v>
      </c>
      <c r="I96" s="84">
        <v>34.5</v>
      </c>
      <c r="J96" s="84">
        <v>42.8</v>
      </c>
      <c r="K96" s="84">
        <v>51.3</v>
      </c>
      <c r="L96" s="84">
        <v>55</v>
      </c>
      <c r="M96" s="84">
        <v>52.9</v>
      </c>
      <c r="N96" s="84">
        <v>64.5</v>
      </c>
      <c r="O96" s="84">
        <v>64.5</v>
      </c>
      <c r="P96" s="84">
        <v>60.5</v>
      </c>
      <c r="Q96" s="84">
        <v>55.8</v>
      </c>
      <c r="R96" s="84">
        <v>63.2</v>
      </c>
      <c r="S96" s="84">
        <v>65.599999999999994</v>
      </c>
      <c r="T96" s="84">
        <v>70.099999999999994</v>
      </c>
      <c r="U96" s="84">
        <v>51.9</v>
      </c>
      <c r="V96" s="84">
        <v>51.9</v>
      </c>
      <c r="W96" s="84">
        <v>53.9</v>
      </c>
      <c r="X96" s="84">
        <v>75.599999999999994</v>
      </c>
      <c r="Y96" s="84">
        <v>60</v>
      </c>
      <c r="Z96" s="84">
        <v>69</v>
      </c>
      <c r="AA96" s="84">
        <v>72.7</v>
      </c>
      <c r="AB96" s="84">
        <v>78</v>
      </c>
      <c r="AC96" s="84">
        <v>47.3</v>
      </c>
      <c r="AD96" s="84">
        <v>43.2</v>
      </c>
      <c r="AE96" s="122">
        <v>40.299999999999997</v>
      </c>
      <c r="AF96" s="123">
        <v>49.7</v>
      </c>
      <c r="AG96" s="124"/>
      <c r="AH96" s="55">
        <f t="shared" si="23"/>
        <v>78</v>
      </c>
      <c r="AI96" s="118">
        <f t="shared" si="24"/>
        <v>0.85416666666666663</v>
      </c>
    </row>
    <row r="97" spans="1:37" ht="15.75" thickBot="1" x14ac:dyDescent="0.3">
      <c r="A97" s="121" t="s">
        <v>100</v>
      </c>
      <c r="B97" s="84">
        <v>65</v>
      </c>
      <c r="C97" s="84">
        <v>62.3</v>
      </c>
      <c r="D97" s="84">
        <v>51.9</v>
      </c>
      <c r="E97" s="84">
        <v>48.4</v>
      </c>
      <c r="F97" s="84">
        <v>51.9</v>
      </c>
      <c r="G97" s="84">
        <v>47.2</v>
      </c>
      <c r="H97" s="84">
        <v>43.9</v>
      </c>
      <c r="I97" s="84">
        <v>42.3</v>
      </c>
      <c r="J97" s="84">
        <v>39.5</v>
      </c>
      <c r="K97" s="84">
        <v>36</v>
      </c>
      <c r="L97" s="84">
        <v>37</v>
      </c>
      <c r="M97" s="84">
        <v>34.9</v>
      </c>
      <c r="N97" s="84">
        <v>54.1</v>
      </c>
      <c r="O97" s="84">
        <v>54.1</v>
      </c>
      <c r="P97" s="84">
        <v>59.9</v>
      </c>
      <c r="Q97" s="84">
        <v>54.1</v>
      </c>
      <c r="R97" s="84">
        <v>59.6</v>
      </c>
      <c r="S97" s="84">
        <v>44</v>
      </c>
      <c r="T97" s="84">
        <v>40.799999999999997</v>
      </c>
      <c r="U97" s="84">
        <v>41.7</v>
      </c>
      <c r="V97" s="84">
        <v>41.7</v>
      </c>
      <c r="W97" s="84">
        <v>43.7</v>
      </c>
      <c r="X97" s="84">
        <v>65.599999999999994</v>
      </c>
      <c r="Y97" s="84">
        <v>56.5</v>
      </c>
      <c r="Z97" s="84">
        <v>57.8</v>
      </c>
      <c r="AA97" s="84">
        <v>73.3</v>
      </c>
      <c r="AB97" s="84">
        <v>72.900000000000006</v>
      </c>
      <c r="AC97" s="84">
        <v>66.5</v>
      </c>
      <c r="AD97" s="84">
        <v>64</v>
      </c>
      <c r="AE97" s="122">
        <v>69.900000000000006</v>
      </c>
      <c r="AF97" s="123">
        <v>70.3</v>
      </c>
      <c r="AG97" s="125"/>
      <c r="AH97" s="55">
        <f t="shared" si="23"/>
        <v>73.3</v>
      </c>
      <c r="AI97" s="118">
        <f t="shared" si="24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5">B99</f>
        <v>9.9</v>
      </c>
      <c r="D99" s="131">
        <f t="shared" si="25"/>
        <v>9.9</v>
      </c>
      <c r="E99" s="131">
        <f t="shared" si="25"/>
        <v>9.9</v>
      </c>
      <c r="F99" s="131">
        <f t="shared" si="25"/>
        <v>9.9</v>
      </c>
      <c r="G99" s="131">
        <f t="shared" si="25"/>
        <v>9.9</v>
      </c>
      <c r="H99" s="131">
        <f t="shared" si="25"/>
        <v>9.9</v>
      </c>
      <c r="I99" s="131">
        <f t="shared" si="25"/>
        <v>9.9</v>
      </c>
      <c r="J99" s="131">
        <f t="shared" si="25"/>
        <v>9.9</v>
      </c>
      <c r="K99" s="131">
        <f t="shared" si="25"/>
        <v>9.9</v>
      </c>
      <c r="L99" s="131">
        <f t="shared" si="25"/>
        <v>9.9</v>
      </c>
      <c r="M99" s="131">
        <f t="shared" si="25"/>
        <v>9.9</v>
      </c>
      <c r="N99" s="131">
        <f t="shared" si="25"/>
        <v>9.9</v>
      </c>
      <c r="O99" s="131">
        <f t="shared" si="25"/>
        <v>9.9</v>
      </c>
      <c r="P99" s="131">
        <f t="shared" si="25"/>
        <v>9.9</v>
      </c>
      <c r="Q99" s="131">
        <f t="shared" si="25"/>
        <v>9.9</v>
      </c>
      <c r="R99" s="131">
        <f t="shared" si="25"/>
        <v>9.9</v>
      </c>
      <c r="S99" s="131">
        <f t="shared" ref="S99:AF104" si="26">R99</f>
        <v>9.9</v>
      </c>
      <c r="T99" s="131">
        <f t="shared" si="26"/>
        <v>9.9</v>
      </c>
      <c r="U99" s="131">
        <f t="shared" si="26"/>
        <v>9.9</v>
      </c>
      <c r="V99" s="131">
        <f t="shared" si="26"/>
        <v>9.9</v>
      </c>
      <c r="W99" s="131">
        <f t="shared" si="26"/>
        <v>9.9</v>
      </c>
      <c r="X99" s="131">
        <f t="shared" si="26"/>
        <v>9.9</v>
      </c>
      <c r="Y99" s="131">
        <f t="shared" si="26"/>
        <v>9.9</v>
      </c>
      <c r="Z99" s="131">
        <f t="shared" si="26"/>
        <v>9.9</v>
      </c>
      <c r="AA99" s="131">
        <f t="shared" si="26"/>
        <v>9.9</v>
      </c>
      <c r="AB99" s="131">
        <f t="shared" si="26"/>
        <v>9.9</v>
      </c>
      <c r="AC99" s="131">
        <f t="shared" si="26"/>
        <v>9.9</v>
      </c>
      <c r="AD99" s="131">
        <f t="shared" si="26"/>
        <v>9.9</v>
      </c>
      <c r="AE99" s="131">
        <f t="shared" si="26"/>
        <v>9.9</v>
      </c>
      <c r="AF99" s="131">
        <f t="shared" si="26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5"/>
        <v>9.6</v>
      </c>
      <c r="D100" s="134">
        <f t="shared" si="25"/>
        <v>9.6</v>
      </c>
      <c r="E100" s="134">
        <f t="shared" si="25"/>
        <v>9.6</v>
      </c>
      <c r="F100" s="134">
        <f t="shared" si="25"/>
        <v>9.6</v>
      </c>
      <c r="G100" s="134">
        <f t="shared" si="25"/>
        <v>9.6</v>
      </c>
      <c r="H100" s="134">
        <f t="shared" si="25"/>
        <v>9.6</v>
      </c>
      <c r="I100" s="134">
        <f t="shared" si="25"/>
        <v>9.6</v>
      </c>
      <c r="J100" s="134">
        <f t="shared" si="25"/>
        <v>9.6</v>
      </c>
      <c r="K100" s="134">
        <f t="shared" si="25"/>
        <v>9.6</v>
      </c>
      <c r="L100" s="134">
        <f t="shared" si="25"/>
        <v>9.6</v>
      </c>
      <c r="M100" s="134">
        <f t="shared" si="25"/>
        <v>9.6</v>
      </c>
      <c r="N100" s="134">
        <f t="shared" si="25"/>
        <v>9.6</v>
      </c>
      <c r="O100" s="134">
        <f t="shared" si="25"/>
        <v>9.6</v>
      </c>
      <c r="P100" s="134">
        <f t="shared" si="25"/>
        <v>9.6</v>
      </c>
      <c r="Q100" s="134">
        <f t="shared" si="25"/>
        <v>9.6</v>
      </c>
      <c r="R100" s="134">
        <f t="shared" si="25"/>
        <v>9.6</v>
      </c>
      <c r="S100" s="134">
        <f t="shared" si="26"/>
        <v>9.6</v>
      </c>
      <c r="T100" s="134">
        <f t="shared" si="26"/>
        <v>9.6</v>
      </c>
      <c r="U100" s="134">
        <f t="shared" si="26"/>
        <v>9.6</v>
      </c>
      <c r="V100" s="134">
        <f t="shared" si="26"/>
        <v>9.6</v>
      </c>
      <c r="W100" s="134">
        <f t="shared" si="26"/>
        <v>9.6</v>
      </c>
      <c r="X100" s="134">
        <f t="shared" si="26"/>
        <v>9.6</v>
      </c>
      <c r="Y100" s="134">
        <f t="shared" si="26"/>
        <v>9.6</v>
      </c>
      <c r="Z100" s="134">
        <f t="shared" si="26"/>
        <v>9.6</v>
      </c>
      <c r="AA100" s="134">
        <f t="shared" si="26"/>
        <v>9.6</v>
      </c>
      <c r="AB100" s="134">
        <f t="shared" si="26"/>
        <v>9.6</v>
      </c>
      <c r="AC100" s="134">
        <f t="shared" si="26"/>
        <v>9.6</v>
      </c>
      <c r="AD100" s="134">
        <f t="shared" si="26"/>
        <v>9.6</v>
      </c>
      <c r="AE100" s="134">
        <f t="shared" si="26"/>
        <v>9.6</v>
      </c>
      <c r="AF100" s="134">
        <f t="shared" si="26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5"/>
        <v>9.98</v>
      </c>
      <c r="D101" s="134">
        <f t="shared" si="25"/>
        <v>9.98</v>
      </c>
      <c r="E101" s="134">
        <f t="shared" si="25"/>
        <v>9.98</v>
      </c>
      <c r="F101" s="134">
        <f t="shared" si="25"/>
        <v>9.98</v>
      </c>
      <c r="G101" s="134">
        <f t="shared" si="25"/>
        <v>9.98</v>
      </c>
      <c r="H101" s="134">
        <f t="shared" si="25"/>
        <v>9.98</v>
      </c>
      <c r="I101" s="134">
        <f t="shared" si="25"/>
        <v>9.98</v>
      </c>
      <c r="J101" s="134">
        <f t="shared" si="25"/>
        <v>9.98</v>
      </c>
      <c r="K101" s="134">
        <f t="shared" si="25"/>
        <v>9.98</v>
      </c>
      <c r="L101" s="134">
        <f t="shared" si="25"/>
        <v>9.98</v>
      </c>
      <c r="M101" s="134">
        <f t="shared" si="25"/>
        <v>9.98</v>
      </c>
      <c r="N101" s="134">
        <f t="shared" si="25"/>
        <v>9.98</v>
      </c>
      <c r="O101" s="134">
        <f t="shared" si="25"/>
        <v>9.98</v>
      </c>
      <c r="P101" s="134">
        <f t="shared" si="25"/>
        <v>9.98</v>
      </c>
      <c r="Q101" s="134">
        <f t="shared" si="25"/>
        <v>9.98</v>
      </c>
      <c r="R101" s="134">
        <f t="shared" si="25"/>
        <v>9.98</v>
      </c>
      <c r="S101" s="134">
        <f t="shared" si="26"/>
        <v>9.98</v>
      </c>
      <c r="T101" s="134">
        <f t="shared" si="26"/>
        <v>9.98</v>
      </c>
      <c r="U101" s="134">
        <f t="shared" si="26"/>
        <v>9.98</v>
      </c>
      <c r="V101" s="134">
        <f t="shared" si="26"/>
        <v>9.98</v>
      </c>
      <c r="W101" s="134">
        <f t="shared" si="26"/>
        <v>9.98</v>
      </c>
      <c r="X101" s="134">
        <f t="shared" si="26"/>
        <v>9.98</v>
      </c>
      <c r="Y101" s="134">
        <f t="shared" si="26"/>
        <v>9.98</v>
      </c>
      <c r="Z101" s="134">
        <f t="shared" si="26"/>
        <v>9.98</v>
      </c>
      <c r="AA101" s="134">
        <f t="shared" si="26"/>
        <v>9.98</v>
      </c>
      <c r="AB101" s="134">
        <f t="shared" si="26"/>
        <v>9.98</v>
      </c>
      <c r="AC101" s="134">
        <f t="shared" si="26"/>
        <v>9.98</v>
      </c>
      <c r="AD101" s="134">
        <f t="shared" si="26"/>
        <v>9.98</v>
      </c>
      <c r="AE101" s="134">
        <f t="shared" si="26"/>
        <v>9.98</v>
      </c>
      <c r="AF101" s="134">
        <f t="shared" si="26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5"/>
        <v>9.1</v>
      </c>
      <c r="D102" s="134">
        <f t="shared" si="25"/>
        <v>9.1</v>
      </c>
      <c r="E102" s="134">
        <f t="shared" si="25"/>
        <v>9.1</v>
      </c>
      <c r="F102" s="134">
        <f t="shared" si="25"/>
        <v>9.1</v>
      </c>
      <c r="G102" s="134">
        <f t="shared" si="25"/>
        <v>9.1</v>
      </c>
      <c r="H102" s="134">
        <f t="shared" si="25"/>
        <v>9.1</v>
      </c>
      <c r="I102" s="134">
        <f t="shared" si="25"/>
        <v>9.1</v>
      </c>
      <c r="J102" s="134">
        <f t="shared" si="25"/>
        <v>9.1</v>
      </c>
      <c r="K102" s="134">
        <f t="shared" si="25"/>
        <v>9.1</v>
      </c>
      <c r="L102" s="134">
        <f t="shared" si="25"/>
        <v>9.1</v>
      </c>
      <c r="M102" s="134">
        <f t="shared" si="25"/>
        <v>9.1</v>
      </c>
      <c r="N102" s="134">
        <f t="shared" si="25"/>
        <v>9.1</v>
      </c>
      <c r="O102" s="134">
        <f t="shared" si="25"/>
        <v>9.1</v>
      </c>
      <c r="P102" s="134">
        <f t="shared" si="25"/>
        <v>9.1</v>
      </c>
      <c r="Q102" s="134">
        <f t="shared" si="25"/>
        <v>9.1</v>
      </c>
      <c r="R102" s="134">
        <f t="shared" si="25"/>
        <v>9.1</v>
      </c>
      <c r="S102" s="134">
        <f t="shared" si="26"/>
        <v>9.1</v>
      </c>
      <c r="T102" s="134">
        <f t="shared" si="26"/>
        <v>9.1</v>
      </c>
      <c r="U102" s="134">
        <f t="shared" si="26"/>
        <v>9.1</v>
      </c>
      <c r="V102" s="134">
        <f t="shared" si="26"/>
        <v>9.1</v>
      </c>
      <c r="W102" s="134">
        <f t="shared" si="26"/>
        <v>9.1</v>
      </c>
      <c r="X102" s="134">
        <f t="shared" si="26"/>
        <v>9.1</v>
      </c>
      <c r="Y102" s="134">
        <f t="shared" si="26"/>
        <v>9.1</v>
      </c>
      <c r="Z102" s="134">
        <f t="shared" si="26"/>
        <v>9.1</v>
      </c>
      <c r="AA102" s="134">
        <f t="shared" si="26"/>
        <v>9.1</v>
      </c>
      <c r="AB102" s="134">
        <f t="shared" si="26"/>
        <v>9.1</v>
      </c>
      <c r="AC102" s="134">
        <f t="shared" si="26"/>
        <v>9.1</v>
      </c>
      <c r="AD102" s="134">
        <f t="shared" si="26"/>
        <v>9.1</v>
      </c>
      <c r="AE102" s="134">
        <f t="shared" si="26"/>
        <v>9.1</v>
      </c>
      <c r="AF102" s="134">
        <f t="shared" si="26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5"/>
        <v>9.18</v>
      </c>
      <c r="D103" s="134">
        <f t="shared" si="25"/>
        <v>9.18</v>
      </c>
      <c r="E103" s="134">
        <f t="shared" si="25"/>
        <v>9.18</v>
      </c>
      <c r="F103" s="134">
        <f t="shared" si="25"/>
        <v>9.18</v>
      </c>
      <c r="G103" s="134">
        <f t="shared" si="25"/>
        <v>9.18</v>
      </c>
      <c r="H103" s="134">
        <f t="shared" si="25"/>
        <v>9.18</v>
      </c>
      <c r="I103" s="134">
        <f t="shared" si="25"/>
        <v>9.18</v>
      </c>
      <c r="J103" s="134">
        <f t="shared" si="25"/>
        <v>9.18</v>
      </c>
      <c r="K103" s="134">
        <f t="shared" si="25"/>
        <v>9.18</v>
      </c>
      <c r="L103" s="134">
        <f t="shared" si="25"/>
        <v>9.18</v>
      </c>
      <c r="M103" s="134">
        <f t="shared" si="25"/>
        <v>9.18</v>
      </c>
      <c r="N103" s="134">
        <f t="shared" si="25"/>
        <v>9.18</v>
      </c>
      <c r="O103" s="134">
        <f t="shared" si="25"/>
        <v>9.18</v>
      </c>
      <c r="P103" s="134">
        <f t="shared" si="25"/>
        <v>9.18</v>
      </c>
      <c r="Q103" s="134">
        <f t="shared" si="25"/>
        <v>9.18</v>
      </c>
      <c r="R103" s="134">
        <f t="shared" si="25"/>
        <v>9.18</v>
      </c>
      <c r="S103" s="134">
        <f t="shared" si="26"/>
        <v>9.18</v>
      </c>
      <c r="T103" s="134">
        <f t="shared" si="26"/>
        <v>9.18</v>
      </c>
      <c r="U103" s="134">
        <f t="shared" si="26"/>
        <v>9.18</v>
      </c>
      <c r="V103" s="134">
        <f t="shared" si="26"/>
        <v>9.18</v>
      </c>
      <c r="W103" s="134">
        <f t="shared" si="26"/>
        <v>9.18</v>
      </c>
      <c r="X103" s="134">
        <f t="shared" si="26"/>
        <v>9.18</v>
      </c>
      <c r="Y103" s="134">
        <f t="shared" si="26"/>
        <v>9.18</v>
      </c>
      <c r="Z103" s="134">
        <f t="shared" si="26"/>
        <v>9.18</v>
      </c>
      <c r="AA103" s="134">
        <f t="shared" si="26"/>
        <v>9.18</v>
      </c>
      <c r="AB103" s="134">
        <f t="shared" si="26"/>
        <v>9.18</v>
      </c>
      <c r="AC103" s="134">
        <f t="shared" si="26"/>
        <v>9.18</v>
      </c>
      <c r="AD103" s="134">
        <f t="shared" si="26"/>
        <v>9.18</v>
      </c>
      <c r="AE103" s="134">
        <f t="shared" si="26"/>
        <v>9.18</v>
      </c>
      <c r="AF103" s="134">
        <f t="shared" si="26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5"/>
        <v>7</v>
      </c>
      <c r="D104" s="134">
        <f t="shared" si="25"/>
        <v>7</v>
      </c>
      <c r="E104" s="134">
        <f t="shared" si="25"/>
        <v>7</v>
      </c>
      <c r="F104" s="134">
        <f t="shared" si="25"/>
        <v>7</v>
      </c>
      <c r="G104" s="134">
        <f t="shared" si="25"/>
        <v>7</v>
      </c>
      <c r="H104" s="134">
        <f t="shared" si="25"/>
        <v>7</v>
      </c>
      <c r="I104" s="134">
        <f t="shared" si="25"/>
        <v>7</v>
      </c>
      <c r="J104" s="134">
        <f t="shared" si="25"/>
        <v>7</v>
      </c>
      <c r="K104" s="134">
        <f t="shared" si="25"/>
        <v>7</v>
      </c>
      <c r="L104" s="134">
        <f t="shared" si="25"/>
        <v>7</v>
      </c>
      <c r="M104" s="134">
        <f t="shared" si="25"/>
        <v>7</v>
      </c>
      <c r="N104" s="134">
        <f t="shared" si="25"/>
        <v>7</v>
      </c>
      <c r="O104" s="134">
        <f t="shared" si="25"/>
        <v>7</v>
      </c>
      <c r="P104" s="134">
        <f t="shared" si="25"/>
        <v>7</v>
      </c>
      <c r="Q104" s="134">
        <f t="shared" si="25"/>
        <v>7</v>
      </c>
      <c r="R104" s="134">
        <f t="shared" si="25"/>
        <v>7</v>
      </c>
      <c r="S104" s="134">
        <f t="shared" si="26"/>
        <v>7</v>
      </c>
      <c r="T104" s="134">
        <f t="shared" si="26"/>
        <v>7</v>
      </c>
      <c r="U104" s="134">
        <f t="shared" si="26"/>
        <v>7</v>
      </c>
      <c r="V104" s="134">
        <f t="shared" si="26"/>
        <v>7</v>
      </c>
      <c r="W104" s="134">
        <f t="shared" si="26"/>
        <v>7</v>
      </c>
      <c r="X104" s="134">
        <f t="shared" si="26"/>
        <v>7</v>
      </c>
      <c r="Y104" s="134">
        <f t="shared" si="26"/>
        <v>7</v>
      </c>
      <c r="Z104" s="134">
        <f t="shared" si="26"/>
        <v>7</v>
      </c>
      <c r="AA104" s="134">
        <f t="shared" si="26"/>
        <v>7</v>
      </c>
      <c r="AB104" s="134">
        <f t="shared" si="26"/>
        <v>7</v>
      </c>
      <c r="AC104" s="134">
        <f t="shared" si="26"/>
        <v>7</v>
      </c>
      <c r="AD104" s="134">
        <f t="shared" si="26"/>
        <v>7</v>
      </c>
      <c r="AE104" s="134">
        <f t="shared" si="26"/>
        <v>7</v>
      </c>
      <c r="AF104" s="134">
        <f t="shared" si="26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7">B106</f>
        <v>2.25</v>
      </c>
      <c r="D106" s="134">
        <f t="shared" si="27"/>
        <v>2.25</v>
      </c>
      <c r="E106" s="134">
        <f t="shared" si="27"/>
        <v>2.25</v>
      </c>
      <c r="F106" s="134">
        <f t="shared" si="27"/>
        <v>2.25</v>
      </c>
      <c r="G106" s="134">
        <f t="shared" si="27"/>
        <v>2.25</v>
      </c>
      <c r="H106" s="134">
        <f t="shared" si="27"/>
        <v>2.25</v>
      </c>
      <c r="I106" s="134">
        <f t="shared" si="27"/>
        <v>2.25</v>
      </c>
      <c r="J106" s="134">
        <f t="shared" si="27"/>
        <v>2.25</v>
      </c>
      <c r="K106" s="134">
        <f t="shared" si="27"/>
        <v>2.25</v>
      </c>
      <c r="L106" s="134">
        <f t="shared" si="27"/>
        <v>2.25</v>
      </c>
      <c r="M106" s="134">
        <f t="shared" si="27"/>
        <v>2.25</v>
      </c>
      <c r="N106" s="134">
        <f t="shared" si="27"/>
        <v>2.25</v>
      </c>
      <c r="O106" s="134">
        <f t="shared" si="27"/>
        <v>2.25</v>
      </c>
      <c r="P106" s="134">
        <f t="shared" si="27"/>
        <v>2.25</v>
      </c>
      <c r="Q106" s="134">
        <f t="shared" si="27"/>
        <v>2.25</v>
      </c>
      <c r="R106" s="134">
        <f t="shared" si="27"/>
        <v>2.25</v>
      </c>
      <c r="S106" s="134">
        <f t="shared" ref="S106:AF107" si="28">R106</f>
        <v>2.25</v>
      </c>
      <c r="T106" s="134">
        <f t="shared" si="28"/>
        <v>2.25</v>
      </c>
      <c r="U106" s="134">
        <f t="shared" si="28"/>
        <v>2.25</v>
      </c>
      <c r="V106" s="134">
        <f t="shared" si="28"/>
        <v>2.25</v>
      </c>
      <c r="W106" s="134">
        <f t="shared" si="28"/>
        <v>2.25</v>
      </c>
      <c r="X106" s="134">
        <f t="shared" si="28"/>
        <v>2.25</v>
      </c>
      <c r="Y106" s="134">
        <f t="shared" si="28"/>
        <v>2.25</v>
      </c>
      <c r="Z106" s="134">
        <f t="shared" si="28"/>
        <v>2.25</v>
      </c>
      <c r="AA106" s="134">
        <f t="shared" si="28"/>
        <v>2.25</v>
      </c>
      <c r="AB106" s="134">
        <f t="shared" si="28"/>
        <v>2.25</v>
      </c>
      <c r="AC106" s="134">
        <f t="shared" si="28"/>
        <v>2.25</v>
      </c>
      <c r="AD106" s="134">
        <f t="shared" si="28"/>
        <v>2.25</v>
      </c>
      <c r="AE106" s="134">
        <f t="shared" si="28"/>
        <v>2.25</v>
      </c>
      <c r="AF106" s="134">
        <f t="shared" si="28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7"/>
        <v>1.64</v>
      </c>
      <c r="D107" s="134">
        <f t="shared" si="27"/>
        <v>1.64</v>
      </c>
      <c r="E107" s="134">
        <f t="shared" si="27"/>
        <v>1.64</v>
      </c>
      <c r="F107" s="134">
        <f t="shared" si="27"/>
        <v>1.64</v>
      </c>
      <c r="G107" s="134">
        <f t="shared" si="27"/>
        <v>1.64</v>
      </c>
      <c r="H107" s="134">
        <f t="shared" si="27"/>
        <v>1.64</v>
      </c>
      <c r="I107" s="134">
        <f t="shared" si="27"/>
        <v>1.64</v>
      </c>
      <c r="J107" s="134">
        <f t="shared" si="27"/>
        <v>1.64</v>
      </c>
      <c r="K107" s="134">
        <f t="shared" si="27"/>
        <v>1.64</v>
      </c>
      <c r="L107" s="134">
        <f t="shared" si="27"/>
        <v>1.64</v>
      </c>
      <c r="M107" s="134">
        <f t="shared" si="27"/>
        <v>1.64</v>
      </c>
      <c r="N107" s="134">
        <f t="shared" si="27"/>
        <v>1.64</v>
      </c>
      <c r="O107" s="134">
        <f t="shared" si="27"/>
        <v>1.64</v>
      </c>
      <c r="P107" s="134">
        <f t="shared" si="27"/>
        <v>1.64</v>
      </c>
      <c r="Q107" s="134">
        <f t="shared" si="27"/>
        <v>1.64</v>
      </c>
      <c r="R107" s="134">
        <f t="shared" si="27"/>
        <v>1.64</v>
      </c>
      <c r="S107" s="134">
        <f t="shared" si="28"/>
        <v>1.64</v>
      </c>
      <c r="T107" s="134">
        <f t="shared" si="28"/>
        <v>1.64</v>
      </c>
      <c r="U107" s="134">
        <f t="shared" si="28"/>
        <v>1.64</v>
      </c>
      <c r="V107" s="134">
        <f t="shared" si="28"/>
        <v>1.64</v>
      </c>
      <c r="W107" s="134">
        <f t="shared" si="28"/>
        <v>1.64</v>
      </c>
      <c r="X107" s="134">
        <f t="shared" si="28"/>
        <v>1.64</v>
      </c>
      <c r="Y107" s="134">
        <f t="shared" si="28"/>
        <v>1.64</v>
      </c>
      <c r="Z107" s="134">
        <f t="shared" si="28"/>
        <v>1.64</v>
      </c>
      <c r="AA107" s="134">
        <f t="shared" si="28"/>
        <v>1.64</v>
      </c>
      <c r="AB107" s="134">
        <f t="shared" si="28"/>
        <v>1.64</v>
      </c>
      <c r="AC107" s="134">
        <f t="shared" si="28"/>
        <v>1.64</v>
      </c>
      <c r="AD107" s="134">
        <f t="shared" si="28"/>
        <v>1.64</v>
      </c>
      <c r="AE107" s="134">
        <f t="shared" si="28"/>
        <v>1.64</v>
      </c>
      <c r="AF107" s="134">
        <f t="shared" si="28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9">B109</f>
        <v>1.62</v>
      </c>
      <c r="D109" s="134">
        <f t="shared" si="29"/>
        <v>1.62</v>
      </c>
      <c r="E109" s="134">
        <f t="shared" si="29"/>
        <v>1.62</v>
      </c>
      <c r="F109" s="134">
        <f t="shared" si="29"/>
        <v>1.62</v>
      </c>
      <c r="G109" s="134">
        <f t="shared" si="29"/>
        <v>1.62</v>
      </c>
      <c r="H109" s="134">
        <f t="shared" si="29"/>
        <v>1.62</v>
      </c>
      <c r="I109" s="134">
        <f t="shared" si="29"/>
        <v>1.62</v>
      </c>
      <c r="J109" s="134">
        <f t="shared" si="29"/>
        <v>1.62</v>
      </c>
      <c r="K109" s="134">
        <f t="shared" si="29"/>
        <v>1.62</v>
      </c>
      <c r="L109" s="134">
        <f t="shared" si="29"/>
        <v>1.62</v>
      </c>
      <c r="M109" s="134">
        <f t="shared" si="29"/>
        <v>1.62</v>
      </c>
      <c r="N109" s="134">
        <f t="shared" si="29"/>
        <v>1.62</v>
      </c>
      <c r="O109" s="134">
        <f t="shared" si="29"/>
        <v>1.62</v>
      </c>
      <c r="P109" s="134">
        <f t="shared" si="29"/>
        <v>1.62</v>
      </c>
      <c r="Q109" s="134">
        <f t="shared" si="29"/>
        <v>1.62</v>
      </c>
      <c r="R109" s="134">
        <f t="shared" si="29"/>
        <v>1.62</v>
      </c>
      <c r="S109" s="134">
        <f t="shared" ref="S109:AF124" si="30">R109</f>
        <v>1.62</v>
      </c>
      <c r="T109" s="134">
        <f t="shared" si="30"/>
        <v>1.62</v>
      </c>
      <c r="U109" s="134">
        <f t="shared" si="30"/>
        <v>1.62</v>
      </c>
      <c r="V109" s="134">
        <f t="shared" si="30"/>
        <v>1.62</v>
      </c>
      <c r="W109" s="134">
        <f t="shared" si="30"/>
        <v>1.62</v>
      </c>
      <c r="X109" s="134">
        <f t="shared" si="30"/>
        <v>1.62</v>
      </c>
      <c r="Y109" s="134">
        <f t="shared" si="30"/>
        <v>1.62</v>
      </c>
      <c r="Z109" s="134">
        <f t="shared" si="30"/>
        <v>1.62</v>
      </c>
      <c r="AA109" s="134">
        <f t="shared" si="30"/>
        <v>1.62</v>
      </c>
      <c r="AB109" s="134">
        <f t="shared" si="30"/>
        <v>1.62</v>
      </c>
      <c r="AC109" s="134">
        <f t="shared" si="30"/>
        <v>1.62</v>
      </c>
      <c r="AD109" s="134">
        <f t="shared" si="30"/>
        <v>1.62</v>
      </c>
      <c r="AE109" s="134">
        <f t="shared" si="30"/>
        <v>1.62</v>
      </c>
      <c r="AF109" s="134">
        <f t="shared" si="30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9"/>
        <v>8.36</v>
      </c>
      <c r="D110" s="134">
        <f t="shared" si="29"/>
        <v>8.36</v>
      </c>
      <c r="E110" s="134">
        <f t="shared" si="29"/>
        <v>8.36</v>
      </c>
      <c r="F110" s="134">
        <f t="shared" si="29"/>
        <v>8.36</v>
      </c>
      <c r="G110" s="134">
        <f t="shared" si="29"/>
        <v>8.36</v>
      </c>
      <c r="H110" s="134">
        <f t="shared" si="29"/>
        <v>8.36</v>
      </c>
      <c r="I110" s="134">
        <f t="shared" si="29"/>
        <v>8.36</v>
      </c>
      <c r="J110" s="134">
        <f t="shared" si="29"/>
        <v>8.36</v>
      </c>
      <c r="K110" s="134">
        <f t="shared" si="29"/>
        <v>8.36</v>
      </c>
      <c r="L110" s="134">
        <f t="shared" si="29"/>
        <v>8.36</v>
      </c>
      <c r="M110" s="134">
        <f t="shared" si="29"/>
        <v>8.36</v>
      </c>
      <c r="N110" s="134">
        <f t="shared" si="29"/>
        <v>8.36</v>
      </c>
      <c r="O110" s="134">
        <f t="shared" si="29"/>
        <v>8.36</v>
      </c>
      <c r="P110" s="134">
        <f t="shared" si="29"/>
        <v>8.36</v>
      </c>
      <c r="Q110" s="134">
        <f t="shared" si="29"/>
        <v>8.36</v>
      </c>
      <c r="R110" s="134">
        <f t="shared" si="29"/>
        <v>8.36</v>
      </c>
      <c r="S110" s="134">
        <f t="shared" si="30"/>
        <v>8.36</v>
      </c>
      <c r="T110" s="134">
        <f t="shared" si="30"/>
        <v>8.36</v>
      </c>
      <c r="U110" s="134">
        <f t="shared" si="30"/>
        <v>8.36</v>
      </c>
      <c r="V110" s="134">
        <f t="shared" si="30"/>
        <v>8.36</v>
      </c>
      <c r="W110" s="134">
        <f t="shared" si="30"/>
        <v>8.36</v>
      </c>
      <c r="X110" s="134">
        <f t="shared" si="30"/>
        <v>8.36</v>
      </c>
      <c r="Y110" s="134">
        <f t="shared" si="30"/>
        <v>8.36</v>
      </c>
      <c r="Z110" s="134">
        <f t="shared" si="30"/>
        <v>8.36</v>
      </c>
      <c r="AA110" s="134">
        <f t="shared" si="30"/>
        <v>8.36</v>
      </c>
      <c r="AB110" s="134">
        <f t="shared" si="30"/>
        <v>8.36</v>
      </c>
      <c r="AC110" s="134">
        <f t="shared" si="30"/>
        <v>8.36</v>
      </c>
      <c r="AD110" s="134">
        <f t="shared" si="30"/>
        <v>8.36</v>
      </c>
      <c r="AE110" s="134">
        <f t="shared" si="30"/>
        <v>8.36</v>
      </c>
      <c r="AF110" s="134">
        <f t="shared" si="30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9"/>
        <v>8</v>
      </c>
      <c r="D111" s="134">
        <f t="shared" si="29"/>
        <v>8</v>
      </c>
      <c r="E111" s="134">
        <f t="shared" si="29"/>
        <v>8</v>
      </c>
      <c r="F111" s="134">
        <f t="shared" si="29"/>
        <v>8</v>
      </c>
      <c r="G111" s="134">
        <f t="shared" si="29"/>
        <v>8</v>
      </c>
      <c r="H111" s="134">
        <f t="shared" si="29"/>
        <v>8</v>
      </c>
      <c r="I111" s="134">
        <v>5.4</v>
      </c>
      <c r="J111" s="134">
        <f t="shared" si="29"/>
        <v>5.4</v>
      </c>
      <c r="K111" s="134">
        <f t="shared" si="29"/>
        <v>5.4</v>
      </c>
      <c r="L111" s="134">
        <f t="shared" si="29"/>
        <v>5.4</v>
      </c>
      <c r="M111" s="134">
        <f t="shared" si="29"/>
        <v>5.4</v>
      </c>
      <c r="N111" s="134">
        <f t="shared" si="29"/>
        <v>5.4</v>
      </c>
      <c r="O111" s="134">
        <f t="shared" si="29"/>
        <v>5.4</v>
      </c>
      <c r="P111" s="134">
        <f t="shared" si="29"/>
        <v>5.4</v>
      </c>
      <c r="Q111" s="134">
        <f t="shared" si="29"/>
        <v>5.4</v>
      </c>
      <c r="R111" s="134">
        <f t="shared" si="29"/>
        <v>5.4</v>
      </c>
      <c r="S111" s="134">
        <f t="shared" si="30"/>
        <v>5.4</v>
      </c>
      <c r="T111" s="134">
        <f t="shared" si="30"/>
        <v>5.4</v>
      </c>
      <c r="U111" s="134">
        <f t="shared" si="30"/>
        <v>5.4</v>
      </c>
      <c r="V111" s="134">
        <f t="shared" si="30"/>
        <v>5.4</v>
      </c>
      <c r="W111" s="134">
        <f t="shared" si="30"/>
        <v>5.4</v>
      </c>
      <c r="X111" s="134">
        <f t="shared" si="30"/>
        <v>5.4</v>
      </c>
      <c r="Y111" s="134">
        <f t="shared" si="30"/>
        <v>5.4</v>
      </c>
      <c r="Z111" s="134">
        <f t="shared" si="30"/>
        <v>5.4</v>
      </c>
      <c r="AA111" s="134">
        <f t="shared" si="30"/>
        <v>5.4</v>
      </c>
      <c r="AB111" s="134">
        <f t="shared" si="30"/>
        <v>5.4</v>
      </c>
      <c r="AC111" s="134">
        <f t="shared" si="30"/>
        <v>5.4</v>
      </c>
      <c r="AD111" s="134">
        <f t="shared" si="30"/>
        <v>5.4</v>
      </c>
      <c r="AE111" s="134">
        <f t="shared" si="30"/>
        <v>5.4</v>
      </c>
      <c r="AF111" s="134">
        <f t="shared" si="30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9"/>
        <v>6.57</v>
      </c>
      <c r="D112" s="134">
        <f t="shared" si="29"/>
        <v>6.57</v>
      </c>
      <c r="E112" s="134">
        <f t="shared" si="29"/>
        <v>6.57</v>
      </c>
      <c r="F112" s="134">
        <f t="shared" si="29"/>
        <v>6.57</v>
      </c>
      <c r="G112" s="134">
        <f t="shared" si="29"/>
        <v>6.57</v>
      </c>
      <c r="H112" s="134">
        <f t="shared" si="29"/>
        <v>6.57</v>
      </c>
      <c r="I112" s="134">
        <f t="shared" si="29"/>
        <v>6.57</v>
      </c>
      <c r="J112" s="134">
        <f t="shared" si="29"/>
        <v>6.57</v>
      </c>
      <c r="K112" s="134">
        <f t="shared" si="29"/>
        <v>6.57</v>
      </c>
      <c r="L112" s="134">
        <f t="shared" si="29"/>
        <v>6.57</v>
      </c>
      <c r="M112" s="134">
        <f t="shared" si="29"/>
        <v>6.57</v>
      </c>
      <c r="N112" s="134">
        <f t="shared" si="29"/>
        <v>6.57</v>
      </c>
      <c r="O112" s="134">
        <f t="shared" si="29"/>
        <v>6.57</v>
      </c>
      <c r="P112" s="134">
        <f t="shared" si="29"/>
        <v>6.57</v>
      </c>
      <c r="Q112" s="134">
        <f t="shared" si="29"/>
        <v>6.57</v>
      </c>
      <c r="R112" s="134">
        <f t="shared" si="29"/>
        <v>6.57</v>
      </c>
      <c r="S112" s="134">
        <f t="shared" si="30"/>
        <v>6.57</v>
      </c>
      <c r="T112" s="134">
        <f t="shared" si="30"/>
        <v>6.57</v>
      </c>
      <c r="U112" s="134">
        <f t="shared" si="30"/>
        <v>6.57</v>
      </c>
      <c r="V112" s="134">
        <f t="shared" si="30"/>
        <v>6.57</v>
      </c>
      <c r="W112" s="134">
        <f t="shared" si="30"/>
        <v>6.57</v>
      </c>
      <c r="X112" s="134">
        <f t="shared" si="30"/>
        <v>6.57</v>
      </c>
      <c r="Y112" s="134">
        <f t="shared" si="30"/>
        <v>6.57</v>
      </c>
      <c r="Z112" s="134">
        <f t="shared" si="30"/>
        <v>6.57</v>
      </c>
      <c r="AA112" s="134">
        <f t="shared" si="30"/>
        <v>6.57</v>
      </c>
      <c r="AB112" s="134">
        <f t="shared" si="30"/>
        <v>6.57</v>
      </c>
      <c r="AC112" s="134">
        <f t="shared" si="30"/>
        <v>6.57</v>
      </c>
      <c r="AD112" s="134">
        <f t="shared" si="30"/>
        <v>6.57</v>
      </c>
      <c r="AE112" s="134">
        <f t="shared" si="30"/>
        <v>6.57</v>
      </c>
      <c r="AF112" s="134">
        <f t="shared" si="30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9"/>
        <v>3.43</v>
      </c>
      <c r="D113" s="134">
        <f t="shared" si="29"/>
        <v>3.43</v>
      </c>
      <c r="E113" s="134">
        <f t="shared" si="29"/>
        <v>3.43</v>
      </c>
      <c r="F113" s="134">
        <f t="shared" si="29"/>
        <v>3.43</v>
      </c>
      <c r="G113" s="134">
        <f t="shared" si="29"/>
        <v>3.43</v>
      </c>
      <c r="H113" s="134">
        <f t="shared" si="29"/>
        <v>3.43</v>
      </c>
      <c r="I113" s="134">
        <f t="shared" si="29"/>
        <v>3.43</v>
      </c>
      <c r="J113" s="134">
        <f t="shared" si="29"/>
        <v>3.43</v>
      </c>
      <c r="K113" s="134">
        <f t="shared" si="29"/>
        <v>3.43</v>
      </c>
      <c r="L113" s="134">
        <f t="shared" si="29"/>
        <v>3.43</v>
      </c>
      <c r="M113" s="134">
        <f t="shared" si="29"/>
        <v>3.43</v>
      </c>
      <c r="N113" s="134">
        <f t="shared" si="29"/>
        <v>3.43</v>
      </c>
      <c r="O113" s="134">
        <f t="shared" si="29"/>
        <v>3.43</v>
      </c>
      <c r="P113" s="134">
        <f t="shared" si="29"/>
        <v>3.43</v>
      </c>
      <c r="Q113" s="134">
        <f t="shared" si="29"/>
        <v>3.43</v>
      </c>
      <c r="R113" s="134">
        <f t="shared" si="29"/>
        <v>3.43</v>
      </c>
      <c r="S113" s="134">
        <f t="shared" si="30"/>
        <v>3.43</v>
      </c>
      <c r="T113" s="134">
        <f t="shared" si="30"/>
        <v>3.43</v>
      </c>
      <c r="U113" s="134">
        <f t="shared" si="30"/>
        <v>3.43</v>
      </c>
      <c r="V113" s="134">
        <f t="shared" si="30"/>
        <v>3.43</v>
      </c>
      <c r="W113" s="134">
        <f t="shared" si="30"/>
        <v>3.43</v>
      </c>
      <c r="X113" s="134">
        <f t="shared" si="30"/>
        <v>3.43</v>
      </c>
      <c r="Y113" s="134">
        <f t="shared" si="30"/>
        <v>3.43</v>
      </c>
      <c r="Z113" s="134">
        <f t="shared" si="30"/>
        <v>3.43</v>
      </c>
      <c r="AA113" s="134">
        <f t="shared" si="30"/>
        <v>3.43</v>
      </c>
      <c r="AB113" s="134">
        <f t="shared" si="30"/>
        <v>3.43</v>
      </c>
      <c r="AC113" s="134">
        <f t="shared" si="30"/>
        <v>3.43</v>
      </c>
      <c r="AD113" s="134">
        <f t="shared" si="30"/>
        <v>3.43</v>
      </c>
      <c r="AE113" s="134">
        <f t="shared" si="30"/>
        <v>3.43</v>
      </c>
      <c r="AF113" s="134">
        <f t="shared" si="30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9"/>
        <v>2.96</v>
      </c>
      <c r="D114" s="134">
        <f t="shared" si="29"/>
        <v>2.96</v>
      </c>
      <c r="E114" s="134">
        <f t="shared" si="29"/>
        <v>2.96</v>
      </c>
      <c r="F114" s="134">
        <f t="shared" si="29"/>
        <v>2.96</v>
      </c>
      <c r="G114" s="134">
        <f t="shared" si="29"/>
        <v>2.96</v>
      </c>
      <c r="H114" s="134">
        <f t="shared" si="29"/>
        <v>2.96</v>
      </c>
      <c r="I114" s="134">
        <f t="shared" si="29"/>
        <v>2.96</v>
      </c>
      <c r="J114" s="134">
        <f t="shared" si="29"/>
        <v>2.96</v>
      </c>
      <c r="K114" s="134">
        <f t="shared" si="29"/>
        <v>2.96</v>
      </c>
      <c r="L114" s="134">
        <f t="shared" si="29"/>
        <v>2.96</v>
      </c>
      <c r="M114" s="134">
        <f t="shared" si="29"/>
        <v>2.96</v>
      </c>
      <c r="N114" s="134">
        <f t="shared" si="29"/>
        <v>2.96</v>
      </c>
      <c r="O114" s="134">
        <f t="shared" si="29"/>
        <v>2.96</v>
      </c>
      <c r="P114" s="134">
        <f t="shared" si="29"/>
        <v>2.96</v>
      </c>
      <c r="Q114" s="134">
        <f t="shared" si="29"/>
        <v>2.96</v>
      </c>
      <c r="R114" s="134">
        <f t="shared" si="29"/>
        <v>2.96</v>
      </c>
      <c r="S114" s="134">
        <f t="shared" si="30"/>
        <v>2.96</v>
      </c>
      <c r="T114" s="134">
        <f t="shared" si="30"/>
        <v>2.96</v>
      </c>
      <c r="U114" s="134">
        <f t="shared" si="30"/>
        <v>2.96</v>
      </c>
      <c r="V114" s="134">
        <f t="shared" si="30"/>
        <v>2.96</v>
      </c>
      <c r="W114" s="134">
        <f t="shared" si="30"/>
        <v>2.96</v>
      </c>
      <c r="X114" s="134">
        <f t="shared" si="30"/>
        <v>2.96</v>
      </c>
      <c r="Y114" s="134">
        <f t="shared" si="30"/>
        <v>2.96</v>
      </c>
      <c r="Z114" s="134">
        <f t="shared" si="30"/>
        <v>2.96</v>
      </c>
      <c r="AA114" s="134">
        <f t="shared" si="30"/>
        <v>2.96</v>
      </c>
      <c r="AB114" s="134">
        <f t="shared" si="30"/>
        <v>2.96</v>
      </c>
      <c r="AC114" s="134">
        <f t="shared" si="30"/>
        <v>2.96</v>
      </c>
      <c r="AD114" s="134">
        <f t="shared" si="30"/>
        <v>2.96</v>
      </c>
      <c r="AE114" s="134">
        <f t="shared" si="30"/>
        <v>2.96</v>
      </c>
      <c r="AF114" s="134">
        <f t="shared" si="30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9"/>
        <v>8</v>
      </c>
      <c r="D115" s="134">
        <f t="shared" si="29"/>
        <v>8</v>
      </c>
      <c r="E115" s="134">
        <f t="shared" si="29"/>
        <v>8</v>
      </c>
      <c r="F115" s="134">
        <f t="shared" si="29"/>
        <v>8</v>
      </c>
      <c r="G115" s="134">
        <f t="shared" si="29"/>
        <v>8</v>
      </c>
      <c r="H115" s="134">
        <f t="shared" si="29"/>
        <v>8</v>
      </c>
      <c r="I115" s="134">
        <f t="shared" si="29"/>
        <v>8</v>
      </c>
      <c r="J115" s="134">
        <f t="shared" si="29"/>
        <v>8</v>
      </c>
      <c r="K115" s="134">
        <f t="shared" si="29"/>
        <v>8</v>
      </c>
      <c r="L115" s="134">
        <f t="shared" si="29"/>
        <v>8</v>
      </c>
      <c r="M115" s="134">
        <f t="shared" si="29"/>
        <v>8</v>
      </c>
      <c r="N115" s="134">
        <f t="shared" si="29"/>
        <v>8</v>
      </c>
      <c r="O115" s="134">
        <f t="shared" si="29"/>
        <v>8</v>
      </c>
      <c r="P115" s="134">
        <f t="shared" si="29"/>
        <v>8</v>
      </c>
      <c r="Q115" s="134">
        <f t="shared" si="29"/>
        <v>8</v>
      </c>
      <c r="R115" s="134">
        <f t="shared" si="29"/>
        <v>8</v>
      </c>
      <c r="S115" s="134">
        <f t="shared" si="30"/>
        <v>8</v>
      </c>
      <c r="T115" s="134">
        <f t="shared" si="30"/>
        <v>8</v>
      </c>
      <c r="U115" s="134">
        <f t="shared" si="30"/>
        <v>8</v>
      </c>
      <c r="V115" s="134">
        <f t="shared" si="30"/>
        <v>8</v>
      </c>
      <c r="W115" s="134">
        <f t="shared" si="30"/>
        <v>8</v>
      </c>
      <c r="X115" s="134">
        <f t="shared" si="30"/>
        <v>8</v>
      </c>
      <c r="Y115" s="134">
        <f t="shared" si="30"/>
        <v>8</v>
      </c>
      <c r="Z115" s="134">
        <f t="shared" si="30"/>
        <v>8</v>
      </c>
      <c r="AA115" s="134">
        <f t="shared" si="30"/>
        <v>8</v>
      </c>
      <c r="AB115" s="134">
        <f t="shared" si="30"/>
        <v>8</v>
      </c>
      <c r="AC115" s="134">
        <f t="shared" si="30"/>
        <v>8</v>
      </c>
      <c r="AD115" s="134">
        <f t="shared" si="30"/>
        <v>8</v>
      </c>
      <c r="AE115" s="134">
        <f t="shared" si="30"/>
        <v>8</v>
      </c>
      <c r="AF115" s="134">
        <f t="shared" si="30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9"/>
        <v>7</v>
      </c>
      <c r="E116" s="134">
        <f t="shared" si="29"/>
        <v>7</v>
      </c>
      <c r="F116" s="134">
        <f t="shared" si="29"/>
        <v>7</v>
      </c>
      <c r="G116" s="134">
        <f t="shared" si="29"/>
        <v>7</v>
      </c>
      <c r="H116" s="134">
        <f t="shared" si="29"/>
        <v>7</v>
      </c>
      <c r="I116" s="134">
        <f t="shared" si="29"/>
        <v>7</v>
      </c>
      <c r="J116" s="134">
        <f t="shared" si="29"/>
        <v>7</v>
      </c>
      <c r="K116" s="134">
        <f t="shared" si="29"/>
        <v>7</v>
      </c>
      <c r="L116" s="134">
        <f t="shared" si="29"/>
        <v>7</v>
      </c>
      <c r="M116" s="134">
        <f t="shared" si="29"/>
        <v>7</v>
      </c>
      <c r="N116" s="134">
        <f t="shared" si="29"/>
        <v>7</v>
      </c>
      <c r="O116" s="134">
        <f t="shared" si="29"/>
        <v>7</v>
      </c>
      <c r="P116" s="134">
        <f t="shared" si="29"/>
        <v>7</v>
      </c>
      <c r="Q116" s="134">
        <f t="shared" si="29"/>
        <v>7</v>
      </c>
      <c r="R116" s="134">
        <f t="shared" si="29"/>
        <v>7</v>
      </c>
      <c r="S116" s="134">
        <f t="shared" si="30"/>
        <v>7</v>
      </c>
      <c r="T116" s="134">
        <f t="shared" si="30"/>
        <v>7</v>
      </c>
      <c r="U116" s="134">
        <f t="shared" si="30"/>
        <v>7</v>
      </c>
      <c r="V116" s="134">
        <f t="shared" si="30"/>
        <v>7</v>
      </c>
      <c r="W116" s="134">
        <f t="shared" si="30"/>
        <v>7</v>
      </c>
      <c r="X116" s="134">
        <f t="shared" si="30"/>
        <v>7</v>
      </c>
      <c r="Y116" s="134">
        <f t="shared" si="30"/>
        <v>7</v>
      </c>
      <c r="Z116" s="134">
        <f t="shared" si="30"/>
        <v>7</v>
      </c>
      <c r="AA116" s="134">
        <f t="shared" si="30"/>
        <v>7</v>
      </c>
      <c r="AB116" s="134">
        <f t="shared" si="30"/>
        <v>7</v>
      </c>
      <c r="AC116" s="134">
        <f t="shared" si="30"/>
        <v>7</v>
      </c>
      <c r="AD116" s="134">
        <f t="shared" si="30"/>
        <v>7</v>
      </c>
      <c r="AE116" s="134">
        <f t="shared" si="30"/>
        <v>7</v>
      </c>
      <c r="AF116" s="134">
        <f t="shared" si="30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1">B117</f>
        <v>3.47</v>
      </c>
      <c r="D117" s="134">
        <f t="shared" si="31"/>
        <v>3.47</v>
      </c>
      <c r="E117" s="134">
        <f t="shared" si="31"/>
        <v>3.47</v>
      </c>
      <c r="F117" s="134">
        <f t="shared" si="31"/>
        <v>3.47</v>
      </c>
      <c r="G117" s="134">
        <f t="shared" si="31"/>
        <v>3.47</v>
      </c>
      <c r="H117" s="134">
        <f t="shared" si="31"/>
        <v>3.47</v>
      </c>
      <c r="I117" s="134">
        <f t="shared" si="31"/>
        <v>3.47</v>
      </c>
      <c r="J117" s="134">
        <f t="shared" si="31"/>
        <v>3.47</v>
      </c>
      <c r="K117" s="134">
        <f t="shared" si="31"/>
        <v>3.47</v>
      </c>
      <c r="L117" s="134">
        <f t="shared" si="31"/>
        <v>3.47</v>
      </c>
      <c r="M117" s="134">
        <f t="shared" si="31"/>
        <v>3.47</v>
      </c>
      <c r="N117" s="134">
        <f t="shared" si="31"/>
        <v>3.47</v>
      </c>
      <c r="O117" s="134">
        <f t="shared" si="31"/>
        <v>3.47</v>
      </c>
      <c r="P117" s="134">
        <f t="shared" si="31"/>
        <v>3.47</v>
      </c>
      <c r="Q117" s="134">
        <f t="shared" si="31"/>
        <v>3.47</v>
      </c>
      <c r="R117" s="134">
        <f t="shared" si="31"/>
        <v>3.47</v>
      </c>
      <c r="S117" s="134">
        <f t="shared" si="30"/>
        <v>3.47</v>
      </c>
      <c r="T117" s="134">
        <f t="shared" si="30"/>
        <v>3.47</v>
      </c>
      <c r="U117" s="134">
        <f t="shared" si="30"/>
        <v>3.47</v>
      </c>
      <c r="V117" s="134">
        <f t="shared" si="30"/>
        <v>3.47</v>
      </c>
      <c r="W117" s="134">
        <f t="shared" si="30"/>
        <v>3.47</v>
      </c>
      <c r="X117" s="134">
        <f t="shared" si="30"/>
        <v>3.47</v>
      </c>
      <c r="Y117" s="134">
        <f t="shared" si="30"/>
        <v>3.47</v>
      </c>
      <c r="Z117" s="134">
        <f t="shared" si="30"/>
        <v>3.47</v>
      </c>
      <c r="AA117" s="134">
        <f t="shared" si="30"/>
        <v>3.47</v>
      </c>
      <c r="AB117" s="134">
        <f t="shared" si="30"/>
        <v>3.47</v>
      </c>
      <c r="AC117" s="134">
        <f t="shared" si="30"/>
        <v>3.47</v>
      </c>
      <c r="AD117" s="134">
        <f t="shared" si="30"/>
        <v>3.47</v>
      </c>
      <c r="AE117" s="134">
        <f t="shared" si="30"/>
        <v>3.47</v>
      </c>
      <c r="AF117" s="134">
        <f t="shared" si="30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1"/>
        <v>2.1</v>
      </c>
      <c r="D118" s="134">
        <f t="shared" si="31"/>
        <v>2.1</v>
      </c>
      <c r="E118" s="134">
        <f t="shared" si="31"/>
        <v>2.1</v>
      </c>
      <c r="F118" s="134">
        <f t="shared" si="31"/>
        <v>2.1</v>
      </c>
      <c r="G118" s="134">
        <f t="shared" si="31"/>
        <v>2.1</v>
      </c>
      <c r="H118" s="134">
        <f t="shared" si="31"/>
        <v>2.1</v>
      </c>
      <c r="I118" s="134">
        <f t="shared" si="31"/>
        <v>2.1</v>
      </c>
      <c r="J118" s="134">
        <f t="shared" si="31"/>
        <v>2.1</v>
      </c>
      <c r="K118" s="134">
        <f t="shared" si="31"/>
        <v>2.1</v>
      </c>
      <c r="L118" s="134">
        <f t="shared" si="31"/>
        <v>2.1</v>
      </c>
      <c r="M118" s="134">
        <f t="shared" si="31"/>
        <v>2.1</v>
      </c>
      <c r="N118" s="134">
        <f t="shared" si="31"/>
        <v>2.1</v>
      </c>
      <c r="O118" s="134">
        <f t="shared" si="31"/>
        <v>2.1</v>
      </c>
      <c r="P118" s="134">
        <f t="shared" si="31"/>
        <v>2.1</v>
      </c>
      <c r="Q118" s="134">
        <f t="shared" si="31"/>
        <v>2.1</v>
      </c>
      <c r="R118" s="134">
        <f t="shared" si="31"/>
        <v>2.1</v>
      </c>
      <c r="S118" s="134">
        <f t="shared" si="30"/>
        <v>2.1</v>
      </c>
      <c r="T118" s="134">
        <f t="shared" si="30"/>
        <v>2.1</v>
      </c>
      <c r="U118" s="134">
        <f t="shared" si="30"/>
        <v>2.1</v>
      </c>
      <c r="V118" s="134">
        <f t="shared" si="30"/>
        <v>2.1</v>
      </c>
      <c r="W118" s="134">
        <f t="shared" si="30"/>
        <v>2.1</v>
      </c>
      <c r="X118" s="134">
        <f t="shared" si="30"/>
        <v>2.1</v>
      </c>
      <c r="Y118" s="134">
        <f t="shared" si="30"/>
        <v>2.1</v>
      </c>
      <c r="Z118" s="134">
        <f t="shared" si="30"/>
        <v>2.1</v>
      </c>
      <c r="AA118" s="134">
        <f t="shared" si="30"/>
        <v>2.1</v>
      </c>
      <c r="AB118" s="134">
        <f t="shared" si="30"/>
        <v>2.1</v>
      </c>
      <c r="AC118" s="134">
        <f t="shared" si="30"/>
        <v>2.1</v>
      </c>
      <c r="AD118" s="134">
        <f t="shared" si="30"/>
        <v>2.1</v>
      </c>
      <c r="AE118" s="134">
        <f t="shared" si="30"/>
        <v>2.1</v>
      </c>
      <c r="AF118" s="134">
        <f t="shared" si="30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1"/>
        <v>9.3000000000000007</v>
      </c>
      <c r="D119" s="134">
        <f t="shared" si="31"/>
        <v>9.3000000000000007</v>
      </c>
      <c r="E119" s="134">
        <f t="shared" si="31"/>
        <v>9.3000000000000007</v>
      </c>
      <c r="F119" s="134">
        <f t="shared" si="31"/>
        <v>9.3000000000000007</v>
      </c>
      <c r="G119" s="134">
        <f t="shared" si="31"/>
        <v>9.3000000000000007</v>
      </c>
      <c r="H119" s="134">
        <f t="shared" si="31"/>
        <v>9.3000000000000007</v>
      </c>
      <c r="I119" s="134">
        <f t="shared" si="31"/>
        <v>9.3000000000000007</v>
      </c>
      <c r="J119" s="134">
        <f t="shared" si="31"/>
        <v>9.3000000000000007</v>
      </c>
      <c r="K119" s="134">
        <f t="shared" si="31"/>
        <v>9.3000000000000007</v>
      </c>
      <c r="L119" s="134">
        <f t="shared" si="31"/>
        <v>9.3000000000000007</v>
      </c>
      <c r="M119" s="134">
        <f t="shared" si="31"/>
        <v>9.3000000000000007</v>
      </c>
      <c r="N119" s="134">
        <f t="shared" si="31"/>
        <v>9.3000000000000007</v>
      </c>
      <c r="O119" s="134">
        <f t="shared" si="31"/>
        <v>9.3000000000000007</v>
      </c>
      <c r="P119" s="134">
        <f t="shared" si="31"/>
        <v>9.3000000000000007</v>
      </c>
      <c r="Q119" s="134">
        <f t="shared" si="31"/>
        <v>9.3000000000000007</v>
      </c>
      <c r="R119" s="134">
        <f t="shared" si="31"/>
        <v>9.3000000000000007</v>
      </c>
      <c r="S119" s="134">
        <f t="shared" si="30"/>
        <v>9.3000000000000007</v>
      </c>
      <c r="T119" s="134">
        <f t="shared" si="30"/>
        <v>9.3000000000000007</v>
      </c>
      <c r="U119" s="134">
        <f t="shared" si="30"/>
        <v>9.3000000000000007</v>
      </c>
      <c r="V119" s="134">
        <f t="shared" si="30"/>
        <v>9.3000000000000007</v>
      </c>
      <c r="W119" s="134">
        <f t="shared" si="30"/>
        <v>9.3000000000000007</v>
      </c>
      <c r="X119" s="134">
        <f t="shared" si="30"/>
        <v>9.3000000000000007</v>
      </c>
      <c r="Y119" s="134">
        <f t="shared" si="30"/>
        <v>9.3000000000000007</v>
      </c>
      <c r="Z119" s="134">
        <f t="shared" si="30"/>
        <v>9.3000000000000007</v>
      </c>
      <c r="AA119" s="134">
        <f t="shared" si="30"/>
        <v>9.3000000000000007</v>
      </c>
      <c r="AB119" s="134">
        <f t="shared" si="30"/>
        <v>9.3000000000000007</v>
      </c>
      <c r="AC119" s="134">
        <f t="shared" si="30"/>
        <v>9.3000000000000007</v>
      </c>
      <c r="AD119" s="134">
        <f t="shared" si="30"/>
        <v>9.3000000000000007</v>
      </c>
      <c r="AE119" s="134">
        <f t="shared" si="30"/>
        <v>9.3000000000000007</v>
      </c>
      <c r="AF119" s="134">
        <f t="shared" si="30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1"/>
        <v>0</v>
      </c>
      <c r="D120" s="134">
        <f t="shared" si="31"/>
        <v>0</v>
      </c>
      <c r="E120" s="134">
        <f t="shared" si="31"/>
        <v>0</v>
      </c>
      <c r="F120" s="134">
        <f t="shared" si="31"/>
        <v>0</v>
      </c>
      <c r="G120" s="134">
        <f t="shared" si="31"/>
        <v>0</v>
      </c>
      <c r="H120" s="134">
        <f t="shared" si="31"/>
        <v>0</v>
      </c>
      <c r="I120" s="134">
        <f t="shared" si="31"/>
        <v>0</v>
      </c>
      <c r="J120" s="134">
        <f t="shared" si="31"/>
        <v>0</v>
      </c>
      <c r="K120" s="134">
        <f t="shared" si="31"/>
        <v>0</v>
      </c>
      <c r="L120" s="134">
        <f t="shared" si="31"/>
        <v>0</v>
      </c>
      <c r="M120" s="134">
        <f t="shared" si="31"/>
        <v>0</v>
      </c>
      <c r="N120" s="134">
        <f t="shared" si="31"/>
        <v>0</v>
      </c>
      <c r="O120" s="134">
        <f t="shared" si="31"/>
        <v>0</v>
      </c>
      <c r="P120" s="134">
        <f t="shared" si="31"/>
        <v>0</v>
      </c>
      <c r="Q120" s="134">
        <f t="shared" si="31"/>
        <v>0</v>
      </c>
      <c r="R120" s="134">
        <f t="shared" si="31"/>
        <v>0</v>
      </c>
      <c r="S120" s="134">
        <f t="shared" si="30"/>
        <v>0</v>
      </c>
      <c r="T120" s="134">
        <f t="shared" si="30"/>
        <v>0</v>
      </c>
      <c r="U120" s="134">
        <f t="shared" si="30"/>
        <v>0</v>
      </c>
      <c r="V120" s="134">
        <f t="shared" si="30"/>
        <v>0</v>
      </c>
      <c r="W120" s="134">
        <f t="shared" si="30"/>
        <v>0</v>
      </c>
      <c r="X120" s="134">
        <f t="shared" si="30"/>
        <v>0</v>
      </c>
      <c r="Y120" s="134">
        <f t="shared" si="30"/>
        <v>0</v>
      </c>
      <c r="Z120" s="134">
        <f t="shared" si="30"/>
        <v>0</v>
      </c>
      <c r="AA120" s="134">
        <f t="shared" si="30"/>
        <v>0</v>
      </c>
      <c r="AB120" s="134">
        <f t="shared" si="30"/>
        <v>0</v>
      </c>
      <c r="AC120" s="134">
        <f t="shared" si="30"/>
        <v>0</v>
      </c>
      <c r="AD120" s="134">
        <f t="shared" si="30"/>
        <v>0</v>
      </c>
      <c r="AE120" s="134">
        <f t="shared" si="30"/>
        <v>0</v>
      </c>
      <c r="AF120" s="134">
        <f t="shared" si="30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1"/>
        <v>0</v>
      </c>
      <c r="D121" s="134">
        <f t="shared" si="31"/>
        <v>0</v>
      </c>
      <c r="E121" s="134">
        <f t="shared" si="31"/>
        <v>0</v>
      </c>
      <c r="F121" s="134">
        <f t="shared" si="31"/>
        <v>0</v>
      </c>
      <c r="G121" s="134">
        <f t="shared" si="31"/>
        <v>0</v>
      </c>
      <c r="H121" s="134">
        <f t="shared" si="31"/>
        <v>0</v>
      </c>
      <c r="I121" s="134">
        <f t="shared" si="31"/>
        <v>0</v>
      </c>
      <c r="J121" s="134">
        <f t="shared" si="31"/>
        <v>0</v>
      </c>
      <c r="K121" s="134">
        <f t="shared" si="31"/>
        <v>0</v>
      </c>
      <c r="L121" s="134">
        <f t="shared" si="31"/>
        <v>0</v>
      </c>
      <c r="M121" s="134">
        <f t="shared" si="31"/>
        <v>0</v>
      </c>
      <c r="N121" s="134">
        <f t="shared" si="31"/>
        <v>0</v>
      </c>
      <c r="O121" s="134">
        <f t="shared" si="31"/>
        <v>0</v>
      </c>
      <c r="P121" s="134">
        <f t="shared" si="31"/>
        <v>0</v>
      </c>
      <c r="Q121" s="134">
        <f t="shared" si="31"/>
        <v>0</v>
      </c>
      <c r="R121" s="134">
        <f t="shared" si="31"/>
        <v>0</v>
      </c>
      <c r="S121" s="134">
        <f t="shared" si="30"/>
        <v>0</v>
      </c>
      <c r="T121" s="134">
        <f t="shared" si="30"/>
        <v>0</v>
      </c>
      <c r="U121" s="134">
        <f t="shared" si="30"/>
        <v>0</v>
      </c>
      <c r="V121" s="134">
        <f t="shared" si="30"/>
        <v>0</v>
      </c>
      <c r="W121" s="134">
        <f t="shared" si="30"/>
        <v>0</v>
      </c>
      <c r="X121" s="134">
        <f t="shared" si="30"/>
        <v>0</v>
      </c>
      <c r="Y121" s="134">
        <f t="shared" si="30"/>
        <v>0</v>
      </c>
      <c r="Z121" s="134">
        <f t="shared" si="30"/>
        <v>0</v>
      </c>
      <c r="AA121" s="134">
        <f t="shared" si="30"/>
        <v>0</v>
      </c>
      <c r="AB121" s="134">
        <f t="shared" si="30"/>
        <v>0</v>
      </c>
      <c r="AC121" s="134">
        <f t="shared" si="30"/>
        <v>0</v>
      </c>
      <c r="AD121" s="134">
        <f t="shared" si="30"/>
        <v>0</v>
      </c>
      <c r="AE121" s="134">
        <f t="shared" si="30"/>
        <v>0</v>
      </c>
      <c r="AF121" s="134">
        <f t="shared" si="30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1"/>
        <v>5</v>
      </c>
      <c r="D122" s="134">
        <f t="shared" si="31"/>
        <v>5</v>
      </c>
      <c r="E122" s="134">
        <f t="shared" si="31"/>
        <v>5</v>
      </c>
      <c r="F122" s="134">
        <f t="shared" si="31"/>
        <v>5</v>
      </c>
      <c r="G122" s="134">
        <f t="shared" si="31"/>
        <v>5</v>
      </c>
      <c r="H122" s="134">
        <f t="shared" si="31"/>
        <v>5</v>
      </c>
      <c r="I122" s="134">
        <f t="shared" si="31"/>
        <v>5</v>
      </c>
      <c r="J122" s="134">
        <f t="shared" si="31"/>
        <v>5</v>
      </c>
      <c r="K122" s="134">
        <f t="shared" si="31"/>
        <v>5</v>
      </c>
      <c r="L122" s="134">
        <f t="shared" si="31"/>
        <v>5</v>
      </c>
      <c r="M122" s="134">
        <f t="shared" si="31"/>
        <v>5</v>
      </c>
      <c r="N122" s="134">
        <f t="shared" si="31"/>
        <v>5</v>
      </c>
      <c r="O122" s="134">
        <f t="shared" si="31"/>
        <v>5</v>
      </c>
      <c r="P122" s="134">
        <f t="shared" si="31"/>
        <v>5</v>
      </c>
      <c r="Q122" s="134">
        <f t="shared" si="31"/>
        <v>5</v>
      </c>
      <c r="R122" s="134">
        <f t="shared" si="31"/>
        <v>5</v>
      </c>
      <c r="S122" s="134">
        <f t="shared" si="30"/>
        <v>5</v>
      </c>
      <c r="T122" s="134">
        <f t="shared" si="30"/>
        <v>5</v>
      </c>
      <c r="U122" s="134">
        <f t="shared" si="30"/>
        <v>5</v>
      </c>
      <c r="V122" s="134">
        <f t="shared" si="30"/>
        <v>5</v>
      </c>
      <c r="W122" s="134">
        <f t="shared" si="30"/>
        <v>5</v>
      </c>
      <c r="X122" s="134">
        <f t="shared" si="30"/>
        <v>5</v>
      </c>
      <c r="Y122" s="134">
        <f t="shared" si="30"/>
        <v>5</v>
      </c>
      <c r="Z122" s="134">
        <f t="shared" si="30"/>
        <v>5</v>
      </c>
      <c r="AA122" s="134">
        <f t="shared" si="30"/>
        <v>5</v>
      </c>
      <c r="AB122" s="134">
        <f t="shared" si="30"/>
        <v>5</v>
      </c>
      <c r="AC122" s="134">
        <f t="shared" si="30"/>
        <v>5</v>
      </c>
      <c r="AD122" s="134">
        <f t="shared" si="30"/>
        <v>5</v>
      </c>
      <c r="AE122" s="134">
        <f t="shared" si="30"/>
        <v>5</v>
      </c>
      <c r="AF122" s="134">
        <f t="shared" si="30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1"/>
        <v>1</v>
      </c>
      <c r="D123" s="134">
        <f t="shared" si="31"/>
        <v>1</v>
      </c>
      <c r="E123" s="134">
        <f t="shared" si="31"/>
        <v>1</v>
      </c>
      <c r="F123" s="134">
        <f t="shared" si="31"/>
        <v>1</v>
      </c>
      <c r="G123" s="134">
        <f t="shared" si="31"/>
        <v>1</v>
      </c>
      <c r="H123" s="134">
        <f t="shared" si="31"/>
        <v>1</v>
      </c>
      <c r="I123" s="134">
        <f t="shared" si="31"/>
        <v>1</v>
      </c>
      <c r="J123" s="134">
        <f t="shared" si="31"/>
        <v>1</v>
      </c>
      <c r="K123" s="134">
        <f t="shared" si="31"/>
        <v>1</v>
      </c>
      <c r="L123" s="134">
        <f t="shared" si="31"/>
        <v>1</v>
      </c>
      <c r="M123" s="134">
        <f t="shared" si="31"/>
        <v>1</v>
      </c>
      <c r="N123" s="134">
        <f t="shared" si="31"/>
        <v>1</v>
      </c>
      <c r="O123" s="134">
        <f t="shared" si="31"/>
        <v>1</v>
      </c>
      <c r="P123" s="134">
        <f t="shared" si="31"/>
        <v>1</v>
      </c>
      <c r="Q123" s="134">
        <f t="shared" si="31"/>
        <v>1</v>
      </c>
      <c r="R123" s="134">
        <f t="shared" si="31"/>
        <v>1</v>
      </c>
      <c r="S123" s="134">
        <f t="shared" si="30"/>
        <v>1</v>
      </c>
      <c r="T123" s="134">
        <f t="shared" si="30"/>
        <v>1</v>
      </c>
      <c r="U123" s="134">
        <f t="shared" si="30"/>
        <v>1</v>
      </c>
      <c r="V123" s="134">
        <f t="shared" si="30"/>
        <v>1</v>
      </c>
      <c r="W123" s="134">
        <f t="shared" si="30"/>
        <v>1</v>
      </c>
      <c r="X123" s="134">
        <f t="shared" si="30"/>
        <v>1</v>
      </c>
      <c r="Y123" s="134">
        <f t="shared" si="30"/>
        <v>1</v>
      </c>
      <c r="Z123" s="134">
        <f t="shared" si="30"/>
        <v>1</v>
      </c>
      <c r="AA123" s="134">
        <f t="shared" si="30"/>
        <v>1</v>
      </c>
      <c r="AB123" s="134">
        <f t="shared" si="30"/>
        <v>1</v>
      </c>
      <c r="AC123" s="134">
        <f t="shared" si="30"/>
        <v>1</v>
      </c>
      <c r="AD123" s="134">
        <f t="shared" si="30"/>
        <v>1</v>
      </c>
      <c r="AE123" s="134">
        <f t="shared" si="30"/>
        <v>1</v>
      </c>
      <c r="AF123" s="134">
        <f t="shared" si="30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1"/>
        <v>1.58</v>
      </c>
      <c r="D124" s="134">
        <f t="shared" si="31"/>
        <v>1.58</v>
      </c>
      <c r="E124" s="134">
        <f t="shared" si="31"/>
        <v>1.58</v>
      </c>
      <c r="F124" s="134">
        <f t="shared" si="31"/>
        <v>1.58</v>
      </c>
      <c r="G124" s="134">
        <f t="shared" si="31"/>
        <v>1.58</v>
      </c>
      <c r="H124" s="134">
        <f t="shared" si="31"/>
        <v>1.58</v>
      </c>
      <c r="I124" s="134">
        <f t="shared" si="31"/>
        <v>1.58</v>
      </c>
      <c r="J124" s="134">
        <f t="shared" si="31"/>
        <v>1.58</v>
      </c>
      <c r="K124" s="134">
        <f t="shared" si="31"/>
        <v>1.58</v>
      </c>
      <c r="L124" s="134">
        <f t="shared" si="31"/>
        <v>1.58</v>
      </c>
      <c r="M124" s="134">
        <f t="shared" si="31"/>
        <v>1.58</v>
      </c>
      <c r="N124" s="134">
        <f t="shared" si="31"/>
        <v>1.58</v>
      </c>
      <c r="O124" s="134">
        <f t="shared" si="31"/>
        <v>1.58</v>
      </c>
      <c r="P124" s="134">
        <f t="shared" si="31"/>
        <v>1.58</v>
      </c>
      <c r="Q124" s="134">
        <f t="shared" si="31"/>
        <v>1.58</v>
      </c>
      <c r="R124" s="134">
        <f t="shared" si="31"/>
        <v>1.58</v>
      </c>
      <c r="S124" s="134">
        <f t="shared" si="30"/>
        <v>1.58</v>
      </c>
      <c r="T124" s="134">
        <f t="shared" si="30"/>
        <v>1.58</v>
      </c>
      <c r="U124" s="134">
        <f t="shared" si="30"/>
        <v>1.58</v>
      </c>
      <c r="V124" s="134">
        <f t="shared" si="30"/>
        <v>1.58</v>
      </c>
      <c r="W124" s="134">
        <f t="shared" si="30"/>
        <v>1.58</v>
      </c>
      <c r="X124" s="134">
        <f t="shared" si="30"/>
        <v>1.58</v>
      </c>
      <c r="Y124" s="134">
        <f t="shared" si="30"/>
        <v>1.58</v>
      </c>
      <c r="Z124" s="134">
        <f t="shared" si="30"/>
        <v>1.58</v>
      </c>
      <c r="AA124" s="134">
        <f t="shared" si="30"/>
        <v>1.58</v>
      </c>
      <c r="AB124" s="134">
        <f t="shared" si="30"/>
        <v>1.58</v>
      </c>
      <c r="AC124" s="134">
        <f t="shared" si="30"/>
        <v>1.58</v>
      </c>
      <c r="AD124" s="134">
        <f t="shared" si="30"/>
        <v>1.58</v>
      </c>
      <c r="AE124" s="134">
        <f t="shared" si="30"/>
        <v>1.58</v>
      </c>
      <c r="AF124" s="134">
        <f t="shared" si="30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1"/>
        <v>1.46</v>
      </c>
      <c r="D125" s="134">
        <f t="shared" si="31"/>
        <v>1.46</v>
      </c>
      <c r="E125" s="134">
        <f t="shared" si="31"/>
        <v>1.46</v>
      </c>
      <c r="F125" s="134">
        <f t="shared" si="31"/>
        <v>1.46</v>
      </c>
      <c r="G125" s="134">
        <f t="shared" si="31"/>
        <v>1.46</v>
      </c>
      <c r="H125" s="134">
        <f t="shared" si="31"/>
        <v>1.46</v>
      </c>
      <c r="I125" s="134">
        <f t="shared" si="31"/>
        <v>1.46</v>
      </c>
      <c r="J125" s="134">
        <f t="shared" si="31"/>
        <v>1.46</v>
      </c>
      <c r="K125" s="134">
        <f t="shared" si="31"/>
        <v>1.46</v>
      </c>
      <c r="L125" s="134">
        <f t="shared" si="31"/>
        <v>1.46</v>
      </c>
      <c r="M125" s="134">
        <f t="shared" si="31"/>
        <v>1.46</v>
      </c>
      <c r="N125" s="134">
        <f t="shared" si="31"/>
        <v>1.46</v>
      </c>
      <c r="O125" s="134">
        <f t="shared" si="31"/>
        <v>1.46</v>
      </c>
      <c r="P125" s="134">
        <f t="shared" si="31"/>
        <v>1.46</v>
      </c>
      <c r="Q125" s="134">
        <f t="shared" si="31"/>
        <v>1.46</v>
      </c>
      <c r="R125" s="134">
        <f t="shared" si="31"/>
        <v>1.46</v>
      </c>
      <c r="S125" s="134">
        <f t="shared" ref="S125:AF126" si="32">R125</f>
        <v>1.46</v>
      </c>
      <c r="T125" s="134">
        <f t="shared" si="32"/>
        <v>1.46</v>
      </c>
      <c r="U125" s="134">
        <f t="shared" si="32"/>
        <v>1.46</v>
      </c>
      <c r="V125" s="134">
        <f t="shared" si="32"/>
        <v>1.46</v>
      </c>
      <c r="W125" s="134">
        <f t="shared" si="32"/>
        <v>1.46</v>
      </c>
      <c r="X125" s="134">
        <f t="shared" si="32"/>
        <v>1.46</v>
      </c>
      <c r="Y125" s="134">
        <f t="shared" si="32"/>
        <v>1.46</v>
      </c>
      <c r="Z125" s="134">
        <f t="shared" si="32"/>
        <v>1.46</v>
      </c>
      <c r="AA125" s="134">
        <f t="shared" si="32"/>
        <v>1.46</v>
      </c>
      <c r="AB125" s="134">
        <f t="shared" si="32"/>
        <v>1.46</v>
      </c>
      <c r="AC125" s="134">
        <f t="shared" si="32"/>
        <v>1.46</v>
      </c>
      <c r="AD125" s="134">
        <f t="shared" si="32"/>
        <v>1.46</v>
      </c>
      <c r="AE125" s="134">
        <f t="shared" si="32"/>
        <v>1.46</v>
      </c>
      <c r="AF125" s="134">
        <f t="shared" si="32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1"/>
        <v>1.48</v>
      </c>
      <c r="D126" s="134">
        <f t="shared" si="31"/>
        <v>1.48</v>
      </c>
      <c r="E126" s="134">
        <f t="shared" si="31"/>
        <v>1.48</v>
      </c>
      <c r="F126" s="134">
        <f t="shared" si="31"/>
        <v>1.48</v>
      </c>
      <c r="G126" s="134">
        <f t="shared" si="31"/>
        <v>1.48</v>
      </c>
      <c r="H126" s="134">
        <f t="shared" si="31"/>
        <v>1.48</v>
      </c>
      <c r="I126" s="134">
        <f t="shared" si="31"/>
        <v>1.48</v>
      </c>
      <c r="J126" s="134">
        <f t="shared" si="31"/>
        <v>1.48</v>
      </c>
      <c r="K126" s="134">
        <f t="shared" si="31"/>
        <v>1.48</v>
      </c>
      <c r="L126" s="134">
        <f t="shared" si="31"/>
        <v>1.48</v>
      </c>
      <c r="M126" s="134">
        <f t="shared" si="31"/>
        <v>1.48</v>
      </c>
      <c r="N126" s="134">
        <f t="shared" si="31"/>
        <v>1.48</v>
      </c>
      <c r="O126" s="134">
        <f t="shared" si="31"/>
        <v>1.48</v>
      </c>
      <c r="P126" s="134">
        <f t="shared" si="31"/>
        <v>1.48</v>
      </c>
      <c r="Q126" s="134">
        <f t="shared" si="31"/>
        <v>1.48</v>
      </c>
      <c r="R126" s="134">
        <f t="shared" si="31"/>
        <v>1.48</v>
      </c>
      <c r="S126" s="134">
        <f t="shared" si="32"/>
        <v>1.48</v>
      </c>
      <c r="T126" s="134">
        <f t="shared" si="32"/>
        <v>1.48</v>
      </c>
      <c r="U126" s="134">
        <f t="shared" si="32"/>
        <v>1.48</v>
      </c>
      <c r="V126" s="134">
        <f t="shared" si="32"/>
        <v>1.48</v>
      </c>
      <c r="W126" s="134">
        <f t="shared" si="32"/>
        <v>1.48</v>
      </c>
      <c r="X126" s="134">
        <f t="shared" si="32"/>
        <v>1.48</v>
      </c>
      <c r="Y126" s="134">
        <f t="shared" si="32"/>
        <v>1.48</v>
      </c>
      <c r="Z126" s="134">
        <f t="shared" si="32"/>
        <v>1.48</v>
      </c>
      <c r="AA126" s="134">
        <f t="shared" si="32"/>
        <v>1.48</v>
      </c>
      <c r="AB126" s="134">
        <f t="shared" si="32"/>
        <v>1.48</v>
      </c>
      <c r="AC126" s="134">
        <f t="shared" si="32"/>
        <v>1.48</v>
      </c>
      <c r="AD126" s="134">
        <f t="shared" si="32"/>
        <v>1.48</v>
      </c>
      <c r="AE126" s="134">
        <f t="shared" si="32"/>
        <v>1.48</v>
      </c>
      <c r="AF126" s="134">
        <f t="shared" si="32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3">B128</f>
        <v>2.2000000000000002</v>
      </c>
      <c r="D128" s="134">
        <f t="shared" si="33"/>
        <v>2.2000000000000002</v>
      </c>
      <c r="E128" s="134">
        <f t="shared" si="33"/>
        <v>2.2000000000000002</v>
      </c>
      <c r="F128" s="134">
        <f t="shared" si="33"/>
        <v>2.2000000000000002</v>
      </c>
      <c r="G128" s="134">
        <f t="shared" si="33"/>
        <v>2.2000000000000002</v>
      </c>
      <c r="H128" s="134">
        <f t="shared" si="33"/>
        <v>2.2000000000000002</v>
      </c>
      <c r="I128" s="134">
        <f t="shared" si="33"/>
        <v>2.2000000000000002</v>
      </c>
      <c r="J128" s="134">
        <f t="shared" si="33"/>
        <v>2.2000000000000002</v>
      </c>
      <c r="K128" s="134">
        <f t="shared" si="33"/>
        <v>2.2000000000000002</v>
      </c>
      <c r="L128" s="134">
        <f t="shared" si="33"/>
        <v>2.2000000000000002</v>
      </c>
      <c r="M128" s="134">
        <f t="shared" si="33"/>
        <v>2.2000000000000002</v>
      </c>
      <c r="N128" s="134">
        <f t="shared" si="33"/>
        <v>2.2000000000000002</v>
      </c>
      <c r="O128" s="134">
        <f t="shared" si="33"/>
        <v>2.2000000000000002</v>
      </c>
      <c r="P128" s="134">
        <f t="shared" si="33"/>
        <v>2.2000000000000002</v>
      </c>
      <c r="Q128" s="134">
        <f t="shared" si="33"/>
        <v>2.2000000000000002</v>
      </c>
      <c r="R128" s="134">
        <f t="shared" si="33"/>
        <v>2.2000000000000002</v>
      </c>
      <c r="S128" s="134">
        <f t="shared" ref="S128:AF135" si="34">R128</f>
        <v>2.2000000000000002</v>
      </c>
      <c r="T128" s="134">
        <f t="shared" si="34"/>
        <v>2.2000000000000002</v>
      </c>
      <c r="U128" s="134">
        <f t="shared" si="34"/>
        <v>2.2000000000000002</v>
      </c>
      <c r="V128" s="134">
        <f t="shared" si="34"/>
        <v>2.2000000000000002</v>
      </c>
      <c r="W128" s="134">
        <f t="shared" si="34"/>
        <v>2.2000000000000002</v>
      </c>
      <c r="X128" s="134">
        <f t="shared" si="34"/>
        <v>2.2000000000000002</v>
      </c>
      <c r="Y128" s="134">
        <f t="shared" si="34"/>
        <v>2.2000000000000002</v>
      </c>
      <c r="Z128" s="134">
        <f t="shared" si="34"/>
        <v>2.2000000000000002</v>
      </c>
      <c r="AA128" s="134">
        <f t="shared" si="34"/>
        <v>2.2000000000000002</v>
      </c>
      <c r="AB128" s="134">
        <f t="shared" si="34"/>
        <v>2.2000000000000002</v>
      </c>
      <c r="AC128" s="134">
        <f t="shared" si="34"/>
        <v>2.2000000000000002</v>
      </c>
      <c r="AD128" s="134">
        <f t="shared" si="34"/>
        <v>2.2000000000000002</v>
      </c>
      <c r="AE128" s="134">
        <f t="shared" si="34"/>
        <v>2.2000000000000002</v>
      </c>
      <c r="AF128" s="134">
        <f t="shared" si="34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3"/>
        <v>2</v>
      </c>
      <c r="D129" s="134">
        <f t="shared" si="33"/>
        <v>2</v>
      </c>
      <c r="E129" s="134">
        <f t="shared" si="33"/>
        <v>2</v>
      </c>
      <c r="F129" s="134">
        <f t="shared" si="33"/>
        <v>2</v>
      </c>
      <c r="G129" s="134">
        <f t="shared" si="33"/>
        <v>2</v>
      </c>
      <c r="H129" s="134">
        <f t="shared" si="33"/>
        <v>2</v>
      </c>
      <c r="I129" s="134">
        <f t="shared" si="33"/>
        <v>2</v>
      </c>
      <c r="J129" s="134">
        <f t="shared" si="33"/>
        <v>2</v>
      </c>
      <c r="K129" s="134">
        <f t="shared" si="33"/>
        <v>2</v>
      </c>
      <c r="L129" s="134">
        <f t="shared" si="33"/>
        <v>2</v>
      </c>
      <c r="M129" s="134">
        <f t="shared" si="33"/>
        <v>2</v>
      </c>
      <c r="N129" s="134">
        <f t="shared" si="33"/>
        <v>2</v>
      </c>
      <c r="O129" s="134">
        <f t="shared" si="33"/>
        <v>2</v>
      </c>
      <c r="P129" s="134">
        <f t="shared" si="33"/>
        <v>2</v>
      </c>
      <c r="Q129" s="134">
        <f t="shared" si="33"/>
        <v>2</v>
      </c>
      <c r="R129" s="134">
        <f t="shared" si="33"/>
        <v>2</v>
      </c>
      <c r="S129" s="134">
        <f t="shared" si="34"/>
        <v>2</v>
      </c>
      <c r="T129" s="134">
        <f t="shared" si="34"/>
        <v>2</v>
      </c>
      <c r="U129" s="134">
        <f t="shared" si="34"/>
        <v>2</v>
      </c>
      <c r="V129" s="134">
        <f t="shared" si="34"/>
        <v>2</v>
      </c>
      <c r="W129" s="134">
        <f t="shared" si="34"/>
        <v>2</v>
      </c>
      <c r="X129" s="134">
        <f t="shared" si="34"/>
        <v>2</v>
      </c>
      <c r="Y129" s="134">
        <f t="shared" si="34"/>
        <v>2</v>
      </c>
      <c r="Z129" s="134">
        <f t="shared" si="34"/>
        <v>2</v>
      </c>
      <c r="AA129" s="134">
        <f t="shared" si="34"/>
        <v>2</v>
      </c>
      <c r="AB129" s="134">
        <f t="shared" si="34"/>
        <v>2</v>
      </c>
      <c r="AC129" s="134">
        <f t="shared" si="34"/>
        <v>2</v>
      </c>
      <c r="AD129" s="134">
        <f t="shared" si="34"/>
        <v>2</v>
      </c>
      <c r="AE129" s="134">
        <f t="shared" si="34"/>
        <v>2</v>
      </c>
      <c r="AF129" s="134">
        <f t="shared" si="34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3"/>
        <v>1.25</v>
      </c>
      <c r="D130" s="134">
        <f t="shared" si="33"/>
        <v>1.25</v>
      </c>
      <c r="E130" s="134">
        <f t="shared" si="33"/>
        <v>1.25</v>
      </c>
      <c r="F130" s="134">
        <f t="shared" si="33"/>
        <v>1.25</v>
      </c>
      <c r="G130" s="134">
        <f t="shared" si="33"/>
        <v>1.25</v>
      </c>
      <c r="H130" s="134">
        <f t="shared" si="33"/>
        <v>1.25</v>
      </c>
      <c r="I130" s="134">
        <f t="shared" si="33"/>
        <v>1.25</v>
      </c>
      <c r="J130" s="134">
        <f t="shared" si="33"/>
        <v>1.25</v>
      </c>
      <c r="K130" s="134">
        <f t="shared" si="33"/>
        <v>1.25</v>
      </c>
      <c r="L130" s="134">
        <f t="shared" si="33"/>
        <v>1.25</v>
      </c>
      <c r="M130" s="134">
        <f t="shared" si="33"/>
        <v>1.25</v>
      </c>
      <c r="N130" s="134">
        <f t="shared" si="33"/>
        <v>1.25</v>
      </c>
      <c r="O130" s="134">
        <f t="shared" si="33"/>
        <v>1.25</v>
      </c>
      <c r="P130" s="134">
        <f t="shared" si="33"/>
        <v>1.25</v>
      </c>
      <c r="Q130" s="134">
        <f t="shared" si="33"/>
        <v>1.25</v>
      </c>
      <c r="R130" s="134">
        <f t="shared" si="33"/>
        <v>1.25</v>
      </c>
      <c r="S130" s="134">
        <f t="shared" si="34"/>
        <v>1.25</v>
      </c>
      <c r="T130" s="134">
        <f t="shared" si="34"/>
        <v>1.25</v>
      </c>
      <c r="U130" s="134">
        <f t="shared" si="34"/>
        <v>1.25</v>
      </c>
      <c r="V130" s="134">
        <f t="shared" si="34"/>
        <v>1.25</v>
      </c>
      <c r="W130" s="134">
        <f t="shared" si="34"/>
        <v>1.25</v>
      </c>
      <c r="X130" s="134">
        <f t="shared" si="34"/>
        <v>1.25</v>
      </c>
      <c r="Y130" s="134">
        <f t="shared" si="34"/>
        <v>1.25</v>
      </c>
      <c r="Z130" s="134">
        <f t="shared" si="34"/>
        <v>1.25</v>
      </c>
      <c r="AA130" s="134">
        <f t="shared" si="34"/>
        <v>1.25</v>
      </c>
      <c r="AB130" s="134">
        <f t="shared" si="34"/>
        <v>1.25</v>
      </c>
      <c r="AC130" s="134">
        <f t="shared" si="34"/>
        <v>1.25</v>
      </c>
      <c r="AD130" s="134">
        <f t="shared" si="34"/>
        <v>1.25</v>
      </c>
      <c r="AE130" s="134">
        <f t="shared" si="34"/>
        <v>1.25</v>
      </c>
      <c r="AF130" s="134">
        <f t="shared" si="34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3"/>
        <v>1.1499999999999999</v>
      </c>
      <c r="D131" s="134">
        <f t="shared" si="33"/>
        <v>1.1499999999999999</v>
      </c>
      <c r="E131" s="134">
        <f t="shared" si="33"/>
        <v>1.1499999999999999</v>
      </c>
      <c r="F131" s="134">
        <f t="shared" si="33"/>
        <v>1.1499999999999999</v>
      </c>
      <c r="G131" s="134">
        <f t="shared" si="33"/>
        <v>1.1499999999999999</v>
      </c>
      <c r="H131" s="134">
        <f t="shared" si="33"/>
        <v>1.1499999999999999</v>
      </c>
      <c r="I131" s="134">
        <f t="shared" si="33"/>
        <v>1.1499999999999999</v>
      </c>
      <c r="J131" s="134">
        <f t="shared" si="33"/>
        <v>1.1499999999999999</v>
      </c>
      <c r="K131" s="134">
        <f t="shared" si="33"/>
        <v>1.1499999999999999</v>
      </c>
      <c r="L131" s="134">
        <f t="shared" si="33"/>
        <v>1.1499999999999999</v>
      </c>
      <c r="M131" s="134">
        <f t="shared" si="33"/>
        <v>1.1499999999999999</v>
      </c>
      <c r="N131" s="134">
        <f t="shared" si="33"/>
        <v>1.1499999999999999</v>
      </c>
      <c r="O131" s="134">
        <f t="shared" si="33"/>
        <v>1.1499999999999999</v>
      </c>
      <c r="P131" s="134">
        <f t="shared" si="33"/>
        <v>1.1499999999999999</v>
      </c>
      <c r="Q131" s="134">
        <f t="shared" si="33"/>
        <v>1.1499999999999999</v>
      </c>
      <c r="R131" s="134">
        <f t="shared" si="33"/>
        <v>1.1499999999999999</v>
      </c>
      <c r="S131" s="134">
        <f t="shared" si="34"/>
        <v>1.1499999999999999</v>
      </c>
      <c r="T131" s="134">
        <f t="shared" si="34"/>
        <v>1.1499999999999999</v>
      </c>
      <c r="U131" s="134">
        <f t="shared" si="34"/>
        <v>1.1499999999999999</v>
      </c>
      <c r="V131" s="134">
        <f t="shared" si="34"/>
        <v>1.1499999999999999</v>
      </c>
      <c r="W131" s="134">
        <f t="shared" si="34"/>
        <v>1.1499999999999999</v>
      </c>
      <c r="X131" s="134">
        <f t="shared" si="34"/>
        <v>1.1499999999999999</v>
      </c>
      <c r="Y131" s="134">
        <f t="shared" si="34"/>
        <v>1.1499999999999999</v>
      </c>
      <c r="Z131" s="134">
        <f t="shared" si="34"/>
        <v>1.1499999999999999</v>
      </c>
      <c r="AA131" s="134">
        <f t="shared" si="34"/>
        <v>1.1499999999999999</v>
      </c>
      <c r="AB131" s="134">
        <f t="shared" si="34"/>
        <v>1.1499999999999999</v>
      </c>
      <c r="AC131" s="134">
        <f t="shared" si="34"/>
        <v>1.1499999999999999</v>
      </c>
      <c r="AD131" s="134">
        <f t="shared" si="34"/>
        <v>1.1499999999999999</v>
      </c>
      <c r="AE131" s="134">
        <f t="shared" si="34"/>
        <v>1.1499999999999999</v>
      </c>
      <c r="AF131" s="134">
        <f t="shared" si="34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3"/>
        <v>2.133</v>
      </c>
      <c r="D132" s="134">
        <f t="shared" si="33"/>
        <v>2.133</v>
      </c>
      <c r="E132" s="134">
        <f t="shared" si="33"/>
        <v>2.133</v>
      </c>
      <c r="F132" s="134">
        <f t="shared" si="33"/>
        <v>2.133</v>
      </c>
      <c r="G132" s="134">
        <f t="shared" si="33"/>
        <v>2.133</v>
      </c>
      <c r="H132" s="134">
        <f t="shared" si="33"/>
        <v>2.133</v>
      </c>
      <c r="I132" s="134">
        <f t="shared" si="33"/>
        <v>2.133</v>
      </c>
      <c r="J132" s="134">
        <f t="shared" si="33"/>
        <v>2.133</v>
      </c>
      <c r="K132" s="134">
        <f t="shared" si="33"/>
        <v>2.133</v>
      </c>
      <c r="L132" s="134">
        <f t="shared" si="33"/>
        <v>2.133</v>
      </c>
      <c r="M132" s="134">
        <f t="shared" si="33"/>
        <v>2.133</v>
      </c>
      <c r="N132" s="134">
        <f t="shared" si="33"/>
        <v>2.133</v>
      </c>
      <c r="O132" s="134">
        <f t="shared" si="33"/>
        <v>2.133</v>
      </c>
      <c r="P132" s="134">
        <f t="shared" si="33"/>
        <v>2.133</v>
      </c>
      <c r="Q132" s="134">
        <f t="shared" si="33"/>
        <v>2.133</v>
      </c>
      <c r="R132" s="134">
        <f t="shared" si="33"/>
        <v>2.133</v>
      </c>
      <c r="S132" s="134">
        <f t="shared" si="34"/>
        <v>2.133</v>
      </c>
      <c r="T132" s="134">
        <f t="shared" si="34"/>
        <v>2.133</v>
      </c>
      <c r="U132" s="134">
        <f t="shared" si="34"/>
        <v>2.133</v>
      </c>
      <c r="V132" s="134">
        <f t="shared" si="34"/>
        <v>2.133</v>
      </c>
      <c r="W132" s="134">
        <f t="shared" si="34"/>
        <v>2.133</v>
      </c>
      <c r="X132" s="134">
        <f t="shared" si="34"/>
        <v>2.133</v>
      </c>
      <c r="Y132" s="134">
        <f t="shared" si="34"/>
        <v>2.133</v>
      </c>
      <c r="Z132" s="134">
        <f t="shared" si="34"/>
        <v>2.133</v>
      </c>
      <c r="AA132" s="134">
        <f t="shared" si="34"/>
        <v>2.133</v>
      </c>
      <c r="AB132" s="134">
        <f t="shared" si="34"/>
        <v>2.133</v>
      </c>
      <c r="AC132" s="134">
        <f t="shared" si="34"/>
        <v>2.133</v>
      </c>
      <c r="AD132" s="134">
        <f t="shared" si="34"/>
        <v>2.133</v>
      </c>
      <c r="AE132" s="134">
        <f t="shared" si="34"/>
        <v>2.133</v>
      </c>
      <c r="AF132" s="134">
        <f t="shared" si="34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3"/>
        <v>2.09</v>
      </c>
      <c r="D133" s="134">
        <f t="shared" si="33"/>
        <v>2.09</v>
      </c>
      <c r="E133" s="134">
        <f t="shared" si="33"/>
        <v>2.09</v>
      </c>
      <c r="F133" s="134">
        <f t="shared" si="33"/>
        <v>2.09</v>
      </c>
      <c r="G133" s="134">
        <f t="shared" si="33"/>
        <v>2.09</v>
      </c>
      <c r="H133" s="134">
        <f t="shared" si="33"/>
        <v>2.09</v>
      </c>
      <c r="I133" s="134">
        <f t="shared" si="33"/>
        <v>2.09</v>
      </c>
      <c r="J133" s="134">
        <f t="shared" si="33"/>
        <v>2.09</v>
      </c>
      <c r="K133" s="134">
        <f t="shared" si="33"/>
        <v>2.09</v>
      </c>
      <c r="L133" s="134">
        <f t="shared" si="33"/>
        <v>2.09</v>
      </c>
      <c r="M133" s="134">
        <f t="shared" si="33"/>
        <v>2.09</v>
      </c>
      <c r="N133" s="134">
        <f t="shared" si="33"/>
        <v>2.09</v>
      </c>
      <c r="O133" s="134">
        <f t="shared" si="33"/>
        <v>2.09</v>
      </c>
      <c r="P133" s="134">
        <f t="shared" si="33"/>
        <v>2.09</v>
      </c>
      <c r="Q133" s="134">
        <f t="shared" si="33"/>
        <v>2.09</v>
      </c>
      <c r="R133" s="134">
        <f t="shared" si="33"/>
        <v>2.09</v>
      </c>
      <c r="S133" s="134">
        <f t="shared" si="34"/>
        <v>2.09</v>
      </c>
      <c r="T133" s="134">
        <f t="shared" si="34"/>
        <v>2.09</v>
      </c>
      <c r="U133" s="134">
        <f t="shared" si="34"/>
        <v>2.09</v>
      </c>
      <c r="V133" s="134">
        <f t="shared" si="34"/>
        <v>2.09</v>
      </c>
      <c r="W133" s="134">
        <f t="shared" si="34"/>
        <v>2.09</v>
      </c>
      <c r="X133" s="134">
        <f t="shared" si="34"/>
        <v>2.09</v>
      </c>
      <c r="Y133" s="134">
        <f t="shared" si="34"/>
        <v>2.09</v>
      </c>
      <c r="Z133" s="134">
        <f t="shared" si="34"/>
        <v>2.09</v>
      </c>
      <c r="AA133" s="134">
        <f t="shared" si="34"/>
        <v>2.09</v>
      </c>
      <c r="AB133" s="134">
        <f t="shared" si="34"/>
        <v>2.09</v>
      </c>
      <c r="AC133" s="134">
        <f t="shared" si="34"/>
        <v>2.09</v>
      </c>
      <c r="AD133" s="134">
        <f t="shared" si="34"/>
        <v>2.09</v>
      </c>
      <c r="AE133" s="134">
        <f t="shared" si="34"/>
        <v>2.09</v>
      </c>
      <c r="AF133" s="134">
        <f t="shared" si="34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3"/>
        <v>1.1399999999999999</v>
      </c>
      <c r="D134" s="134">
        <f t="shared" si="33"/>
        <v>1.1399999999999999</v>
      </c>
      <c r="E134" s="134">
        <f t="shared" si="33"/>
        <v>1.1399999999999999</v>
      </c>
      <c r="F134" s="134">
        <f t="shared" si="33"/>
        <v>1.1399999999999999</v>
      </c>
      <c r="G134" s="134">
        <f t="shared" si="33"/>
        <v>1.1399999999999999</v>
      </c>
      <c r="H134" s="134">
        <f t="shared" si="33"/>
        <v>1.1399999999999999</v>
      </c>
      <c r="I134" s="134">
        <f t="shared" si="33"/>
        <v>1.1399999999999999</v>
      </c>
      <c r="J134" s="134">
        <f t="shared" si="33"/>
        <v>1.1399999999999999</v>
      </c>
      <c r="K134" s="134">
        <f t="shared" si="33"/>
        <v>1.1399999999999999</v>
      </c>
      <c r="L134" s="134">
        <f t="shared" si="33"/>
        <v>1.1399999999999999</v>
      </c>
      <c r="M134" s="134">
        <f t="shared" si="33"/>
        <v>1.1399999999999999</v>
      </c>
      <c r="N134" s="134">
        <f t="shared" si="33"/>
        <v>1.1399999999999999</v>
      </c>
      <c r="O134" s="134">
        <f t="shared" si="33"/>
        <v>1.1399999999999999</v>
      </c>
      <c r="P134" s="134">
        <f t="shared" si="33"/>
        <v>1.1399999999999999</v>
      </c>
      <c r="Q134" s="134">
        <f t="shared" si="33"/>
        <v>1.1399999999999999</v>
      </c>
      <c r="R134" s="134">
        <f t="shared" si="33"/>
        <v>1.1399999999999999</v>
      </c>
      <c r="S134" s="134">
        <f t="shared" si="34"/>
        <v>1.1399999999999999</v>
      </c>
      <c r="T134" s="134">
        <f t="shared" si="34"/>
        <v>1.1399999999999999</v>
      </c>
      <c r="U134" s="134">
        <f t="shared" si="34"/>
        <v>1.1399999999999999</v>
      </c>
      <c r="V134" s="134">
        <f t="shared" si="34"/>
        <v>1.1399999999999999</v>
      </c>
      <c r="W134" s="134">
        <f t="shared" si="34"/>
        <v>1.1399999999999999</v>
      </c>
      <c r="X134" s="134">
        <f t="shared" si="34"/>
        <v>1.1399999999999999</v>
      </c>
      <c r="Y134" s="134">
        <f t="shared" si="34"/>
        <v>1.1399999999999999</v>
      </c>
      <c r="Z134" s="134">
        <f t="shared" si="34"/>
        <v>1.1399999999999999</v>
      </c>
      <c r="AA134" s="134">
        <f t="shared" si="34"/>
        <v>1.1399999999999999</v>
      </c>
      <c r="AB134" s="134">
        <f t="shared" si="34"/>
        <v>1.1399999999999999</v>
      </c>
      <c r="AC134" s="134">
        <f t="shared" si="34"/>
        <v>1.1399999999999999</v>
      </c>
      <c r="AD134" s="134">
        <f t="shared" si="34"/>
        <v>1.1399999999999999</v>
      </c>
      <c r="AE134" s="134">
        <f t="shared" si="34"/>
        <v>1.1399999999999999</v>
      </c>
      <c r="AF134" s="134">
        <f t="shared" si="34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3"/>
        <v>0.82</v>
      </c>
      <c r="D135" s="134">
        <f t="shared" si="33"/>
        <v>0.82</v>
      </c>
      <c r="E135" s="134">
        <f t="shared" si="33"/>
        <v>0.82</v>
      </c>
      <c r="F135" s="134">
        <f t="shared" si="33"/>
        <v>0.82</v>
      </c>
      <c r="G135" s="134">
        <f t="shared" si="33"/>
        <v>0.82</v>
      </c>
      <c r="H135" s="134">
        <f t="shared" si="33"/>
        <v>0.82</v>
      </c>
      <c r="I135" s="134">
        <f t="shared" si="33"/>
        <v>0.82</v>
      </c>
      <c r="J135" s="134">
        <f t="shared" si="33"/>
        <v>0.82</v>
      </c>
      <c r="K135" s="134">
        <f t="shared" si="33"/>
        <v>0.82</v>
      </c>
      <c r="L135" s="134">
        <f t="shared" si="33"/>
        <v>0.82</v>
      </c>
      <c r="M135" s="134">
        <f t="shared" si="33"/>
        <v>0.82</v>
      </c>
      <c r="N135" s="134">
        <f t="shared" si="33"/>
        <v>0.82</v>
      </c>
      <c r="O135" s="134">
        <f t="shared" si="33"/>
        <v>0.82</v>
      </c>
      <c r="P135" s="134">
        <f t="shared" si="33"/>
        <v>0.82</v>
      </c>
      <c r="Q135" s="134">
        <f t="shared" si="33"/>
        <v>0.82</v>
      </c>
      <c r="R135" s="134">
        <f t="shared" si="33"/>
        <v>0.82</v>
      </c>
      <c r="S135" s="134">
        <f t="shared" si="34"/>
        <v>0.82</v>
      </c>
      <c r="T135" s="134">
        <f t="shared" si="34"/>
        <v>0.82</v>
      </c>
      <c r="U135" s="134">
        <f t="shared" si="34"/>
        <v>0.82</v>
      </c>
      <c r="V135" s="134">
        <f t="shared" si="34"/>
        <v>0.82</v>
      </c>
      <c r="W135" s="134">
        <f t="shared" si="34"/>
        <v>0.82</v>
      </c>
      <c r="X135" s="134">
        <f t="shared" si="34"/>
        <v>0.82</v>
      </c>
      <c r="Y135" s="134">
        <f t="shared" si="34"/>
        <v>0.82</v>
      </c>
      <c r="Z135" s="134">
        <f t="shared" si="34"/>
        <v>0.82</v>
      </c>
      <c r="AA135" s="134">
        <f t="shared" si="34"/>
        <v>0.82</v>
      </c>
      <c r="AB135" s="134">
        <f t="shared" si="34"/>
        <v>0.82</v>
      </c>
      <c r="AC135" s="134">
        <f t="shared" si="34"/>
        <v>0.82</v>
      </c>
      <c r="AD135" s="134">
        <f t="shared" si="34"/>
        <v>0.82</v>
      </c>
      <c r="AE135" s="134">
        <f t="shared" si="34"/>
        <v>0.82</v>
      </c>
      <c r="AF135" s="134">
        <f t="shared" si="34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5">B137</f>
        <v>2</v>
      </c>
      <c r="D137" s="134">
        <f t="shared" si="35"/>
        <v>2</v>
      </c>
      <c r="E137" s="134">
        <f t="shared" si="35"/>
        <v>2</v>
      </c>
      <c r="F137" s="134">
        <f t="shared" si="35"/>
        <v>2</v>
      </c>
      <c r="G137" s="134">
        <f t="shared" si="35"/>
        <v>2</v>
      </c>
      <c r="H137" s="134">
        <f t="shared" si="35"/>
        <v>2</v>
      </c>
      <c r="I137" s="134">
        <f t="shared" si="35"/>
        <v>2</v>
      </c>
      <c r="J137" s="134">
        <f t="shared" si="35"/>
        <v>2</v>
      </c>
      <c r="K137" s="134">
        <f t="shared" si="35"/>
        <v>2</v>
      </c>
      <c r="L137" s="134">
        <f t="shared" si="35"/>
        <v>2</v>
      </c>
      <c r="M137" s="134">
        <f t="shared" si="35"/>
        <v>2</v>
      </c>
      <c r="N137" s="134">
        <f t="shared" si="35"/>
        <v>2</v>
      </c>
      <c r="O137" s="134">
        <f t="shared" si="35"/>
        <v>2</v>
      </c>
      <c r="P137" s="134">
        <f t="shared" si="35"/>
        <v>2</v>
      </c>
      <c r="Q137" s="134">
        <f t="shared" si="35"/>
        <v>2</v>
      </c>
      <c r="R137" s="134">
        <f t="shared" si="35"/>
        <v>2</v>
      </c>
      <c r="S137" s="134">
        <f t="shared" ref="S137:AF143" si="36">R137</f>
        <v>2</v>
      </c>
      <c r="T137" s="134">
        <f t="shared" si="36"/>
        <v>2</v>
      </c>
      <c r="U137" s="134">
        <f t="shared" si="36"/>
        <v>2</v>
      </c>
      <c r="V137" s="134">
        <f t="shared" si="36"/>
        <v>2</v>
      </c>
      <c r="W137" s="134">
        <f t="shared" si="36"/>
        <v>2</v>
      </c>
      <c r="X137" s="134">
        <f t="shared" si="36"/>
        <v>2</v>
      </c>
      <c r="Y137" s="134">
        <f t="shared" si="36"/>
        <v>2</v>
      </c>
      <c r="Z137" s="134">
        <f t="shared" si="36"/>
        <v>2</v>
      </c>
      <c r="AA137" s="134">
        <f t="shared" si="36"/>
        <v>2</v>
      </c>
      <c r="AB137" s="134">
        <f t="shared" si="36"/>
        <v>2</v>
      </c>
      <c r="AC137" s="134">
        <f t="shared" si="36"/>
        <v>2</v>
      </c>
      <c r="AD137" s="134">
        <f t="shared" si="36"/>
        <v>2</v>
      </c>
      <c r="AE137" s="134">
        <f t="shared" si="36"/>
        <v>2</v>
      </c>
      <c r="AF137" s="134">
        <f t="shared" si="36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5"/>
        <v>5.61</v>
      </c>
      <c r="D138" s="134">
        <f t="shared" si="35"/>
        <v>5.61</v>
      </c>
      <c r="E138" s="134">
        <f t="shared" si="35"/>
        <v>5.61</v>
      </c>
      <c r="F138" s="134">
        <f t="shared" si="35"/>
        <v>5.61</v>
      </c>
      <c r="G138" s="134">
        <f t="shared" si="35"/>
        <v>5.61</v>
      </c>
      <c r="H138" s="134">
        <f t="shared" si="35"/>
        <v>5.61</v>
      </c>
      <c r="I138" s="134">
        <f t="shared" si="35"/>
        <v>5.61</v>
      </c>
      <c r="J138" s="134">
        <f t="shared" si="35"/>
        <v>5.61</v>
      </c>
      <c r="K138" s="134">
        <f t="shared" si="35"/>
        <v>5.61</v>
      </c>
      <c r="L138" s="134">
        <f t="shared" si="35"/>
        <v>5.61</v>
      </c>
      <c r="M138" s="134">
        <f t="shared" si="35"/>
        <v>5.61</v>
      </c>
      <c r="N138" s="134">
        <f t="shared" si="35"/>
        <v>5.61</v>
      </c>
      <c r="O138" s="134">
        <f t="shared" si="35"/>
        <v>5.61</v>
      </c>
      <c r="P138" s="134">
        <f t="shared" si="35"/>
        <v>5.61</v>
      </c>
      <c r="Q138" s="134">
        <f t="shared" si="35"/>
        <v>5.61</v>
      </c>
      <c r="R138" s="134">
        <f t="shared" si="35"/>
        <v>5.61</v>
      </c>
      <c r="S138" s="134">
        <f t="shared" si="36"/>
        <v>5.61</v>
      </c>
      <c r="T138" s="134">
        <f t="shared" si="36"/>
        <v>5.61</v>
      </c>
      <c r="U138" s="134">
        <f t="shared" si="36"/>
        <v>5.61</v>
      </c>
      <c r="V138" s="134">
        <f t="shared" si="36"/>
        <v>5.61</v>
      </c>
      <c r="W138" s="134">
        <f t="shared" si="36"/>
        <v>5.61</v>
      </c>
      <c r="X138" s="134">
        <f t="shared" si="36"/>
        <v>5.61</v>
      </c>
      <c r="Y138" s="134">
        <f t="shared" si="36"/>
        <v>5.61</v>
      </c>
      <c r="Z138" s="134">
        <f t="shared" si="36"/>
        <v>5.61</v>
      </c>
      <c r="AA138" s="134">
        <f t="shared" si="36"/>
        <v>5.61</v>
      </c>
      <c r="AB138" s="134">
        <f t="shared" si="36"/>
        <v>5.61</v>
      </c>
      <c r="AC138" s="134">
        <f t="shared" si="36"/>
        <v>5.61</v>
      </c>
      <c r="AD138" s="134">
        <f t="shared" si="36"/>
        <v>5.61</v>
      </c>
      <c r="AE138" s="134">
        <f t="shared" si="36"/>
        <v>5.61</v>
      </c>
      <c r="AF138" s="134">
        <f t="shared" si="36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5"/>
        <v>1.25</v>
      </c>
      <c r="D139" s="134">
        <f t="shared" si="35"/>
        <v>1.25</v>
      </c>
      <c r="E139" s="134">
        <f t="shared" si="35"/>
        <v>1.25</v>
      </c>
      <c r="F139" s="134">
        <f t="shared" si="35"/>
        <v>1.25</v>
      </c>
      <c r="G139" s="134">
        <f t="shared" si="35"/>
        <v>1.25</v>
      </c>
      <c r="H139" s="134">
        <f t="shared" si="35"/>
        <v>1.25</v>
      </c>
      <c r="I139" s="134">
        <f t="shared" si="35"/>
        <v>1.25</v>
      </c>
      <c r="J139" s="134">
        <f t="shared" si="35"/>
        <v>1.25</v>
      </c>
      <c r="K139" s="134">
        <f t="shared" si="35"/>
        <v>1.25</v>
      </c>
      <c r="L139" s="134">
        <f t="shared" si="35"/>
        <v>1.25</v>
      </c>
      <c r="M139" s="134">
        <f t="shared" si="35"/>
        <v>1.25</v>
      </c>
      <c r="N139" s="134">
        <f t="shared" si="35"/>
        <v>1.25</v>
      </c>
      <c r="O139" s="134">
        <f t="shared" si="35"/>
        <v>1.25</v>
      </c>
      <c r="P139" s="134">
        <f t="shared" si="35"/>
        <v>1.25</v>
      </c>
      <c r="Q139" s="134">
        <f t="shared" si="35"/>
        <v>1.25</v>
      </c>
      <c r="R139" s="134">
        <f t="shared" si="35"/>
        <v>1.25</v>
      </c>
      <c r="S139" s="134">
        <f t="shared" si="36"/>
        <v>1.25</v>
      </c>
      <c r="T139" s="134">
        <f t="shared" si="36"/>
        <v>1.25</v>
      </c>
      <c r="U139" s="134">
        <f t="shared" si="36"/>
        <v>1.25</v>
      </c>
      <c r="V139" s="134">
        <f t="shared" si="36"/>
        <v>1.25</v>
      </c>
      <c r="W139" s="134">
        <f t="shared" si="36"/>
        <v>1.25</v>
      </c>
      <c r="X139" s="134">
        <f t="shared" si="36"/>
        <v>1.25</v>
      </c>
      <c r="Y139" s="134">
        <f t="shared" si="36"/>
        <v>1.25</v>
      </c>
      <c r="Z139" s="134">
        <f t="shared" si="36"/>
        <v>1.25</v>
      </c>
      <c r="AA139" s="134">
        <f t="shared" si="36"/>
        <v>1.25</v>
      </c>
      <c r="AB139" s="134">
        <f t="shared" si="36"/>
        <v>1.25</v>
      </c>
      <c r="AC139" s="134">
        <f t="shared" si="36"/>
        <v>1.25</v>
      </c>
      <c r="AD139" s="134">
        <f t="shared" si="36"/>
        <v>1.25</v>
      </c>
      <c r="AE139" s="134">
        <f t="shared" si="36"/>
        <v>1.25</v>
      </c>
      <c r="AF139" s="134">
        <f t="shared" si="36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5"/>
        <v>1.25</v>
      </c>
      <c r="D140" s="134">
        <f t="shared" si="35"/>
        <v>1.25</v>
      </c>
      <c r="E140" s="134">
        <f t="shared" si="35"/>
        <v>1.25</v>
      </c>
      <c r="F140" s="134">
        <f t="shared" si="35"/>
        <v>1.25</v>
      </c>
      <c r="G140" s="134">
        <f t="shared" si="35"/>
        <v>1.25</v>
      </c>
      <c r="H140" s="134">
        <f t="shared" si="35"/>
        <v>1.25</v>
      </c>
      <c r="I140" s="134">
        <f t="shared" si="35"/>
        <v>1.25</v>
      </c>
      <c r="J140" s="134">
        <f t="shared" si="35"/>
        <v>1.25</v>
      </c>
      <c r="K140" s="134">
        <f t="shared" si="35"/>
        <v>1.25</v>
      </c>
      <c r="L140" s="134">
        <f t="shared" si="35"/>
        <v>1.25</v>
      </c>
      <c r="M140" s="134">
        <f t="shared" si="35"/>
        <v>1.25</v>
      </c>
      <c r="N140" s="134">
        <f t="shared" si="35"/>
        <v>1.25</v>
      </c>
      <c r="O140" s="134">
        <f t="shared" si="35"/>
        <v>1.25</v>
      </c>
      <c r="P140" s="134">
        <f t="shared" si="35"/>
        <v>1.25</v>
      </c>
      <c r="Q140" s="134">
        <f t="shared" si="35"/>
        <v>1.25</v>
      </c>
      <c r="R140" s="134">
        <f t="shared" si="35"/>
        <v>1.25</v>
      </c>
      <c r="S140" s="134">
        <f t="shared" si="36"/>
        <v>1.25</v>
      </c>
      <c r="T140" s="134">
        <f t="shared" si="36"/>
        <v>1.25</v>
      </c>
      <c r="U140" s="134">
        <f t="shared" si="36"/>
        <v>1.25</v>
      </c>
      <c r="V140" s="134">
        <f t="shared" si="36"/>
        <v>1.25</v>
      </c>
      <c r="W140" s="134">
        <f t="shared" si="36"/>
        <v>1.25</v>
      </c>
      <c r="X140" s="134">
        <f t="shared" si="36"/>
        <v>1.25</v>
      </c>
      <c r="Y140" s="134">
        <f t="shared" si="36"/>
        <v>1.25</v>
      </c>
      <c r="Z140" s="134">
        <f t="shared" si="36"/>
        <v>1.25</v>
      </c>
      <c r="AA140" s="134">
        <f t="shared" si="36"/>
        <v>1.25</v>
      </c>
      <c r="AB140" s="134">
        <f t="shared" si="36"/>
        <v>1.25</v>
      </c>
      <c r="AC140" s="134">
        <f t="shared" si="36"/>
        <v>1.25</v>
      </c>
      <c r="AD140" s="134">
        <f t="shared" si="36"/>
        <v>1.25</v>
      </c>
      <c r="AE140" s="134">
        <f t="shared" si="36"/>
        <v>1.25</v>
      </c>
      <c r="AF140" s="134">
        <f t="shared" si="36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5"/>
        <v>1.46</v>
      </c>
      <c r="D141" s="134">
        <f t="shared" si="35"/>
        <v>1.46</v>
      </c>
      <c r="E141" s="134">
        <f t="shared" si="35"/>
        <v>1.46</v>
      </c>
      <c r="F141" s="134">
        <f t="shared" si="35"/>
        <v>1.46</v>
      </c>
      <c r="G141" s="134">
        <f t="shared" si="35"/>
        <v>1.46</v>
      </c>
      <c r="H141" s="134">
        <f t="shared" si="35"/>
        <v>1.46</v>
      </c>
      <c r="I141" s="134">
        <f t="shared" si="35"/>
        <v>1.46</v>
      </c>
      <c r="J141" s="134">
        <f t="shared" si="35"/>
        <v>1.46</v>
      </c>
      <c r="K141" s="134">
        <f t="shared" si="35"/>
        <v>1.46</v>
      </c>
      <c r="L141" s="134">
        <f t="shared" si="35"/>
        <v>1.46</v>
      </c>
      <c r="M141" s="134">
        <f t="shared" si="35"/>
        <v>1.46</v>
      </c>
      <c r="N141" s="134">
        <f t="shared" si="35"/>
        <v>1.46</v>
      </c>
      <c r="O141" s="134">
        <f t="shared" si="35"/>
        <v>1.46</v>
      </c>
      <c r="P141" s="134">
        <f t="shared" si="35"/>
        <v>1.46</v>
      </c>
      <c r="Q141" s="134">
        <f t="shared" si="35"/>
        <v>1.46</v>
      </c>
      <c r="R141" s="134">
        <f t="shared" si="35"/>
        <v>1.46</v>
      </c>
      <c r="S141" s="134">
        <f t="shared" si="36"/>
        <v>1.46</v>
      </c>
      <c r="T141" s="134">
        <f t="shared" si="36"/>
        <v>1.46</v>
      </c>
      <c r="U141" s="134">
        <f t="shared" si="36"/>
        <v>1.46</v>
      </c>
      <c r="V141" s="134">
        <f t="shared" si="36"/>
        <v>1.46</v>
      </c>
      <c r="W141" s="134">
        <f t="shared" si="36"/>
        <v>1.46</v>
      </c>
      <c r="X141" s="134">
        <f t="shared" si="36"/>
        <v>1.46</v>
      </c>
      <c r="Y141" s="134">
        <f t="shared" si="36"/>
        <v>1.46</v>
      </c>
      <c r="Z141" s="134">
        <f t="shared" si="36"/>
        <v>1.46</v>
      </c>
      <c r="AA141" s="134">
        <f t="shared" si="36"/>
        <v>1.46</v>
      </c>
      <c r="AB141" s="134">
        <f t="shared" si="36"/>
        <v>1.46</v>
      </c>
      <c r="AC141" s="134">
        <f t="shared" si="36"/>
        <v>1.46</v>
      </c>
      <c r="AD141" s="134">
        <f t="shared" si="36"/>
        <v>1.46</v>
      </c>
      <c r="AE141" s="134">
        <f t="shared" si="36"/>
        <v>1.46</v>
      </c>
      <c r="AF141" s="134">
        <f t="shared" si="36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5"/>
        <v>3</v>
      </c>
      <c r="D142" s="134">
        <f t="shared" si="35"/>
        <v>3</v>
      </c>
      <c r="E142" s="134">
        <f t="shared" si="35"/>
        <v>3</v>
      </c>
      <c r="F142" s="134">
        <f t="shared" si="35"/>
        <v>3</v>
      </c>
      <c r="G142" s="134">
        <f t="shared" si="35"/>
        <v>3</v>
      </c>
      <c r="H142" s="134">
        <f t="shared" si="35"/>
        <v>3</v>
      </c>
      <c r="I142" s="134">
        <f t="shared" si="35"/>
        <v>3</v>
      </c>
      <c r="J142" s="134">
        <f t="shared" si="35"/>
        <v>3</v>
      </c>
      <c r="K142" s="134">
        <f t="shared" si="35"/>
        <v>3</v>
      </c>
      <c r="L142" s="134">
        <f t="shared" si="35"/>
        <v>3</v>
      </c>
      <c r="M142" s="134">
        <f t="shared" si="35"/>
        <v>3</v>
      </c>
      <c r="N142" s="134">
        <f t="shared" si="35"/>
        <v>3</v>
      </c>
      <c r="O142" s="134">
        <f t="shared" si="35"/>
        <v>3</v>
      </c>
      <c r="P142" s="134">
        <f t="shared" si="35"/>
        <v>3</v>
      </c>
      <c r="Q142" s="134">
        <f t="shared" si="35"/>
        <v>3</v>
      </c>
      <c r="R142" s="134">
        <f t="shared" si="35"/>
        <v>3</v>
      </c>
      <c r="S142" s="134">
        <f t="shared" si="36"/>
        <v>3</v>
      </c>
      <c r="T142" s="134">
        <f t="shared" si="36"/>
        <v>3</v>
      </c>
      <c r="U142" s="134">
        <f t="shared" si="36"/>
        <v>3</v>
      </c>
      <c r="V142" s="134">
        <f t="shared" si="36"/>
        <v>3</v>
      </c>
      <c r="W142" s="134">
        <f t="shared" si="36"/>
        <v>3</v>
      </c>
      <c r="X142" s="134">
        <f t="shared" si="36"/>
        <v>3</v>
      </c>
      <c r="Y142" s="134">
        <f t="shared" si="36"/>
        <v>3</v>
      </c>
      <c r="Z142" s="134">
        <f t="shared" si="36"/>
        <v>3</v>
      </c>
      <c r="AA142" s="134">
        <f t="shared" si="36"/>
        <v>3</v>
      </c>
      <c r="AB142" s="134">
        <f t="shared" si="36"/>
        <v>3</v>
      </c>
      <c r="AC142" s="134">
        <f t="shared" si="36"/>
        <v>3</v>
      </c>
      <c r="AD142" s="134">
        <f t="shared" si="36"/>
        <v>3</v>
      </c>
      <c r="AE142" s="134">
        <f t="shared" si="36"/>
        <v>3</v>
      </c>
      <c r="AF142" s="134">
        <f t="shared" si="36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5"/>
        <v>3.3</v>
      </c>
      <c r="D143" s="134">
        <f t="shared" si="35"/>
        <v>3.3</v>
      </c>
      <c r="E143" s="134">
        <f t="shared" si="35"/>
        <v>3.3</v>
      </c>
      <c r="F143" s="134">
        <f t="shared" si="35"/>
        <v>3.3</v>
      </c>
      <c r="G143" s="134">
        <f t="shared" si="35"/>
        <v>3.3</v>
      </c>
      <c r="H143" s="134">
        <f t="shared" si="35"/>
        <v>3.3</v>
      </c>
      <c r="I143" s="134">
        <f t="shared" si="35"/>
        <v>3.3</v>
      </c>
      <c r="J143" s="134">
        <f t="shared" si="35"/>
        <v>3.3</v>
      </c>
      <c r="K143" s="134">
        <f t="shared" si="35"/>
        <v>3.3</v>
      </c>
      <c r="L143" s="134">
        <f t="shared" si="35"/>
        <v>3.3</v>
      </c>
      <c r="M143" s="134">
        <f t="shared" si="35"/>
        <v>3.3</v>
      </c>
      <c r="N143" s="134">
        <f t="shared" si="35"/>
        <v>3.3</v>
      </c>
      <c r="O143" s="134">
        <f t="shared" si="35"/>
        <v>3.3</v>
      </c>
      <c r="P143" s="134">
        <f t="shared" si="35"/>
        <v>3.3</v>
      </c>
      <c r="Q143" s="134">
        <f t="shared" si="35"/>
        <v>3.3</v>
      </c>
      <c r="R143" s="134">
        <f t="shared" si="35"/>
        <v>3.3</v>
      </c>
      <c r="S143" s="134">
        <f t="shared" si="36"/>
        <v>3.3</v>
      </c>
      <c r="T143" s="134">
        <f t="shared" si="36"/>
        <v>3.3</v>
      </c>
      <c r="U143" s="134">
        <f t="shared" si="36"/>
        <v>3.3</v>
      </c>
      <c r="V143" s="134">
        <f t="shared" si="36"/>
        <v>3.3</v>
      </c>
      <c r="W143" s="134">
        <f t="shared" si="36"/>
        <v>3.3</v>
      </c>
      <c r="X143" s="134">
        <f t="shared" si="36"/>
        <v>3.3</v>
      </c>
      <c r="Y143" s="134">
        <f t="shared" si="36"/>
        <v>3.3</v>
      </c>
      <c r="Z143" s="134">
        <f t="shared" si="36"/>
        <v>3.3</v>
      </c>
      <c r="AA143" s="134">
        <f t="shared" si="36"/>
        <v>3.3</v>
      </c>
      <c r="AB143" s="134">
        <f t="shared" si="36"/>
        <v>3.3</v>
      </c>
      <c r="AC143" s="134">
        <f t="shared" si="36"/>
        <v>3.3</v>
      </c>
      <c r="AD143" s="134">
        <f t="shared" si="36"/>
        <v>3.3</v>
      </c>
      <c r="AE143" s="134">
        <f t="shared" si="36"/>
        <v>3.3</v>
      </c>
      <c r="AF143" s="134">
        <f t="shared" si="36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7">B145</f>
        <v>1.76</v>
      </c>
      <c r="D145" s="134">
        <f t="shared" si="37"/>
        <v>1.76</v>
      </c>
      <c r="E145" s="134">
        <f t="shared" si="37"/>
        <v>1.76</v>
      </c>
      <c r="F145" s="134">
        <f t="shared" si="37"/>
        <v>1.76</v>
      </c>
      <c r="G145" s="134">
        <f t="shared" si="37"/>
        <v>1.76</v>
      </c>
      <c r="H145" s="134">
        <f t="shared" si="37"/>
        <v>1.76</v>
      </c>
      <c r="I145" s="134">
        <f t="shared" si="37"/>
        <v>1.76</v>
      </c>
      <c r="J145" s="134">
        <f t="shared" si="37"/>
        <v>1.76</v>
      </c>
      <c r="K145" s="134">
        <f t="shared" si="37"/>
        <v>1.76</v>
      </c>
      <c r="L145" s="134">
        <f t="shared" si="37"/>
        <v>1.76</v>
      </c>
      <c r="M145" s="134">
        <f t="shared" si="37"/>
        <v>1.76</v>
      </c>
      <c r="N145" s="134">
        <f t="shared" si="37"/>
        <v>1.76</v>
      </c>
      <c r="O145" s="134">
        <f t="shared" si="37"/>
        <v>1.76</v>
      </c>
      <c r="P145" s="134">
        <f t="shared" si="37"/>
        <v>1.76</v>
      </c>
      <c r="Q145" s="134">
        <f t="shared" si="37"/>
        <v>1.76</v>
      </c>
      <c r="R145" s="134">
        <f t="shared" si="37"/>
        <v>1.76</v>
      </c>
      <c r="S145" s="134">
        <f t="shared" ref="S145:AF146" si="38">R145</f>
        <v>1.76</v>
      </c>
      <c r="T145" s="134">
        <f t="shared" si="38"/>
        <v>1.76</v>
      </c>
      <c r="U145" s="134">
        <f t="shared" si="38"/>
        <v>1.76</v>
      </c>
      <c r="V145" s="134">
        <f t="shared" si="38"/>
        <v>1.76</v>
      </c>
      <c r="W145" s="134">
        <f t="shared" si="38"/>
        <v>1.76</v>
      </c>
      <c r="X145" s="134">
        <f t="shared" si="38"/>
        <v>1.76</v>
      </c>
      <c r="Y145" s="134">
        <f t="shared" si="38"/>
        <v>1.76</v>
      </c>
      <c r="Z145" s="134">
        <f t="shared" si="38"/>
        <v>1.76</v>
      </c>
      <c r="AA145" s="134">
        <f t="shared" si="38"/>
        <v>1.76</v>
      </c>
      <c r="AB145" s="134">
        <f t="shared" si="38"/>
        <v>1.76</v>
      </c>
      <c r="AC145" s="134">
        <f t="shared" si="38"/>
        <v>1.76</v>
      </c>
      <c r="AD145" s="134">
        <f t="shared" si="38"/>
        <v>1.76</v>
      </c>
      <c r="AE145" s="134">
        <f t="shared" si="38"/>
        <v>1.76</v>
      </c>
      <c r="AF145" s="134">
        <f t="shared" si="38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7"/>
        <v>0</v>
      </c>
      <c r="D146" s="134">
        <f t="shared" si="37"/>
        <v>0</v>
      </c>
      <c r="E146" s="134">
        <f t="shared" si="37"/>
        <v>0</v>
      </c>
      <c r="F146" s="134">
        <f t="shared" si="37"/>
        <v>0</v>
      </c>
      <c r="G146" s="134">
        <f t="shared" si="37"/>
        <v>0</v>
      </c>
      <c r="H146" s="134">
        <f t="shared" si="37"/>
        <v>0</v>
      </c>
      <c r="I146" s="134">
        <f t="shared" si="37"/>
        <v>0</v>
      </c>
      <c r="J146" s="134">
        <f t="shared" si="37"/>
        <v>0</v>
      </c>
      <c r="K146" s="134">
        <f t="shared" si="37"/>
        <v>0</v>
      </c>
      <c r="L146" s="134">
        <f t="shared" si="37"/>
        <v>0</v>
      </c>
      <c r="M146" s="134">
        <f t="shared" si="37"/>
        <v>0</v>
      </c>
      <c r="N146" s="134">
        <f t="shared" si="37"/>
        <v>0</v>
      </c>
      <c r="O146" s="134">
        <f t="shared" si="37"/>
        <v>0</v>
      </c>
      <c r="P146" s="134">
        <f t="shared" si="37"/>
        <v>0</v>
      </c>
      <c r="Q146" s="134">
        <f t="shared" si="37"/>
        <v>0</v>
      </c>
      <c r="R146" s="134">
        <f t="shared" si="37"/>
        <v>0</v>
      </c>
      <c r="S146" s="134">
        <f t="shared" si="38"/>
        <v>0</v>
      </c>
      <c r="T146" s="134">
        <f t="shared" si="38"/>
        <v>0</v>
      </c>
      <c r="U146" s="134">
        <f t="shared" si="38"/>
        <v>0</v>
      </c>
      <c r="V146" s="134">
        <f t="shared" si="38"/>
        <v>0</v>
      </c>
      <c r="W146" s="134">
        <f t="shared" si="38"/>
        <v>0</v>
      </c>
      <c r="X146" s="134">
        <f t="shared" si="38"/>
        <v>0</v>
      </c>
      <c r="Y146" s="134">
        <f t="shared" si="38"/>
        <v>0</v>
      </c>
      <c r="Z146" s="134">
        <f t="shared" si="38"/>
        <v>0</v>
      </c>
      <c r="AA146" s="134">
        <f t="shared" si="38"/>
        <v>0</v>
      </c>
      <c r="AB146" s="134">
        <f t="shared" si="38"/>
        <v>0</v>
      </c>
      <c r="AC146" s="134">
        <f t="shared" si="38"/>
        <v>0</v>
      </c>
      <c r="AD146" s="134">
        <f t="shared" si="38"/>
        <v>0</v>
      </c>
      <c r="AE146" s="134">
        <f t="shared" si="38"/>
        <v>0</v>
      </c>
      <c r="AF146" s="134">
        <f t="shared" si="38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9">B148</f>
        <v>0.1</v>
      </c>
      <c r="D148" s="134">
        <f t="shared" si="39"/>
        <v>0.1</v>
      </c>
      <c r="E148" s="134">
        <f t="shared" si="39"/>
        <v>0.1</v>
      </c>
      <c r="F148" s="134">
        <f t="shared" si="39"/>
        <v>0.1</v>
      </c>
      <c r="G148" s="134">
        <f t="shared" si="39"/>
        <v>0.1</v>
      </c>
      <c r="H148" s="134">
        <f t="shared" si="39"/>
        <v>0.1</v>
      </c>
      <c r="I148" s="134">
        <f t="shared" si="39"/>
        <v>0.1</v>
      </c>
      <c r="J148" s="134">
        <f t="shared" si="39"/>
        <v>0.1</v>
      </c>
      <c r="K148" s="134">
        <f t="shared" si="39"/>
        <v>0.1</v>
      </c>
      <c r="L148" s="134">
        <f t="shared" si="39"/>
        <v>0.1</v>
      </c>
      <c r="M148" s="134">
        <f t="shared" si="39"/>
        <v>0.1</v>
      </c>
      <c r="N148" s="134">
        <f t="shared" si="39"/>
        <v>0.1</v>
      </c>
      <c r="O148" s="134">
        <f t="shared" si="39"/>
        <v>0.1</v>
      </c>
      <c r="P148" s="134">
        <f t="shared" si="39"/>
        <v>0.1</v>
      </c>
      <c r="Q148" s="134">
        <f t="shared" si="39"/>
        <v>0.1</v>
      </c>
      <c r="R148" s="134">
        <f t="shared" si="39"/>
        <v>0.1</v>
      </c>
      <c r="S148" s="134">
        <f t="shared" ref="S148:AF151" si="40">R148</f>
        <v>0.1</v>
      </c>
      <c r="T148" s="134">
        <f t="shared" si="40"/>
        <v>0.1</v>
      </c>
      <c r="U148" s="134">
        <f t="shared" si="40"/>
        <v>0.1</v>
      </c>
      <c r="V148" s="134">
        <f t="shared" si="40"/>
        <v>0.1</v>
      </c>
      <c r="W148" s="134">
        <f t="shared" si="40"/>
        <v>0.1</v>
      </c>
      <c r="X148" s="134">
        <f t="shared" si="40"/>
        <v>0.1</v>
      </c>
      <c r="Y148" s="134">
        <f t="shared" si="40"/>
        <v>0.1</v>
      </c>
      <c r="Z148" s="134">
        <f t="shared" si="40"/>
        <v>0.1</v>
      </c>
      <c r="AA148" s="134">
        <f t="shared" si="40"/>
        <v>0.1</v>
      </c>
      <c r="AB148" s="134">
        <f t="shared" si="40"/>
        <v>0.1</v>
      </c>
      <c r="AC148" s="134">
        <f t="shared" si="40"/>
        <v>0.1</v>
      </c>
      <c r="AD148" s="134">
        <f t="shared" si="40"/>
        <v>0.1</v>
      </c>
      <c r="AE148" s="134">
        <f t="shared" si="40"/>
        <v>0.1</v>
      </c>
      <c r="AF148" s="134">
        <f t="shared" si="40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9"/>
        <v>2.0499999999999998</v>
      </c>
      <c r="D149" s="134">
        <f t="shared" si="39"/>
        <v>2.0499999999999998</v>
      </c>
      <c r="E149" s="134">
        <f t="shared" si="39"/>
        <v>2.0499999999999998</v>
      </c>
      <c r="F149" s="134">
        <f t="shared" si="39"/>
        <v>2.0499999999999998</v>
      </c>
      <c r="G149" s="134">
        <f t="shared" si="39"/>
        <v>2.0499999999999998</v>
      </c>
      <c r="H149" s="134">
        <f t="shared" si="39"/>
        <v>2.0499999999999998</v>
      </c>
      <c r="I149" s="134">
        <f t="shared" si="39"/>
        <v>2.0499999999999998</v>
      </c>
      <c r="J149" s="134">
        <f t="shared" si="39"/>
        <v>2.0499999999999998</v>
      </c>
      <c r="K149" s="134">
        <f t="shared" si="39"/>
        <v>2.0499999999999998</v>
      </c>
      <c r="L149" s="134">
        <f t="shared" si="39"/>
        <v>2.0499999999999998</v>
      </c>
      <c r="M149" s="134">
        <f t="shared" si="39"/>
        <v>2.0499999999999998</v>
      </c>
      <c r="N149" s="134">
        <f t="shared" si="39"/>
        <v>2.0499999999999998</v>
      </c>
      <c r="O149" s="134">
        <f t="shared" si="39"/>
        <v>2.0499999999999998</v>
      </c>
      <c r="P149" s="134">
        <f t="shared" si="39"/>
        <v>2.0499999999999998</v>
      </c>
      <c r="Q149" s="134">
        <f t="shared" si="39"/>
        <v>2.0499999999999998</v>
      </c>
      <c r="R149" s="134">
        <f t="shared" si="39"/>
        <v>2.0499999999999998</v>
      </c>
      <c r="S149" s="134">
        <f t="shared" si="40"/>
        <v>2.0499999999999998</v>
      </c>
      <c r="T149" s="134">
        <f t="shared" si="40"/>
        <v>2.0499999999999998</v>
      </c>
      <c r="U149" s="134">
        <f t="shared" si="40"/>
        <v>2.0499999999999998</v>
      </c>
      <c r="V149" s="134">
        <f t="shared" si="40"/>
        <v>2.0499999999999998</v>
      </c>
      <c r="W149" s="134">
        <f t="shared" si="40"/>
        <v>2.0499999999999998</v>
      </c>
      <c r="X149" s="134">
        <f t="shared" si="40"/>
        <v>2.0499999999999998</v>
      </c>
      <c r="Y149" s="134">
        <f t="shared" si="40"/>
        <v>2.0499999999999998</v>
      </c>
      <c r="Z149" s="134">
        <f t="shared" si="40"/>
        <v>2.0499999999999998</v>
      </c>
      <c r="AA149" s="134">
        <f t="shared" si="40"/>
        <v>2.0499999999999998</v>
      </c>
      <c r="AB149" s="134">
        <f t="shared" si="40"/>
        <v>2.0499999999999998</v>
      </c>
      <c r="AC149" s="134">
        <f t="shared" si="40"/>
        <v>2.0499999999999998</v>
      </c>
      <c r="AD149" s="134">
        <f t="shared" si="40"/>
        <v>2.0499999999999998</v>
      </c>
      <c r="AE149" s="134">
        <f t="shared" si="40"/>
        <v>2.0499999999999998</v>
      </c>
      <c r="AF149" s="134">
        <f t="shared" si="40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9"/>
        <v>2.7</v>
      </c>
      <c r="D150" s="134">
        <f t="shared" si="39"/>
        <v>2.7</v>
      </c>
      <c r="E150" s="134">
        <f t="shared" si="39"/>
        <v>2.7</v>
      </c>
      <c r="F150" s="134">
        <f t="shared" si="39"/>
        <v>2.7</v>
      </c>
      <c r="G150" s="134">
        <f t="shared" si="39"/>
        <v>2.7</v>
      </c>
      <c r="H150" s="134">
        <f t="shared" si="39"/>
        <v>2.7</v>
      </c>
      <c r="I150" s="134">
        <f t="shared" si="39"/>
        <v>2.7</v>
      </c>
      <c r="J150" s="134">
        <f t="shared" si="39"/>
        <v>2.7</v>
      </c>
      <c r="K150" s="134">
        <f t="shared" si="39"/>
        <v>2.7</v>
      </c>
      <c r="L150" s="134">
        <f t="shared" si="39"/>
        <v>2.7</v>
      </c>
      <c r="M150" s="134">
        <f t="shared" si="39"/>
        <v>2.7</v>
      </c>
      <c r="N150" s="134">
        <f t="shared" si="39"/>
        <v>2.7</v>
      </c>
      <c r="O150" s="134">
        <f t="shared" si="39"/>
        <v>2.7</v>
      </c>
      <c r="P150" s="134">
        <f t="shared" si="39"/>
        <v>2.7</v>
      </c>
      <c r="Q150" s="134">
        <f t="shared" si="39"/>
        <v>2.7</v>
      </c>
      <c r="R150" s="134">
        <f t="shared" si="39"/>
        <v>2.7</v>
      </c>
      <c r="S150" s="134">
        <f t="shared" si="40"/>
        <v>2.7</v>
      </c>
      <c r="T150" s="134">
        <f t="shared" si="40"/>
        <v>2.7</v>
      </c>
      <c r="U150" s="134">
        <f t="shared" si="40"/>
        <v>2.7</v>
      </c>
      <c r="V150" s="134">
        <f t="shared" si="40"/>
        <v>2.7</v>
      </c>
      <c r="W150" s="134">
        <f t="shared" si="40"/>
        <v>2.7</v>
      </c>
      <c r="X150" s="134">
        <f t="shared" si="40"/>
        <v>2.7</v>
      </c>
      <c r="Y150" s="134">
        <f t="shared" si="40"/>
        <v>2.7</v>
      </c>
      <c r="Z150" s="134">
        <f t="shared" si="40"/>
        <v>2.7</v>
      </c>
      <c r="AA150" s="134">
        <f t="shared" si="40"/>
        <v>2.7</v>
      </c>
      <c r="AB150" s="134">
        <f t="shared" si="40"/>
        <v>2.7</v>
      </c>
      <c r="AC150" s="134">
        <f t="shared" si="40"/>
        <v>2.7</v>
      </c>
      <c r="AD150" s="134">
        <f t="shared" si="40"/>
        <v>2.7</v>
      </c>
      <c r="AE150" s="134">
        <f t="shared" si="40"/>
        <v>2.7</v>
      </c>
      <c r="AF150" s="134">
        <f t="shared" si="40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9"/>
        <v>2.15</v>
      </c>
      <c r="D151" s="134">
        <f t="shared" si="39"/>
        <v>2.15</v>
      </c>
      <c r="E151" s="134">
        <f t="shared" si="39"/>
        <v>2.15</v>
      </c>
      <c r="F151" s="134">
        <f t="shared" si="39"/>
        <v>2.15</v>
      </c>
      <c r="G151" s="134">
        <f t="shared" si="39"/>
        <v>2.15</v>
      </c>
      <c r="H151" s="134">
        <f t="shared" si="39"/>
        <v>2.15</v>
      </c>
      <c r="I151" s="134">
        <f t="shared" si="39"/>
        <v>2.15</v>
      </c>
      <c r="J151" s="134">
        <f t="shared" si="39"/>
        <v>2.15</v>
      </c>
      <c r="K151" s="134">
        <f t="shared" si="39"/>
        <v>2.15</v>
      </c>
      <c r="L151" s="134">
        <f t="shared" si="39"/>
        <v>2.15</v>
      </c>
      <c r="M151" s="134">
        <f t="shared" si="39"/>
        <v>2.15</v>
      </c>
      <c r="N151" s="134">
        <f t="shared" si="39"/>
        <v>2.15</v>
      </c>
      <c r="O151" s="134">
        <f t="shared" si="39"/>
        <v>2.15</v>
      </c>
      <c r="P151" s="134">
        <f t="shared" si="39"/>
        <v>2.15</v>
      </c>
      <c r="Q151" s="134">
        <f t="shared" si="39"/>
        <v>2.15</v>
      </c>
      <c r="R151" s="134">
        <f t="shared" si="39"/>
        <v>2.15</v>
      </c>
      <c r="S151" s="134">
        <f t="shared" si="40"/>
        <v>2.15</v>
      </c>
      <c r="T151" s="134">
        <f t="shared" si="40"/>
        <v>2.15</v>
      </c>
      <c r="U151" s="134">
        <f t="shared" si="40"/>
        <v>2.15</v>
      </c>
      <c r="V151" s="134">
        <f t="shared" si="40"/>
        <v>2.15</v>
      </c>
      <c r="W151" s="134">
        <f t="shared" si="40"/>
        <v>2.15</v>
      </c>
      <c r="X151" s="134">
        <f t="shared" si="40"/>
        <v>2.15</v>
      </c>
      <c r="Y151" s="134">
        <f t="shared" si="40"/>
        <v>2.15</v>
      </c>
      <c r="Z151" s="134">
        <f t="shared" si="40"/>
        <v>2.15</v>
      </c>
      <c r="AA151" s="134">
        <f t="shared" si="40"/>
        <v>2.15</v>
      </c>
      <c r="AB151" s="134">
        <f t="shared" si="40"/>
        <v>2.15</v>
      </c>
      <c r="AC151" s="134">
        <f t="shared" si="40"/>
        <v>2.15</v>
      </c>
      <c r="AD151" s="134">
        <f t="shared" si="40"/>
        <v>2.15</v>
      </c>
      <c r="AE151" s="134">
        <f t="shared" si="40"/>
        <v>2.15</v>
      </c>
      <c r="AF151" s="134">
        <f t="shared" si="40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1">B153</f>
        <v>0.9</v>
      </c>
      <c r="D153" s="134">
        <f t="shared" si="41"/>
        <v>0.9</v>
      </c>
      <c r="E153" s="134">
        <f t="shared" si="41"/>
        <v>0.9</v>
      </c>
      <c r="F153" s="134">
        <f t="shared" si="41"/>
        <v>0.9</v>
      </c>
      <c r="G153" s="134">
        <f t="shared" si="41"/>
        <v>0.9</v>
      </c>
      <c r="H153" s="134">
        <f t="shared" si="41"/>
        <v>0.9</v>
      </c>
      <c r="I153" s="134">
        <f t="shared" si="41"/>
        <v>0.9</v>
      </c>
      <c r="J153" s="134">
        <f t="shared" si="41"/>
        <v>0.9</v>
      </c>
      <c r="K153" s="134">
        <f t="shared" si="41"/>
        <v>0.9</v>
      </c>
      <c r="L153" s="134">
        <f t="shared" si="41"/>
        <v>0.9</v>
      </c>
      <c r="M153" s="134">
        <f t="shared" si="41"/>
        <v>0.9</v>
      </c>
      <c r="N153" s="134">
        <f t="shared" si="41"/>
        <v>0.9</v>
      </c>
      <c r="O153" s="134">
        <f t="shared" si="41"/>
        <v>0.9</v>
      </c>
      <c r="P153" s="134">
        <f t="shared" si="41"/>
        <v>0.9</v>
      </c>
      <c r="Q153" s="134">
        <f t="shared" si="41"/>
        <v>0.9</v>
      </c>
      <c r="R153" s="134">
        <f t="shared" si="41"/>
        <v>0.9</v>
      </c>
      <c r="S153" s="134">
        <f t="shared" ref="R153:AF165" si="42">R153</f>
        <v>0.9</v>
      </c>
      <c r="T153" s="134">
        <f t="shared" si="42"/>
        <v>0.9</v>
      </c>
      <c r="U153" s="134">
        <f t="shared" si="42"/>
        <v>0.9</v>
      </c>
      <c r="V153" s="134">
        <f t="shared" si="42"/>
        <v>0.9</v>
      </c>
      <c r="W153" s="134">
        <f t="shared" si="42"/>
        <v>0.9</v>
      </c>
      <c r="X153" s="134">
        <f t="shared" si="42"/>
        <v>0.9</v>
      </c>
      <c r="Y153" s="134">
        <f t="shared" si="42"/>
        <v>0.9</v>
      </c>
      <c r="Z153" s="134">
        <f t="shared" si="42"/>
        <v>0.9</v>
      </c>
      <c r="AA153" s="134">
        <f t="shared" si="42"/>
        <v>0.9</v>
      </c>
      <c r="AB153" s="134">
        <f t="shared" si="42"/>
        <v>0.9</v>
      </c>
      <c r="AC153" s="134">
        <f t="shared" si="42"/>
        <v>0.9</v>
      </c>
      <c r="AD153" s="134">
        <f t="shared" si="42"/>
        <v>0.9</v>
      </c>
      <c r="AE153" s="134">
        <f t="shared" si="42"/>
        <v>0.9</v>
      </c>
      <c r="AF153" s="134">
        <f t="shared" si="42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1"/>
        <v>1.08</v>
      </c>
      <c r="D154" s="134">
        <f t="shared" si="41"/>
        <v>1.08</v>
      </c>
      <c r="E154" s="134">
        <f t="shared" si="41"/>
        <v>1.08</v>
      </c>
      <c r="F154" s="134">
        <f t="shared" si="41"/>
        <v>1.08</v>
      </c>
      <c r="G154" s="134">
        <f t="shared" si="41"/>
        <v>1.08</v>
      </c>
      <c r="H154" s="134">
        <f t="shared" si="41"/>
        <v>1.08</v>
      </c>
      <c r="I154" s="134">
        <f t="shared" si="41"/>
        <v>1.08</v>
      </c>
      <c r="J154" s="134">
        <f t="shared" si="41"/>
        <v>1.08</v>
      </c>
      <c r="K154" s="134">
        <f t="shared" si="41"/>
        <v>1.08</v>
      </c>
      <c r="L154" s="134">
        <f t="shared" si="41"/>
        <v>1.08</v>
      </c>
      <c r="M154" s="134">
        <f t="shared" si="41"/>
        <v>1.08</v>
      </c>
      <c r="N154" s="134">
        <f t="shared" si="41"/>
        <v>1.08</v>
      </c>
      <c r="O154" s="134">
        <f t="shared" si="41"/>
        <v>1.08</v>
      </c>
      <c r="P154" s="134">
        <f t="shared" si="41"/>
        <v>1.08</v>
      </c>
      <c r="Q154" s="134">
        <f t="shared" si="41"/>
        <v>1.08</v>
      </c>
      <c r="R154" s="134">
        <f t="shared" si="41"/>
        <v>1.08</v>
      </c>
      <c r="S154" s="134">
        <f t="shared" si="42"/>
        <v>1.08</v>
      </c>
      <c r="T154" s="134">
        <f t="shared" si="42"/>
        <v>1.08</v>
      </c>
      <c r="U154" s="134">
        <f t="shared" si="42"/>
        <v>1.08</v>
      </c>
      <c r="V154" s="134">
        <f t="shared" si="42"/>
        <v>1.08</v>
      </c>
      <c r="W154" s="134">
        <f t="shared" si="42"/>
        <v>1.08</v>
      </c>
      <c r="X154" s="134">
        <f t="shared" si="42"/>
        <v>1.08</v>
      </c>
      <c r="Y154" s="134">
        <f t="shared" si="42"/>
        <v>1.08</v>
      </c>
      <c r="Z154" s="134">
        <f t="shared" si="42"/>
        <v>1.08</v>
      </c>
      <c r="AA154" s="134">
        <f t="shared" si="42"/>
        <v>1.08</v>
      </c>
      <c r="AB154" s="134">
        <f t="shared" si="42"/>
        <v>1.08</v>
      </c>
      <c r="AC154" s="134">
        <f t="shared" si="42"/>
        <v>1.08</v>
      </c>
      <c r="AD154" s="134">
        <f t="shared" si="42"/>
        <v>1.08</v>
      </c>
      <c r="AE154" s="134">
        <f t="shared" si="42"/>
        <v>1.08</v>
      </c>
      <c r="AF154" s="134">
        <f t="shared" si="42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1"/>
        <v>2.37</v>
      </c>
      <c r="D155" s="134">
        <f t="shared" si="41"/>
        <v>2.37</v>
      </c>
      <c r="E155" s="134">
        <f t="shared" si="41"/>
        <v>2.37</v>
      </c>
      <c r="F155" s="134">
        <f t="shared" si="41"/>
        <v>2.37</v>
      </c>
      <c r="G155" s="134">
        <f t="shared" si="41"/>
        <v>2.37</v>
      </c>
      <c r="H155" s="134">
        <f t="shared" si="41"/>
        <v>2.37</v>
      </c>
      <c r="I155" s="134">
        <f t="shared" si="41"/>
        <v>2.37</v>
      </c>
      <c r="J155" s="134">
        <f t="shared" si="41"/>
        <v>2.37</v>
      </c>
      <c r="K155" s="134">
        <f t="shared" si="41"/>
        <v>2.37</v>
      </c>
      <c r="L155" s="134">
        <f t="shared" si="41"/>
        <v>2.37</v>
      </c>
      <c r="M155" s="134">
        <f t="shared" si="41"/>
        <v>2.37</v>
      </c>
      <c r="N155" s="134">
        <f t="shared" si="41"/>
        <v>2.37</v>
      </c>
      <c r="O155" s="134">
        <f t="shared" si="41"/>
        <v>2.37</v>
      </c>
      <c r="P155" s="134">
        <f t="shared" si="41"/>
        <v>2.37</v>
      </c>
      <c r="Q155" s="134">
        <f t="shared" si="41"/>
        <v>2.37</v>
      </c>
      <c r="R155" s="134">
        <f t="shared" si="41"/>
        <v>2.37</v>
      </c>
      <c r="S155" s="134">
        <f t="shared" si="42"/>
        <v>2.37</v>
      </c>
      <c r="T155" s="134">
        <f t="shared" si="42"/>
        <v>2.37</v>
      </c>
      <c r="U155" s="134">
        <f t="shared" si="42"/>
        <v>2.37</v>
      </c>
      <c r="V155" s="134">
        <f t="shared" si="42"/>
        <v>2.37</v>
      </c>
      <c r="W155" s="134">
        <f t="shared" si="42"/>
        <v>2.37</v>
      </c>
      <c r="X155" s="134">
        <f t="shared" si="42"/>
        <v>2.37</v>
      </c>
      <c r="Y155" s="134">
        <f t="shared" si="42"/>
        <v>2.37</v>
      </c>
      <c r="Z155" s="134">
        <f t="shared" si="42"/>
        <v>2.37</v>
      </c>
      <c r="AA155" s="134">
        <f t="shared" si="42"/>
        <v>2.37</v>
      </c>
      <c r="AB155" s="134">
        <f t="shared" si="42"/>
        <v>2.37</v>
      </c>
      <c r="AC155" s="134">
        <f t="shared" si="42"/>
        <v>2.37</v>
      </c>
      <c r="AD155" s="134">
        <f t="shared" si="42"/>
        <v>2.37</v>
      </c>
      <c r="AE155" s="134">
        <f t="shared" si="42"/>
        <v>2.37</v>
      </c>
      <c r="AF155" s="134">
        <f t="shared" si="42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1"/>
        <v>1.81</v>
      </c>
      <c r="D156" s="134">
        <f t="shared" si="41"/>
        <v>1.81</v>
      </c>
      <c r="E156" s="134">
        <f t="shared" si="41"/>
        <v>1.81</v>
      </c>
      <c r="F156" s="134">
        <f t="shared" si="41"/>
        <v>1.81</v>
      </c>
      <c r="G156" s="134">
        <f t="shared" si="41"/>
        <v>1.81</v>
      </c>
      <c r="H156" s="134">
        <f t="shared" si="41"/>
        <v>1.81</v>
      </c>
      <c r="I156" s="134">
        <f t="shared" si="41"/>
        <v>1.81</v>
      </c>
      <c r="J156" s="134">
        <f t="shared" si="41"/>
        <v>1.81</v>
      </c>
      <c r="K156" s="134">
        <f t="shared" si="41"/>
        <v>1.81</v>
      </c>
      <c r="L156" s="134">
        <f t="shared" si="41"/>
        <v>1.81</v>
      </c>
      <c r="M156" s="134">
        <f t="shared" si="41"/>
        <v>1.81</v>
      </c>
      <c r="N156" s="134">
        <f t="shared" si="41"/>
        <v>1.81</v>
      </c>
      <c r="O156" s="134">
        <f t="shared" si="41"/>
        <v>1.81</v>
      </c>
      <c r="P156" s="134">
        <f t="shared" si="41"/>
        <v>1.81</v>
      </c>
      <c r="Q156" s="134">
        <f t="shared" si="41"/>
        <v>1.81</v>
      </c>
      <c r="R156" s="134">
        <f t="shared" si="41"/>
        <v>1.81</v>
      </c>
      <c r="S156" s="134">
        <f t="shared" si="42"/>
        <v>1.81</v>
      </c>
      <c r="T156" s="134">
        <f t="shared" si="42"/>
        <v>1.81</v>
      </c>
      <c r="U156" s="134">
        <f t="shared" si="42"/>
        <v>1.81</v>
      </c>
      <c r="V156" s="134">
        <f t="shared" si="42"/>
        <v>1.81</v>
      </c>
      <c r="W156" s="134">
        <f t="shared" si="42"/>
        <v>1.81</v>
      </c>
      <c r="X156" s="134">
        <f t="shared" si="42"/>
        <v>1.81</v>
      </c>
      <c r="Y156" s="134">
        <f t="shared" si="42"/>
        <v>1.81</v>
      </c>
      <c r="Z156" s="134">
        <f t="shared" si="42"/>
        <v>1.81</v>
      </c>
      <c r="AA156" s="134">
        <f t="shared" si="42"/>
        <v>1.81</v>
      </c>
      <c r="AB156" s="134">
        <f t="shared" si="42"/>
        <v>1.81</v>
      </c>
      <c r="AC156" s="134">
        <f t="shared" si="42"/>
        <v>1.81</v>
      </c>
      <c r="AD156" s="134">
        <f t="shared" si="42"/>
        <v>1.81</v>
      </c>
      <c r="AE156" s="134">
        <f t="shared" si="42"/>
        <v>1.81</v>
      </c>
      <c r="AF156" s="134">
        <f t="shared" si="42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1"/>
        <v>1.0900000000000001</v>
      </c>
      <c r="D157" s="134">
        <f t="shared" si="41"/>
        <v>1.0900000000000001</v>
      </c>
      <c r="E157" s="134">
        <f t="shared" si="41"/>
        <v>1.0900000000000001</v>
      </c>
      <c r="F157" s="134">
        <f t="shared" si="41"/>
        <v>1.0900000000000001</v>
      </c>
      <c r="G157" s="134">
        <f t="shared" si="41"/>
        <v>1.0900000000000001</v>
      </c>
      <c r="H157" s="134">
        <f t="shared" si="41"/>
        <v>1.0900000000000001</v>
      </c>
      <c r="I157" s="134">
        <f t="shared" si="41"/>
        <v>1.0900000000000001</v>
      </c>
      <c r="J157" s="134">
        <f t="shared" si="41"/>
        <v>1.0900000000000001</v>
      </c>
      <c r="K157" s="134">
        <f t="shared" si="41"/>
        <v>1.0900000000000001</v>
      </c>
      <c r="L157" s="134">
        <f t="shared" si="41"/>
        <v>1.0900000000000001</v>
      </c>
      <c r="M157" s="134">
        <f t="shared" si="41"/>
        <v>1.0900000000000001</v>
      </c>
      <c r="N157" s="134">
        <f t="shared" si="41"/>
        <v>1.0900000000000001</v>
      </c>
      <c r="O157" s="134">
        <f t="shared" si="41"/>
        <v>1.0900000000000001</v>
      </c>
      <c r="P157" s="134">
        <f t="shared" si="41"/>
        <v>1.0900000000000001</v>
      </c>
      <c r="Q157" s="134">
        <f t="shared" si="41"/>
        <v>1.0900000000000001</v>
      </c>
      <c r="R157" s="134">
        <f t="shared" si="41"/>
        <v>1.0900000000000001</v>
      </c>
      <c r="S157" s="134">
        <f t="shared" si="42"/>
        <v>1.0900000000000001</v>
      </c>
      <c r="T157" s="134">
        <f t="shared" si="42"/>
        <v>1.0900000000000001</v>
      </c>
      <c r="U157" s="134">
        <f t="shared" si="42"/>
        <v>1.0900000000000001</v>
      </c>
      <c r="V157" s="134">
        <f t="shared" si="42"/>
        <v>1.0900000000000001</v>
      </c>
      <c r="W157" s="134">
        <f t="shared" si="42"/>
        <v>1.0900000000000001</v>
      </c>
      <c r="X157" s="134">
        <f t="shared" si="42"/>
        <v>1.0900000000000001</v>
      </c>
      <c r="Y157" s="134">
        <f t="shared" si="42"/>
        <v>1.0900000000000001</v>
      </c>
      <c r="Z157" s="134">
        <f t="shared" si="42"/>
        <v>1.0900000000000001</v>
      </c>
      <c r="AA157" s="134">
        <f t="shared" si="42"/>
        <v>1.0900000000000001</v>
      </c>
      <c r="AB157" s="134">
        <f t="shared" si="42"/>
        <v>1.0900000000000001</v>
      </c>
      <c r="AC157" s="134">
        <f t="shared" si="42"/>
        <v>1.0900000000000001</v>
      </c>
      <c r="AD157" s="134">
        <f t="shared" si="42"/>
        <v>1.0900000000000001</v>
      </c>
      <c r="AE157" s="134">
        <f t="shared" si="42"/>
        <v>1.0900000000000001</v>
      </c>
      <c r="AF157" s="134">
        <f t="shared" si="42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1"/>
        <v>1.58</v>
      </c>
      <c r="D158" s="134">
        <f t="shared" si="41"/>
        <v>1.58</v>
      </c>
      <c r="E158" s="134">
        <f t="shared" si="41"/>
        <v>1.58</v>
      </c>
      <c r="F158" s="134">
        <f t="shared" si="41"/>
        <v>1.58</v>
      </c>
      <c r="G158" s="134">
        <f t="shared" si="41"/>
        <v>1.58</v>
      </c>
      <c r="H158" s="134">
        <f t="shared" si="41"/>
        <v>1.58</v>
      </c>
      <c r="I158" s="134">
        <f t="shared" si="41"/>
        <v>1.58</v>
      </c>
      <c r="J158" s="134">
        <f t="shared" si="41"/>
        <v>1.58</v>
      </c>
      <c r="K158" s="134">
        <f t="shared" si="41"/>
        <v>1.58</v>
      </c>
      <c r="L158" s="134">
        <f t="shared" si="41"/>
        <v>1.58</v>
      </c>
      <c r="M158" s="134">
        <f t="shared" si="41"/>
        <v>1.58</v>
      </c>
      <c r="N158" s="134">
        <f t="shared" si="41"/>
        <v>1.58</v>
      </c>
      <c r="O158" s="134">
        <f t="shared" si="41"/>
        <v>1.58</v>
      </c>
      <c r="P158" s="134">
        <f t="shared" si="41"/>
        <v>1.58</v>
      </c>
      <c r="Q158" s="134">
        <f t="shared" si="41"/>
        <v>1.58</v>
      </c>
      <c r="R158" s="134">
        <f t="shared" si="41"/>
        <v>1.58</v>
      </c>
      <c r="S158" s="134">
        <f t="shared" si="42"/>
        <v>1.58</v>
      </c>
      <c r="T158" s="134">
        <f t="shared" si="42"/>
        <v>1.58</v>
      </c>
      <c r="U158" s="134">
        <f t="shared" si="42"/>
        <v>1.58</v>
      </c>
      <c r="V158" s="134">
        <f t="shared" si="42"/>
        <v>1.58</v>
      </c>
      <c r="W158" s="134">
        <f t="shared" si="42"/>
        <v>1.58</v>
      </c>
      <c r="X158" s="134">
        <f t="shared" si="42"/>
        <v>1.58</v>
      </c>
      <c r="Y158" s="134">
        <f t="shared" si="42"/>
        <v>1.58</v>
      </c>
      <c r="Z158" s="134">
        <f t="shared" si="42"/>
        <v>1.58</v>
      </c>
      <c r="AA158" s="134">
        <f t="shared" si="42"/>
        <v>1.58</v>
      </c>
      <c r="AB158" s="134">
        <f t="shared" si="42"/>
        <v>1.58</v>
      </c>
      <c r="AC158" s="134">
        <f t="shared" si="42"/>
        <v>1.58</v>
      </c>
      <c r="AD158" s="134">
        <f t="shared" si="42"/>
        <v>1.58</v>
      </c>
      <c r="AE158" s="134">
        <f t="shared" si="42"/>
        <v>1.58</v>
      </c>
      <c r="AF158" s="134">
        <f t="shared" si="42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1"/>
        <v>2</v>
      </c>
      <c r="D159" s="134">
        <f t="shared" si="41"/>
        <v>2</v>
      </c>
      <c r="E159" s="134">
        <f t="shared" si="41"/>
        <v>2</v>
      </c>
      <c r="F159" s="134">
        <f t="shared" si="41"/>
        <v>2</v>
      </c>
      <c r="G159" s="134">
        <f t="shared" si="41"/>
        <v>2</v>
      </c>
      <c r="H159" s="134">
        <f t="shared" si="41"/>
        <v>2</v>
      </c>
      <c r="I159" s="134">
        <f t="shared" si="41"/>
        <v>2</v>
      </c>
      <c r="J159" s="134">
        <f t="shared" si="41"/>
        <v>2</v>
      </c>
      <c r="K159" s="134">
        <f t="shared" si="41"/>
        <v>2</v>
      </c>
      <c r="L159" s="134">
        <f t="shared" si="41"/>
        <v>2</v>
      </c>
      <c r="M159" s="134">
        <f t="shared" si="41"/>
        <v>2</v>
      </c>
      <c r="N159" s="134">
        <f t="shared" si="41"/>
        <v>2</v>
      </c>
      <c r="O159" s="134">
        <f t="shared" si="41"/>
        <v>2</v>
      </c>
      <c r="P159" s="134">
        <f t="shared" si="41"/>
        <v>2</v>
      </c>
      <c r="Q159" s="134">
        <f t="shared" si="41"/>
        <v>2</v>
      </c>
      <c r="R159" s="134">
        <f t="shared" si="41"/>
        <v>2</v>
      </c>
      <c r="S159" s="134">
        <f t="shared" si="42"/>
        <v>2</v>
      </c>
      <c r="T159" s="134">
        <f t="shared" si="42"/>
        <v>2</v>
      </c>
      <c r="U159" s="134">
        <f t="shared" si="42"/>
        <v>2</v>
      </c>
      <c r="V159" s="134">
        <f t="shared" si="42"/>
        <v>2</v>
      </c>
      <c r="W159" s="134">
        <f t="shared" si="42"/>
        <v>2</v>
      </c>
      <c r="X159" s="134">
        <f t="shared" si="42"/>
        <v>2</v>
      </c>
      <c r="Y159" s="134">
        <f t="shared" si="42"/>
        <v>2</v>
      </c>
      <c r="Z159" s="134">
        <f t="shared" si="42"/>
        <v>2</v>
      </c>
      <c r="AA159" s="134">
        <f t="shared" si="42"/>
        <v>2</v>
      </c>
      <c r="AB159" s="134">
        <f t="shared" si="42"/>
        <v>2</v>
      </c>
      <c r="AC159" s="134">
        <f t="shared" si="42"/>
        <v>2</v>
      </c>
      <c r="AD159" s="134">
        <f t="shared" si="42"/>
        <v>2</v>
      </c>
      <c r="AE159" s="134">
        <f t="shared" si="42"/>
        <v>2</v>
      </c>
      <c r="AF159" s="134">
        <f t="shared" si="42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1"/>
        <v>0.47</v>
      </c>
      <c r="D160" s="134">
        <f t="shared" si="41"/>
        <v>0.47</v>
      </c>
      <c r="E160" s="134">
        <f t="shared" si="41"/>
        <v>0.47</v>
      </c>
      <c r="F160" s="134">
        <f t="shared" si="41"/>
        <v>0.47</v>
      </c>
      <c r="G160" s="134">
        <f t="shared" si="41"/>
        <v>0.47</v>
      </c>
      <c r="H160" s="134">
        <f t="shared" si="41"/>
        <v>0.47</v>
      </c>
      <c r="I160" s="134">
        <f t="shared" si="41"/>
        <v>0.47</v>
      </c>
      <c r="J160" s="134">
        <f t="shared" si="41"/>
        <v>0.47</v>
      </c>
      <c r="K160" s="134">
        <f t="shared" si="41"/>
        <v>0.47</v>
      </c>
      <c r="L160" s="134">
        <f t="shared" si="41"/>
        <v>0.47</v>
      </c>
      <c r="M160" s="134">
        <f t="shared" si="41"/>
        <v>0.47</v>
      </c>
      <c r="N160" s="134">
        <f t="shared" si="41"/>
        <v>0.47</v>
      </c>
      <c r="O160" s="134">
        <f t="shared" si="41"/>
        <v>0.47</v>
      </c>
      <c r="P160" s="134">
        <f t="shared" si="41"/>
        <v>0.47</v>
      </c>
      <c r="Q160" s="134">
        <f t="shared" si="41"/>
        <v>0.47</v>
      </c>
      <c r="R160" s="134">
        <f t="shared" si="41"/>
        <v>0.47</v>
      </c>
      <c r="S160" s="134">
        <f t="shared" si="42"/>
        <v>0.47</v>
      </c>
      <c r="T160" s="134">
        <f t="shared" si="42"/>
        <v>0.47</v>
      </c>
      <c r="U160" s="134">
        <f t="shared" si="42"/>
        <v>0.47</v>
      </c>
      <c r="V160" s="134">
        <f t="shared" si="42"/>
        <v>0.47</v>
      </c>
      <c r="W160" s="134">
        <f t="shared" si="42"/>
        <v>0.47</v>
      </c>
      <c r="X160" s="134">
        <f t="shared" si="42"/>
        <v>0.47</v>
      </c>
      <c r="Y160" s="134">
        <f t="shared" si="42"/>
        <v>0.47</v>
      </c>
      <c r="Z160" s="134">
        <f t="shared" si="42"/>
        <v>0.47</v>
      </c>
      <c r="AA160" s="134">
        <f t="shared" si="42"/>
        <v>0.47</v>
      </c>
      <c r="AB160" s="134">
        <f t="shared" si="42"/>
        <v>0.47</v>
      </c>
      <c r="AC160" s="134">
        <f t="shared" si="42"/>
        <v>0.47</v>
      </c>
      <c r="AD160" s="134">
        <f t="shared" si="42"/>
        <v>0.47</v>
      </c>
      <c r="AE160" s="134">
        <f t="shared" si="42"/>
        <v>0.47</v>
      </c>
      <c r="AF160" s="134">
        <f t="shared" si="42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1"/>
        <v>0</v>
      </c>
      <c r="D161" s="134">
        <f t="shared" si="41"/>
        <v>0</v>
      </c>
      <c r="E161" s="134">
        <f t="shared" si="41"/>
        <v>0</v>
      </c>
      <c r="F161" s="134">
        <f t="shared" si="41"/>
        <v>0</v>
      </c>
      <c r="G161" s="134">
        <f t="shared" si="41"/>
        <v>0</v>
      </c>
      <c r="H161" s="134">
        <f t="shared" si="41"/>
        <v>0</v>
      </c>
      <c r="I161" s="134">
        <f t="shared" si="41"/>
        <v>0</v>
      </c>
      <c r="J161" s="134">
        <f t="shared" si="41"/>
        <v>0</v>
      </c>
      <c r="K161" s="134">
        <f t="shared" si="41"/>
        <v>0</v>
      </c>
      <c r="L161" s="134">
        <f t="shared" si="41"/>
        <v>0</v>
      </c>
      <c r="M161" s="134">
        <f t="shared" si="41"/>
        <v>0</v>
      </c>
      <c r="N161" s="134">
        <f t="shared" si="41"/>
        <v>0</v>
      </c>
      <c r="O161" s="134">
        <f t="shared" si="41"/>
        <v>0</v>
      </c>
      <c r="P161" s="134">
        <f t="shared" si="41"/>
        <v>0</v>
      </c>
      <c r="Q161" s="134">
        <f t="shared" si="41"/>
        <v>0</v>
      </c>
      <c r="R161" s="134">
        <f t="shared" si="41"/>
        <v>0</v>
      </c>
      <c r="S161" s="134">
        <f t="shared" si="42"/>
        <v>0</v>
      </c>
      <c r="T161" s="134">
        <f t="shared" si="42"/>
        <v>0</v>
      </c>
      <c r="U161" s="134">
        <f t="shared" si="42"/>
        <v>0</v>
      </c>
      <c r="V161" s="134">
        <f t="shared" si="42"/>
        <v>0</v>
      </c>
      <c r="W161" s="134">
        <f t="shared" si="42"/>
        <v>0</v>
      </c>
      <c r="X161" s="134">
        <f t="shared" si="42"/>
        <v>0</v>
      </c>
      <c r="Y161" s="134">
        <f t="shared" si="42"/>
        <v>0</v>
      </c>
      <c r="Z161" s="134">
        <f t="shared" si="42"/>
        <v>0</v>
      </c>
      <c r="AA161" s="134">
        <f t="shared" si="42"/>
        <v>0</v>
      </c>
      <c r="AB161" s="134">
        <f t="shared" si="42"/>
        <v>0</v>
      </c>
      <c r="AC161" s="134">
        <f t="shared" si="42"/>
        <v>0</v>
      </c>
      <c r="AD161" s="134">
        <f t="shared" si="42"/>
        <v>0</v>
      </c>
      <c r="AE161" s="134">
        <f t="shared" si="42"/>
        <v>0</v>
      </c>
      <c r="AF161" s="134">
        <f t="shared" si="42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1"/>
        <v>0</v>
      </c>
      <c r="D162" s="134">
        <f t="shared" si="41"/>
        <v>0</v>
      </c>
      <c r="E162" s="134">
        <f t="shared" si="41"/>
        <v>0</v>
      </c>
      <c r="F162" s="134">
        <f t="shared" si="41"/>
        <v>0</v>
      </c>
      <c r="G162" s="134">
        <f t="shared" si="41"/>
        <v>0</v>
      </c>
      <c r="H162" s="134">
        <f t="shared" si="41"/>
        <v>0</v>
      </c>
      <c r="I162" s="134">
        <f t="shared" si="41"/>
        <v>0</v>
      </c>
      <c r="J162" s="134">
        <f t="shared" si="41"/>
        <v>0</v>
      </c>
      <c r="K162" s="134">
        <f t="shared" si="41"/>
        <v>0</v>
      </c>
      <c r="L162" s="134">
        <f t="shared" si="41"/>
        <v>0</v>
      </c>
      <c r="M162" s="134">
        <f t="shared" si="41"/>
        <v>0</v>
      </c>
      <c r="N162" s="134">
        <f t="shared" si="41"/>
        <v>0</v>
      </c>
      <c r="O162" s="134">
        <f t="shared" si="41"/>
        <v>0</v>
      </c>
      <c r="P162" s="134">
        <f t="shared" si="41"/>
        <v>0</v>
      </c>
      <c r="Q162" s="134">
        <f t="shared" si="41"/>
        <v>0</v>
      </c>
      <c r="R162" s="134">
        <f t="shared" si="42"/>
        <v>0</v>
      </c>
      <c r="S162" s="134">
        <f t="shared" si="42"/>
        <v>0</v>
      </c>
      <c r="T162" s="134">
        <f t="shared" si="42"/>
        <v>0</v>
      </c>
      <c r="U162" s="134">
        <f t="shared" si="42"/>
        <v>0</v>
      </c>
      <c r="V162" s="134">
        <f t="shared" si="42"/>
        <v>0</v>
      </c>
      <c r="W162" s="134">
        <f t="shared" si="42"/>
        <v>0</v>
      </c>
      <c r="X162" s="134">
        <f t="shared" si="42"/>
        <v>0</v>
      </c>
      <c r="Y162" s="134">
        <f t="shared" si="42"/>
        <v>0</v>
      </c>
      <c r="Z162" s="134">
        <f t="shared" si="42"/>
        <v>0</v>
      </c>
      <c r="AA162" s="134">
        <f t="shared" si="42"/>
        <v>0</v>
      </c>
      <c r="AB162" s="134">
        <f t="shared" si="42"/>
        <v>0</v>
      </c>
      <c r="AC162" s="134">
        <f t="shared" si="42"/>
        <v>0</v>
      </c>
      <c r="AD162" s="134">
        <f t="shared" si="42"/>
        <v>0</v>
      </c>
      <c r="AE162" s="134">
        <f t="shared" si="42"/>
        <v>0</v>
      </c>
      <c r="AF162" s="134">
        <f t="shared" si="42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1"/>
        <v>0.8</v>
      </c>
      <c r="D163" s="134">
        <f t="shared" si="41"/>
        <v>0.8</v>
      </c>
      <c r="E163" s="134">
        <f t="shared" si="41"/>
        <v>0.8</v>
      </c>
      <c r="F163" s="134">
        <f t="shared" si="41"/>
        <v>0.8</v>
      </c>
      <c r="G163" s="134">
        <f t="shared" si="41"/>
        <v>0.8</v>
      </c>
      <c r="H163" s="134">
        <f t="shared" si="41"/>
        <v>0.8</v>
      </c>
      <c r="I163" s="134">
        <f t="shared" si="41"/>
        <v>0.8</v>
      </c>
      <c r="J163" s="134">
        <f t="shared" si="41"/>
        <v>0.8</v>
      </c>
      <c r="K163" s="134">
        <f t="shared" si="41"/>
        <v>0.8</v>
      </c>
      <c r="L163" s="134">
        <f t="shared" si="41"/>
        <v>0.8</v>
      </c>
      <c r="M163" s="134">
        <f t="shared" si="41"/>
        <v>0.8</v>
      </c>
      <c r="N163" s="134">
        <f t="shared" si="41"/>
        <v>0.8</v>
      </c>
      <c r="O163" s="134">
        <f t="shared" si="41"/>
        <v>0.8</v>
      </c>
      <c r="P163" s="134">
        <f t="shared" si="41"/>
        <v>0.8</v>
      </c>
      <c r="Q163" s="134">
        <f t="shared" si="41"/>
        <v>0.8</v>
      </c>
      <c r="R163" s="134">
        <f t="shared" si="42"/>
        <v>0.8</v>
      </c>
      <c r="S163" s="134">
        <f t="shared" si="42"/>
        <v>0.8</v>
      </c>
      <c r="T163" s="134">
        <f t="shared" si="42"/>
        <v>0.8</v>
      </c>
      <c r="U163" s="134">
        <f t="shared" si="42"/>
        <v>0.8</v>
      </c>
      <c r="V163" s="134">
        <f t="shared" si="42"/>
        <v>0.8</v>
      </c>
      <c r="W163" s="134">
        <f t="shared" si="42"/>
        <v>0.8</v>
      </c>
      <c r="X163" s="134">
        <f t="shared" si="42"/>
        <v>0.8</v>
      </c>
      <c r="Y163" s="134">
        <f t="shared" si="42"/>
        <v>0.8</v>
      </c>
      <c r="Z163" s="134">
        <f t="shared" si="42"/>
        <v>0.8</v>
      </c>
      <c r="AA163" s="134">
        <f t="shared" si="42"/>
        <v>0.8</v>
      </c>
      <c r="AB163" s="134">
        <f t="shared" si="42"/>
        <v>0.8</v>
      </c>
      <c r="AC163" s="134">
        <f t="shared" si="42"/>
        <v>0.8</v>
      </c>
      <c r="AD163" s="134">
        <f t="shared" si="42"/>
        <v>0.8</v>
      </c>
      <c r="AE163" s="134">
        <f t="shared" si="42"/>
        <v>0.8</v>
      </c>
      <c r="AF163" s="134">
        <f t="shared" si="42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1"/>
        <v>1.5</v>
      </c>
      <c r="D164" s="134">
        <f t="shared" si="41"/>
        <v>1.5</v>
      </c>
      <c r="E164" s="134">
        <f t="shared" si="41"/>
        <v>1.5</v>
      </c>
      <c r="F164" s="134">
        <f t="shared" si="41"/>
        <v>1.5</v>
      </c>
      <c r="G164" s="134">
        <f t="shared" si="41"/>
        <v>1.5</v>
      </c>
      <c r="H164" s="134">
        <f t="shared" si="41"/>
        <v>1.5</v>
      </c>
      <c r="I164" s="134">
        <f t="shared" si="41"/>
        <v>1.5</v>
      </c>
      <c r="J164" s="134">
        <f t="shared" si="41"/>
        <v>1.5</v>
      </c>
      <c r="K164" s="134">
        <f t="shared" si="41"/>
        <v>1.5</v>
      </c>
      <c r="L164" s="134">
        <f t="shared" si="41"/>
        <v>1.5</v>
      </c>
      <c r="M164" s="134">
        <f t="shared" si="41"/>
        <v>1.5</v>
      </c>
      <c r="N164" s="134">
        <f t="shared" si="41"/>
        <v>1.5</v>
      </c>
      <c r="O164" s="134">
        <f t="shared" si="41"/>
        <v>1.5</v>
      </c>
      <c r="P164" s="134">
        <f t="shared" si="41"/>
        <v>1.5</v>
      </c>
      <c r="Q164" s="134">
        <f t="shared" si="41"/>
        <v>1.5</v>
      </c>
      <c r="R164" s="134">
        <f t="shared" si="42"/>
        <v>1.5</v>
      </c>
      <c r="S164" s="134">
        <f t="shared" si="42"/>
        <v>1.5</v>
      </c>
      <c r="T164" s="134">
        <f t="shared" si="42"/>
        <v>1.5</v>
      </c>
      <c r="U164" s="134">
        <f t="shared" si="42"/>
        <v>1.5</v>
      </c>
      <c r="V164" s="134">
        <f t="shared" si="42"/>
        <v>1.5</v>
      </c>
      <c r="W164" s="134">
        <f t="shared" si="42"/>
        <v>1.5</v>
      </c>
      <c r="X164" s="134">
        <f t="shared" si="42"/>
        <v>1.5</v>
      </c>
      <c r="Y164" s="134">
        <f t="shared" si="42"/>
        <v>1.5</v>
      </c>
      <c r="Z164" s="134">
        <f t="shared" si="42"/>
        <v>1.5</v>
      </c>
      <c r="AA164" s="134">
        <f t="shared" si="42"/>
        <v>1.5</v>
      </c>
      <c r="AB164" s="134">
        <f t="shared" si="42"/>
        <v>1.5</v>
      </c>
      <c r="AC164" s="134">
        <f t="shared" si="42"/>
        <v>1.5</v>
      </c>
      <c r="AD164" s="134">
        <f t="shared" si="42"/>
        <v>1.5</v>
      </c>
      <c r="AE164" s="134">
        <f t="shared" si="42"/>
        <v>1.5</v>
      </c>
      <c r="AF164" s="134">
        <f t="shared" si="42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1"/>
        <v>1</v>
      </c>
      <c r="D165" s="134">
        <f t="shared" si="41"/>
        <v>1</v>
      </c>
      <c r="E165" s="134">
        <f t="shared" si="41"/>
        <v>1</v>
      </c>
      <c r="F165" s="134">
        <f t="shared" si="41"/>
        <v>1</v>
      </c>
      <c r="G165" s="134">
        <f t="shared" si="41"/>
        <v>1</v>
      </c>
      <c r="H165" s="134">
        <f t="shared" si="41"/>
        <v>1</v>
      </c>
      <c r="I165" s="134">
        <f t="shared" si="41"/>
        <v>1</v>
      </c>
      <c r="J165" s="134">
        <f t="shared" si="41"/>
        <v>1</v>
      </c>
      <c r="K165" s="134">
        <f t="shared" si="41"/>
        <v>1</v>
      </c>
      <c r="L165" s="134">
        <f t="shared" si="41"/>
        <v>1</v>
      </c>
      <c r="M165" s="134">
        <f t="shared" si="41"/>
        <v>1</v>
      </c>
      <c r="N165" s="134">
        <f t="shared" si="41"/>
        <v>1</v>
      </c>
      <c r="O165" s="134">
        <f t="shared" si="41"/>
        <v>1</v>
      </c>
      <c r="P165" s="134">
        <f t="shared" si="41"/>
        <v>1</v>
      </c>
      <c r="Q165" s="134">
        <f t="shared" si="41"/>
        <v>1</v>
      </c>
      <c r="R165" s="134">
        <f t="shared" si="42"/>
        <v>1</v>
      </c>
      <c r="S165" s="134">
        <f t="shared" si="42"/>
        <v>1</v>
      </c>
      <c r="T165" s="134">
        <f t="shared" si="42"/>
        <v>1</v>
      </c>
      <c r="U165" s="134">
        <f t="shared" si="42"/>
        <v>1</v>
      </c>
      <c r="V165" s="134">
        <f t="shared" si="42"/>
        <v>1</v>
      </c>
      <c r="W165" s="134">
        <f t="shared" si="42"/>
        <v>1</v>
      </c>
      <c r="X165" s="134">
        <f t="shared" si="42"/>
        <v>1</v>
      </c>
      <c r="Y165" s="134">
        <f t="shared" si="42"/>
        <v>1</v>
      </c>
      <c r="Z165" s="134">
        <f t="shared" si="42"/>
        <v>1</v>
      </c>
      <c r="AA165" s="134">
        <f t="shared" si="42"/>
        <v>1</v>
      </c>
      <c r="AB165" s="134">
        <f t="shared" si="42"/>
        <v>1</v>
      </c>
      <c r="AC165" s="134">
        <f t="shared" si="42"/>
        <v>1</v>
      </c>
      <c r="AD165" s="134">
        <f t="shared" si="42"/>
        <v>1</v>
      </c>
      <c r="AE165" s="134">
        <f t="shared" si="42"/>
        <v>1</v>
      </c>
      <c r="AF165" s="134">
        <f t="shared" si="42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3">B167</f>
        <v>1</v>
      </c>
      <c r="D167" s="134">
        <f t="shared" si="43"/>
        <v>1</v>
      </c>
      <c r="E167" s="134">
        <f t="shared" si="43"/>
        <v>1</v>
      </c>
      <c r="F167" s="134">
        <f t="shared" si="43"/>
        <v>1</v>
      </c>
      <c r="G167" s="134">
        <f t="shared" si="43"/>
        <v>1</v>
      </c>
      <c r="H167" s="134">
        <f t="shared" si="43"/>
        <v>1</v>
      </c>
      <c r="I167" s="134">
        <f t="shared" si="43"/>
        <v>1</v>
      </c>
      <c r="J167" s="134">
        <f t="shared" si="43"/>
        <v>1</v>
      </c>
      <c r="K167" s="134">
        <f t="shared" si="43"/>
        <v>1</v>
      </c>
      <c r="L167" s="134">
        <f t="shared" si="43"/>
        <v>1</v>
      </c>
      <c r="M167" s="134">
        <f t="shared" si="43"/>
        <v>1</v>
      </c>
      <c r="N167" s="134">
        <f t="shared" si="43"/>
        <v>1</v>
      </c>
      <c r="O167" s="134">
        <f t="shared" si="43"/>
        <v>1</v>
      </c>
      <c r="P167" s="134">
        <f t="shared" si="43"/>
        <v>1</v>
      </c>
      <c r="Q167" s="134">
        <f t="shared" si="43"/>
        <v>1</v>
      </c>
      <c r="R167" s="134">
        <f t="shared" si="43"/>
        <v>1</v>
      </c>
      <c r="S167" s="134">
        <f t="shared" ref="R167:AF174" si="44">R167</f>
        <v>1</v>
      </c>
      <c r="T167" s="134">
        <f t="shared" si="44"/>
        <v>1</v>
      </c>
      <c r="U167" s="134">
        <f t="shared" si="44"/>
        <v>1</v>
      </c>
      <c r="V167" s="134">
        <f t="shared" si="44"/>
        <v>1</v>
      </c>
      <c r="W167" s="134">
        <f t="shared" si="44"/>
        <v>1</v>
      </c>
      <c r="X167" s="134">
        <f t="shared" si="44"/>
        <v>1</v>
      </c>
      <c r="Y167" s="134">
        <f t="shared" si="44"/>
        <v>1</v>
      </c>
      <c r="Z167" s="134">
        <f t="shared" si="44"/>
        <v>1</v>
      </c>
      <c r="AA167" s="134">
        <f t="shared" si="44"/>
        <v>1</v>
      </c>
      <c r="AB167" s="134">
        <f t="shared" si="44"/>
        <v>1</v>
      </c>
      <c r="AC167" s="134">
        <f t="shared" si="44"/>
        <v>1</v>
      </c>
      <c r="AD167" s="134">
        <f t="shared" si="44"/>
        <v>1</v>
      </c>
      <c r="AE167" s="134">
        <f t="shared" si="44"/>
        <v>1</v>
      </c>
      <c r="AF167" s="134">
        <f t="shared" si="44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3"/>
        <v>0.42</v>
      </c>
      <c r="D168" s="134">
        <f t="shared" si="43"/>
        <v>0.42</v>
      </c>
      <c r="E168" s="134">
        <f t="shared" si="43"/>
        <v>0.42</v>
      </c>
      <c r="F168" s="134">
        <f t="shared" si="43"/>
        <v>0.42</v>
      </c>
      <c r="G168" s="134">
        <f t="shared" si="43"/>
        <v>0.42</v>
      </c>
      <c r="H168" s="134">
        <f t="shared" si="43"/>
        <v>0.42</v>
      </c>
      <c r="I168" s="134">
        <f t="shared" si="43"/>
        <v>0.42</v>
      </c>
      <c r="J168" s="134">
        <f t="shared" si="43"/>
        <v>0.42</v>
      </c>
      <c r="K168" s="134">
        <f t="shared" si="43"/>
        <v>0.42</v>
      </c>
      <c r="L168" s="134">
        <f t="shared" si="43"/>
        <v>0.42</v>
      </c>
      <c r="M168" s="134">
        <f t="shared" si="43"/>
        <v>0.42</v>
      </c>
      <c r="N168" s="134">
        <f t="shared" si="43"/>
        <v>0.42</v>
      </c>
      <c r="O168" s="134">
        <f t="shared" si="43"/>
        <v>0.42</v>
      </c>
      <c r="P168" s="134">
        <f t="shared" si="43"/>
        <v>0.42</v>
      </c>
      <c r="Q168" s="134">
        <f t="shared" si="43"/>
        <v>0.42</v>
      </c>
      <c r="R168" s="134">
        <f t="shared" si="44"/>
        <v>0.42</v>
      </c>
      <c r="S168" s="134">
        <f t="shared" si="44"/>
        <v>0.42</v>
      </c>
      <c r="T168" s="134">
        <f t="shared" si="44"/>
        <v>0.42</v>
      </c>
      <c r="U168" s="134">
        <f t="shared" si="44"/>
        <v>0.42</v>
      </c>
      <c r="V168" s="134">
        <f t="shared" si="44"/>
        <v>0.42</v>
      </c>
      <c r="W168" s="134">
        <f t="shared" si="44"/>
        <v>0.42</v>
      </c>
      <c r="X168" s="134">
        <f t="shared" si="44"/>
        <v>0.42</v>
      </c>
      <c r="Y168" s="134">
        <f t="shared" si="44"/>
        <v>0.42</v>
      </c>
      <c r="Z168" s="134">
        <f t="shared" si="44"/>
        <v>0.42</v>
      </c>
      <c r="AA168" s="134">
        <f t="shared" si="44"/>
        <v>0.42</v>
      </c>
      <c r="AB168" s="134">
        <f t="shared" si="44"/>
        <v>0.42</v>
      </c>
      <c r="AC168" s="134">
        <f t="shared" si="44"/>
        <v>0.42</v>
      </c>
      <c r="AD168" s="134">
        <f t="shared" si="44"/>
        <v>0.42</v>
      </c>
      <c r="AE168" s="134">
        <f t="shared" si="44"/>
        <v>0.42</v>
      </c>
      <c r="AF168" s="134">
        <f t="shared" si="44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3"/>
        <v>0.46</v>
      </c>
      <c r="D169" s="134">
        <f t="shared" si="43"/>
        <v>0.46</v>
      </c>
      <c r="E169" s="134">
        <f t="shared" si="43"/>
        <v>0.46</v>
      </c>
      <c r="F169" s="134">
        <f t="shared" si="43"/>
        <v>0.46</v>
      </c>
      <c r="G169" s="134">
        <f t="shared" si="43"/>
        <v>0.46</v>
      </c>
      <c r="H169" s="134">
        <f t="shared" si="43"/>
        <v>0.46</v>
      </c>
      <c r="I169" s="134">
        <f t="shared" si="43"/>
        <v>0.46</v>
      </c>
      <c r="J169" s="134">
        <f t="shared" si="43"/>
        <v>0.46</v>
      </c>
      <c r="K169" s="134">
        <f t="shared" si="43"/>
        <v>0.46</v>
      </c>
      <c r="L169" s="134">
        <f t="shared" si="43"/>
        <v>0.46</v>
      </c>
      <c r="M169" s="134">
        <f t="shared" si="43"/>
        <v>0.46</v>
      </c>
      <c r="N169" s="134">
        <f t="shared" si="43"/>
        <v>0.46</v>
      </c>
      <c r="O169" s="134">
        <f t="shared" si="43"/>
        <v>0.46</v>
      </c>
      <c r="P169" s="134">
        <f t="shared" si="43"/>
        <v>0.46</v>
      </c>
      <c r="Q169" s="134">
        <f t="shared" si="43"/>
        <v>0.46</v>
      </c>
      <c r="R169" s="134">
        <f t="shared" si="44"/>
        <v>0.46</v>
      </c>
      <c r="S169" s="134">
        <f t="shared" si="44"/>
        <v>0.46</v>
      </c>
      <c r="T169" s="134">
        <f t="shared" si="44"/>
        <v>0.46</v>
      </c>
      <c r="U169" s="134">
        <f t="shared" si="44"/>
        <v>0.46</v>
      </c>
      <c r="V169" s="134">
        <f t="shared" si="44"/>
        <v>0.46</v>
      </c>
      <c r="W169" s="134">
        <f t="shared" si="44"/>
        <v>0.46</v>
      </c>
      <c r="X169" s="134">
        <f t="shared" si="44"/>
        <v>0.46</v>
      </c>
      <c r="Y169" s="134">
        <f t="shared" si="44"/>
        <v>0.46</v>
      </c>
      <c r="Z169" s="134">
        <f t="shared" si="44"/>
        <v>0.46</v>
      </c>
      <c r="AA169" s="134">
        <f t="shared" si="44"/>
        <v>0.46</v>
      </c>
      <c r="AB169" s="134">
        <f t="shared" si="44"/>
        <v>0.46</v>
      </c>
      <c r="AC169" s="134">
        <f t="shared" si="44"/>
        <v>0.46</v>
      </c>
      <c r="AD169" s="134">
        <f t="shared" si="44"/>
        <v>0.46</v>
      </c>
      <c r="AE169" s="134">
        <f t="shared" si="44"/>
        <v>0.46</v>
      </c>
      <c r="AF169" s="134">
        <f t="shared" si="44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3"/>
        <v>0.85</v>
      </c>
      <c r="D170" s="134">
        <f t="shared" si="43"/>
        <v>0.85</v>
      </c>
      <c r="E170" s="134">
        <f t="shared" si="43"/>
        <v>0.85</v>
      </c>
      <c r="F170" s="134">
        <f t="shared" si="43"/>
        <v>0.85</v>
      </c>
      <c r="G170" s="134">
        <f t="shared" si="43"/>
        <v>0.85</v>
      </c>
      <c r="H170" s="134">
        <f t="shared" si="43"/>
        <v>0.85</v>
      </c>
      <c r="I170" s="134">
        <f t="shared" si="43"/>
        <v>0.85</v>
      </c>
      <c r="J170" s="134">
        <f t="shared" si="43"/>
        <v>0.85</v>
      </c>
      <c r="K170" s="134">
        <f t="shared" si="43"/>
        <v>0.85</v>
      </c>
      <c r="L170" s="134">
        <f t="shared" si="43"/>
        <v>0.85</v>
      </c>
      <c r="M170" s="134">
        <f t="shared" si="43"/>
        <v>0.85</v>
      </c>
      <c r="N170" s="134">
        <f t="shared" si="43"/>
        <v>0.85</v>
      </c>
      <c r="O170" s="134">
        <f t="shared" si="43"/>
        <v>0.85</v>
      </c>
      <c r="P170" s="134">
        <f t="shared" si="43"/>
        <v>0.85</v>
      </c>
      <c r="Q170" s="134">
        <f t="shared" si="43"/>
        <v>0.85</v>
      </c>
      <c r="R170" s="134">
        <f t="shared" si="44"/>
        <v>0.85</v>
      </c>
      <c r="S170" s="134">
        <f t="shared" si="44"/>
        <v>0.85</v>
      </c>
      <c r="T170" s="134">
        <f t="shared" si="44"/>
        <v>0.85</v>
      </c>
      <c r="U170" s="134">
        <f t="shared" si="44"/>
        <v>0.85</v>
      </c>
      <c r="V170" s="134">
        <f t="shared" si="44"/>
        <v>0.85</v>
      </c>
      <c r="W170" s="134">
        <f t="shared" si="44"/>
        <v>0.85</v>
      </c>
      <c r="X170" s="134">
        <f t="shared" si="44"/>
        <v>0.85</v>
      </c>
      <c r="Y170" s="134">
        <f t="shared" si="44"/>
        <v>0.85</v>
      </c>
      <c r="Z170" s="134">
        <f t="shared" si="44"/>
        <v>0.85</v>
      </c>
      <c r="AA170" s="134">
        <f t="shared" si="44"/>
        <v>0.85</v>
      </c>
      <c r="AB170" s="134">
        <f t="shared" si="44"/>
        <v>0.85</v>
      </c>
      <c r="AC170" s="134">
        <f t="shared" si="44"/>
        <v>0.85</v>
      </c>
      <c r="AD170" s="134">
        <f t="shared" si="44"/>
        <v>0.85</v>
      </c>
      <c r="AE170" s="134">
        <f t="shared" si="44"/>
        <v>0.85</v>
      </c>
      <c r="AF170" s="134">
        <f t="shared" si="44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3"/>
        <v>0.9</v>
      </c>
      <c r="D171" s="134">
        <f t="shared" si="43"/>
        <v>0.9</v>
      </c>
      <c r="E171" s="134">
        <f t="shared" si="43"/>
        <v>0.9</v>
      </c>
      <c r="F171" s="134">
        <f t="shared" si="43"/>
        <v>0.9</v>
      </c>
      <c r="G171" s="134">
        <f t="shared" si="43"/>
        <v>0.9</v>
      </c>
      <c r="H171" s="134">
        <f t="shared" si="43"/>
        <v>0.9</v>
      </c>
      <c r="I171" s="134">
        <f t="shared" si="43"/>
        <v>0.9</v>
      </c>
      <c r="J171" s="134">
        <f t="shared" si="43"/>
        <v>0.9</v>
      </c>
      <c r="K171" s="134">
        <f t="shared" si="43"/>
        <v>0.9</v>
      </c>
      <c r="L171" s="134">
        <f t="shared" si="43"/>
        <v>0.9</v>
      </c>
      <c r="M171" s="134">
        <f t="shared" si="43"/>
        <v>0.9</v>
      </c>
      <c r="N171" s="134">
        <f t="shared" si="43"/>
        <v>0.9</v>
      </c>
      <c r="O171" s="134">
        <f t="shared" si="43"/>
        <v>0.9</v>
      </c>
      <c r="P171" s="134">
        <f t="shared" si="43"/>
        <v>0.9</v>
      </c>
      <c r="Q171" s="134">
        <f t="shared" si="43"/>
        <v>0.9</v>
      </c>
      <c r="R171" s="134">
        <f t="shared" si="44"/>
        <v>0.9</v>
      </c>
      <c r="S171" s="134">
        <f t="shared" si="44"/>
        <v>0.9</v>
      </c>
      <c r="T171" s="134">
        <f t="shared" si="44"/>
        <v>0.9</v>
      </c>
      <c r="U171" s="134">
        <f t="shared" si="44"/>
        <v>0.9</v>
      </c>
      <c r="V171" s="134">
        <f t="shared" si="44"/>
        <v>0.9</v>
      </c>
      <c r="W171" s="134">
        <f t="shared" si="44"/>
        <v>0.9</v>
      </c>
      <c r="X171" s="134">
        <f t="shared" si="44"/>
        <v>0.9</v>
      </c>
      <c r="Y171" s="134">
        <f t="shared" si="44"/>
        <v>0.9</v>
      </c>
      <c r="Z171" s="134">
        <f t="shared" si="44"/>
        <v>0.9</v>
      </c>
      <c r="AA171" s="134">
        <f t="shared" si="44"/>
        <v>0.9</v>
      </c>
      <c r="AB171" s="134">
        <f t="shared" si="44"/>
        <v>0.9</v>
      </c>
      <c r="AC171" s="134">
        <f t="shared" si="44"/>
        <v>0.9</v>
      </c>
      <c r="AD171" s="134">
        <f t="shared" si="44"/>
        <v>0.9</v>
      </c>
      <c r="AE171" s="134">
        <f t="shared" si="44"/>
        <v>0.9</v>
      </c>
      <c r="AF171" s="134">
        <f t="shared" si="44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3"/>
        <v>0.44</v>
      </c>
      <c r="D172" s="134">
        <f t="shared" si="43"/>
        <v>0.44</v>
      </c>
      <c r="E172" s="134">
        <f t="shared" si="43"/>
        <v>0.44</v>
      </c>
      <c r="F172" s="134">
        <f t="shared" si="43"/>
        <v>0.44</v>
      </c>
      <c r="G172" s="134">
        <f t="shared" si="43"/>
        <v>0.44</v>
      </c>
      <c r="H172" s="134">
        <f t="shared" si="43"/>
        <v>0.44</v>
      </c>
      <c r="I172" s="134">
        <f t="shared" si="43"/>
        <v>0.44</v>
      </c>
      <c r="J172" s="134">
        <f t="shared" si="43"/>
        <v>0.44</v>
      </c>
      <c r="K172" s="134">
        <f t="shared" si="43"/>
        <v>0.44</v>
      </c>
      <c r="L172" s="134">
        <f t="shared" si="43"/>
        <v>0.44</v>
      </c>
      <c r="M172" s="134">
        <f t="shared" si="43"/>
        <v>0.44</v>
      </c>
      <c r="N172" s="134">
        <f t="shared" si="43"/>
        <v>0.44</v>
      </c>
      <c r="O172" s="134">
        <f t="shared" si="43"/>
        <v>0.44</v>
      </c>
      <c r="P172" s="134">
        <f t="shared" si="43"/>
        <v>0.44</v>
      </c>
      <c r="Q172" s="134">
        <f t="shared" si="43"/>
        <v>0.44</v>
      </c>
      <c r="R172" s="134">
        <f t="shared" si="44"/>
        <v>0.44</v>
      </c>
      <c r="S172" s="134">
        <f t="shared" si="44"/>
        <v>0.44</v>
      </c>
      <c r="T172" s="134">
        <f t="shared" si="44"/>
        <v>0.44</v>
      </c>
      <c r="U172" s="134">
        <f t="shared" si="44"/>
        <v>0.44</v>
      </c>
      <c r="V172" s="134">
        <f t="shared" si="44"/>
        <v>0.44</v>
      </c>
      <c r="W172" s="134">
        <f t="shared" si="44"/>
        <v>0.44</v>
      </c>
      <c r="X172" s="134">
        <f t="shared" si="44"/>
        <v>0.44</v>
      </c>
      <c r="Y172" s="134">
        <f t="shared" si="44"/>
        <v>0.44</v>
      </c>
      <c r="Z172" s="134">
        <f t="shared" si="44"/>
        <v>0.44</v>
      </c>
      <c r="AA172" s="134">
        <f t="shared" si="44"/>
        <v>0.44</v>
      </c>
      <c r="AB172" s="134">
        <f t="shared" si="44"/>
        <v>0.44</v>
      </c>
      <c r="AC172" s="134">
        <f t="shared" si="44"/>
        <v>0.44</v>
      </c>
      <c r="AD172" s="134">
        <f t="shared" si="44"/>
        <v>0.44</v>
      </c>
      <c r="AE172" s="134">
        <f t="shared" si="44"/>
        <v>0.44</v>
      </c>
      <c r="AF172" s="134">
        <f t="shared" si="44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3"/>
        <v>2.1</v>
      </c>
      <c r="D173" s="134">
        <f t="shared" si="43"/>
        <v>2.1</v>
      </c>
      <c r="E173" s="134">
        <f t="shared" si="43"/>
        <v>2.1</v>
      </c>
      <c r="F173" s="134">
        <f t="shared" si="43"/>
        <v>2.1</v>
      </c>
      <c r="G173" s="134">
        <f t="shared" si="43"/>
        <v>2.1</v>
      </c>
      <c r="H173" s="134">
        <f t="shared" si="43"/>
        <v>2.1</v>
      </c>
      <c r="I173" s="134">
        <f t="shared" si="43"/>
        <v>2.1</v>
      </c>
      <c r="J173" s="134">
        <f t="shared" si="43"/>
        <v>2.1</v>
      </c>
      <c r="K173" s="134">
        <f t="shared" si="43"/>
        <v>2.1</v>
      </c>
      <c r="L173" s="134">
        <f t="shared" si="43"/>
        <v>2.1</v>
      </c>
      <c r="M173" s="134">
        <f t="shared" si="43"/>
        <v>2.1</v>
      </c>
      <c r="N173" s="134">
        <f t="shared" si="43"/>
        <v>2.1</v>
      </c>
      <c r="O173" s="134">
        <f t="shared" si="43"/>
        <v>2.1</v>
      </c>
      <c r="P173" s="134">
        <f t="shared" si="43"/>
        <v>2.1</v>
      </c>
      <c r="Q173" s="134">
        <f t="shared" si="43"/>
        <v>2.1</v>
      </c>
      <c r="R173" s="134">
        <f t="shared" si="44"/>
        <v>2.1</v>
      </c>
      <c r="S173" s="134">
        <f t="shared" si="44"/>
        <v>2.1</v>
      </c>
      <c r="T173" s="134">
        <f t="shared" si="44"/>
        <v>2.1</v>
      </c>
      <c r="U173" s="134">
        <f t="shared" si="44"/>
        <v>2.1</v>
      </c>
      <c r="V173" s="134">
        <f t="shared" si="44"/>
        <v>2.1</v>
      </c>
      <c r="W173" s="134">
        <f t="shared" si="44"/>
        <v>2.1</v>
      </c>
      <c r="X173" s="134">
        <f t="shared" si="44"/>
        <v>2.1</v>
      </c>
      <c r="Y173" s="134">
        <f t="shared" si="44"/>
        <v>2.1</v>
      </c>
      <c r="Z173" s="134">
        <f t="shared" si="44"/>
        <v>2.1</v>
      </c>
      <c r="AA173" s="134">
        <f t="shared" si="44"/>
        <v>2.1</v>
      </c>
      <c r="AB173" s="134">
        <f t="shared" si="44"/>
        <v>2.1</v>
      </c>
      <c r="AC173" s="134">
        <f t="shared" si="44"/>
        <v>2.1</v>
      </c>
      <c r="AD173" s="134">
        <f t="shared" si="44"/>
        <v>2.1</v>
      </c>
      <c r="AE173" s="134">
        <f t="shared" si="44"/>
        <v>2.1</v>
      </c>
      <c r="AF173" s="134">
        <f t="shared" si="44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3"/>
        <v>0.9</v>
      </c>
      <c r="D174" s="134">
        <f t="shared" si="43"/>
        <v>0.9</v>
      </c>
      <c r="E174" s="134">
        <f t="shared" si="43"/>
        <v>0.9</v>
      </c>
      <c r="F174" s="134">
        <f t="shared" si="43"/>
        <v>0.9</v>
      </c>
      <c r="G174" s="134">
        <f t="shared" si="43"/>
        <v>0.9</v>
      </c>
      <c r="H174" s="134">
        <f t="shared" si="43"/>
        <v>0.9</v>
      </c>
      <c r="I174" s="134">
        <f t="shared" si="43"/>
        <v>0.9</v>
      </c>
      <c r="J174" s="134">
        <f t="shared" si="43"/>
        <v>0.9</v>
      </c>
      <c r="K174" s="134">
        <f t="shared" si="43"/>
        <v>0.9</v>
      </c>
      <c r="L174" s="134">
        <f t="shared" si="43"/>
        <v>0.9</v>
      </c>
      <c r="M174" s="134">
        <f t="shared" si="43"/>
        <v>0.9</v>
      </c>
      <c r="N174" s="134">
        <f t="shared" si="43"/>
        <v>0.9</v>
      </c>
      <c r="O174" s="134">
        <f t="shared" si="43"/>
        <v>0.9</v>
      </c>
      <c r="P174" s="134">
        <f t="shared" si="43"/>
        <v>0.9</v>
      </c>
      <c r="Q174" s="134">
        <f t="shared" si="43"/>
        <v>0.9</v>
      </c>
      <c r="R174" s="134">
        <f t="shared" si="44"/>
        <v>0.9</v>
      </c>
      <c r="S174" s="134">
        <f t="shared" si="44"/>
        <v>0.9</v>
      </c>
      <c r="T174" s="134">
        <f t="shared" si="44"/>
        <v>0.9</v>
      </c>
      <c r="U174" s="134">
        <f t="shared" si="44"/>
        <v>0.9</v>
      </c>
      <c r="V174" s="134">
        <f t="shared" si="44"/>
        <v>0.9</v>
      </c>
      <c r="W174" s="134">
        <f t="shared" si="44"/>
        <v>0.9</v>
      </c>
      <c r="X174" s="134">
        <f t="shared" si="44"/>
        <v>0.9</v>
      </c>
      <c r="Y174" s="134">
        <f t="shared" si="44"/>
        <v>0.9</v>
      </c>
      <c r="Z174" s="134">
        <f t="shared" si="44"/>
        <v>0.9</v>
      </c>
      <c r="AA174" s="134">
        <f t="shared" si="44"/>
        <v>0.9</v>
      </c>
      <c r="AB174" s="134">
        <f t="shared" si="44"/>
        <v>0.9</v>
      </c>
      <c r="AC174" s="134">
        <f t="shared" si="44"/>
        <v>0.9</v>
      </c>
      <c r="AD174" s="134">
        <f t="shared" si="44"/>
        <v>0.9</v>
      </c>
      <c r="AE174" s="134">
        <f t="shared" si="44"/>
        <v>0.9</v>
      </c>
      <c r="AF174" s="134">
        <f t="shared" si="44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5">B176</f>
        <v>0.57999999999999996</v>
      </c>
      <c r="D176" s="134">
        <f t="shared" si="45"/>
        <v>0.57999999999999996</v>
      </c>
      <c r="E176" s="134">
        <f t="shared" si="45"/>
        <v>0.57999999999999996</v>
      </c>
      <c r="F176" s="134">
        <f t="shared" si="45"/>
        <v>0.57999999999999996</v>
      </c>
      <c r="G176" s="134">
        <f t="shared" si="45"/>
        <v>0.57999999999999996</v>
      </c>
      <c r="H176" s="134">
        <f t="shared" si="45"/>
        <v>0.57999999999999996</v>
      </c>
      <c r="I176" s="134">
        <f t="shared" si="45"/>
        <v>0.57999999999999996</v>
      </c>
      <c r="J176" s="134">
        <f t="shared" si="45"/>
        <v>0.57999999999999996</v>
      </c>
      <c r="K176" s="134">
        <f t="shared" si="45"/>
        <v>0.57999999999999996</v>
      </c>
      <c r="L176" s="134">
        <f t="shared" si="45"/>
        <v>0.57999999999999996</v>
      </c>
      <c r="M176" s="134">
        <f t="shared" si="45"/>
        <v>0.57999999999999996</v>
      </c>
      <c r="N176" s="134">
        <f t="shared" si="45"/>
        <v>0.57999999999999996</v>
      </c>
      <c r="O176" s="134">
        <f t="shared" si="45"/>
        <v>0.57999999999999996</v>
      </c>
      <c r="P176" s="134">
        <f t="shared" si="45"/>
        <v>0.57999999999999996</v>
      </c>
      <c r="Q176" s="134">
        <f t="shared" si="45"/>
        <v>0.57999999999999996</v>
      </c>
      <c r="R176" s="134">
        <f t="shared" si="45"/>
        <v>0.57999999999999996</v>
      </c>
      <c r="S176" s="134">
        <f t="shared" ref="R176:AF188" si="46">R176</f>
        <v>0.57999999999999996</v>
      </c>
      <c r="T176" s="134">
        <f t="shared" si="46"/>
        <v>0.57999999999999996</v>
      </c>
      <c r="U176" s="134">
        <f t="shared" si="46"/>
        <v>0.57999999999999996</v>
      </c>
      <c r="V176" s="134">
        <f t="shared" si="46"/>
        <v>0.57999999999999996</v>
      </c>
      <c r="W176" s="134">
        <f t="shared" si="46"/>
        <v>0.57999999999999996</v>
      </c>
      <c r="X176" s="134">
        <f t="shared" si="46"/>
        <v>0.57999999999999996</v>
      </c>
      <c r="Y176" s="134">
        <f t="shared" si="46"/>
        <v>0.57999999999999996</v>
      </c>
      <c r="Z176" s="134">
        <f t="shared" si="46"/>
        <v>0.57999999999999996</v>
      </c>
      <c r="AA176" s="134">
        <f t="shared" si="46"/>
        <v>0.57999999999999996</v>
      </c>
      <c r="AB176" s="134">
        <f t="shared" si="46"/>
        <v>0.57999999999999996</v>
      </c>
      <c r="AC176" s="134">
        <f t="shared" si="46"/>
        <v>0.57999999999999996</v>
      </c>
      <c r="AD176" s="134">
        <f t="shared" si="46"/>
        <v>0.57999999999999996</v>
      </c>
      <c r="AE176" s="134">
        <f t="shared" si="46"/>
        <v>0.57999999999999996</v>
      </c>
      <c r="AF176" s="134">
        <f t="shared" si="46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5"/>
        <v>0.8</v>
      </c>
      <c r="D177" s="134">
        <f t="shared" si="45"/>
        <v>0.8</v>
      </c>
      <c r="E177" s="134">
        <f t="shared" si="45"/>
        <v>0.8</v>
      </c>
      <c r="F177" s="134">
        <f t="shared" si="45"/>
        <v>0.8</v>
      </c>
      <c r="G177" s="134">
        <f t="shared" si="45"/>
        <v>0.8</v>
      </c>
      <c r="H177" s="134">
        <f t="shared" si="45"/>
        <v>0.8</v>
      </c>
      <c r="I177" s="134">
        <f t="shared" si="45"/>
        <v>0.8</v>
      </c>
      <c r="J177" s="134">
        <f t="shared" si="45"/>
        <v>0.8</v>
      </c>
      <c r="K177" s="134">
        <f t="shared" si="45"/>
        <v>0.8</v>
      </c>
      <c r="L177" s="134">
        <f t="shared" si="45"/>
        <v>0.8</v>
      </c>
      <c r="M177" s="134">
        <f t="shared" si="45"/>
        <v>0.8</v>
      </c>
      <c r="N177" s="134">
        <f t="shared" si="45"/>
        <v>0.8</v>
      </c>
      <c r="O177" s="134">
        <f t="shared" si="45"/>
        <v>0.8</v>
      </c>
      <c r="P177" s="134">
        <f t="shared" si="45"/>
        <v>0.8</v>
      </c>
      <c r="Q177" s="134">
        <f t="shared" si="45"/>
        <v>0.8</v>
      </c>
      <c r="R177" s="134">
        <f t="shared" si="45"/>
        <v>0.8</v>
      </c>
      <c r="S177" s="134">
        <f t="shared" si="46"/>
        <v>0.8</v>
      </c>
      <c r="T177" s="134">
        <f t="shared" si="46"/>
        <v>0.8</v>
      </c>
      <c r="U177" s="134">
        <f t="shared" si="46"/>
        <v>0.8</v>
      </c>
      <c r="V177" s="134">
        <f t="shared" si="46"/>
        <v>0.8</v>
      </c>
      <c r="W177" s="134">
        <f t="shared" si="46"/>
        <v>0.8</v>
      </c>
      <c r="X177" s="134">
        <f t="shared" si="46"/>
        <v>0.8</v>
      </c>
      <c r="Y177" s="134">
        <f t="shared" si="46"/>
        <v>0.8</v>
      </c>
      <c r="Z177" s="134">
        <f t="shared" si="46"/>
        <v>0.8</v>
      </c>
      <c r="AA177" s="134">
        <f t="shared" si="46"/>
        <v>0.8</v>
      </c>
      <c r="AB177" s="134">
        <f t="shared" si="46"/>
        <v>0.8</v>
      </c>
      <c r="AC177" s="134">
        <f t="shared" si="46"/>
        <v>0.8</v>
      </c>
      <c r="AD177" s="134">
        <f t="shared" si="46"/>
        <v>0.8</v>
      </c>
      <c r="AE177" s="134">
        <f t="shared" si="46"/>
        <v>0.8</v>
      </c>
      <c r="AF177" s="134">
        <f t="shared" si="46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5"/>
        <v>0</v>
      </c>
      <c r="D178" s="134">
        <f t="shared" si="45"/>
        <v>0</v>
      </c>
      <c r="E178" s="134">
        <f t="shared" si="45"/>
        <v>0</v>
      </c>
      <c r="F178" s="134">
        <f t="shared" si="45"/>
        <v>0</v>
      </c>
      <c r="G178" s="134">
        <f t="shared" si="45"/>
        <v>0</v>
      </c>
      <c r="H178" s="134">
        <f t="shared" si="45"/>
        <v>0</v>
      </c>
      <c r="I178" s="134">
        <f t="shared" si="45"/>
        <v>0</v>
      </c>
      <c r="J178" s="134">
        <f t="shared" si="45"/>
        <v>0</v>
      </c>
      <c r="K178" s="134">
        <f t="shared" si="45"/>
        <v>0</v>
      </c>
      <c r="L178" s="134">
        <f t="shared" si="45"/>
        <v>0</v>
      </c>
      <c r="M178" s="134">
        <f t="shared" si="45"/>
        <v>0</v>
      </c>
      <c r="N178" s="134">
        <f t="shared" si="45"/>
        <v>0</v>
      </c>
      <c r="O178" s="134">
        <f t="shared" si="45"/>
        <v>0</v>
      </c>
      <c r="P178" s="134">
        <f t="shared" si="45"/>
        <v>0</v>
      </c>
      <c r="Q178" s="134">
        <f t="shared" si="45"/>
        <v>0</v>
      </c>
      <c r="R178" s="134">
        <f t="shared" si="45"/>
        <v>0</v>
      </c>
      <c r="S178" s="134">
        <f t="shared" si="46"/>
        <v>0</v>
      </c>
      <c r="T178" s="134">
        <f t="shared" si="46"/>
        <v>0</v>
      </c>
      <c r="U178" s="134">
        <f t="shared" si="46"/>
        <v>0</v>
      </c>
      <c r="V178" s="134">
        <f t="shared" si="46"/>
        <v>0</v>
      </c>
      <c r="W178" s="134">
        <f t="shared" si="46"/>
        <v>0</v>
      </c>
      <c r="X178" s="134">
        <f t="shared" si="46"/>
        <v>0</v>
      </c>
      <c r="Y178" s="134">
        <f t="shared" si="46"/>
        <v>0</v>
      </c>
      <c r="Z178" s="134">
        <f t="shared" si="46"/>
        <v>0</v>
      </c>
      <c r="AA178" s="134">
        <f t="shared" si="46"/>
        <v>0</v>
      </c>
      <c r="AB178" s="134">
        <f t="shared" si="46"/>
        <v>0</v>
      </c>
      <c r="AC178" s="134">
        <f t="shared" si="46"/>
        <v>0</v>
      </c>
      <c r="AD178" s="134">
        <f t="shared" si="46"/>
        <v>0</v>
      </c>
      <c r="AE178" s="134">
        <f t="shared" si="46"/>
        <v>0</v>
      </c>
      <c r="AF178" s="134">
        <f t="shared" si="46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5"/>
        <v>0.6</v>
      </c>
      <c r="D179" s="134">
        <f t="shared" si="45"/>
        <v>0.6</v>
      </c>
      <c r="E179" s="134">
        <f t="shared" si="45"/>
        <v>0.6</v>
      </c>
      <c r="F179" s="134">
        <f t="shared" si="45"/>
        <v>0.6</v>
      </c>
      <c r="G179" s="134">
        <f t="shared" si="45"/>
        <v>0.6</v>
      </c>
      <c r="H179" s="134">
        <f t="shared" si="45"/>
        <v>0.6</v>
      </c>
      <c r="I179" s="134">
        <f t="shared" si="45"/>
        <v>0.6</v>
      </c>
      <c r="J179" s="134">
        <f t="shared" si="45"/>
        <v>0.6</v>
      </c>
      <c r="K179" s="134">
        <f t="shared" si="45"/>
        <v>0.6</v>
      </c>
      <c r="L179" s="134">
        <f t="shared" si="45"/>
        <v>0.6</v>
      </c>
      <c r="M179" s="134">
        <f t="shared" si="45"/>
        <v>0.6</v>
      </c>
      <c r="N179" s="134">
        <f t="shared" si="45"/>
        <v>0.6</v>
      </c>
      <c r="O179" s="134">
        <f t="shared" si="45"/>
        <v>0.6</v>
      </c>
      <c r="P179" s="134">
        <f t="shared" si="45"/>
        <v>0.6</v>
      </c>
      <c r="Q179" s="134">
        <f t="shared" si="45"/>
        <v>0.6</v>
      </c>
      <c r="R179" s="134">
        <f t="shared" si="45"/>
        <v>0.6</v>
      </c>
      <c r="S179" s="134">
        <f t="shared" si="46"/>
        <v>0.6</v>
      </c>
      <c r="T179" s="134">
        <f t="shared" si="46"/>
        <v>0.6</v>
      </c>
      <c r="U179" s="134">
        <f t="shared" si="46"/>
        <v>0.6</v>
      </c>
      <c r="V179" s="134">
        <f t="shared" si="46"/>
        <v>0.6</v>
      </c>
      <c r="W179" s="134">
        <f t="shared" si="46"/>
        <v>0.6</v>
      </c>
      <c r="X179" s="134">
        <f t="shared" si="46"/>
        <v>0.6</v>
      </c>
      <c r="Y179" s="134">
        <f t="shared" si="46"/>
        <v>0.6</v>
      </c>
      <c r="Z179" s="134">
        <f t="shared" si="46"/>
        <v>0.6</v>
      </c>
      <c r="AA179" s="134">
        <f t="shared" si="46"/>
        <v>0.6</v>
      </c>
      <c r="AB179" s="134">
        <f t="shared" si="46"/>
        <v>0.6</v>
      </c>
      <c r="AC179" s="134">
        <f t="shared" si="46"/>
        <v>0.6</v>
      </c>
      <c r="AD179" s="134">
        <f t="shared" si="46"/>
        <v>0.6</v>
      </c>
      <c r="AE179" s="134">
        <f t="shared" si="46"/>
        <v>0.6</v>
      </c>
      <c r="AF179" s="134">
        <f t="shared" si="46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5"/>
        <v>0.6</v>
      </c>
      <c r="D180" s="134">
        <f t="shared" si="45"/>
        <v>0.6</v>
      </c>
      <c r="E180" s="134">
        <f t="shared" si="45"/>
        <v>0.6</v>
      </c>
      <c r="F180" s="134">
        <f t="shared" si="45"/>
        <v>0.6</v>
      </c>
      <c r="G180" s="134">
        <f t="shared" si="45"/>
        <v>0.6</v>
      </c>
      <c r="H180" s="134">
        <f t="shared" si="45"/>
        <v>0.6</v>
      </c>
      <c r="I180" s="134">
        <f t="shared" si="45"/>
        <v>0.6</v>
      </c>
      <c r="J180" s="134">
        <f t="shared" si="45"/>
        <v>0.6</v>
      </c>
      <c r="K180" s="134">
        <f t="shared" si="45"/>
        <v>0.6</v>
      </c>
      <c r="L180" s="134">
        <f t="shared" si="45"/>
        <v>0.6</v>
      </c>
      <c r="M180" s="134">
        <f t="shared" si="45"/>
        <v>0.6</v>
      </c>
      <c r="N180" s="134">
        <f t="shared" si="45"/>
        <v>0.6</v>
      </c>
      <c r="O180" s="134">
        <f t="shared" si="45"/>
        <v>0.6</v>
      </c>
      <c r="P180" s="134">
        <f t="shared" si="45"/>
        <v>0.6</v>
      </c>
      <c r="Q180" s="134">
        <f t="shared" si="45"/>
        <v>0.6</v>
      </c>
      <c r="R180" s="134">
        <f t="shared" si="45"/>
        <v>0.6</v>
      </c>
      <c r="S180" s="134">
        <f t="shared" si="46"/>
        <v>0.6</v>
      </c>
      <c r="T180" s="134">
        <f t="shared" si="46"/>
        <v>0.6</v>
      </c>
      <c r="U180" s="134">
        <f t="shared" si="46"/>
        <v>0.6</v>
      </c>
      <c r="V180" s="134">
        <f t="shared" si="46"/>
        <v>0.6</v>
      </c>
      <c r="W180" s="134">
        <f t="shared" si="46"/>
        <v>0.6</v>
      </c>
      <c r="X180" s="134">
        <f t="shared" si="46"/>
        <v>0.6</v>
      </c>
      <c r="Y180" s="134">
        <f t="shared" si="46"/>
        <v>0.6</v>
      </c>
      <c r="Z180" s="134">
        <f t="shared" si="46"/>
        <v>0.6</v>
      </c>
      <c r="AA180" s="134">
        <f t="shared" si="46"/>
        <v>0.6</v>
      </c>
      <c r="AB180" s="134">
        <f t="shared" si="46"/>
        <v>0.6</v>
      </c>
      <c r="AC180" s="134">
        <f t="shared" si="46"/>
        <v>0.6</v>
      </c>
      <c r="AD180" s="134">
        <f t="shared" si="46"/>
        <v>0.6</v>
      </c>
      <c r="AE180" s="134">
        <f t="shared" si="46"/>
        <v>0.6</v>
      </c>
      <c r="AF180" s="134">
        <f t="shared" si="46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5"/>
        <v>0.35</v>
      </c>
      <c r="D181" s="134">
        <f t="shared" si="45"/>
        <v>0.35</v>
      </c>
      <c r="E181" s="134">
        <f t="shared" si="45"/>
        <v>0.35</v>
      </c>
      <c r="F181" s="134">
        <f t="shared" si="45"/>
        <v>0.35</v>
      </c>
      <c r="G181" s="134">
        <f t="shared" si="45"/>
        <v>0.35</v>
      </c>
      <c r="H181" s="134">
        <f t="shared" si="45"/>
        <v>0.35</v>
      </c>
      <c r="I181" s="134">
        <f t="shared" si="45"/>
        <v>0.35</v>
      </c>
      <c r="J181" s="134">
        <f t="shared" si="45"/>
        <v>0.35</v>
      </c>
      <c r="K181" s="134">
        <f t="shared" si="45"/>
        <v>0.35</v>
      </c>
      <c r="L181" s="134">
        <f t="shared" si="45"/>
        <v>0.35</v>
      </c>
      <c r="M181" s="134">
        <f t="shared" si="45"/>
        <v>0.35</v>
      </c>
      <c r="N181" s="134">
        <f t="shared" si="45"/>
        <v>0.35</v>
      </c>
      <c r="O181" s="134">
        <f t="shared" si="45"/>
        <v>0.35</v>
      </c>
      <c r="P181" s="134">
        <f t="shared" si="45"/>
        <v>0.35</v>
      </c>
      <c r="Q181" s="134">
        <f t="shared" si="45"/>
        <v>0.35</v>
      </c>
      <c r="R181" s="134">
        <f t="shared" si="45"/>
        <v>0.35</v>
      </c>
      <c r="S181" s="134">
        <f t="shared" si="46"/>
        <v>0.35</v>
      </c>
      <c r="T181" s="134">
        <f t="shared" si="46"/>
        <v>0.35</v>
      </c>
      <c r="U181" s="134">
        <f t="shared" si="46"/>
        <v>0.35</v>
      </c>
      <c r="V181" s="134">
        <f t="shared" si="46"/>
        <v>0.35</v>
      </c>
      <c r="W181" s="134">
        <f t="shared" si="46"/>
        <v>0.35</v>
      </c>
      <c r="X181" s="134">
        <f t="shared" si="46"/>
        <v>0.35</v>
      </c>
      <c r="Y181" s="134">
        <f t="shared" si="46"/>
        <v>0.35</v>
      </c>
      <c r="Z181" s="134">
        <f t="shared" si="46"/>
        <v>0.35</v>
      </c>
      <c r="AA181" s="134">
        <f t="shared" si="46"/>
        <v>0.35</v>
      </c>
      <c r="AB181" s="134">
        <f t="shared" si="46"/>
        <v>0.35</v>
      </c>
      <c r="AC181" s="134">
        <f t="shared" si="46"/>
        <v>0.35</v>
      </c>
      <c r="AD181" s="134">
        <f t="shared" si="46"/>
        <v>0.35</v>
      </c>
      <c r="AE181" s="134">
        <f t="shared" si="46"/>
        <v>0.35</v>
      </c>
      <c r="AF181" s="134">
        <f t="shared" si="46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5"/>
        <v>0.28999999999999998</v>
      </c>
      <c r="D182" s="134">
        <f t="shared" si="45"/>
        <v>0.28999999999999998</v>
      </c>
      <c r="E182" s="134">
        <f t="shared" si="45"/>
        <v>0.28999999999999998</v>
      </c>
      <c r="F182" s="134">
        <f t="shared" si="45"/>
        <v>0.28999999999999998</v>
      </c>
      <c r="G182" s="134">
        <f t="shared" si="45"/>
        <v>0.28999999999999998</v>
      </c>
      <c r="H182" s="134">
        <f t="shared" si="45"/>
        <v>0.28999999999999998</v>
      </c>
      <c r="I182" s="134">
        <f t="shared" si="45"/>
        <v>0.28999999999999998</v>
      </c>
      <c r="J182" s="134">
        <f t="shared" si="45"/>
        <v>0.28999999999999998</v>
      </c>
      <c r="K182" s="134">
        <f t="shared" si="45"/>
        <v>0.28999999999999998</v>
      </c>
      <c r="L182" s="134">
        <f t="shared" si="45"/>
        <v>0.28999999999999998</v>
      </c>
      <c r="M182" s="134">
        <f t="shared" si="45"/>
        <v>0.28999999999999998</v>
      </c>
      <c r="N182" s="134">
        <f t="shared" si="45"/>
        <v>0.28999999999999998</v>
      </c>
      <c r="O182" s="134">
        <f t="shared" si="45"/>
        <v>0.28999999999999998</v>
      </c>
      <c r="P182" s="134">
        <f t="shared" si="45"/>
        <v>0.28999999999999998</v>
      </c>
      <c r="Q182" s="134">
        <f t="shared" si="45"/>
        <v>0.28999999999999998</v>
      </c>
      <c r="R182" s="134">
        <f t="shared" si="45"/>
        <v>0.28999999999999998</v>
      </c>
      <c r="S182" s="134">
        <f t="shared" si="46"/>
        <v>0.28999999999999998</v>
      </c>
      <c r="T182" s="134">
        <f t="shared" si="46"/>
        <v>0.28999999999999998</v>
      </c>
      <c r="U182" s="134">
        <f t="shared" si="46"/>
        <v>0.28999999999999998</v>
      </c>
      <c r="V182" s="134">
        <f t="shared" si="46"/>
        <v>0.28999999999999998</v>
      </c>
      <c r="W182" s="134">
        <f t="shared" si="46"/>
        <v>0.28999999999999998</v>
      </c>
      <c r="X182" s="134">
        <f t="shared" si="46"/>
        <v>0.28999999999999998</v>
      </c>
      <c r="Y182" s="134">
        <f t="shared" si="46"/>
        <v>0.28999999999999998</v>
      </c>
      <c r="Z182" s="134">
        <f t="shared" si="46"/>
        <v>0.28999999999999998</v>
      </c>
      <c r="AA182" s="134">
        <f t="shared" si="46"/>
        <v>0.28999999999999998</v>
      </c>
      <c r="AB182" s="134">
        <f t="shared" si="46"/>
        <v>0.28999999999999998</v>
      </c>
      <c r="AC182" s="134">
        <f t="shared" si="46"/>
        <v>0.28999999999999998</v>
      </c>
      <c r="AD182" s="134">
        <f t="shared" si="46"/>
        <v>0.28999999999999998</v>
      </c>
      <c r="AE182" s="134">
        <f t="shared" si="46"/>
        <v>0.28999999999999998</v>
      </c>
      <c r="AF182" s="134">
        <f t="shared" si="46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5"/>
        <v>0.06</v>
      </c>
      <c r="D183" s="134">
        <f t="shared" si="45"/>
        <v>0.06</v>
      </c>
      <c r="E183" s="134">
        <f t="shared" si="45"/>
        <v>0.06</v>
      </c>
      <c r="F183" s="134">
        <f t="shared" si="45"/>
        <v>0.06</v>
      </c>
      <c r="G183" s="134">
        <f t="shared" si="45"/>
        <v>0.06</v>
      </c>
      <c r="H183" s="134">
        <f t="shared" si="45"/>
        <v>0.06</v>
      </c>
      <c r="I183" s="134">
        <f t="shared" si="45"/>
        <v>0.06</v>
      </c>
      <c r="J183" s="134">
        <f t="shared" si="45"/>
        <v>0.06</v>
      </c>
      <c r="K183" s="134">
        <f t="shared" si="45"/>
        <v>0.06</v>
      </c>
      <c r="L183" s="134">
        <f t="shared" si="45"/>
        <v>0.06</v>
      </c>
      <c r="M183" s="134">
        <f t="shared" si="45"/>
        <v>0.06</v>
      </c>
      <c r="N183" s="134">
        <f t="shared" si="45"/>
        <v>0.06</v>
      </c>
      <c r="O183" s="134">
        <f t="shared" si="45"/>
        <v>0.06</v>
      </c>
      <c r="P183" s="134">
        <f t="shared" si="45"/>
        <v>0.06</v>
      </c>
      <c r="Q183" s="134">
        <f t="shared" si="45"/>
        <v>0.06</v>
      </c>
      <c r="R183" s="134">
        <f t="shared" si="45"/>
        <v>0.06</v>
      </c>
      <c r="S183" s="134">
        <f t="shared" si="46"/>
        <v>0.06</v>
      </c>
      <c r="T183" s="134">
        <f t="shared" si="46"/>
        <v>0.06</v>
      </c>
      <c r="U183" s="134">
        <f t="shared" si="46"/>
        <v>0.06</v>
      </c>
      <c r="V183" s="134">
        <f t="shared" si="46"/>
        <v>0.06</v>
      </c>
      <c r="W183" s="134">
        <f t="shared" si="46"/>
        <v>0.06</v>
      </c>
      <c r="X183" s="134">
        <f t="shared" si="46"/>
        <v>0.06</v>
      </c>
      <c r="Y183" s="134">
        <f t="shared" si="46"/>
        <v>0.06</v>
      </c>
      <c r="Z183" s="134">
        <f t="shared" si="46"/>
        <v>0.06</v>
      </c>
      <c r="AA183" s="134">
        <f t="shared" si="46"/>
        <v>0.06</v>
      </c>
      <c r="AB183" s="134">
        <f t="shared" si="46"/>
        <v>0.06</v>
      </c>
      <c r="AC183" s="134">
        <f t="shared" si="46"/>
        <v>0.06</v>
      </c>
      <c r="AD183" s="134">
        <f t="shared" si="46"/>
        <v>0.06</v>
      </c>
      <c r="AE183" s="134">
        <f t="shared" si="46"/>
        <v>0.06</v>
      </c>
      <c r="AF183" s="134">
        <f t="shared" si="46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5"/>
        <v>0.11</v>
      </c>
      <c r="D184" s="134">
        <f t="shared" si="45"/>
        <v>0.11</v>
      </c>
      <c r="E184" s="134">
        <f t="shared" si="45"/>
        <v>0.11</v>
      </c>
      <c r="F184" s="134">
        <f t="shared" si="45"/>
        <v>0.11</v>
      </c>
      <c r="G184" s="134">
        <f t="shared" si="45"/>
        <v>0.11</v>
      </c>
      <c r="H184" s="134">
        <f t="shared" si="45"/>
        <v>0.11</v>
      </c>
      <c r="I184" s="134">
        <f t="shared" si="45"/>
        <v>0.11</v>
      </c>
      <c r="J184" s="134">
        <f t="shared" si="45"/>
        <v>0.11</v>
      </c>
      <c r="K184" s="134">
        <f t="shared" si="45"/>
        <v>0.11</v>
      </c>
      <c r="L184" s="134">
        <f t="shared" si="45"/>
        <v>0.11</v>
      </c>
      <c r="M184" s="134">
        <f t="shared" si="45"/>
        <v>0.11</v>
      </c>
      <c r="N184" s="134">
        <f t="shared" si="45"/>
        <v>0.11</v>
      </c>
      <c r="O184" s="134">
        <f t="shared" si="45"/>
        <v>0.11</v>
      </c>
      <c r="P184" s="134">
        <f t="shared" si="45"/>
        <v>0.11</v>
      </c>
      <c r="Q184" s="134">
        <f t="shared" si="45"/>
        <v>0.11</v>
      </c>
      <c r="R184" s="134">
        <f t="shared" si="45"/>
        <v>0.11</v>
      </c>
      <c r="S184" s="134">
        <f t="shared" si="46"/>
        <v>0.11</v>
      </c>
      <c r="T184" s="134">
        <f t="shared" si="46"/>
        <v>0.11</v>
      </c>
      <c r="U184" s="134">
        <f t="shared" si="46"/>
        <v>0.11</v>
      </c>
      <c r="V184" s="134">
        <f t="shared" si="46"/>
        <v>0.11</v>
      </c>
      <c r="W184" s="134">
        <f t="shared" si="46"/>
        <v>0.11</v>
      </c>
      <c r="X184" s="134">
        <f t="shared" si="46"/>
        <v>0.11</v>
      </c>
      <c r="Y184" s="134">
        <f t="shared" si="46"/>
        <v>0.11</v>
      </c>
      <c r="Z184" s="134">
        <f t="shared" si="46"/>
        <v>0.11</v>
      </c>
      <c r="AA184" s="134">
        <f t="shared" si="46"/>
        <v>0.11</v>
      </c>
      <c r="AB184" s="134">
        <f t="shared" si="46"/>
        <v>0.11</v>
      </c>
      <c r="AC184" s="134">
        <f t="shared" si="46"/>
        <v>0.11</v>
      </c>
      <c r="AD184" s="134">
        <f t="shared" si="46"/>
        <v>0.11</v>
      </c>
      <c r="AE184" s="134">
        <f t="shared" si="46"/>
        <v>0.11</v>
      </c>
      <c r="AF184" s="134">
        <f t="shared" si="46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5"/>
        <v>0.1</v>
      </c>
      <c r="D185" s="134">
        <f t="shared" si="45"/>
        <v>0.1</v>
      </c>
      <c r="E185" s="134">
        <f t="shared" si="45"/>
        <v>0.1</v>
      </c>
      <c r="F185" s="134">
        <f t="shared" si="45"/>
        <v>0.1</v>
      </c>
      <c r="G185" s="134">
        <f t="shared" si="45"/>
        <v>0.1</v>
      </c>
      <c r="H185" s="134">
        <f t="shared" si="45"/>
        <v>0.1</v>
      </c>
      <c r="I185" s="134">
        <f t="shared" si="45"/>
        <v>0.1</v>
      </c>
      <c r="J185" s="134">
        <f t="shared" si="45"/>
        <v>0.1</v>
      </c>
      <c r="K185" s="134">
        <f t="shared" si="45"/>
        <v>0.1</v>
      </c>
      <c r="L185" s="134">
        <f t="shared" si="45"/>
        <v>0.1</v>
      </c>
      <c r="M185" s="134">
        <f t="shared" si="45"/>
        <v>0.1</v>
      </c>
      <c r="N185" s="134">
        <f t="shared" si="45"/>
        <v>0.1</v>
      </c>
      <c r="O185" s="134">
        <f t="shared" si="45"/>
        <v>0.1</v>
      </c>
      <c r="P185" s="134">
        <f t="shared" si="45"/>
        <v>0.1</v>
      </c>
      <c r="Q185" s="134">
        <f t="shared" si="45"/>
        <v>0.1</v>
      </c>
      <c r="R185" s="134">
        <f t="shared" si="46"/>
        <v>0.1</v>
      </c>
      <c r="S185" s="134">
        <f t="shared" si="46"/>
        <v>0.1</v>
      </c>
      <c r="T185" s="134">
        <f t="shared" si="46"/>
        <v>0.1</v>
      </c>
      <c r="U185" s="134">
        <f t="shared" si="46"/>
        <v>0.1</v>
      </c>
      <c r="V185" s="134">
        <f t="shared" si="46"/>
        <v>0.1</v>
      </c>
      <c r="W185" s="134">
        <f t="shared" si="46"/>
        <v>0.1</v>
      </c>
      <c r="X185" s="134">
        <f t="shared" si="46"/>
        <v>0.1</v>
      </c>
      <c r="Y185" s="134">
        <f t="shared" si="46"/>
        <v>0.1</v>
      </c>
      <c r="Z185" s="134">
        <f t="shared" si="46"/>
        <v>0.1</v>
      </c>
      <c r="AA185" s="134">
        <f t="shared" si="46"/>
        <v>0.1</v>
      </c>
      <c r="AB185" s="134">
        <f t="shared" si="46"/>
        <v>0.1</v>
      </c>
      <c r="AC185" s="134">
        <f t="shared" si="46"/>
        <v>0.1</v>
      </c>
      <c r="AD185" s="134">
        <f t="shared" si="46"/>
        <v>0.1</v>
      </c>
      <c r="AE185" s="134">
        <f t="shared" si="46"/>
        <v>0.1</v>
      </c>
      <c r="AF185" s="134">
        <f t="shared" si="46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5"/>
        <v>0.09</v>
      </c>
      <c r="D186" s="134">
        <f t="shared" si="45"/>
        <v>0.09</v>
      </c>
      <c r="E186" s="134">
        <f t="shared" si="45"/>
        <v>0.09</v>
      </c>
      <c r="F186" s="134">
        <f t="shared" si="45"/>
        <v>0.09</v>
      </c>
      <c r="G186" s="134">
        <f t="shared" si="45"/>
        <v>0.09</v>
      </c>
      <c r="H186" s="134">
        <f t="shared" si="45"/>
        <v>0.09</v>
      </c>
      <c r="I186" s="134">
        <f t="shared" si="45"/>
        <v>0.09</v>
      </c>
      <c r="J186" s="134">
        <f t="shared" si="45"/>
        <v>0.09</v>
      </c>
      <c r="K186" s="134">
        <f t="shared" si="45"/>
        <v>0.09</v>
      </c>
      <c r="L186" s="134">
        <f t="shared" si="45"/>
        <v>0.09</v>
      </c>
      <c r="M186" s="134">
        <f t="shared" si="45"/>
        <v>0.09</v>
      </c>
      <c r="N186" s="134">
        <f t="shared" si="45"/>
        <v>0.09</v>
      </c>
      <c r="O186" s="134">
        <f t="shared" si="45"/>
        <v>0.09</v>
      </c>
      <c r="P186" s="134">
        <f t="shared" si="45"/>
        <v>0.09</v>
      </c>
      <c r="Q186" s="134">
        <f t="shared" si="45"/>
        <v>0.09</v>
      </c>
      <c r="R186" s="134">
        <f t="shared" si="46"/>
        <v>0.09</v>
      </c>
      <c r="S186" s="134">
        <f t="shared" si="46"/>
        <v>0.09</v>
      </c>
      <c r="T186" s="134">
        <f t="shared" si="46"/>
        <v>0.09</v>
      </c>
      <c r="U186" s="134">
        <f t="shared" si="46"/>
        <v>0.09</v>
      </c>
      <c r="V186" s="134">
        <f t="shared" si="46"/>
        <v>0.09</v>
      </c>
      <c r="W186" s="134">
        <f t="shared" si="46"/>
        <v>0.09</v>
      </c>
      <c r="X186" s="134">
        <f t="shared" si="46"/>
        <v>0.09</v>
      </c>
      <c r="Y186" s="134">
        <f t="shared" si="46"/>
        <v>0.09</v>
      </c>
      <c r="Z186" s="134">
        <f t="shared" si="46"/>
        <v>0.09</v>
      </c>
      <c r="AA186" s="134">
        <f t="shared" si="46"/>
        <v>0.09</v>
      </c>
      <c r="AB186" s="134">
        <f t="shared" si="46"/>
        <v>0.09</v>
      </c>
      <c r="AC186" s="134">
        <f t="shared" si="46"/>
        <v>0.09</v>
      </c>
      <c r="AD186" s="134">
        <f t="shared" si="46"/>
        <v>0.09</v>
      </c>
      <c r="AE186" s="134">
        <f t="shared" si="46"/>
        <v>0.09</v>
      </c>
      <c r="AF186" s="134">
        <f t="shared" si="46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5"/>
        <v>0.04</v>
      </c>
      <c r="D187" s="134">
        <f t="shared" si="45"/>
        <v>0.04</v>
      </c>
      <c r="E187" s="134">
        <f t="shared" si="45"/>
        <v>0.04</v>
      </c>
      <c r="F187" s="134">
        <f t="shared" si="45"/>
        <v>0.04</v>
      </c>
      <c r="G187" s="134">
        <f t="shared" si="45"/>
        <v>0.04</v>
      </c>
      <c r="H187" s="134">
        <f t="shared" si="45"/>
        <v>0.04</v>
      </c>
      <c r="I187" s="134">
        <f t="shared" si="45"/>
        <v>0.04</v>
      </c>
      <c r="J187" s="134">
        <f t="shared" si="45"/>
        <v>0.04</v>
      </c>
      <c r="K187" s="134">
        <f t="shared" si="45"/>
        <v>0.04</v>
      </c>
      <c r="L187" s="134">
        <f t="shared" si="45"/>
        <v>0.04</v>
      </c>
      <c r="M187" s="134">
        <f t="shared" si="45"/>
        <v>0.04</v>
      </c>
      <c r="N187" s="134">
        <f t="shared" si="45"/>
        <v>0.04</v>
      </c>
      <c r="O187" s="134">
        <f t="shared" si="45"/>
        <v>0.04</v>
      </c>
      <c r="P187" s="134">
        <f t="shared" si="45"/>
        <v>0.04</v>
      </c>
      <c r="Q187" s="134">
        <f t="shared" si="45"/>
        <v>0.04</v>
      </c>
      <c r="R187" s="134">
        <f t="shared" si="46"/>
        <v>0.04</v>
      </c>
      <c r="S187" s="134">
        <f t="shared" si="46"/>
        <v>0.04</v>
      </c>
      <c r="T187" s="134">
        <f t="shared" si="46"/>
        <v>0.04</v>
      </c>
      <c r="U187" s="134">
        <f t="shared" si="46"/>
        <v>0.04</v>
      </c>
      <c r="V187" s="134">
        <f t="shared" si="46"/>
        <v>0.04</v>
      </c>
      <c r="W187" s="134">
        <f t="shared" si="46"/>
        <v>0.04</v>
      </c>
      <c r="X187" s="134">
        <f t="shared" si="46"/>
        <v>0.04</v>
      </c>
      <c r="Y187" s="134">
        <f t="shared" si="46"/>
        <v>0.04</v>
      </c>
      <c r="Z187" s="134">
        <f t="shared" si="46"/>
        <v>0.04</v>
      </c>
      <c r="AA187" s="134">
        <f t="shared" si="46"/>
        <v>0.04</v>
      </c>
      <c r="AB187" s="134">
        <f t="shared" si="46"/>
        <v>0.04</v>
      </c>
      <c r="AC187" s="134">
        <f t="shared" si="46"/>
        <v>0.04</v>
      </c>
      <c r="AD187" s="134">
        <f t="shared" si="46"/>
        <v>0.04</v>
      </c>
      <c r="AE187" s="134">
        <f t="shared" si="46"/>
        <v>0.04</v>
      </c>
      <c r="AF187" s="134">
        <f t="shared" si="46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5"/>
        <v>2.3E-2</v>
      </c>
      <c r="E188" s="134">
        <f t="shared" si="45"/>
        <v>2.3E-2</v>
      </c>
      <c r="F188" s="134">
        <f t="shared" si="45"/>
        <v>2.3E-2</v>
      </c>
      <c r="G188" s="134">
        <f t="shared" si="45"/>
        <v>2.3E-2</v>
      </c>
      <c r="H188" s="134">
        <f t="shared" si="45"/>
        <v>2.3E-2</v>
      </c>
      <c r="I188" s="134">
        <f t="shared" si="45"/>
        <v>2.3E-2</v>
      </c>
      <c r="J188" s="134">
        <f t="shared" si="45"/>
        <v>2.3E-2</v>
      </c>
      <c r="K188" s="134">
        <f t="shared" si="45"/>
        <v>2.3E-2</v>
      </c>
      <c r="L188" s="134">
        <f t="shared" si="45"/>
        <v>2.3E-2</v>
      </c>
      <c r="M188" s="134">
        <f t="shared" si="45"/>
        <v>2.3E-2</v>
      </c>
      <c r="N188" s="134">
        <f t="shared" si="45"/>
        <v>2.3E-2</v>
      </c>
      <c r="O188" s="134">
        <f t="shared" si="45"/>
        <v>2.3E-2</v>
      </c>
      <c r="P188" s="134">
        <f t="shared" si="45"/>
        <v>2.3E-2</v>
      </c>
      <c r="Q188" s="134">
        <f t="shared" si="45"/>
        <v>2.3E-2</v>
      </c>
      <c r="R188" s="134">
        <f t="shared" si="46"/>
        <v>2.3E-2</v>
      </c>
      <c r="S188" s="134">
        <f t="shared" si="46"/>
        <v>2.3E-2</v>
      </c>
      <c r="T188" s="134">
        <f t="shared" si="46"/>
        <v>2.3E-2</v>
      </c>
      <c r="U188" s="134">
        <f t="shared" si="46"/>
        <v>2.3E-2</v>
      </c>
      <c r="V188" s="134">
        <f t="shared" si="46"/>
        <v>2.3E-2</v>
      </c>
      <c r="W188" s="134">
        <f t="shared" si="46"/>
        <v>2.3E-2</v>
      </c>
      <c r="X188" s="134">
        <f t="shared" si="46"/>
        <v>2.3E-2</v>
      </c>
      <c r="Y188" s="134">
        <f t="shared" si="46"/>
        <v>2.3E-2</v>
      </c>
      <c r="Z188" s="134">
        <f t="shared" si="46"/>
        <v>2.3E-2</v>
      </c>
      <c r="AA188" s="134">
        <f t="shared" si="46"/>
        <v>2.3E-2</v>
      </c>
      <c r="AB188" s="134">
        <f t="shared" si="46"/>
        <v>2.3E-2</v>
      </c>
      <c r="AC188" s="134">
        <f t="shared" si="46"/>
        <v>2.3E-2</v>
      </c>
      <c r="AD188" s="134">
        <f t="shared" si="46"/>
        <v>2.3E-2</v>
      </c>
      <c r="AE188" s="134">
        <f t="shared" si="46"/>
        <v>2.3E-2</v>
      </c>
      <c r="AF188" s="134">
        <f t="shared" si="46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7">SUM(B99:B188)</f>
        <v>194.70600000000002</v>
      </c>
      <c r="C189" s="138">
        <f t="shared" si="47"/>
        <v>194.70600000000002</v>
      </c>
      <c r="D189" s="138">
        <f t="shared" si="47"/>
        <v>194.70600000000002</v>
      </c>
      <c r="E189" s="138">
        <f t="shared" si="47"/>
        <v>194.70600000000002</v>
      </c>
      <c r="F189" s="138">
        <f t="shared" si="47"/>
        <v>194.70600000000002</v>
      </c>
      <c r="G189" s="138">
        <f t="shared" si="47"/>
        <v>194.70600000000002</v>
      </c>
      <c r="H189" s="138">
        <f t="shared" si="47"/>
        <v>194.70600000000002</v>
      </c>
      <c r="I189" s="138">
        <f t="shared" si="47"/>
        <v>192.10600000000005</v>
      </c>
      <c r="J189" s="138">
        <f t="shared" si="47"/>
        <v>192.10600000000005</v>
      </c>
      <c r="K189" s="138">
        <f t="shared" si="47"/>
        <v>192.10600000000005</v>
      </c>
      <c r="L189" s="138">
        <f t="shared" si="47"/>
        <v>192.10600000000005</v>
      </c>
      <c r="M189" s="138">
        <f t="shared" si="47"/>
        <v>192.10600000000005</v>
      </c>
      <c r="N189" s="138">
        <f t="shared" si="47"/>
        <v>192.10600000000005</v>
      </c>
      <c r="O189" s="138">
        <f t="shared" si="47"/>
        <v>192.10600000000005</v>
      </c>
      <c r="P189" s="138">
        <f t="shared" si="47"/>
        <v>192.10600000000005</v>
      </c>
      <c r="Q189" s="138">
        <f t="shared" si="47"/>
        <v>192.10600000000005</v>
      </c>
      <c r="R189" s="138">
        <f t="shared" si="47"/>
        <v>192.10600000000005</v>
      </c>
      <c r="S189" s="138">
        <f t="shared" si="47"/>
        <v>192.10600000000005</v>
      </c>
      <c r="T189" s="138">
        <f t="shared" si="47"/>
        <v>192.10600000000005</v>
      </c>
      <c r="U189" s="138">
        <f t="shared" si="47"/>
        <v>192.10600000000005</v>
      </c>
      <c r="V189" s="138">
        <f t="shared" si="47"/>
        <v>192.10600000000005</v>
      </c>
      <c r="W189" s="138">
        <f t="shared" si="47"/>
        <v>192.10600000000005</v>
      </c>
      <c r="X189" s="138">
        <f t="shared" si="47"/>
        <v>192.10600000000005</v>
      </c>
      <c r="Y189" s="138">
        <f t="shared" si="47"/>
        <v>192.10600000000005</v>
      </c>
      <c r="Z189" s="138">
        <f t="shared" si="47"/>
        <v>192.10600000000005</v>
      </c>
      <c r="AA189" s="138">
        <f t="shared" si="47"/>
        <v>192.10600000000005</v>
      </c>
      <c r="AB189" s="138">
        <f t="shared" si="47"/>
        <v>192.10600000000005</v>
      </c>
      <c r="AC189" s="138">
        <f t="shared" si="47"/>
        <v>192.10600000000005</v>
      </c>
      <c r="AD189" s="138">
        <f t="shared" si="47"/>
        <v>192.10600000000005</v>
      </c>
      <c r="AE189" s="138">
        <f t="shared" si="47"/>
        <v>192.10600000000005</v>
      </c>
      <c r="AF189" s="138">
        <f t="shared" si="47"/>
        <v>192.10600000000005</v>
      </c>
      <c r="AG189" s="139">
        <f t="shared" si="47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8">B191</f>
        <v>0.3</v>
      </c>
      <c r="D191" s="140">
        <f t="shared" si="48"/>
        <v>0.3</v>
      </c>
      <c r="E191" s="140">
        <f t="shared" si="48"/>
        <v>0.3</v>
      </c>
      <c r="F191" s="140">
        <f t="shared" si="48"/>
        <v>0.3</v>
      </c>
      <c r="G191" s="140">
        <f t="shared" si="48"/>
        <v>0.3</v>
      </c>
      <c r="H191" s="140">
        <f t="shared" si="48"/>
        <v>0.3</v>
      </c>
      <c r="I191" s="140">
        <f t="shared" si="48"/>
        <v>0.3</v>
      </c>
      <c r="J191" s="140">
        <f t="shared" si="48"/>
        <v>0.3</v>
      </c>
      <c r="K191" s="140">
        <f t="shared" si="48"/>
        <v>0.3</v>
      </c>
      <c r="L191" s="140">
        <f t="shared" si="48"/>
        <v>0.3</v>
      </c>
      <c r="M191" s="140">
        <f t="shared" si="48"/>
        <v>0.3</v>
      </c>
      <c r="N191" s="140">
        <f t="shared" si="48"/>
        <v>0.3</v>
      </c>
      <c r="O191" s="140">
        <f t="shared" si="48"/>
        <v>0.3</v>
      </c>
      <c r="P191" s="140">
        <f t="shared" si="48"/>
        <v>0.3</v>
      </c>
      <c r="Q191" s="140">
        <f t="shared" si="48"/>
        <v>0.3</v>
      </c>
      <c r="R191" s="140">
        <f t="shared" si="48"/>
        <v>0.3</v>
      </c>
      <c r="S191" s="140">
        <f t="shared" ref="S191:AF196" si="49">R191</f>
        <v>0.3</v>
      </c>
      <c r="T191" s="140">
        <f t="shared" si="49"/>
        <v>0.3</v>
      </c>
      <c r="U191" s="140">
        <f t="shared" si="49"/>
        <v>0.3</v>
      </c>
      <c r="V191" s="140">
        <f t="shared" si="49"/>
        <v>0.3</v>
      </c>
      <c r="W191" s="140">
        <f t="shared" si="49"/>
        <v>0.3</v>
      </c>
      <c r="X191" s="140">
        <f t="shared" si="49"/>
        <v>0.3</v>
      </c>
      <c r="Y191" s="140">
        <f t="shared" si="49"/>
        <v>0.3</v>
      </c>
      <c r="Z191" s="140">
        <f t="shared" si="49"/>
        <v>0.3</v>
      </c>
      <c r="AA191" s="140">
        <f t="shared" si="49"/>
        <v>0.3</v>
      </c>
      <c r="AB191" s="140">
        <f t="shared" si="49"/>
        <v>0.3</v>
      </c>
      <c r="AC191" s="140">
        <f t="shared" si="49"/>
        <v>0.3</v>
      </c>
      <c r="AD191" s="140">
        <f t="shared" si="49"/>
        <v>0.3</v>
      </c>
      <c r="AE191" s="140">
        <f t="shared" si="49"/>
        <v>0.3</v>
      </c>
      <c r="AF191" s="140">
        <f t="shared" si="49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8"/>
        <v>0.4</v>
      </c>
      <c r="D192" s="134">
        <f t="shared" si="48"/>
        <v>0.4</v>
      </c>
      <c r="E192" s="134">
        <f t="shared" si="48"/>
        <v>0.4</v>
      </c>
      <c r="F192" s="134">
        <f t="shared" si="48"/>
        <v>0.4</v>
      </c>
      <c r="G192" s="134">
        <f t="shared" si="48"/>
        <v>0.4</v>
      </c>
      <c r="H192" s="134">
        <f t="shared" si="48"/>
        <v>0.4</v>
      </c>
      <c r="I192" s="134">
        <f t="shared" si="48"/>
        <v>0.4</v>
      </c>
      <c r="J192" s="134">
        <f t="shared" si="48"/>
        <v>0.4</v>
      </c>
      <c r="K192" s="134">
        <f t="shared" si="48"/>
        <v>0.4</v>
      </c>
      <c r="L192" s="134">
        <f t="shared" si="48"/>
        <v>0.4</v>
      </c>
      <c r="M192" s="134">
        <f t="shared" si="48"/>
        <v>0.4</v>
      </c>
      <c r="N192" s="134">
        <f t="shared" si="48"/>
        <v>0.4</v>
      </c>
      <c r="O192" s="134">
        <f t="shared" si="48"/>
        <v>0.4</v>
      </c>
      <c r="P192" s="134">
        <f t="shared" si="48"/>
        <v>0.4</v>
      </c>
      <c r="Q192" s="134">
        <f t="shared" si="48"/>
        <v>0.4</v>
      </c>
      <c r="R192" s="134">
        <f t="shared" si="48"/>
        <v>0.4</v>
      </c>
      <c r="S192" s="134">
        <f t="shared" si="49"/>
        <v>0.4</v>
      </c>
      <c r="T192" s="134">
        <f t="shared" si="49"/>
        <v>0.4</v>
      </c>
      <c r="U192" s="134">
        <f t="shared" si="49"/>
        <v>0.4</v>
      </c>
      <c r="V192" s="134">
        <f>U192</f>
        <v>0.4</v>
      </c>
      <c r="W192" s="134">
        <f>V192</f>
        <v>0.4</v>
      </c>
      <c r="X192" s="134">
        <f t="shared" si="49"/>
        <v>0.4</v>
      </c>
      <c r="Y192" s="134">
        <f t="shared" si="49"/>
        <v>0.4</v>
      </c>
      <c r="Z192" s="134">
        <f t="shared" si="49"/>
        <v>0.4</v>
      </c>
      <c r="AA192" s="134">
        <f t="shared" si="49"/>
        <v>0.4</v>
      </c>
      <c r="AB192" s="134">
        <f t="shared" si="49"/>
        <v>0.4</v>
      </c>
      <c r="AC192" s="134">
        <f t="shared" si="49"/>
        <v>0.4</v>
      </c>
      <c r="AD192" s="134">
        <f t="shared" si="49"/>
        <v>0.4</v>
      </c>
      <c r="AE192" s="134">
        <f t="shared" si="49"/>
        <v>0.4</v>
      </c>
      <c r="AF192" s="134">
        <f t="shared" si="49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8"/>
        <v>1.5</v>
      </c>
      <c r="D193" s="134">
        <f t="shared" si="48"/>
        <v>1.5</v>
      </c>
      <c r="E193" s="134">
        <f t="shared" si="48"/>
        <v>1.5</v>
      </c>
      <c r="F193" s="134">
        <f t="shared" si="48"/>
        <v>1.5</v>
      </c>
      <c r="G193" s="134">
        <f t="shared" si="48"/>
        <v>1.5</v>
      </c>
      <c r="H193" s="134">
        <f t="shared" si="48"/>
        <v>1.5</v>
      </c>
      <c r="I193" s="134">
        <f t="shared" si="48"/>
        <v>1.5</v>
      </c>
      <c r="J193" s="134">
        <f t="shared" si="48"/>
        <v>1.5</v>
      </c>
      <c r="K193" s="134">
        <f t="shared" si="48"/>
        <v>1.5</v>
      </c>
      <c r="L193" s="134">
        <f t="shared" si="48"/>
        <v>1.5</v>
      </c>
      <c r="M193" s="134">
        <f t="shared" si="48"/>
        <v>1.5</v>
      </c>
      <c r="N193" s="134">
        <f t="shared" si="48"/>
        <v>1.5</v>
      </c>
      <c r="O193" s="134">
        <f t="shared" si="48"/>
        <v>1.5</v>
      </c>
      <c r="P193" s="134">
        <f t="shared" si="48"/>
        <v>1.5</v>
      </c>
      <c r="Q193" s="134">
        <f t="shared" si="48"/>
        <v>1.5</v>
      </c>
      <c r="R193" s="134">
        <f t="shared" si="48"/>
        <v>1.5</v>
      </c>
      <c r="S193" s="134">
        <f t="shared" si="49"/>
        <v>1.5</v>
      </c>
      <c r="T193" s="134">
        <f t="shared" si="49"/>
        <v>1.5</v>
      </c>
      <c r="U193" s="134">
        <f t="shared" si="49"/>
        <v>1.5</v>
      </c>
      <c r="V193" s="134">
        <f t="shared" si="49"/>
        <v>1.5</v>
      </c>
      <c r="W193" s="134">
        <f t="shared" si="49"/>
        <v>1.5</v>
      </c>
      <c r="X193" s="134">
        <f t="shared" si="49"/>
        <v>1.5</v>
      </c>
      <c r="Y193" s="134">
        <f t="shared" si="49"/>
        <v>1.5</v>
      </c>
      <c r="Z193" s="134">
        <f t="shared" si="49"/>
        <v>1.5</v>
      </c>
      <c r="AA193" s="134">
        <f t="shared" si="49"/>
        <v>1.5</v>
      </c>
      <c r="AB193" s="134">
        <f t="shared" si="49"/>
        <v>1.5</v>
      </c>
      <c r="AC193" s="134">
        <f t="shared" si="49"/>
        <v>1.5</v>
      </c>
      <c r="AD193" s="134">
        <f t="shared" si="49"/>
        <v>1.5</v>
      </c>
      <c r="AE193" s="134">
        <f t="shared" si="49"/>
        <v>1.5</v>
      </c>
      <c r="AF193" s="134">
        <f t="shared" si="49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8"/>
        <v>0.3</v>
      </c>
      <c r="D194" s="134">
        <f t="shared" si="48"/>
        <v>0.3</v>
      </c>
      <c r="E194" s="134">
        <f t="shared" si="48"/>
        <v>0.3</v>
      </c>
      <c r="F194" s="134">
        <f t="shared" si="48"/>
        <v>0.3</v>
      </c>
      <c r="G194" s="134">
        <f t="shared" si="48"/>
        <v>0.3</v>
      </c>
      <c r="H194" s="134">
        <f t="shared" si="48"/>
        <v>0.3</v>
      </c>
      <c r="I194" s="134">
        <f t="shared" si="48"/>
        <v>0.3</v>
      </c>
      <c r="J194" s="134">
        <f t="shared" si="48"/>
        <v>0.3</v>
      </c>
      <c r="K194" s="134">
        <f t="shared" si="48"/>
        <v>0.3</v>
      </c>
      <c r="L194" s="134">
        <f t="shared" si="48"/>
        <v>0.3</v>
      </c>
      <c r="M194" s="134">
        <f t="shared" si="48"/>
        <v>0.3</v>
      </c>
      <c r="N194" s="134">
        <f t="shared" si="48"/>
        <v>0.3</v>
      </c>
      <c r="O194" s="134">
        <f t="shared" si="48"/>
        <v>0.3</v>
      </c>
      <c r="P194" s="134">
        <f t="shared" si="48"/>
        <v>0.3</v>
      </c>
      <c r="Q194" s="134">
        <f t="shared" si="48"/>
        <v>0.3</v>
      </c>
      <c r="R194" s="134">
        <f t="shared" si="48"/>
        <v>0.3</v>
      </c>
      <c r="S194" s="134">
        <f t="shared" si="49"/>
        <v>0.3</v>
      </c>
      <c r="T194" s="134">
        <f t="shared" si="49"/>
        <v>0.3</v>
      </c>
      <c r="U194" s="134">
        <f t="shared" si="49"/>
        <v>0.3</v>
      </c>
      <c r="V194" s="134">
        <f t="shared" si="49"/>
        <v>0.3</v>
      </c>
      <c r="W194" s="134">
        <f t="shared" si="49"/>
        <v>0.3</v>
      </c>
      <c r="X194" s="134">
        <f t="shared" si="49"/>
        <v>0.3</v>
      </c>
      <c r="Y194" s="134">
        <f t="shared" si="49"/>
        <v>0.3</v>
      </c>
      <c r="Z194" s="134">
        <f t="shared" si="49"/>
        <v>0.3</v>
      </c>
      <c r="AA194" s="134">
        <f t="shared" si="49"/>
        <v>0.3</v>
      </c>
      <c r="AB194" s="134">
        <f t="shared" si="49"/>
        <v>0.3</v>
      </c>
      <c r="AC194" s="134">
        <f t="shared" si="49"/>
        <v>0.3</v>
      </c>
      <c r="AD194" s="134">
        <f t="shared" si="49"/>
        <v>0.3</v>
      </c>
      <c r="AE194" s="134">
        <f t="shared" si="49"/>
        <v>0.3</v>
      </c>
      <c r="AF194" s="134">
        <f t="shared" si="49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8"/>
        <v>0.4</v>
      </c>
      <c r="D195" s="134">
        <f t="shared" si="48"/>
        <v>0.4</v>
      </c>
      <c r="E195" s="134">
        <f t="shared" si="48"/>
        <v>0.4</v>
      </c>
      <c r="F195" s="134">
        <f t="shared" si="48"/>
        <v>0.4</v>
      </c>
      <c r="G195" s="134">
        <f t="shared" si="48"/>
        <v>0.4</v>
      </c>
      <c r="H195" s="134">
        <f t="shared" si="48"/>
        <v>0.4</v>
      </c>
      <c r="I195" s="134">
        <f t="shared" si="48"/>
        <v>0.4</v>
      </c>
      <c r="J195" s="134">
        <f t="shared" si="48"/>
        <v>0.4</v>
      </c>
      <c r="K195" s="134">
        <f t="shared" si="48"/>
        <v>0.4</v>
      </c>
      <c r="L195" s="134">
        <f t="shared" si="48"/>
        <v>0.4</v>
      </c>
      <c r="M195" s="134">
        <f t="shared" si="48"/>
        <v>0.4</v>
      </c>
      <c r="N195" s="134">
        <f t="shared" si="48"/>
        <v>0.4</v>
      </c>
      <c r="O195" s="134">
        <f t="shared" si="48"/>
        <v>0.4</v>
      </c>
      <c r="P195" s="134">
        <f t="shared" si="48"/>
        <v>0.4</v>
      </c>
      <c r="Q195" s="134">
        <f t="shared" si="48"/>
        <v>0.4</v>
      </c>
      <c r="R195" s="134">
        <f t="shared" si="48"/>
        <v>0.4</v>
      </c>
      <c r="S195" s="134">
        <f t="shared" si="49"/>
        <v>0.4</v>
      </c>
      <c r="T195" s="134">
        <f t="shared" si="49"/>
        <v>0.4</v>
      </c>
      <c r="U195" s="134">
        <f t="shared" si="49"/>
        <v>0.4</v>
      </c>
      <c r="V195" s="134">
        <f t="shared" si="49"/>
        <v>0.4</v>
      </c>
      <c r="W195" s="134">
        <f t="shared" si="49"/>
        <v>0.4</v>
      </c>
      <c r="X195" s="134">
        <f t="shared" si="49"/>
        <v>0.4</v>
      </c>
      <c r="Y195" s="134">
        <f t="shared" si="49"/>
        <v>0.4</v>
      </c>
      <c r="Z195" s="134">
        <f t="shared" si="49"/>
        <v>0.4</v>
      </c>
      <c r="AA195" s="134">
        <f t="shared" si="49"/>
        <v>0.4</v>
      </c>
      <c r="AB195" s="134">
        <f t="shared" si="49"/>
        <v>0.4</v>
      </c>
      <c r="AC195" s="134">
        <f t="shared" si="49"/>
        <v>0.4</v>
      </c>
      <c r="AD195" s="134">
        <f t="shared" si="49"/>
        <v>0.4</v>
      </c>
      <c r="AE195" s="134">
        <f t="shared" si="49"/>
        <v>0.4</v>
      </c>
      <c r="AF195" s="134">
        <f t="shared" si="49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8"/>
        <v>0.64</v>
      </c>
      <c r="D196" s="143">
        <f t="shared" si="48"/>
        <v>0.64</v>
      </c>
      <c r="E196" s="143">
        <f t="shared" si="48"/>
        <v>0.64</v>
      </c>
      <c r="F196" s="143">
        <f t="shared" si="48"/>
        <v>0.64</v>
      </c>
      <c r="G196" s="143">
        <f t="shared" si="48"/>
        <v>0.64</v>
      </c>
      <c r="H196" s="143">
        <f t="shared" si="48"/>
        <v>0.64</v>
      </c>
      <c r="I196" s="143">
        <f t="shared" si="48"/>
        <v>0.64</v>
      </c>
      <c r="J196" s="143">
        <f t="shared" si="48"/>
        <v>0.64</v>
      </c>
      <c r="K196" s="143">
        <f t="shared" si="48"/>
        <v>0.64</v>
      </c>
      <c r="L196" s="143">
        <f t="shared" si="48"/>
        <v>0.64</v>
      </c>
      <c r="M196" s="143">
        <f t="shared" si="48"/>
        <v>0.64</v>
      </c>
      <c r="N196" s="143">
        <f t="shared" si="48"/>
        <v>0.64</v>
      </c>
      <c r="O196" s="143">
        <f t="shared" si="48"/>
        <v>0.64</v>
      </c>
      <c r="P196" s="143">
        <f t="shared" si="48"/>
        <v>0.64</v>
      </c>
      <c r="Q196" s="143">
        <f t="shared" si="48"/>
        <v>0.64</v>
      </c>
      <c r="R196" s="143">
        <f t="shared" si="48"/>
        <v>0.64</v>
      </c>
      <c r="S196" s="143">
        <f t="shared" si="49"/>
        <v>0.64</v>
      </c>
      <c r="T196" s="143">
        <f t="shared" si="49"/>
        <v>0.64</v>
      </c>
      <c r="U196" s="143">
        <f t="shared" si="49"/>
        <v>0.64</v>
      </c>
      <c r="V196" s="143">
        <f t="shared" si="49"/>
        <v>0.64</v>
      </c>
      <c r="W196" s="143">
        <f t="shared" si="49"/>
        <v>0.64</v>
      </c>
      <c r="X196" s="143">
        <f t="shared" si="49"/>
        <v>0.64</v>
      </c>
      <c r="Y196" s="143">
        <f t="shared" si="49"/>
        <v>0.64</v>
      </c>
      <c r="Z196" s="143">
        <f t="shared" si="49"/>
        <v>0.64</v>
      </c>
      <c r="AA196" s="143">
        <f t="shared" si="49"/>
        <v>0.64</v>
      </c>
      <c r="AB196" s="143">
        <f t="shared" si="49"/>
        <v>0.64</v>
      </c>
      <c r="AC196" s="143">
        <f t="shared" si="49"/>
        <v>0.64</v>
      </c>
      <c r="AD196" s="143">
        <f t="shared" si="49"/>
        <v>0.64</v>
      </c>
      <c r="AE196" s="143">
        <f t="shared" si="49"/>
        <v>0.64</v>
      </c>
      <c r="AF196" s="143">
        <f t="shared" si="49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50">SUM(C191:C196)</f>
        <v>3.54</v>
      </c>
      <c r="D197" s="146">
        <f t="shared" si="50"/>
        <v>3.54</v>
      </c>
      <c r="E197" s="146">
        <f t="shared" si="50"/>
        <v>3.54</v>
      </c>
      <c r="F197" s="146">
        <f t="shared" si="50"/>
        <v>3.54</v>
      </c>
      <c r="G197" s="146">
        <f t="shared" si="50"/>
        <v>3.54</v>
      </c>
      <c r="H197" s="146">
        <f t="shared" si="50"/>
        <v>3.54</v>
      </c>
      <c r="I197" s="146">
        <f t="shared" si="50"/>
        <v>3.54</v>
      </c>
      <c r="J197" s="146">
        <f t="shared" si="50"/>
        <v>3.54</v>
      </c>
      <c r="K197" s="146">
        <f t="shared" si="50"/>
        <v>3.54</v>
      </c>
      <c r="L197" s="146">
        <f>SUM(L191:L196)</f>
        <v>3.54</v>
      </c>
      <c r="M197" s="146">
        <f t="shared" ref="M197:R197" si="51">SUM(M191:M196)</f>
        <v>3.54</v>
      </c>
      <c r="N197" s="146">
        <f t="shared" si="51"/>
        <v>3.54</v>
      </c>
      <c r="O197" s="146">
        <f t="shared" si="51"/>
        <v>3.54</v>
      </c>
      <c r="P197" s="146">
        <f t="shared" si="51"/>
        <v>3.54</v>
      </c>
      <c r="Q197" s="146">
        <f t="shared" si="51"/>
        <v>3.54</v>
      </c>
      <c r="R197" s="146">
        <f t="shared" si="51"/>
        <v>3.54</v>
      </c>
      <c r="S197" s="146">
        <f>SUM(S191:S196)</f>
        <v>3.54</v>
      </c>
      <c r="T197" s="146">
        <f t="shared" ref="T197:AG197" si="52">SUM(T191:T196)</f>
        <v>3.54</v>
      </c>
      <c r="U197" s="146">
        <f t="shared" si="52"/>
        <v>3.54</v>
      </c>
      <c r="V197" s="146">
        <f t="shared" si="52"/>
        <v>3.54</v>
      </c>
      <c r="W197" s="146">
        <f t="shared" si="52"/>
        <v>3.54</v>
      </c>
      <c r="X197" s="146">
        <f t="shared" si="52"/>
        <v>3.54</v>
      </c>
      <c r="Y197" s="146">
        <f t="shared" si="52"/>
        <v>3.54</v>
      </c>
      <c r="Z197" s="146">
        <f t="shared" si="52"/>
        <v>3.54</v>
      </c>
      <c r="AA197" s="146">
        <f t="shared" si="52"/>
        <v>3.54</v>
      </c>
      <c r="AB197" s="146">
        <f t="shared" si="52"/>
        <v>3.54</v>
      </c>
      <c r="AC197" s="146">
        <f t="shared" si="52"/>
        <v>3.54</v>
      </c>
      <c r="AD197" s="146">
        <f t="shared" si="52"/>
        <v>3.54</v>
      </c>
      <c r="AE197" s="146">
        <f t="shared" si="52"/>
        <v>3.54</v>
      </c>
      <c r="AF197" s="146">
        <f t="shared" si="52"/>
        <v>3.54</v>
      </c>
      <c r="AG197" s="147">
        <f t="shared" si="52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1278.6399999999999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13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2078/04/13)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2078/04/13)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3">B73</f>
        <v>1128.24</v>
      </c>
      <c r="U211" s="170">
        <f t="shared" si="53"/>
        <v>1109.44</v>
      </c>
      <c r="V211" s="170">
        <f t="shared" si="53"/>
        <v>1082.24</v>
      </c>
      <c r="W211" s="170">
        <f t="shared" si="53"/>
        <v>1047.04</v>
      </c>
      <c r="X211" s="170">
        <f t="shared" si="53"/>
        <v>1031.74</v>
      </c>
      <c r="Y211" s="170">
        <f t="shared" si="53"/>
        <v>1074.54</v>
      </c>
      <c r="Z211" s="170">
        <f t="shared" si="53"/>
        <v>1087.8399999999999</v>
      </c>
      <c r="AA211" s="170">
        <f t="shared" si="53"/>
        <v>1135.54</v>
      </c>
      <c r="AB211" s="170">
        <f t="shared" si="53"/>
        <v>1182.8399999999999</v>
      </c>
      <c r="AC211" s="170">
        <f t="shared" si="53"/>
        <v>1234.1399999999999</v>
      </c>
      <c r="AD211" s="170">
        <f t="shared" si="53"/>
        <v>1276.3399999999999</v>
      </c>
      <c r="AE211" s="170">
        <f t="shared" si="53"/>
        <v>1278.6399999999999</v>
      </c>
      <c r="AF211" s="170">
        <f t="shared" si="53"/>
        <v>1307.94</v>
      </c>
      <c r="AG211" s="170">
        <f t="shared" si="53"/>
        <v>1334.3400000000001</v>
      </c>
      <c r="AH211" s="170">
        <f t="shared" si="53"/>
        <v>1311.74</v>
      </c>
      <c r="AI211" s="170">
        <f t="shared" si="53"/>
        <v>1287.44</v>
      </c>
      <c r="AJ211" s="170">
        <f t="shared" si="53"/>
        <v>1296.44</v>
      </c>
      <c r="AK211" s="170">
        <f t="shared" si="53"/>
        <v>1242.6399999999999</v>
      </c>
      <c r="AL211" s="170">
        <f t="shared" si="53"/>
        <v>1233.1399999999999</v>
      </c>
      <c r="AM211" s="170">
        <f t="shared" si="53"/>
        <v>1231.9399999999998</v>
      </c>
      <c r="AN211" s="170">
        <f t="shared" si="53"/>
        <v>1231.3399999999999</v>
      </c>
      <c r="AO211" s="170">
        <f t="shared" si="53"/>
        <v>1284.74</v>
      </c>
      <c r="AP211" s="170">
        <f t="shared" si="53"/>
        <v>1464.3400000000001</v>
      </c>
      <c r="AQ211" s="170">
        <f t="shared" si="53"/>
        <v>1420.04</v>
      </c>
      <c r="AR211" s="170">
        <f t="shared" si="53"/>
        <v>1413.9399999999998</v>
      </c>
      <c r="AS211" s="170">
        <f t="shared" si="53"/>
        <v>1387.54</v>
      </c>
      <c r="AT211" s="170">
        <f t="shared" si="53"/>
        <v>1496.04</v>
      </c>
      <c r="AU211" s="170">
        <f t="shared" si="53"/>
        <v>1274.3400000000001</v>
      </c>
      <c r="AV211" s="170">
        <f t="shared" si="53"/>
        <v>1223.2399999999998</v>
      </c>
      <c r="AW211" s="170">
        <f t="shared" si="53"/>
        <v>1179.44</v>
      </c>
      <c r="AX211" s="170">
        <f t="shared" si="53"/>
        <v>1152.1399999999999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4">B196</f>
        <v>0.64</v>
      </c>
      <c r="C232" s="173">
        <f t="shared" si="54"/>
        <v>0.64</v>
      </c>
      <c r="D232" s="173">
        <f t="shared" si="54"/>
        <v>0.64</v>
      </c>
      <c r="E232" s="173">
        <f t="shared" si="54"/>
        <v>0.64</v>
      </c>
      <c r="F232" s="173">
        <f t="shared" si="54"/>
        <v>0.64</v>
      </c>
      <c r="G232" s="173">
        <f t="shared" si="54"/>
        <v>0.64</v>
      </c>
      <c r="H232" s="173">
        <f t="shared" si="54"/>
        <v>0.64</v>
      </c>
      <c r="I232" s="173">
        <f t="shared" si="54"/>
        <v>0.64</v>
      </c>
      <c r="J232" s="173">
        <f t="shared" si="54"/>
        <v>0.64</v>
      </c>
      <c r="K232" s="173">
        <f t="shared" si="54"/>
        <v>0.64</v>
      </c>
      <c r="L232" s="173">
        <f t="shared" si="54"/>
        <v>0.64</v>
      </c>
      <c r="M232" s="173">
        <f t="shared" si="54"/>
        <v>0.64</v>
      </c>
      <c r="N232" s="173">
        <f t="shared" si="54"/>
        <v>0.64</v>
      </c>
      <c r="O232" s="173">
        <f t="shared" si="54"/>
        <v>0.64</v>
      </c>
      <c r="P232" s="173">
        <f t="shared" si="54"/>
        <v>0.64</v>
      </c>
      <c r="Q232" s="173">
        <f t="shared" si="54"/>
        <v>0.64</v>
      </c>
      <c r="R232" s="173">
        <f t="shared" si="54"/>
        <v>0.64</v>
      </c>
      <c r="S232" s="173">
        <f t="shared" si="54"/>
        <v>0.64</v>
      </c>
      <c r="T232" s="173">
        <f t="shared" si="54"/>
        <v>0.64</v>
      </c>
      <c r="U232" s="173">
        <f t="shared" si="54"/>
        <v>0.64</v>
      </c>
      <c r="V232" s="173">
        <f t="shared" si="54"/>
        <v>0.64</v>
      </c>
      <c r="W232" s="173">
        <f t="shared" si="54"/>
        <v>0.64</v>
      </c>
      <c r="X232" s="173">
        <f t="shared" si="54"/>
        <v>0.64</v>
      </c>
      <c r="Y232" s="173">
        <f t="shared" si="54"/>
        <v>0.64</v>
      </c>
      <c r="Z232" s="173">
        <f t="shared" si="54"/>
        <v>0.64</v>
      </c>
      <c r="AA232" s="173">
        <f t="shared" si="54"/>
        <v>0.64</v>
      </c>
      <c r="AB232" s="173">
        <f t="shared" si="54"/>
        <v>0.64</v>
      </c>
      <c r="AC232" s="173">
        <f t="shared" si="54"/>
        <v>0.64</v>
      </c>
      <c r="AD232" s="173">
        <f t="shared" si="54"/>
        <v>0.64</v>
      </c>
      <c r="AE232" s="173">
        <f t="shared" si="54"/>
        <v>0.64</v>
      </c>
      <c r="AF232" s="173">
        <f t="shared" si="54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5">IF(C200&lt;100,"",C200-520)</f>
        <v/>
      </c>
      <c r="D233" s="117" t="str">
        <f t="shared" si="55"/>
        <v/>
      </c>
      <c r="E233" s="117" t="str">
        <f t="shared" si="55"/>
        <v/>
      </c>
      <c r="F233" s="117" t="str">
        <f t="shared" si="55"/>
        <v/>
      </c>
      <c r="G233" s="117" t="str">
        <f t="shared" si="55"/>
        <v/>
      </c>
      <c r="H233" s="117" t="str">
        <f t="shared" si="55"/>
        <v/>
      </c>
      <c r="I233" s="117" t="str">
        <f t="shared" si="55"/>
        <v/>
      </c>
      <c r="J233" s="117" t="str">
        <f t="shared" si="55"/>
        <v/>
      </c>
      <c r="K233" s="117" t="str">
        <f t="shared" si="55"/>
        <v/>
      </c>
      <c r="L233" s="117" t="str">
        <f t="shared" si="55"/>
        <v/>
      </c>
      <c r="M233" s="117" t="str">
        <f t="shared" si="55"/>
        <v/>
      </c>
      <c r="N233" s="117" t="str">
        <f t="shared" si="55"/>
        <v/>
      </c>
      <c r="O233" s="117" t="str">
        <f t="shared" si="55"/>
        <v/>
      </c>
      <c r="P233" s="117" t="str">
        <f t="shared" si="55"/>
        <v/>
      </c>
      <c r="Q233" s="117" t="str">
        <f t="shared" si="55"/>
        <v/>
      </c>
      <c r="R233" s="117" t="str">
        <f t="shared" si="55"/>
        <v/>
      </c>
      <c r="S233" s="117" t="str">
        <f t="shared" si="55"/>
        <v/>
      </c>
      <c r="T233" s="117" t="str">
        <f t="shared" si="55"/>
        <v/>
      </c>
      <c r="U233" s="117" t="str">
        <f t="shared" si="55"/>
        <v/>
      </c>
      <c r="V233" s="117" t="str">
        <f t="shared" si="55"/>
        <v/>
      </c>
      <c r="W233" s="117" t="str">
        <f t="shared" si="55"/>
        <v/>
      </c>
      <c r="X233" s="117" t="str">
        <f t="shared" si="55"/>
        <v/>
      </c>
      <c r="Y233" s="117" t="str">
        <f t="shared" si="55"/>
        <v/>
      </c>
      <c r="Z233" s="117" t="str">
        <f t="shared" si="55"/>
        <v/>
      </c>
      <c r="AA233" s="117" t="str">
        <f t="shared" si="55"/>
        <v/>
      </c>
      <c r="AB233" s="117" t="str">
        <f t="shared" si="55"/>
        <v/>
      </c>
      <c r="AC233" s="117" t="str">
        <f t="shared" si="55"/>
        <v/>
      </c>
      <c r="AD233" s="117" t="str">
        <f t="shared" si="55"/>
        <v/>
      </c>
      <c r="AE233" s="117" t="str">
        <f t="shared" si="55"/>
        <v/>
      </c>
      <c r="AF233" s="117" t="str">
        <f t="shared" si="55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6">IF(B201&lt;100,"",B201-620)</f>
        <v/>
      </c>
      <c r="C234" s="117" t="str">
        <f t="shared" si="56"/>
        <v/>
      </c>
      <c r="D234" s="117" t="str">
        <f t="shared" si="56"/>
        <v/>
      </c>
      <c r="E234" s="117" t="str">
        <f t="shared" si="56"/>
        <v/>
      </c>
      <c r="F234" s="117" t="str">
        <f t="shared" si="56"/>
        <v/>
      </c>
      <c r="G234" s="117" t="str">
        <f t="shared" si="56"/>
        <v/>
      </c>
      <c r="H234" s="117" t="str">
        <f t="shared" si="56"/>
        <v/>
      </c>
      <c r="I234" s="117" t="str">
        <f t="shared" si="56"/>
        <v/>
      </c>
      <c r="J234" s="117" t="str">
        <f t="shared" si="56"/>
        <v/>
      </c>
      <c r="K234" s="117" t="str">
        <f t="shared" si="56"/>
        <v/>
      </c>
      <c r="L234" s="117" t="str">
        <f t="shared" si="56"/>
        <v/>
      </c>
      <c r="M234" s="117" t="str">
        <f t="shared" si="56"/>
        <v/>
      </c>
      <c r="N234" s="117" t="str">
        <f t="shared" si="56"/>
        <v/>
      </c>
      <c r="O234" s="117" t="str">
        <f t="shared" si="56"/>
        <v/>
      </c>
      <c r="P234" s="117" t="str">
        <f t="shared" si="56"/>
        <v/>
      </c>
      <c r="Q234" s="117" t="str">
        <f t="shared" si="56"/>
        <v/>
      </c>
      <c r="R234" s="117" t="str">
        <f t="shared" si="56"/>
        <v/>
      </c>
      <c r="S234" s="117" t="str">
        <f t="shared" si="56"/>
        <v/>
      </c>
      <c r="T234" s="117" t="str">
        <f t="shared" si="56"/>
        <v/>
      </c>
      <c r="U234" s="117" t="str">
        <f t="shared" si="56"/>
        <v/>
      </c>
      <c r="V234" s="117" t="str">
        <f t="shared" si="56"/>
        <v/>
      </c>
      <c r="W234" s="117" t="str">
        <f t="shared" si="56"/>
        <v/>
      </c>
      <c r="X234" s="117" t="str">
        <f t="shared" si="56"/>
        <v/>
      </c>
      <c r="Y234" s="117" t="str">
        <f t="shared" si="56"/>
        <v/>
      </c>
      <c r="Z234" s="117" t="str">
        <f t="shared" si="56"/>
        <v/>
      </c>
      <c r="AA234" s="117" t="str">
        <f t="shared" si="56"/>
        <v/>
      </c>
      <c r="AB234" s="117" t="str">
        <f t="shared" si="56"/>
        <v/>
      </c>
      <c r="AC234" s="117" t="str">
        <f t="shared" si="56"/>
        <v/>
      </c>
      <c r="AD234" s="117" t="str">
        <f t="shared" si="56"/>
        <v/>
      </c>
      <c r="AE234" s="117" t="str">
        <f t="shared" si="56"/>
        <v/>
      </c>
      <c r="AF234" s="117" t="str">
        <f t="shared" si="56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7">IF(B202&lt;100,"",B202-330)</f>
        <v/>
      </c>
      <c r="C235" s="117" t="str">
        <f t="shared" si="57"/>
        <v/>
      </c>
      <c r="D235" s="117" t="str">
        <f t="shared" si="57"/>
        <v/>
      </c>
      <c r="E235" s="117" t="str">
        <f t="shared" si="57"/>
        <v/>
      </c>
      <c r="F235" s="117" t="str">
        <f t="shared" si="57"/>
        <v/>
      </c>
      <c r="G235" s="117" t="str">
        <f t="shared" si="57"/>
        <v/>
      </c>
      <c r="H235" s="117" t="str">
        <f t="shared" si="57"/>
        <v/>
      </c>
      <c r="I235" s="117" t="str">
        <f t="shared" si="57"/>
        <v/>
      </c>
      <c r="J235" s="117" t="str">
        <f t="shared" si="57"/>
        <v/>
      </c>
      <c r="K235" s="117" t="str">
        <f t="shared" si="57"/>
        <v/>
      </c>
      <c r="L235" s="117" t="str">
        <f t="shared" si="57"/>
        <v/>
      </c>
      <c r="M235" s="117" t="str">
        <f t="shared" si="57"/>
        <v/>
      </c>
      <c r="N235" s="117" t="str">
        <f t="shared" si="57"/>
        <v/>
      </c>
      <c r="O235" s="117" t="str">
        <f t="shared" si="57"/>
        <v/>
      </c>
      <c r="P235" s="117" t="str">
        <f t="shared" si="57"/>
        <v/>
      </c>
      <c r="Q235" s="117" t="str">
        <f t="shared" si="57"/>
        <v/>
      </c>
      <c r="R235" s="117" t="str">
        <f t="shared" si="57"/>
        <v/>
      </c>
      <c r="S235" s="117" t="str">
        <f t="shared" si="57"/>
        <v/>
      </c>
      <c r="T235" s="117" t="str">
        <f t="shared" si="57"/>
        <v/>
      </c>
      <c r="U235" s="117" t="str">
        <f t="shared" si="57"/>
        <v/>
      </c>
      <c r="V235" s="117" t="str">
        <f t="shared" si="57"/>
        <v/>
      </c>
      <c r="W235" s="117" t="str">
        <f t="shared" si="57"/>
        <v/>
      </c>
      <c r="X235" s="117" t="str">
        <f t="shared" si="57"/>
        <v/>
      </c>
      <c r="Y235" s="117" t="str">
        <f t="shared" si="57"/>
        <v/>
      </c>
      <c r="Z235" s="117" t="str">
        <f t="shared" si="57"/>
        <v/>
      </c>
      <c r="AA235" s="117" t="str">
        <f t="shared" si="57"/>
        <v/>
      </c>
      <c r="AB235" s="117" t="str">
        <f t="shared" si="57"/>
        <v/>
      </c>
      <c r="AC235" s="117" t="str">
        <f t="shared" si="57"/>
        <v/>
      </c>
      <c r="AD235" s="117" t="str">
        <f t="shared" si="57"/>
        <v/>
      </c>
      <c r="AE235" s="117" t="str">
        <f t="shared" si="57"/>
        <v/>
      </c>
      <c r="AF235" s="117" t="str">
        <f t="shared" si="57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8">IF(C203&lt;100,"",C203-1500)</f>
        <v/>
      </c>
      <c r="D236" s="117" t="str">
        <f t="shared" si="58"/>
        <v/>
      </c>
      <c r="E236" s="117" t="str">
        <f t="shared" si="58"/>
        <v/>
      </c>
      <c r="F236" s="117" t="str">
        <f t="shared" si="58"/>
        <v/>
      </c>
      <c r="G236" s="117" t="str">
        <f t="shared" si="58"/>
        <v/>
      </c>
      <c r="H236" s="117" t="str">
        <f t="shared" si="58"/>
        <v/>
      </c>
      <c r="I236" s="117" t="str">
        <f t="shared" si="58"/>
        <v/>
      </c>
      <c r="J236" s="117" t="str">
        <f t="shared" si="58"/>
        <v/>
      </c>
      <c r="K236" s="117" t="str">
        <f t="shared" si="58"/>
        <v/>
      </c>
      <c r="L236" s="117" t="str">
        <f t="shared" si="58"/>
        <v/>
      </c>
      <c r="M236" s="117" t="str">
        <f t="shared" si="58"/>
        <v/>
      </c>
      <c r="N236" s="117" t="str">
        <f t="shared" si="58"/>
        <v/>
      </c>
      <c r="O236" s="117" t="str">
        <f t="shared" si="58"/>
        <v/>
      </c>
      <c r="P236" s="117" t="str">
        <f t="shared" si="58"/>
        <v/>
      </c>
      <c r="Q236" s="117" t="str">
        <f t="shared" si="58"/>
        <v/>
      </c>
      <c r="R236" s="117" t="str">
        <f t="shared" si="58"/>
        <v/>
      </c>
      <c r="S236" s="117" t="str">
        <f t="shared" si="58"/>
        <v/>
      </c>
      <c r="T236" s="117" t="str">
        <f t="shared" si="58"/>
        <v/>
      </c>
      <c r="U236" s="117" t="str">
        <f t="shared" si="58"/>
        <v/>
      </c>
      <c r="V236" s="117" t="str">
        <f t="shared" si="58"/>
        <v/>
      </c>
      <c r="W236" s="117" t="str">
        <f t="shared" si="58"/>
        <v/>
      </c>
      <c r="X236" s="117" t="str">
        <f t="shared" si="58"/>
        <v/>
      </c>
      <c r="Y236" s="117" t="str">
        <f t="shared" si="58"/>
        <v/>
      </c>
      <c r="Z236" s="117" t="str">
        <f t="shared" si="58"/>
        <v/>
      </c>
      <c r="AA236" s="117" t="str">
        <f t="shared" si="58"/>
        <v/>
      </c>
      <c r="AB236" s="117" t="str">
        <f t="shared" si="58"/>
        <v/>
      </c>
      <c r="AC236" s="117" t="str">
        <f t="shared" si="58"/>
        <v/>
      </c>
      <c r="AD236" s="117" t="str">
        <f t="shared" si="58"/>
        <v/>
      </c>
      <c r="AE236" s="117" t="str">
        <f t="shared" si="58"/>
        <v/>
      </c>
      <c r="AF236" s="117" t="str">
        <f t="shared" si="58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029" priority="348">
      <formula>S$9&gt;=20/24</formula>
    </cfRule>
    <cfRule type="expression" dxfId="7028" priority="349">
      <formula>AND(S$9&gt;=14/24,S$9&lt;20/24)</formula>
    </cfRule>
    <cfRule type="expression" dxfId="7027" priority="350">
      <formula>AND(S$9&gt;=8/24,S$9&lt;14/24)</formula>
    </cfRule>
    <cfRule type="expression" dxfId="7026" priority="351">
      <formula>S$9&lt;8/24</formula>
    </cfRule>
  </conditionalFormatting>
  <conditionalFormatting sqref="B8:AF10 AA79:AF79 B79:Q79 B54:AF54 B80:AF80 C191:AF197 M35 AE55:AF57 B66:AF70 T210:AX210 O37:Q37 M37:N40 O38:P40 Q40 M11:M13 Y12:Y13 AE82:AF89 B72:AF76 B78:AF78 D55:K59 L55:L56 L58:L59 M15:M23 O12:Q13 O35:Q35 O15:R27 M43:R46 M58:R65 O29:R31 M56:V56 O11:Y11 L57:V57 Q38:Z39 S17:X29 T40:X40 Y40:Z41 Z11:AD13 Y15:AD30 AA38:AD41 W83:AD89 AF58 L51:AF53">
    <cfRule type="expression" dxfId="7025" priority="344">
      <formula>B$9&gt;=20/24</formula>
    </cfRule>
    <cfRule type="expression" dxfId="7024" priority="345">
      <formula>AND(B$9&gt;=14/24,B$9&lt;20/24)</formula>
    </cfRule>
    <cfRule type="expression" dxfId="7023" priority="346">
      <formula>AND(B$9&gt;=8/24,B$9&lt;14/24)</formula>
    </cfRule>
    <cfRule type="expression" dxfId="7022" priority="347">
      <formula>B$9&lt;8/24</formula>
    </cfRule>
  </conditionalFormatting>
  <conditionalFormatting sqref="B189:AF189">
    <cfRule type="expression" dxfId="7021" priority="340">
      <formula>B$9&gt;=20/24</formula>
    </cfRule>
    <cfRule type="expression" dxfId="7020" priority="341">
      <formula>AND(B$9&gt;=14/24,B$9&lt;20/24)</formula>
    </cfRule>
    <cfRule type="expression" dxfId="7019" priority="342">
      <formula>AND(B$9&gt;=8/24,B$9&lt;14/24)</formula>
    </cfRule>
    <cfRule type="expression" dxfId="7018" priority="343">
      <formula>B$9&lt;8/24</formula>
    </cfRule>
  </conditionalFormatting>
  <conditionalFormatting sqref="AL4:AL6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M55:Q55">
    <cfRule type="expression" dxfId="7017" priority="335">
      <formula>M$9&gt;=20/24</formula>
    </cfRule>
    <cfRule type="expression" dxfId="7016" priority="336">
      <formula>AND(M$9&gt;=14/24,M$9&lt;20/24)</formula>
    </cfRule>
    <cfRule type="expression" dxfId="7015" priority="337">
      <formula>AND(M$9&gt;=8/24,M$9&lt;14/24)</formula>
    </cfRule>
    <cfRule type="expression" dxfId="7014" priority="338">
      <formula>M$9&lt;8/24</formula>
    </cfRule>
  </conditionalFormatting>
  <conditionalFormatting sqref="M41:R41">
    <cfRule type="expression" dxfId="7013" priority="331">
      <formula>M$9&gt;=20/24</formula>
    </cfRule>
    <cfRule type="expression" dxfId="7012" priority="332">
      <formula>AND(M$9&gt;=14/24,M$9&lt;20/24)</formula>
    </cfRule>
    <cfRule type="expression" dxfId="7011" priority="333">
      <formula>AND(M$9&gt;=8/24,M$9&lt;14/24)</formula>
    </cfRule>
    <cfRule type="expression" dxfId="7010" priority="334">
      <formula>M$9&lt;8/24</formula>
    </cfRule>
  </conditionalFormatting>
  <conditionalFormatting sqref="Y31:AD31">
    <cfRule type="expression" dxfId="7009" priority="327">
      <formula>Y$9&gt;=20/24</formula>
    </cfRule>
    <cfRule type="expression" dxfId="7008" priority="328">
      <formula>AND(Y$9&gt;=14/24,Y$9&lt;20/24)</formula>
    </cfRule>
    <cfRule type="expression" dxfId="7007" priority="329">
      <formula>AND(Y$9&gt;=8/24,Y$9&lt;14/24)</formula>
    </cfRule>
    <cfRule type="expression" dxfId="7006" priority="330">
      <formula>Y$9&lt;8/24</formula>
    </cfRule>
  </conditionalFormatting>
  <conditionalFormatting sqref="R37:AD37">
    <cfRule type="expression" dxfId="7005" priority="323">
      <formula>R$9&gt;=20/24</formula>
    </cfRule>
    <cfRule type="expression" dxfId="7004" priority="324">
      <formula>AND(R$9&gt;=14/24,R$9&lt;20/24)</formula>
    </cfRule>
    <cfRule type="expression" dxfId="7003" priority="325">
      <formula>AND(R$9&gt;=8/24,R$9&lt;14/24)</formula>
    </cfRule>
    <cfRule type="expression" dxfId="7002" priority="326">
      <formula>R$9&lt;8/24</formula>
    </cfRule>
  </conditionalFormatting>
  <conditionalFormatting sqref="R55:AD55">
    <cfRule type="expression" dxfId="7001" priority="319">
      <formula>R$9&gt;=20/24</formula>
    </cfRule>
    <cfRule type="expression" dxfId="7000" priority="320">
      <formula>AND(R$9&gt;=14/24,R$9&lt;20/24)</formula>
    </cfRule>
    <cfRule type="expression" dxfId="6999" priority="321">
      <formula>AND(R$9&gt;=8/24,R$9&lt;14/24)</formula>
    </cfRule>
    <cfRule type="expression" dxfId="6998" priority="322">
      <formula>R$9&lt;8/24</formula>
    </cfRule>
  </conditionalFormatting>
  <conditionalFormatting sqref="R79:Z79">
    <cfRule type="expression" dxfId="6997" priority="315">
      <formula>R$9&gt;=20/24</formula>
    </cfRule>
    <cfRule type="expression" dxfId="6996" priority="316">
      <formula>AND(R$9&gt;=14/24,R$9&lt;20/24)</formula>
    </cfRule>
    <cfRule type="expression" dxfId="6995" priority="317">
      <formula>AND(R$9&gt;=8/24,R$9&lt;14/24)</formula>
    </cfRule>
    <cfRule type="expression" dxfId="6994" priority="318">
      <formula>R$9&lt;8/24</formula>
    </cfRule>
  </conditionalFormatting>
  <conditionalFormatting sqref="T82:AD82">
    <cfRule type="expression" dxfId="6993" priority="311">
      <formula>T$9&gt;=20/24</formula>
    </cfRule>
    <cfRule type="expression" dxfId="6992" priority="312">
      <formula>AND(T$9&gt;=14/24,T$9&lt;20/24)</formula>
    </cfRule>
    <cfRule type="expression" dxfId="6991" priority="313">
      <formula>AND(T$9&gt;=8/24,T$9&lt;14/24)</formula>
    </cfRule>
    <cfRule type="expression" dxfId="6990" priority="314">
      <formula>T$9&lt;8/24</formula>
    </cfRule>
  </conditionalFormatting>
  <conditionalFormatting sqref="O33:R33">
    <cfRule type="expression" dxfId="6989" priority="307">
      <formula>O$9&gt;=20/24</formula>
    </cfRule>
    <cfRule type="expression" dxfId="6988" priority="308">
      <formula>AND(O$9&gt;=14/24,O$9&lt;20/24)</formula>
    </cfRule>
    <cfRule type="expression" dxfId="6987" priority="309">
      <formula>AND(O$9&gt;=8/24,O$9&lt;14/24)</formula>
    </cfRule>
    <cfRule type="expression" dxfId="6986" priority="310">
      <formula>O$9&lt;8/24</formula>
    </cfRule>
  </conditionalFormatting>
  <conditionalFormatting sqref="M47:S47">
    <cfRule type="expression" dxfId="6985" priority="303">
      <formula>M$9&gt;=20/24</formula>
    </cfRule>
    <cfRule type="expression" dxfId="6984" priority="304">
      <formula>AND(M$9&gt;=14/24,M$9&lt;20/24)</formula>
    </cfRule>
    <cfRule type="expression" dxfId="6983" priority="305">
      <formula>AND(M$9&gt;=8/24,M$9&lt;14/24)</formula>
    </cfRule>
    <cfRule type="expression" dxfId="6982" priority="306">
      <formula>M$9&lt;8/24</formula>
    </cfRule>
  </conditionalFormatting>
  <conditionalFormatting sqref="M48:R48">
    <cfRule type="expression" dxfId="6981" priority="299">
      <formula>M$9&gt;=20/24</formula>
    </cfRule>
    <cfRule type="expression" dxfId="6980" priority="300">
      <formula>AND(M$9&gt;=14/24,M$9&lt;20/24)</formula>
    </cfRule>
    <cfRule type="expression" dxfId="6979" priority="301">
      <formula>AND(M$9&gt;=8/24,M$9&lt;14/24)</formula>
    </cfRule>
    <cfRule type="expression" dxfId="6978" priority="302">
      <formula>M$9&lt;8/24</formula>
    </cfRule>
  </conditionalFormatting>
  <conditionalFormatting sqref="M43:R46">
    <cfRule type="expression" dxfId="6977" priority="295">
      <formula>M$9&gt;=20/24</formula>
    </cfRule>
    <cfRule type="expression" dxfId="6976" priority="296">
      <formula>AND(M$9&gt;=14/24,M$9&lt;20/24)</formula>
    </cfRule>
    <cfRule type="expression" dxfId="6975" priority="297">
      <formula>AND(M$9&gt;=8/24,M$9&lt;14/24)</formula>
    </cfRule>
    <cfRule type="expression" dxfId="6974" priority="298">
      <formula>M$9&lt;8/24</formula>
    </cfRule>
  </conditionalFormatting>
  <conditionalFormatting sqref="R35:AD35">
    <cfRule type="expression" dxfId="6973" priority="291">
      <formula>R$9&gt;=20/24</formula>
    </cfRule>
    <cfRule type="expression" dxfId="6972" priority="292">
      <formula>AND(R$9&gt;=14/24,R$9&lt;20/24)</formula>
    </cfRule>
    <cfRule type="expression" dxfId="6971" priority="293">
      <formula>AND(R$9&gt;=8/24,R$9&lt;14/24)</formula>
    </cfRule>
    <cfRule type="expression" dxfId="6970" priority="294">
      <formula>R$9&lt;8/24</formula>
    </cfRule>
  </conditionalFormatting>
  <conditionalFormatting sqref="S30:X31 S33:AD33">
    <cfRule type="expression" dxfId="6969" priority="287">
      <formula>S$9&gt;=20/24</formula>
    </cfRule>
    <cfRule type="expression" dxfId="6968" priority="288">
      <formula>AND(S$9&gt;=14/24,S$9&lt;20/24)</formula>
    </cfRule>
    <cfRule type="expression" dxfId="6967" priority="289">
      <formula>AND(S$9&gt;=8/24,S$9&lt;14/24)</formula>
    </cfRule>
    <cfRule type="expression" dxfId="6966" priority="290">
      <formula>S$9&lt;8/24</formula>
    </cfRule>
  </conditionalFormatting>
  <conditionalFormatting sqref="R40:S40 S41:X41 S43:AD46">
    <cfRule type="expression" dxfId="6965" priority="283">
      <formula>R$9&gt;=20/24</formula>
    </cfRule>
    <cfRule type="expression" dxfId="6964" priority="284">
      <formula>AND(R$9&gt;=14/24,R$9&lt;20/24)</formula>
    </cfRule>
    <cfRule type="expression" dxfId="6963" priority="285">
      <formula>AND(R$9&gt;=8/24,R$9&lt;14/24)</formula>
    </cfRule>
    <cfRule type="expression" dxfId="6962" priority="286">
      <formula>R$9&lt;8/24</formula>
    </cfRule>
  </conditionalFormatting>
  <conditionalFormatting sqref="S47:AD47">
    <cfRule type="expression" dxfId="6961" priority="279">
      <formula>S$9&gt;=20/24</formula>
    </cfRule>
    <cfRule type="expression" dxfId="6960" priority="280">
      <formula>AND(S$9&gt;=14/24,S$9&lt;20/24)</formula>
    </cfRule>
    <cfRule type="expression" dxfId="6959" priority="281">
      <formula>AND(S$9&gt;=8/24,S$9&lt;14/24)</formula>
    </cfRule>
    <cfRule type="expression" dxfId="6958" priority="282">
      <formula>S$9&lt;8/24</formula>
    </cfRule>
  </conditionalFormatting>
  <conditionalFormatting sqref="S48:AD48">
    <cfRule type="expression" dxfId="6957" priority="275">
      <formula>S$9&gt;=20/24</formula>
    </cfRule>
    <cfRule type="expression" dxfId="6956" priority="276">
      <formula>AND(S$9&gt;=14/24,S$9&lt;20/24)</formula>
    </cfRule>
    <cfRule type="expression" dxfId="6955" priority="277">
      <formula>AND(S$9&gt;=8/24,S$9&lt;14/24)</formula>
    </cfRule>
    <cfRule type="expression" dxfId="6954" priority="278">
      <formula>S$9&lt;8/24</formula>
    </cfRule>
  </conditionalFormatting>
  <conditionalFormatting sqref="S58:S65 Y58:Z58 Y59:AF65">
    <cfRule type="expression" dxfId="6953" priority="271">
      <formula>S$9&gt;=20/24</formula>
    </cfRule>
    <cfRule type="expression" dxfId="6952" priority="272">
      <formula>AND(S$9&gt;=14/24,S$9&lt;20/24)</formula>
    </cfRule>
    <cfRule type="expression" dxfId="6951" priority="273">
      <formula>AND(S$9&gt;=8/24,S$9&lt;14/24)</formula>
    </cfRule>
    <cfRule type="expression" dxfId="6950" priority="274">
      <formula>S$9&lt;8/24</formula>
    </cfRule>
  </conditionalFormatting>
  <conditionalFormatting sqref="AE92:AF95">
    <cfRule type="expression" dxfId="6949" priority="267">
      <formula>AE$9&gt;=20/24</formula>
    </cfRule>
    <cfRule type="expression" dxfId="6948" priority="268">
      <formula>AND(AE$9&gt;=14/24,AE$9&lt;20/24)</formula>
    </cfRule>
    <cfRule type="expression" dxfId="6947" priority="269">
      <formula>AND(AE$9&gt;=8/24,AE$9&lt;14/24)</formula>
    </cfRule>
    <cfRule type="expression" dxfId="6946" priority="270">
      <formula>AE$9&lt;8/24</formula>
    </cfRule>
  </conditionalFormatting>
  <conditionalFormatting sqref="F60:I60 J60:L65">
    <cfRule type="expression" dxfId="6945" priority="263">
      <formula>F$9&gt;=20/24</formula>
    </cfRule>
    <cfRule type="expression" dxfId="6944" priority="264">
      <formula>AND(F$9&gt;=14/24,F$9&lt;20/24)</formula>
    </cfRule>
    <cfRule type="expression" dxfId="6943" priority="265">
      <formula>AND(F$9&gt;=8/24,F$9&lt;14/24)</formula>
    </cfRule>
    <cfRule type="expression" dxfId="6942" priority="266">
      <formula>F$9&lt;8/24</formula>
    </cfRule>
  </conditionalFormatting>
  <conditionalFormatting sqref="T92:AD95">
    <cfRule type="expression" dxfId="6941" priority="259">
      <formula>T$9&gt;=20/24</formula>
    </cfRule>
    <cfRule type="expression" dxfId="6940" priority="260">
      <formula>AND(T$9&gt;=14/24,T$9&lt;20/24)</formula>
    </cfRule>
    <cfRule type="expression" dxfId="6939" priority="261">
      <formula>AND(T$9&gt;=8/24,T$9&lt;14/24)</formula>
    </cfRule>
    <cfRule type="expression" dxfId="6938" priority="262">
      <formula>T$9&lt;8/24</formula>
    </cfRule>
  </conditionalFormatting>
  <conditionalFormatting sqref="C49:AG49 B11:K13 B36:AF36 B33:K35 M35 M11:M13 B15:K27 M15:M23 O12:Q13 O15:R27 O29:R31 B29:K31 B28:R28 S17:X31 O11:AF11 D37:AF40 Y15:AF31 O33:AF35 Y12:AF13 M43:AF48 M41:AF41 B50:AF54">
    <cfRule type="expression" dxfId="6937" priority="258">
      <formula>B11&gt;$AG11</formula>
    </cfRule>
  </conditionalFormatting>
  <conditionalFormatting sqref="A98:A154 A82:A95 A11:A13 A15:A31 A43:A70 A78:A80 A72:A76 A33:A41 A167:A198">
    <cfRule type="expression" dxfId="6936" priority="257">
      <formula>$AH11=0</formula>
    </cfRule>
  </conditionalFormatting>
  <conditionalFormatting sqref="AE96:AF96">
    <cfRule type="expression" dxfId="6935" priority="253">
      <formula>AE$9&gt;=20/24</formula>
    </cfRule>
    <cfRule type="expression" dxfId="6934" priority="254">
      <formula>AND(AE$9&gt;=14/24,AE$9&lt;20/24)</formula>
    </cfRule>
    <cfRule type="expression" dxfId="6933" priority="255">
      <formula>AND(AE$9&gt;=8/24,AE$9&lt;14/24)</formula>
    </cfRule>
    <cfRule type="expression" dxfId="6932" priority="256">
      <formula>AE$9&lt;8/24</formula>
    </cfRule>
  </conditionalFormatting>
  <conditionalFormatting sqref="T96:AD96">
    <cfRule type="expression" dxfId="6931" priority="249">
      <formula>T$9&gt;=20/24</formula>
    </cfRule>
    <cfRule type="expression" dxfId="6930" priority="250">
      <formula>AND(T$9&gt;=14/24,T$9&lt;20/24)</formula>
    </cfRule>
    <cfRule type="expression" dxfId="6929" priority="251">
      <formula>AND(T$9&gt;=8/24,T$9&lt;14/24)</formula>
    </cfRule>
    <cfRule type="expression" dxfId="6928" priority="252">
      <formula>T$9&lt;8/24</formula>
    </cfRule>
  </conditionalFormatting>
  <conditionalFormatting sqref="A96">
    <cfRule type="expression" dxfId="6927" priority="248">
      <formula>$AH96=0</formula>
    </cfRule>
  </conditionalFormatting>
  <conditionalFormatting sqref="K34 O34:AF34">
    <cfRule type="expression" dxfId="6926" priority="244">
      <formula>K$9&gt;=20/24</formula>
    </cfRule>
    <cfRule type="expression" dxfId="6925" priority="245">
      <formula>AND(K$9&gt;=14/24,K$9&lt;20/24)</formula>
    </cfRule>
    <cfRule type="expression" dxfId="6924" priority="246">
      <formula>AND(K$9&gt;=8/24,K$9&lt;14/24)</formula>
    </cfRule>
    <cfRule type="expression" dxfId="6923" priority="247">
      <formula>K$9&lt;8/24</formula>
    </cfRule>
  </conditionalFormatting>
  <conditionalFormatting sqref="S34:AF34">
    <cfRule type="expression" dxfId="6922" priority="240">
      <formula>S$9&gt;=20/24</formula>
    </cfRule>
    <cfRule type="expression" dxfId="6921" priority="241">
      <formula>AND(S$9&gt;=14/24,S$9&lt;20/24)</formula>
    </cfRule>
    <cfRule type="expression" dxfId="6920" priority="242">
      <formula>AND(S$9&gt;=8/24,S$9&lt;14/24)</formula>
    </cfRule>
    <cfRule type="expression" dxfId="6919" priority="243">
      <formula>S$9&lt;8/24</formula>
    </cfRule>
  </conditionalFormatting>
  <conditionalFormatting sqref="B34:J34">
    <cfRule type="expression" dxfId="6918" priority="236">
      <formula>B$9&gt;=20/24</formula>
    </cfRule>
    <cfRule type="expression" dxfId="6917" priority="237">
      <formula>AND(B$9&gt;=14/24,B$9&lt;20/24)</formula>
    </cfRule>
    <cfRule type="expression" dxfId="6916" priority="238">
      <formula>AND(B$9&gt;=8/24,B$9&lt;14/24)</formula>
    </cfRule>
    <cfRule type="expression" dxfId="6915" priority="239">
      <formula>B$9&lt;8/24</formula>
    </cfRule>
  </conditionalFormatting>
  <conditionalFormatting sqref="F61:I63">
    <cfRule type="expression" dxfId="6914" priority="232">
      <formula>F$9&gt;=20/24</formula>
    </cfRule>
    <cfRule type="expression" dxfId="6913" priority="233">
      <formula>AND(F$9&gt;=14/24,F$9&lt;20/24)</formula>
    </cfRule>
    <cfRule type="expression" dxfId="6912" priority="234">
      <formula>AND(F$9&gt;=8/24,F$9&lt;14/24)</formula>
    </cfRule>
    <cfRule type="expression" dxfId="6911" priority="235">
      <formula>F$9&lt;8/24</formula>
    </cfRule>
  </conditionalFormatting>
  <conditionalFormatting sqref="AL31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Y32:AD32">
    <cfRule type="expression" dxfId="6910" priority="223">
      <formula>Y$9&gt;=20/24</formula>
    </cfRule>
    <cfRule type="expression" dxfId="6909" priority="224">
      <formula>AND(Y$9&gt;=14/24,Y$9&lt;20/24)</formula>
    </cfRule>
    <cfRule type="expression" dxfId="6908" priority="225">
      <formula>AND(Y$9&gt;=8/24,Y$9&lt;14/24)</formula>
    </cfRule>
    <cfRule type="expression" dxfId="6907" priority="226">
      <formula>Y$9&lt;8/24</formula>
    </cfRule>
  </conditionalFormatting>
  <conditionalFormatting sqref="O32:R32">
    <cfRule type="expression" dxfId="6906" priority="219">
      <formula>O$9&gt;=20/24</formula>
    </cfRule>
    <cfRule type="expression" dxfId="6905" priority="220">
      <formula>AND(O$9&gt;=14/24,O$9&lt;20/24)</formula>
    </cfRule>
    <cfRule type="expression" dxfId="6904" priority="221">
      <formula>AND(O$9&gt;=8/24,O$9&lt;14/24)</formula>
    </cfRule>
    <cfRule type="expression" dxfId="6903" priority="222">
      <formula>O$9&lt;8/24</formula>
    </cfRule>
  </conditionalFormatting>
  <conditionalFormatting sqref="S32:X32">
    <cfRule type="expression" dxfId="6902" priority="215">
      <formula>S$9&gt;=20/24</formula>
    </cfRule>
    <cfRule type="expression" dxfId="6901" priority="216">
      <formula>AND(S$9&gt;=14/24,S$9&lt;20/24)</formula>
    </cfRule>
    <cfRule type="expression" dxfId="6900" priority="217">
      <formula>AND(S$9&gt;=8/24,S$9&lt;14/24)</formula>
    </cfRule>
    <cfRule type="expression" dxfId="6899" priority="218">
      <formula>S$9&lt;8/24</formula>
    </cfRule>
  </conditionalFormatting>
  <conditionalFormatting sqref="B32:K32 O32:AF32">
    <cfRule type="expression" dxfId="6898" priority="214">
      <formula>B32&gt;$AG32</formula>
    </cfRule>
  </conditionalFormatting>
  <conditionalFormatting sqref="A32">
    <cfRule type="expression" dxfId="6897" priority="213">
      <formula>$AH32=0</formula>
    </cfRule>
  </conditionalFormatting>
  <conditionalFormatting sqref="B81:AF81">
    <cfRule type="expression" dxfId="6896" priority="209">
      <formula>B$9&gt;=20/24</formula>
    </cfRule>
    <cfRule type="expression" dxfId="6895" priority="210">
      <formula>AND(B$9&gt;=14/24,B$9&lt;20/24)</formula>
    </cfRule>
    <cfRule type="expression" dxfId="6894" priority="211">
      <formula>AND(B$9&gt;=8/24,B$9&lt;14/24)</formula>
    </cfRule>
    <cfRule type="expression" dxfId="6893" priority="212">
      <formula>B$9&lt;8/24</formula>
    </cfRule>
  </conditionalFormatting>
  <conditionalFormatting sqref="A81">
    <cfRule type="expression" dxfId="6892" priority="208">
      <formula>$AH81=0</formula>
    </cfRule>
  </conditionalFormatting>
  <conditionalFormatting sqref="Y14:AD14">
    <cfRule type="expression" dxfId="6891" priority="204">
      <formula>Y$9&gt;=20/24</formula>
    </cfRule>
    <cfRule type="expression" dxfId="6890" priority="205">
      <formula>AND(Y$9&gt;=14/24,Y$9&lt;20/24)</formula>
    </cfRule>
    <cfRule type="expression" dxfId="6889" priority="206">
      <formula>AND(Y$9&gt;=8/24,Y$9&lt;14/24)</formula>
    </cfRule>
    <cfRule type="expression" dxfId="6888" priority="207">
      <formula>Y$9&lt;8/24</formula>
    </cfRule>
  </conditionalFormatting>
  <conditionalFormatting sqref="M14 O14:Q14">
    <cfRule type="expression" dxfId="6887" priority="200">
      <formula>M$9&gt;=20/24</formula>
    </cfRule>
    <cfRule type="expression" dxfId="6886" priority="201">
      <formula>AND(M$9&gt;=14/24,M$9&lt;20/24)</formula>
    </cfRule>
    <cfRule type="expression" dxfId="6885" priority="202">
      <formula>AND(M$9&gt;=8/24,M$9&lt;14/24)</formula>
    </cfRule>
    <cfRule type="expression" dxfId="6884" priority="203">
      <formula>M$9&lt;8/24</formula>
    </cfRule>
  </conditionalFormatting>
  <conditionalFormatting sqref="B14:K14 M14 O14:Q14 Y14:AF14">
    <cfRule type="expression" dxfId="6883" priority="199">
      <formula>B14&gt;$AG14</formula>
    </cfRule>
  </conditionalFormatting>
  <conditionalFormatting sqref="A14">
    <cfRule type="expression" dxfId="6882" priority="198">
      <formula>$AH14=0</formula>
    </cfRule>
  </conditionalFormatting>
  <conditionalFormatting sqref="A161:A166">
    <cfRule type="expression" dxfId="6881" priority="197">
      <formula>$AH161=0</formula>
    </cfRule>
  </conditionalFormatting>
  <conditionalFormatting sqref="A155:A160">
    <cfRule type="expression" dxfId="6880" priority="196">
      <formula>$AH155=0</formula>
    </cfRule>
  </conditionalFormatting>
  <conditionalFormatting sqref="Y42:AD42">
    <cfRule type="expression" dxfId="6879" priority="192">
      <formula>Y$9&gt;=20/24</formula>
    </cfRule>
    <cfRule type="expression" dxfId="6878" priority="193">
      <formula>AND(Y$9&gt;=14/24,Y$9&lt;20/24)</formula>
    </cfRule>
    <cfRule type="expression" dxfId="6877" priority="194">
      <formula>AND(Y$9&gt;=8/24,Y$9&lt;14/24)</formula>
    </cfRule>
    <cfRule type="expression" dxfId="6876" priority="195">
      <formula>Y$9&lt;8/24</formula>
    </cfRule>
  </conditionalFormatting>
  <conditionalFormatting sqref="M42:R42">
    <cfRule type="expression" dxfId="6875" priority="188">
      <formula>M$9&gt;=20/24</formula>
    </cfRule>
    <cfRule type="expression" dxfId="6874" priority="189">
      <formula>AND(M$9&gt;=14/24,M$9&lt;20/24)</formula>
    </cfRule>
    <cfRule type="expression" dxfId="6873" priority="190">
      <formula>AND(M$9&gt;=8/24,M$9&lt;14/24)</formula>
    </cfRule>
    <cfRule type="expression" dxfId="6872" priority="191">
      <formula>M$9&lt;8/24</formula>
    </cfRule>
  </conditionalFormatting>
  <conditionalFormatting sqref="S42:X42">
    <cfRule type="expression" dxfId="6871" priority="184">
      <formula>S$9&gt;=20/24</formula>
    </cfRule>
    <cfRule type="expression" dxfId="6870" priority="185">
      <formula>AND(S$9&gt;=14/24,S$9&lt;20/24)</formula>
    </cfRule>
    <cfRule type="expression" dxfId="6869" priority="186">
      <formula>AND(S$9&gt;=8/24,S$9&lt;14/24)</formula>
    </cfRule>
    <cfRule type="expression" dxfId="6868" priority="187">
      <formula>S$9&lt;8/24</formula>
    </cfRule>
  </conditionalFormatting>
  <conditionalFormatting sqref="M42:AF42">
    <cfRule type="expression" dxfId="6867" priority="183">
      <formula>M42&gt;$AG42</formula>
    </cfRule>
  </conditionalFormatting>
  <conditionalFormatting sqref="A42">
    <cfRule type="expression" dxfId="6866" priority="182">
      <formula>$AH42=0</formula>
    </cfRule>
  </conditionalFormatting>
  <conditionalFormatting sqref="B77:AF77">
    <cfRule type="expression" dxfId="6865" priority="178">
      <formula>B$9&gt;=20/24</formula>
    </cfRule>
    <cfRule type="expression" dxfId="6864" priority="179">
      <formula>AND(B$9&gt;=14/24,B$9&lt;20/24)</formula>
    </cfRule>
    <cfRule type="expression" dxfId="6863" priority="180">
      <formula>AND(B$9&gt;=8/24,B$9&lt;14/24)</formula>
    </cfRule>
    <cfRule type="expression" dxfId="6862" priority="181">
      <formula>B$9&lt;8/24</formula>
    </cfRule>
  </conditionalFormatting>
  <conditionalFormatting sqref="A77">
    <cfRule type="expression" dxfId="6861" priority="177">
      <formula>$AH77=0</formula>
    </cfRule>
  </conditionalFormatting>
  <conditionalFormatting sqref="B71:AG71">
    <cfRule type="expression" dxfId="6860" priority="173">
      <formula>B$9&gt;=20/24</formula>
    </cfRule>
    <cfRule type="expression" dxfId="6859" priority="174">
      <formula>AND(B$9&gt;=14/24,B$9&lt;20/24)</formula>
    </cfRule>
    <cfRule type="expression" dxfId="6858" priority="175">
      <formula>AND(B$9&gt;=8/24,B$9&lt;14/24)</formula>
    </cfRule>
    <cfRule type="expression" dxfId="6857" priority="176">
      <formula>B$9&lt;8/24</formula>
    </cfRule>
  </conditionalFormatting>
  <conditionalFormatting sqref="A71">
    <cfRule type="expression" dxfId="6856" priority="172">
      <formula>$AH71=0</formula>
    </cfRule>
  </conditionalFormatting>
  <conditionalFormatting sqref="AL32:AL33 AL7:AL16 AL29:AL30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T58:X65">
    <cfRule type="expression" dxfId="6855" priority="168">
      <formula>T$9&gt;=20/24</formula>
    </cfRule>
    <cfRule type="expression" dxfId="6854" priority="169">
      <formula>AND(T$9&gt;=14/24,T$9&lt;20/24)</formula>
    </cfRule>
    <cfRule type="expression" dxfId="6853" priority="170">
      <formula>AND(T$9&gt;=8/24,T$9&lt;14/24)</formula>
    </cfRule>
    <cfRule type="expression" dxfId="6852" priority="171">
      <formula>T$9&lt;8/24</formula>
    </cfRule>
  </conditionalFormatting>
  <conditionalFormatting sqref="T83:V89">
    <cfRule type="expression" dxfId="6851" priority="164">
      <formula>T$9&gt;=20/24</formula>
    </cfRule>
    <cfRule type="expression" dxfId="6850" priority="165">
      <formula>AND(T$9&gt;=14/24,T$9&lt;20/24)</formula>
    </cfRule>
    <cfRule type="expression" dxfId="6849" priority="166">
      <formula>AND(T$9&gt;=8/24,T$9&lt;14/24)</formula>
    </cfRule>
    <cfRule type="expression" dxfId="6848" priority="167">
      <formula>T$9&lt;8/24</formula>
    </cfRule>
  </conditionalFormatting>
  <conditionalFormatting sqref="B82:Q89 R83:S89">
    <cfRule type="expression" dxfId="6847" priority="160">
      <formula>B$9&gt;=20/24</formula>
    </cfRule>
    <cfRule type="expression" dxfId="6846" priority="161">
      <formula>AND(B$9&gt;=14/24,B$9&lt;20/24)</formula>
    </cfRule>
    <cfRule type="expression" dxfId="6845" priority="162">
      <formula>AND(B$9&gt;=8/24,B$9&lt;14/24)</formula>
    </cfRule>
    <cfRule type="expression" dxfId="6844" priority="163">
      <formula>B$9&lt;8/24</formula>
    </cfRule>
  </conditionalFormatting>
  <conditionalFormatting sqref="R82:S82">
    <cfRule type="expression" dxfId="6843" priority="156">
      <formula>R$9&gt;=20/24</formula>
    </cfRule>
    <cfRule type="expression" dxfId="6842" priority="157">
      <formula>AND(R$9&gt;=14/24,R$9&lt;20/24)</formula>
    </cfRule>
    <cfRule type="expression" dxfId="6841" priority="158">
      <formula>AND(R$9&gt;=8/24,R$9&lt;14/24)</formula>
    </cfRule>
    <cfRule type="expression" dxfId="6840" priority="159">
      <formula>R$9&lt;8/24</formula>
    </cfRule>
  </conditionalFormatting>
  <conditionalFormatting sqref="B93:L95 B92:E92">
    <cfRule type="expression" dxfId="6839" priority="152">
      <formula>B$9&gt;=20/24</formula>
    </cfRule>
    <cfRule type="expression" dxfId="6838" priority="153">
      <formula>AND(B$9&gt;=14/24,B$9&lt;20/24)</formula>
    </cfRule>
    <cfRule type="expression" dxfId="6837" priority="154">
      <formula>AND(B$9&gt;=8/24,B$9&lt;14/24)</formula>
    </cfRule>
    <cfRule type="expression" dxfId="6836" priority="155">
      <formula>B$9&lt;8/24</formula>
    </cfRule>
  </conditionalFormatting>
  <conditionalFormatting sqref="M93:Q95 N92:Q92">
    <cfRule type="expression" dxfId="6835" priority="148">
      <formula>M$9&gt;=20/24</formula>
    </cfRule>
    <cfRule type="expression" dxfId="6834" priority="149">
      <formula>AND(M$9&gt;=14/24,M$9&lt;20/24)</formula>
    </cfRule>
    <cfRule type="expression" dxfId="6833" priority="150">
      <formula>AND(M$9&gt;=8/24,M$9&lt;14/24)</formula>
    </cfRule>
    <cfRule type="expression" dxfId="6832" priority="151">
      <formula>M$9&lt;8/24</formula>
    </cfRule>
  </conditionalFormatting>
  <conditionalFormatting sqref="R92:S95">
    <cfRule type="expression" dxfId="6831" priority="144">
      <formula>R$9&gt;=20/24</formula>
    </cfRule>
    <cfRule type="expression" dxfId="6830" priority="145">
      <formula>AND(R$9&gt;=14/24,R$9&lt;20/24)</formula>
    </cfRule>
    <cfRule type="expression" dxfId="6829" priority="146">
      <formula>AND(R$9&gt;=8/24,R$9&lt;14/24)</formula>
    </cfRule>
    <cfRule type="expression" dxfId="6828" priority="147">
      <formula>R$9&lt;8/24</formula>
    </cfRule>
  </conditionalFormatting>
  <conditionalFormatting sqref="B96:L96">
    <cfRule type="expression" dxfId="6827" priority="140">
      <formula>B$9&gt;=20/24</formula>
    </cfRule>
    <cfRule type="expression" dxfId="6826" priority="141">
      <formula>AND(B$9&gt;=14/24,B$9&lt;20/24)</formula>
    </cfRule>
    <cfRule type="expression" dxfId="6825" priority="142">
      <formula>AND(B$9&gt;=8/24,B$9&lt;14/24)</formula>
    </cfRule>
    <cfRule type="expression" dxfId="6824" priority="143">
      <formula>B$9&lt;8/24</formula>
    </cfRule>
  </conditionalFormatting>
  <conditionalFormatting sqref="M96:Q96">
    <cfRule type="expression" dxfId="6823" priority="136">
      <formula>M$9&gt;=20/24</formula>
    </cfRule>
    <cfRule type="expression" dxfId="6822" priority="137">
      <formula>AND(M$9&gt;=14/24,M$9&lt;20/24)</formula>
    </cfRule>
    <cfRule type="expression" dxfId="6821" priority="138">
      <formula>AND(M$9&gt;=8/24,M$9&lt;14/24)</formula>
    </cfRule>
    <cfRule type="expression" dxfId="6820" priority="139">
      <formula>M$9&lt;8/24</formula>
    </cfRule>
  </conditionalFormatting>
  <conditionalFormatting sqref="R96:S96">
    <cfRule type="expression" dxfId="6819" priority="132">
      <formula>R$9&gt;=20/24</formula>
    </cfRule>
    <cfRule type="expression" dxfId="6818" priority="133">
      <formula>AND(R$9&gt;=14/24,R$9&lt;20/24)</formula>
    </cfRule>
    <cfRule type="expression" dxfId="6817" priority="134">
      <formula>AND(R$9&gt;=8/24,R$9&lt;14/24)</formula>
    </cfRule>
    <cfRule type="expression" dxfId="6816" priority="135">
      <formula>R$9&lt;8/24</formula>
    </cfRule>
  </conditionalFormatting>
  <conditionalFormatting sqref="L92:M92">
    <cfRule type="expression" dxfId="6815" priority="128">
      <formula>L$9&gt;=20/24</formula>
    </cfRule>
    <cfRule type="expression" dxfId="6814" priority="129">
      <formula>AND(L$9&gt;=14/24,L$9&lt;20/24)</formula>
    </cfRule>
    <cfRule type="expression" dxfId="6813" priority="130">
      <formula>AND(L$9&gt;=8/24,L$9&lt;14/24)</formula>
    </cfRule>
    <cfRule type="expression" dxfId="6812" priority="131">
      <formula>L$9&lt;8/24</formula>
    </cfRule>
  </conditionalFormatting>
  <conditionalFormatting sqref="F92:K92">
    <cfRule type="expression" dxfId="6811" priority="124">
      <formula>F$9&gt;=20/24</formula>
    </cfRule>
    <cfRule type="expression" dxfId="6810" priority="125">
      <formula>AND(F$9&gt;=14/24,F$9&lt;20/24)</formula>
    </cfRule>
    <cfRule type="expression" dxfId="6809" priority="126">
      <formula>AND(F$9&gt;=8/24,F$9&lt;14/24)</formula>
    </cfRule>
    <cfRule type="expression" dxfId="6808" priority="127">
      <formula>F$9&lt;8/24</formula>
    </cfRule>
  </conditionalFormatting>
  <conditionalFormatting sqref="T92:V92">
    <cfRule type="expression" dxfId="6807" priority="120">
      <formula>T$9&gt;=20/24</formula>
    </cfRule>
    <cfRule type="expression" dxfId="6806" priority="121">
      <formula>AND(T$9&gt;=14/24,T$9&lt;20/24)</formula>
    </cfRule>
    <cfRule type="expression" dxfId="6805" priority="122">
      <formula>AND(T$9&gt;=8/24,T$9&lt;14/24)</formula>
    </cfRule>
    <cfRule type="expression" dxfId="6804" priority="123">
      <formula>T$9&lt;8/24</formula>
    </cfRule>
  </conditionalFormatting>
  <conditionalFormatting sqref="M92:S92">
    <cfRule type="expression" dxfId="6803" priority="116">
      <formula>M$9&gt;=20/24</formula>
    </cfRule>
    <cfRule type="expression" dxfId="6802" priority="117">
      <formula>AND(M$9&gt;=14/24,M$9&lt;20/24)</formula>
    </cfRule>
    <cfRule type="expression" dxfId="6801" priority="118">
      <formula>AND(M$9&gt;=8/24,M$9&lt;14/24)</formula>
    </cfRule>
    <cfRule type="expression" dxfId="6800" priority="119">
      <formula>M$9&lt;8/24</formula>
    </cfRule>
  </conditionalFormatting>
  <conditionalFormatting sqref="AE97:AF97">
    <cfRule type="expression" dxfId="6799" priority="112">
      <formula>AE$9&gt;=20/24</formula>
    </cfRule>
    <cfRule type="expression" dxfId="6798" priority="113">
      <formula>AND(AE$9&gt;=14/24,AE$9&lt;20/24)</formula>
    </cfRule>
    <cfRule type="expression" dxfId="6797" priority="114">
      <formula>AND(AE$9&gt;=8/24,AE$9&lt;14/24)</formula>
    </cfRule>
    <cfRule type="expression" dxfId="6796" priority="115">
      <formula>AE$9&lt;8/24</formula>
    </cfRule>
  </conditionalFormatting>
  <conditionalFormatting sqref="T97:AD97">
    <cfRule type="expression" dxfId="6795" priority="108">
      <formula>T$9&gt;=20/24</formula>
    </cfRule>
    <cfRule type="expression" dxfId="6794" priority="109">
      <formula>AND(T$9&gt;=14/24,T$9&lt;20/24)</formula>
    </cfRule>
    <cfRule type="expression" dxfId="6793" priority="110">
      <formula>AND(T$9&gt;=8/24,T$9&lt;14/24)</formula>
    </cfRule>
    <cfRule type="expression" dxfId="6792" priority="111">
      <formula>T$9&lt;8/24</formula>
    </cfRule>
  </conditionalFormatting>
  <conditionalFormatting sqref="A97">
    <cfRule type="expression" dxfId="6791" priority="107">
      <formula>$AH97=0</formula>
    </cfRule>
  </conditionalFormatting>
  <conditionalFormatting sqref="B97:L97">
    <cfRule type="expression" dxfId="6790" priority="103">
      <formula>B$9&gt;=20/24</formula>
    </cfRule>
    <cfRule type="expression" dxfId="6789" priority="104">
      <formula>AND(B$9&gt;=14/24,B$9&lt;20/24)</formula>
    </cfRule>
    <cfRule type="expression" dxfId="6788" priority="105">
      <formula>AND(B$9&gt;=8/24,B$9&lt;14/24)</formula>
    </cfRule>
    <cfRule type="expression" dxfId="6787" priority="106">
      <formula>B$9&lt;8/24</formula>
    </cfRule>
  </conditionalFormatting>
  <conditionalFormatting sqref="M97:Q97">
    <cfRule type="expression" dxfId="6786" priority="99">
      <formula>M$9&gt;=20/24</formula>
    </cfRule>
    <cfRule type="expression" dxfId="6785" priority="100">
      <formula>AND(M$9&gt;=14/24,M$9&lt;20/24)</formula>
    </cfRule>
    <cfRule type="expression" dxfId="6784" priority="101">
      <formula>AND(M$9&gt;=8/24,M$9&lt;14/24)</formula>
    </cfRule>
    <cfRule type="expression" dxfId="6783" priority="102">
      <formula>M$9&lt;8/24</formula>
    </cfRule>
  </conditionalFormatting>
  <conditionalFormatting sqref="R97:S97">
    <cfRule type="expression" dxfId="6782" priority="95">
      <formula>R$9&gt;=20/24</formula>
    </cfRule>
    <cfRule type="expression" dxfId="6781" priority="96">
      <formula>AND(R$9&gt;=14/24,R$9&lt;20/24)</formula>
    </cfRule>
    <cfRule type="expression" dxfId="6780" priority="97">
      <formula>AND(R$9&gt;=8/24,R$9&lt;14/24)</formula>
    </cfRule>
    <cfRule type="expression" dxfId="6779" priority="98">
      <formula>R$9&lt;8/24</formula>
    </cfRule>
  </conditionalFormatting>
  <conditionalFormatting sqref="R12:U14 S15:U15 V12:X15">
    <cfRule type="expression" dxfId="6778" priority="91">
      <formula>R$9&gt;=20/24</formula>
    </cfRule>
    <cfRule type="expression" dxfId="6777" priority="92">
      <formula>AND(R$9&gt;=14/24,R$9&lt;20/24)</formula>
    </cfRule>
    <cfRule type="expression" dxfId="6776" priority="93">
      <formula>AND(R$9&gt;=8/24,R$9&lt;14/24)</formula>
    </cfRule>
    <cfRule type="expression" dxfId="6775" priority="94">
      <formula>R$9&lt;8/24</formula>
    </cfRule>
  </conditionalFormatting>
  <conditionalFormatting sqref="S16:X16">
    <cfRule type="expression" dxfId="6774" priority="87">
      <formula>S$9&gt;=20/24</formula>
    </cfRule>
    <cfRule type="expression" dxfId="6773" priority="88">
      <formula>AND(S$9&gt;=14/24,S$9&lt;20/24)</formula>
    </cfRule>
    <cfRule type="expression" dxfId="6772" priority="89">
      <formula>AND(S$9&gt;=8/24,S$9&lt;14/24)</formula>
    </cfRule>
    <cfRule type="expression" dxfId="6771" priority="90">
      <formula>S$9&lt;8/24</formula>
    </cfRule>
  </conditionalFormatting>
  <conditionalFormatting sqref="R12:X12">
    <cfRule type="expression" dxfId="6770" priority="83">
      <formula>R$9&gt;=20/24</formula>
    </cfRule>
    <cfRule type="expression" dxfId="6769" priority="84">
      <formula>AND(R$9&gt;=14/24,R$9&lt;20/24)</formula>
    </cfRule>
    <cfRule type="expression" dxfId="6768" priority="85">
      <formula>AND(R$9&gt;=8/24,R$9&lt;14/24)</formula>
    </cfRule>
    <cfRule type="expression" dxfId="6767" priority="86">
      <formula>R$9&lt;8/24</formula>
    </cfRule>
  </conditionalFormatting>
  <conditionalFormatting sqref="B46:L46">
    <cfRule type="expression" dxfId="6766" priority="75">
      <formula>B$9&gt;=20/24</formula>
    </cfRule>
    <cfRule type="expression" dxfId="6765" priority="76">
      <formula>AND(B$9&gt;=14/24,B$9&lt;20/24)</formula>
    </cfRule>
    <cfRule type="expression" dxfId="6764" priority="77">
      <formula>AND(B$9&gt;=8/24,B$9&lt;14/24)</formula>
    </cfRule>
    <cfRule type="expression" dxfId="6763" priority="78">
      <formula>B$9&lt;8/24</formula>
    </cfRule>
  </conditionalFormatting>
  <conditionalFormatting sqref="B49 B46:L46">
    <cfRule type="expression" dxfId="6762" priority="74">
      <formula>B46&gt;$AG46</formula>
    </cfRule>
  </conditionalFormatting>
  <conditionalFormatting sqref="B37:C45 D41:L45 B47:L48">
    <cfRule type="expression" dxfId="6761" priority="70">
      <formula>B$9&gt;=20/24</formula>
    </cfRule>
    <cfRule type="expression" dxfId="6760" priority="71">
      <formula>AND(B$9&gt;=14/24,B$9&lt;20/24)</formula>
    </cfRule>
    <cfRule type="expression" dxfId="6759" priority="72">
      <formula>AND(B$9&gt;=8/24,B$9&lt;14/24)</formula>
    </cfRule>
    <cfRule type="expression" dxfId="6758" priority="73">
      <formula>B$9&lt;8/24</formula>
    </cfRule>
  </conditionalFormatting>
  <conditionalFormatting sqref="B37:C45 D41:L45 B47:L48">
    <cfRule type="expression" dxfId="6757" priority="69">
      <formula>B37&gt;$AG37</formula>
    </cfRule>
  </conditionalFormatting>
  <conditionalFormatting sqref="B55:C58">
    <cfRule type="expression" dxfId="6756" priority="65">
      <formula>B$9&gt;=20/24</formula>
    </cfRule>
    <cfRule type="expression" dxfId="6755" priority="66">
      <formula>AND(B$9&gt;=14/24,B$9&lt;20/24)</formula>
    </cfRule>
    <cfRule type="expression" dxfId="6754" priority="67">
      <formula>AND(B$9&gt;=8/24,B$9&lt;14/24)</formula>
    </cfRule>
    <cfRule type="expression" dxfId="6753" priority="68">
      <formula>B$9&lt;8/24</formula>
    </cfRule>
  </conditionalFormatting>
  <conditionalFormatting sqref="B59:C65 D60:E65 F64:I65">
    <cfRule type="expression" dxfId="6752" priority="61">
      <formula>B$9&gt;=20/24</formula>
    </cfRule>
    <cfRule type="expression" dxfId="6751" priority="62">
      <formula>AND(B$9&gt;=14/24,B$9&lt;20/24)</formula>
    </cfRule>
    <cfRule type="expression" dxfId="6750" priority="63">
      <formula>AND(B$9&gt;=8/24,B$9&lt;14/24)</formula>
    </cfRule>
    <cfRule type="expression" dxfId="6749" priority="64">
      <formula>B$9&lt;8/24</formula>
    </cfRule>
  </conditionalFormatting>
  <conditionalFormatting sqref="AL42 AL37:AL40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L35 L11:L13 M24:M27 L15:L27 L29:M31">
    <cfRule type="expression" dxfId="6748" priority="56">
      <formula>L$9&gt;=20/24</formula>
    </cfRule>
    <cfRule type="expression" dxfId="6747" priority="57">
      <formula>AND(L$9&gt;=14/24,L$9&lt;20/24)</formula>
    </cfRule>
    <cfRule type="expression" dxfId="6746" priority="58">
      <formula>AND(L$9&gt;=8/24,L$9&lt;14/24)</formula>
    </cfRule>
    <cfRule type="expression" dxfId="6745" priority="59">
      <formula>L$9&lt;8/24</formula>
    </cfRule>
  </conditionalFormatting>
  <conditionalFormatting sqref="L33:M33">
    <cfRule type="expression" dxfId="6744" priority="52">
      <formula>L$9&gt;=20/24</formula>
    </cfRule>
    <cfRule type="expression" dxfId="6743" priority="53">
      <formula>AND(L$9&gt;=14/24,L$9&lt;20/24)</formula>
    </cfRule>
    <cfRule type="expression" dxfId="6742" priority="54">
      <formula>AND(L$9&gt;=8/24,L$9&lt;14/24)</formula>
    </cfRule>
    <cfRule type="expression" dxfId="6741" priority="55">
      <formula>L$9&lt;8/24</formula>
    </cfRule>
  </conditionalFormatting>
  <conditionalFormatting sqref="L33:L35 L11:L13 M33:M34 M24:M27 L15:L27 L29:M31">
    <cfRule type="expression" dxfId="6740" priority="51">
      <formula>L11&gt;$AG11</formula>
    </cfRule>
  </conditionalFormatting>
  <conditionalFormatting sqref="L34:M34">
    <cfRule type="expression" dxfId="6739" priority="47">
      <formula>L$9&gt;=20/24</formula>
    </cfRule>
    <cfRule type="expression" dxfId="6738" priority="48">
      <formula>AND(L$9&gt;=14/24,L$9&lt;20/24)</formula>
    </cfRule>
    <cfRule type="expression" dxfId="6737" priority="49">
      <formula>AND(L$9&gt;=8/24,L$9&lt;14/24)</formula>
    </cfRule>
    <cfRule type="expression" dxfId="6736" priority="50">
      <formula>L$9&lt;8/24</formula>
    </cfRule>
  </conditionalFormatting>
  <conditionalFormatting sqref="L32:M32">
    <cfRule type="expression" dxfId="6735" priority="43">
      <formula>L$9&gt;=20/24</formula>
    </cfRule>
    <cfRule type="expression" dxfId="6734" priority="44">
      <formula>AND(L$9&gt;=14/24,L$9&lt;20/24)</formula>
    </cfRule>
    <cfRule type="expression" dxfId="6733" priority="45">
      <formula>AND(L$9&gt;=8/24,L$9&lt;14/24)</formula>
    </cfRule>
    <cfRule type="expression" dxfId="6732" priority="46">
      <formula>L$9&lt;8/24</formula>
    </cfRule>
  </conditionalFormatting>
  <conditionalFormatting sqref="L32:M32">
    <cfRule type="expression" dxfId="6731" priority="42">
      <formula>L32&gt;$AG32</formula>
    </cfRule>
  </conditionalFormatting>
  <conditionalFormatting sqref="L14">
    <cfRule type="expression" dxfId="6730" priority="38">
      <formula>L$9&gt;=20/24</formula>
    </cfRule>
    <cfRule type="expression" dxfId="6729" priority="39">
      <formula>AND(L$9&gt;=14/24,L$9&lt;20/24)</formula>
    </cfRule>
    <cfRule type="expression" dxfId="6728" priority="40">
      <formula>AND(L$9&gt;=8/24,L$9&lt;14/24)</formula>
    </cfRule>
    <cfRule type="expression" dxfId="6727" priority="41">
      <formula>L$9&lt;8/24</formula>
    </cfRule>
  </conditionalFormatting>
  <conditionalFormatting sqref="L14">
    <cfRule type="expression" dxfId="6726" priority="37">
      <formula>L14&gt;$AG14</formula>
    </cfRule>
  </conditionalFormatting>
  <conditionalFormatting sqref="N35 N11:N13 N15:N23">
    <cfRule type="expression" dxfId="6725" priority="33">
      <formula>N$9&gt;=20/24</formula>
    </cfRule>
    <cfRule type="expression" dxfId="6724" priority="34">
      <formula>AND(N$9&gt;=14/24,N$9&lt;20/24)</formula>
    </cfRule>
    <cfRule type="expression" dxfId="6723" priority="35">
      <formula>AND(N$9&gt;=8/24,N$9&lt;14/24)</formula>
    </cfRule>
    <cfRule type="expression" dxfId="6722" priority="36">
      <formula>N$9&lt;8/24</formula>
    </cfRule>
  </conditionalFormatting>
  <conditionalFormatting sqref="N35 N11:N13 N15:N23">
    <cfRule type="expression" dxfId="6721" priority="32">
      <formula>N11&gt;$AG11</formula>
    </cfRule>
  </conditionalFormatting>
  <conditionalFormatting sqref="N14">
    <cfRule type="expression" dxfId="6720" priority="28">
      <formula>N$9&gt;=20/24</formula>
    </cfRule>
    <cfRule type="expression" dxfId="6719" priority="29">
      <formula>AND(N$9&gt;=14/24,N$9&lt;20/24)</formula>
    </cfRule>
    <cfRule type="expression" dxfId="6718" priority="30">
      <formula>AND(N$9&gt;=8/24,N$9&lt;14/24)</formula>
    </cfRule>
    <cfRule type="expression" dxfId="6717" priority="31">
      <formula>N$9&lt;8/24</formula>
    </cfRule>
  </conditionalFormatting>
  <conditionalFormatting sqref="N14">
    <cfRule type="expression" dxfId="6716" priority="27">
      <formula>N14&gt;$AG14</formula>
    </cfRule>
  </conditionalFormatting>
  <conditionalFormatting sqref="N24:N27 N29:N31">
    <cfRule type="expression" dxfId="6715" priority="23">
      <formula>N$9&gt;=20/24</formula>
    </cfRule>
    <cfRule type="expression" dxfId="6714" priority="24">
      <formula>AND(N$9&gt;=14/24,N$9&lt;20/24)</formula>
    </cfRule>
    <cfRule type="expression" dxfId="6713" priority="25">
      <formula>AND(N$9&gt;=8/24,N$9&lt;14/24)</formula>
    </cfRule>
    <cfRule type="expression" dxfId="6712" priority="26">
      <formula>N$9&lt;8/24</formula>
    </cfRule>
  </conditionalFormatting>
  <conditionalFormatting sqref="N33">
    <cfRule type="expression" dxfId="6711" priority="19">
      <formula>N$9&gt;=20/24</formula>
    </cfRule>
    <cfRule type="expression" dxfId="6710" priority="20">
      <formula>AND(N$9&gt;=14/24,N$9&lt;20/24)</formula>
    </cfRule>
    <cfRule type="expression" dxfId="6709" priority="21">
      <formula>AND(N$9&gt;=8/24,N$9&lt;14/24)</formula>
    </cfRule>
    <cfRule type="expression" dxfId="6708" priority="22">
      <formula>N$9&lt;8/24</formula>
    </cfRule>
  </conditionalFormatting>
  <conditionalFormatting sqref="N33:N34 N24:N27 N29:N31">
    <cfRule type="expression" dxfId="6707" priority="18">
      <formula>N24&gt;$AG24</formula>
    </cfRule>
  </conditionalFormatting>
  <conditionalFormatting sqref="N34">
    <cfRule type="expression" dxfId="6706" priority="14">
      <formula>N$9&gt;=20/24</formula>
    </cfRule>
    <cfRule type="expression" dxfId="6705" priority="15">
      <formula>AND(N$9&gt;=14/24,N$9&lt;20/24)</formula>
    </cfRule>
    <cfRule type="expression" dxfId="6704" priority="16">
      <formula>AND(N$9&gt;=8/24,N$9&lt;14/24)</formula>
    </cfRule>
    <cfRule type="expression" dxfId="6703" priority="17">
      <formula>N$9&lt;8/24</formula>
    </cfRule>
  </conditionalFormatting>
  <conditionalFormatting sqref="N32">
    <cfRule type="expression" dxfId="6702" priority="10">
      <formula>N$9&gt;=20/24</formula>
    </cfRule>
    <cfRule type="expression" dxfId="6701" priority="11">
      <formula>AND(N$9&gt;=14/24,N$9&lt;20/24)</formula>
    </cfRule>
    <cfRule type="expression" dxfId="6700" priority="12">
      <formula>AND(N$9&gt;=8/24,N$9&lt;14/24)</formula>
    </cfRule>
    <cfRule type="expression" dxfId="6699" priority="13">
      <formula>N$9&lt;8/24</formula>
    </cfRule>
  </conditionalFormatting>
  <conditionalFormatting sqref="N32">
    <cfRule type="expression" dxfId="6698" priority="9">
      <formula>N32&gt;$AG32</formula>
    </cfRule>
  </conditionalFormatting>
  <conditionalFormatting sqref="AA56:AB58">
    <cfRule type="expression" dxfId="6697" priority="5">
      <formula>AA$9&gt;=20/24</formula>
    </cfRule>
    <cfRule type="expression" dxfId="6696" priority="6">
      <formula>AND(AA$9&gt;=14/24,AA$9&lt;20/24)</formula>
    </cfRule>
    <cfRule type="expression" dxfId="6695" priority="7">
      <formula>AND(AA$9&gt;=8/24,AA$9&lt;14/24)</formula>
    </cfRule>
    <cfRule type="expression" dxfId="6694" priority="8">
      <formula>AA$9&lt;8/24</formula>
    </cfRule>
  </conditionalFormatting>
  <conditionalFormatting sqref="AC56:AD58 AE58">
    <cfRule type="expression" dxfId="6693" priority="1">
      <formula>AC$9&gt;=20/24</formula>
    </cfRule>
    <cfRule type="expression" dxfId="6692" priority="2">
      <formula>AND(AC$9&gt;=14/24,AC$9&lt;20/24)</formula>
    </cfRule>
    <cfRule type="expression" dxfId="6691" priority="3">
      <formula>AND(AC$9&gt;=8/24,AC$9&lt;14/24)</formula>
    </cfRule>
    <cfRule type="expression" dxfId="6690" priority="4">
      <formula>AC$9&lt;8/24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E11" activePane="bottomRight" state="frozen"/>
      <selection activeCell="AF88" sqref="AF88"/>
      <selection pane="topRight" activeCell="AF88" sqref="AF88"/>
      <selection pane="bottomLeft" activeCell="AF88" sqref="AF88"/>
      <selection pane="bottomRight" activeCell="R16" sqref="R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2078/04/14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-26.2</v>
      </c>
      <c r="C5" s="32">
        <f t="shared" ref="C5:AF5" si="0">C66</f>
        <v>-72</v>
      </c>
      <c r="D5" s="32">
        <f t="shared" si="0"/>
        <v>-53.7</v>
      </c>
      <c r="E5" s="32">
        <f t="shared" si="0"/>
        <v>-59.8</v>
      </c>
      <c r="F5" s="32">
        <f t="shared" si="0"/>
        <v>-30.9</v>
      </c>
      <c r="G5" s="32">
        <f t="shared" si="0"/>
        <v>-29.6</v>
      </c>
      <c r="H5" s="32">
        <f t="shared" si="0"/>
        <v>-60</v>
      </c>
      <c r="I5" s="32">
        <f t="shared" si="0"/>
        <v>-65.7</v>
      </c>
      <c r="J5" s="32">
        <f t="shared" si="0"/>
        <v>-21</v>
      </c>
      <c r="K5" s="32">
        <f t="shared" si="0"/>
        <v>-66</v>
      </c>
      <c r="L5" s="32">
        <f t="shared" si="0"/>
        <v>-43</v>
      </c>
      <c r="M5" s="32">
        <f t="shared" si="0"/>
        <v>-35</v>
      </c>
      <c r="N5" s="32">
        <f t="shared" si="0"/>
        <v>-28.3</v>
      </c>
      <c r="O5" s="32">
        <f t="shared" si="0"/>
        <v>-32</v>
      </c>
      <c r="P5" s="32">
        <f t="shared" si="0"/>
        <v>-40</v>
      </c>
      <c r="Q5" s="32">
        <f t="shared" si="0"/>
        <v>-42.5</v>
      </c>
      <c r="R5" s="32">
        <f t="shared" si="0"/>
        <v>-12.3</v>
      </c>
      <c r="S5" s="32">
        <f t="shared" si="0"/>
        <v>-59</v>
      </c>
      <c r="T5" s="32">
        <f t="shared" si="0"/>
        <v>-93.9</v>
      </c>
      <c r="U5" s="32">
        <f t="shared" si="0"/>
        <v>-44.1</v>
      </c>
      <c r="V5" s="32">
        <f t="shared" si="0"/>
        <v>-2.2999999999999998</v>
      </c>
      <c r="W5" s="32">
        <f t="shared" si="0"/>
        <v>-17.3</v>
      </c>
      <c r="X5" s="32">
        <f t="shared" si="0"/>
        <v>57.600000000000009</v>
      </c>
      <c r="Y5" s="32">
        <f t="shared" si="0"/>
        <v>-72.599999999999994</v>
      </c>
      <c r="Z5" s="32">
        <f t="shared" si="0"/>
        <v>-85.3</v>
      </c>
      <c r="AA5" s="32">
        <f t="shared" si="0"/>
        <v>-106</v>
      </c>
      <c r="AB5" s="32">
        <f t="shared" si="0"/>
        <v>-104</v>
      </c>
      <c r="AC5" s="32">
        <f t="shared" si="0"/>
        <v>-50</v>
      </c>
      <c r="AD5" s="32">
        <f t="shared" si="0"/>
        <v>-28</v>
      </c>
      <c r="AE5" s="32">
        <f t="shared" si="0"/>
        <v>-12</v>
      </c>
      <c r="AF5" s="32">
        <f t="shared" si="0"/>
        <v>-2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1262MW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Load=1028</v>
      </c>
      <c r="B7" s="37">
        <f t="shared" ref="B7:AF7" si="1">B73</f>
        <v>1107.6399999999999</v>
      </c>
      <c r="C7" s="37">
        <f t="shared" si="1"/>
        <v>1061.94</v>
      </c>
      <c r="D7" s="37">
        <f t="shared" si="1"/>
        <v>1043.8400000000001</v>
      </c>
      <c r="E7" s="37">
        <f t="shared" si="1"/>
        <v>1028.04</v>
      </c>
      <c r="F7" s="37">
        <f t="shared" si="1"/>
        <v>1068.24</v>
      </c>
      <c r="G7" s="37">
        <f t="shared" si="1"/>
        <v>1069.74</v>
      </c>
      <c r="H7" s="37">
        <f t="shared" si="1"/>
        <v>1042.6399999999999</v>
      </c>
      <c r="I7" s="37">
        <f t="shared" si="1"/>
        <v>1086.3399999999999</v>
      </c>
      <c r="J7" s="37">
        <f t="shared" si="1"/>
        <v>1143.44</v>
      </c>
      <c r="K7" s="37">
        <f t="shared" si="1"/>
        <v>1247.44</v>
      </c>
      <c r="L7" s="37">
        <f>L73</f>
        <v>1248.24</v>
      </c>
      <c r="M7" s="37">
        <f t="shared" si="1"/>
        <v>1261.8400000000001</v>
      </c>
      <c r="N7" s="37">
        <f t="shared" si="1"/>
        <v>1259.6399999999999</v>
      </c>
      <c r="O7" s="37">
        <f t="shared" si="1"/>
        <v>1261.74</v>
      </c>
      <c r="P7" s="37">
        <f t="shared" si="1"/>
        <v>1302.1399999999999</v>
      </c>
      <c r="Q7" s="37">
        <f t="shared" si="1"/>
        <v>1261.24</v>
      </c>
      <c r="R7" s="37">
        <f t="shared" si="1"/>
        <v>1253.74</v>
      </c>
      <c r="S7" s="37">
        <f t="shared" si="1"/>
        <v>1267.9399999999998</v>
      </c>
      <c r="T7" s="37">
        <f t="shared" si="1"/>
        <v>1234.74</v>
      </c>
      <c r="U7" s="37">
        <f t="shared" si="1"/>
        <v>1272.3399999999999</v>
      </c>
      <c r="V7" s="37">
        <f t="shared" si="1"/>
        <v>1307.94</v>
      </c>
      <c r="W7" s="37">
        <f t="shared" si="1"/>
        <v>1335.84</v>
      </c>
      <c r="X7" s="37">
        <f t="shared" si="1"/>
        <v>1534.54</v>
      </c>
      <c r="Y7" s="37">
        <f t="shared" si="1"/>
        <v>1458.53</v>
      </c>
      <c r="Z7" s="37">
        <f t="shared" si="1"/>
        <v>1435.53</v>
      </c>
      <c r="AA7" s="37">
        <f t="shared" si="1"/>
        <v>1405.24</v>
      </c>
      <c r="AB7" s="37">
        <f t="shared" si="1"/>
        <v>1404.24</v>
      </c>
      <c r="AC7" s="37">
        <f t="shared" si="1"/>
        <v>1362.04</v>
      </c>
      <c r="AD7" s="37">
        <f t="shared" si="1"/>
        <v>1260.44</v>
      </c>
      <c r="AE7" s="37">
        <f t="shared" si="1"/>
        <v>1221.44</v>
      </c>
      <c r="AF7" s="37">
        <f t="shared" si="1"/>
        <v>1198.24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200</v>
      </c>
      <c r="C11" s="49">
        <v>200</v>
      </c>
      <c r="D11" s="49">
        <v>200</v>
      </c>
      <c r="E11" s="49">
        <v>190</v>
      </c>
      <c r="F11" s="49">
        <v>210</v>
      </c>
      <c r="G11" s="49">
        <v>210</v>
      </c>
      <c r="H11" s="49">
        <v>213.3</v>
      </c>
      <c r="I11" s="49">
        <v>210.9</v>
      </c>
      <c r="J11" s="49">
        <v>211.7</v>
      </c>
      <c r="K11" s="49">
        <v>220</v>
      </c>
      <c r="L11" s="50">
        <v>220</v>
      </c>
      <c r="M11" s="50">
        <v>220</v>
      </c>
      <c r="N11" s="50">
        <v>220</v>
      </c>
      <c r="O11" s="50">
        <v>230</v>
      </c>
      <c r="P11" s="50">
        <v>280</v>
      </c>
      <c r="Q11" s="51">
        <v>260</v>
      </c>
      <c r="R11" s="52">
        <v>260</v>
      </c>
      <c r="S11" s="52">
        <v>320</v>
      </c>
      <c r="T11" s="52">
        <v>320</v>
      </c>
      <c r="U11" s="52">
        <v>310</v>
      </c>
      <c r="V11" s="52">
        <v>304</v>
      </c>
      <c r="W11" s="52">
        <v>341</v>
      </c>
      <c r="X11" s="52">
        <v>408</v>
      </c>
      <c r="Y11" s="53">
        <v>451</v>
      </c>
      <c r="Z11" s="115">
        <v>450.69</v>
      </c>
      <c r="AA11" s="115">
        <v>450</v>
      </c>
      <c r="AB11" s="115">
        <v>450</v>
      </c>
      <c r="AC11" s="115">
        <v>400</v>
      </c>
      <c r="AD11" s="115">
        <v>300</v>
      </c>
      <c r="AE11" s="49">
        <v>250</v>
      </c>
      <c r="AF11" s="49">
        <v>220</v>
      </c>
      <c r="AG11" s="54">
        <v>456</v>
      </c>
      <c r="AH11" s="55">
        <f>MAX(B11:AF11)</f>
        <v>451</v>
      </c>
      <c r="AI11" s="56">
        <f>MIN(B11:AF11)</f>
        <v>190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48</v>
      </c>
      <c r="H12" s="49">
        <v>48</v>
      </c>
      <c r="I12" s="49">
        <v>48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36.9</v>
      </c>
      <c r="C14" s="62">
        <v>37</v>
      </c>
      <c r="D14" s="62">
        <v>37</v>
      </c>
      <c r="E14" s="62">
        <v>37</v>
      </c>
      <c r="F14" s="62">
        <v>37</v>
      </c>
      <c r="G14" s="62">
        <v>37</v>
      </c>
      <c r="H14" s="62">
        <v>37</v>
      </c>
      <c r="I14" s="62">
        <v>45.8</v>
      </c>
      <c r="J14" s="62">
        <v>45.8</v>
      </c>
      <c r="K14" s="62">
        <v>46.2</v>
      </c>
      <c r="L14" s="50">
        <v>46</v>
      </c>
      <c r="M14" s="50">
        <v>45.8</v>
      </c>
      <c r="N14" s="50">
        <v>45.9</v>
      </c>
      <c r="O14" s="50">
        <v>45.8</v>
      </c>
      <c r="P14" s="50">
        <v>45.8</v>
      </c>
      <c r="Q14" s="50">
        <v>46</v>
      </c>
      <c r="R14" s="61">
        <v>45.9</v>
      </c>
      <c r="S14" s="61">
        <v>45.9</v>
      </c>
      <c r="T14" s="61">
        <v>45.6</v>
      </c>
      <c r="U14" s="61">
        <v>45.6</v>
      </c>
      <c r="V14" s="61">
        <v>45.6</v>
      </c>
      <c r="W14" s="61">
        <v>45.6</v>
      </c>
      <c r="X14" s="61">
        <v>45.6</v>
      </c>
      <c r="Y14" s="50">
        <v>45.6</v>
      </c>
      <c r="Z14" s="50">
        <v>45.6</v>
      </c>
      <c r="AA14" s="50">
        <v>45.6</v>
      </c>
      <c r="AB14" s="50">
        <v>45.6</v>
      </c>
      <c r="AC14" s="50">
        <v>45.6</v>
      </c>
      <c r="AD14" s="50">
        <v>45.6</v>
      </c>
      <c r="AE14" s="50">
        <v>45.6</v>
      </c>
      <c r="AF14" s="50">
        <v>45.6</v>
      </c>
      <c r="AG14" s="63">
        <v>45</v>
      </c>
      <c r="AH14" s="55">
        <f t="shared" si="2"/>
        <v>46.2</v>
      </c>
      <c r="AI14" s="56">
        <f t="shared" si="3"/>
        <v>36.9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20</v>
      </c>
      <c r="C15" s="49">
        <v>20</v>
      </c>
      <c r="D15" s="49">
        <v>16</v>
      </c>
      <c r="E15" s="49">
        <v>16</v>
      </c>
      <c r="F15" s="49">
        <v>16</v>
      </c>
      <c r="G15" s="49">
        <v>16</v>
      </c>
      <c r="H15" s="49">
        <v>16</v>
      </c>
      <c r="I15" s="49">
        <v>16</v>
      </c>
      <c r="J15" s="49">
        <v>16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16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15</v>
      </c>
      <c r="S16" s="61">
        <v>15</v>
      </c>
      <c r="T16" s="61">
        <v>15</v>
      </c>
      <c r="U16" s="61">
        <v>15</v>
      </c>
      <c r="V16" s="61">
        <v>15</v>
      </c>
      <c r="W16" s="61">
        <v>15</v>
      </c>
      <c r="X16" s="61">
        <v>15</v>
      </c>
      <c r="Y16" s="50">
        <v>15</v>
      </c>
      <c r="Z16" s="50">
        <v>15</v>
      </c>
      <c r="AA16" s="50">
        <v>15</v>
      </c>
      <c r="AB16" s="50">
        <v>15</v>
      </c>
      <c r="AC16" s="50">
        <v>15</v>
      </c>
      <c r="AD16" s="50">
        <v>15</v>
      </c>
      <c r="AE16" s="50">
        <v>15</v>
      </c>
      <c r="AF16" s="50">
        <v>15</v>
      </c>
      <c r="AG16" s="60">
        <v>42</v>
      </c>
      <c r="AH16" s="55">
        <f t="shared" si="2"/>
        <v>25</v>
      </c>
      <c r="AI16" s="56">
        <f t="shared" si="3"/>
        <v>15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18</v>
      </c>
      <c r="E18" s="49">
        <v>18</v>
      </c>
      <c r="F18" s="49">
        <v>18</v>
      </c>
      <c r="G18" s="49">
        <v>18</v>
      </c>
      <c r="H18" s="49">
        <v>18</v>
      </c>
      <c r="I18" s="49">
        <v>25</v>
      </c>
      <c r="J18" s="49">
        <v>25</v>
      </c>
      <c r="K18" s="49">
        <v>25</v>
      </c>
      <c r="L18" s="50">
        <v>25.2</v>
      </c>
      <c r="M18" s="50">
        <v>25.2</v>
      </c>
      <c r="N18" s="50">
        <v>25.2</v>
      </c>
      <c r="O18" s="50">
        <v>25.3</v>
      </c>
      <c r="P18" s="50">
        <v>25.3</v>
      </c>
      <c r="Q18" s="50">
        <v>25.3</v>
      </c>
      <c r="R18" s="50">
        <v>25.3</v>
      </c>
      <c r="S18" s="50">
        <v>25.3</v>
      </c>
      <c r="T18" s="50">
        <v>25.3</v>
      </c>
      <c r="U18" s="50">
        <v>25.3</v>
      </c>
      <c r="V18" s="50">
        <v>25.3</v>
      </c>
      <c r="W18" s="50">
        <v>25.3</v>
      </c>
      <c r="X18" s="50">
        <v>25.3</v>
      </c>
      <c r="Y18" s="50">
        <v>25.3</v>
      </c>
      <c r="Z18" s="50">
        <v>25.3</v>
      </c>
      <c r="AA18" s="50">
        <v>25.3</v>
      </c>
      <c r="AB18" s="50">
        <v>25.3</v>
      </c>
      <c r="AC18" s="50">
        <v>25.3</v>
      </c>
      <c r="AD18" s="50">
        <v>25.3</v>
      </c>
      <c r="AE18" s="50">
        <v>25.3</v>
      </c>
      <c r="AF18" s="50">
        <v>25.3</v>
      </c>
      <c r="AG18" s="60">
        <v>30</v>
      </c>
      <c r="AH18" s="55">
        <f t="shared" si="2"/>
        <v>25.3</v>
      </c>
      <c r="AI18" s="56">
        <f t="shared" si="3"/>
        <v>18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16</v>
      </c>
      <c r="R22" s="50">
        <v>14</v>
      </c>
      <c r="S22" s="50">
        <v>14</v>
      </c>
      <c r="T22" s="50">
        <v>14</v>
      </c>
      <c r="U22" s="50">
        <v>14</v>
      </c>
      <c r="V22" s="50">
        <v>14</v>
      </c>
      <c r="W22" s="50">
        <v>14</v>
      </c>
      <c r="X22" s="50">
        <v>14</v>
      </c>
      <c r="Y22" s="50">
        <v>14</v>
      </c>
      <c r="Z22" s="50">
        <v>14</v>
      </c>
      <c r="AA22" s="50">
        <v>14</v>
      </c>
      <c r="AB22" s="50">
        <v>14</v>
      </c>
      <c r="AC22" s="50">
        <v>14</v>
      </c>
      <c r="AD22" s="50">
        <v>14</v>
      </c>
      <c r="AE22" s="50">
        <v>14</v>
      </c>
      <c r="AF22" s="50">
        <v>14</v>
      </c>
      <c r="AG22" s="60">
        <v>25</v>
      </c>
      <c r="AH22" s="55">
        <f t="shared" si="2"/>
        <v>22</v>
      </c>
      <c r="AI22" s="56">
        <f t="shared" si="3"/>
        <v>14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16</v>
      </c>
      <c r="E23" s="49">
        <v>16</v>
      </c>
      <c r="F23" s="49">
        <v>16</v>
      </c>
      <c r="G23" s="49">
        <v>16</v>
      </c>
      <c r="H23" s="49">
        <v>16</v>
      </c>
      <c r="I23" s="49">
        <v>16</v>
      </c>
      <c r="J23" s="49">
        <v>16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16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17</v>
      </c>
      <c r="E24" s="49">
        <v>17</v>
      </c>
      <c r="F24" s="49">
        <v>17</v>
      </c>
      <c r="G24" s="49">
        <v>17</v>
      </c>
      <c r="H24" s="49">
        <v>17</v>
      </c>
      <c r="I24" s="49">
        <v>17</v>
      </c>
      <c r="J24" s="49">
        <v>17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15</v>
      </c>
      <c r="R24" s="50">
        <v>15</v>
      </c>
      <c r="S24" s="50">
        <v>15</v>
      </c>
      <c r="T24" s="50">
        <v>15</v>
      </c>
      <c r="U24" s="50">
        <v>15</v>
      </c>
      <c r="V24" s="50">
        <v>15</v>
      </c>
      <c r="W24" s="50">
        <v>15</v>
      </c>
      <c r="X24" s="50">
        <v>15</v>
      </c>
      <c r="Y24" s="50">
        <v>15</v>
      </c>
      <c r="Z24" s="50">
        <v>15</v>
      </c>
      <c r="AA24" s="50">
        <v>15</v>
      </c>
      <c r="AB24" s="50">
        <v>15</v>
      </c>
      <c r="AC24" s="50">
        <v>15</v>
      </c>
      <c r="AD24" s="50">
        <v>15</v>
      </c>
      <c r="AE24" s="50">
        <v>15</v>
      </c>
      <c r="AF24" s="50">
        <v>15</v>
      </c>
      <c r="AG24" s="60">
        <v>24.2</v>
      </c>
      <c r="AH24" s="55">
        <f t="shared" si="2"/>
        <v>22</v>
      </c>
      <c r="AI24" s="56">
        <f t="shared" si="3"/>
        <v>15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14</v>
      </c>
      <c r="Z25" s="50">
        <v>12</v>
      </c>
      <c r="AA25" s="50">
        <v>12</v>
      </c>
      <c r="AB25" s="50">
        <v>12</v>
      </c>
      <c r="AC25" s="50">
        <v>12</v>
      </c>
      <c r="AD25" s="50">
        <v>12</v>
      </c>
      <c r="AE25" s="50">
        <v>7</v>
      </c>
      <c r="AF25" s="50">
        <v>7</v>
      </c>
      <c r="AG25" s="60">
        <v>20</v>
      </c>
      <c r="AH25" s="55">
        <f t="shared" si="2"/>
        <v>14</v>
      </c>
      <c r="AI25" s="56">
        <f t="shared" si="3"/>
        <v>7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15</v>
      </c>
      <c r="C26" s="49">
        <v>15</v>
      </c>
      <c r="D26" s="49">
        <v>15</v>
      </c>
      <c r="E26" s="49">
        <v>15</v>
      </c>
      <c r="F26" s="49">
        <v>15</v>
      </c>
      <c r="G26" s="49">
        <v>15</v>
      </c>
      <c r="H26" s="49">
        <v>15</v>
      </c>
      <c r="I26" s="49">
        <v>15</v>
      </c>
      <c r="J26" s="49">
        <v>15</v>
      </c>
      <c r="K26" s="49">
        <v>15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60">
        <v>23.5</v>
      </c>
      <c r="AH26" s="55">
        <f t="shared" si="2"/>
        <v>15</v>
      </c>
      <c r="AI26" s="56">
        <f t="shared" si="3"/>
        <v>10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12.8</v>
      </c>
      <c r="C28" s="49">
        <v>12.8</v>
      </c>
      <c r="D28" s="49">
        <v>12.8</v>
      </c>
      <c r="E28" s="49">
        <v>12.8</v>
      </c>
      <c r="F28" s="49">
        <v>12.8</v>
      </c>
      <c r="G28" s="49">
        <v>12.8</v>
      </c>
      <c r="H28" s="49">
        <v>12.8</v>
      </c>
      <c r="I28" s="49">
        <v>12.8</v>
      </c>
      <c r="J28" s="49">
        <v>12.8</v>
      </c>
      <c r="K28" s="49">
        <v>12.8</v>
      </c>
      <c r="L28" s="50">
        <v>12.8</v>
      </c>
      <c r="M28" s="50">
        <v>12.8</v>
      </c>
      <c r="N28" s="50">
        <v>12.8</v>
      </c>
      <c r="O28" s="50">
        <v>12.8</v>
      </c>
      <c r="P28" s="50">
        <v>12.8</v>
      </c>
      <c r="Q28" s="50">
        <v>12.8</v>
      </c>
      <c r="R28" s="50">
        <v>12.8</v>
      </c>
      <c r="S28" s="50">
        <v>12.8</v>
      </c>
      <c r="T28" s="50">
        <v>12.8</v>
      </c>
      <c r="U28" s="50">
        <v>12.8</v>
      </c>
      <c r="V28" s="50">
        <v>12.8</v>
      </c>
      <c r="W28" s="50">
        <v>12.8</v>
      </c>
      <c r="X28" s="50">
        <v>12.8</v>
      </c>
      <c r="Y28" s="50">
        <v>12.8</v>
      </c>
      <c r="Z28" s="50">
        <v>12.8</v>
      </c>
      <c r="AA28" s="50">
        <v>12.8</v>
      </c>
      <c r="AB28" s="50">
        <v>12.8</v>
      </c>
      <c r="AC28" s="50">
        <v>12.8</v>
      </c>
      <c r="AD28" s="50">
        <v>12.8</v>
      </c>
      <c r="AE28" s="50">
        <v>12.8</v>
      </c>
      <c r="AF28" s="50">
        <v>12.8</v>
      </c>
      <c r="AG28" s="60">
        <v>22.1</v>
      </c>
      <c r="AH28" s="55">
        <f t="shared" si="2"/>
        <v>12.8</v>
      </c>
      <c r="AI28" s="56">
        <f t="shared" si="3"/>
        <v>12.8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4</v>
      </c>
      <c r="AD29" s="50">
        <v>4</v>
      </c>
      <c r="AE29" s="50">
        <v>4</v>
      </c>
      <c r="AF29" s="50">
        <v>4</v>
      </c>
      <c r="AG29" s="60">
        <v>22.1</v>
      </c>
      <c r="AH29" s="55">
        <f t="shared" si="2"/>
        <v>12</v>
      </c>
      <c r="AI29" s="56">
        <f t="shared" si="3"/>
        <v>4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220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62">
        <v>164</v>
      </c>
      <c r="C35" s="62">
        <v>164</v>
      </c>
      <c r="D35" s="62">
        <v>151</v>
      </c>
      <c r="E35" s="62">
        <v>149.19999999999999</v>
      </c>
      <c r="F35" s="62">
        <v>149.19999999999999</v>
      </c>
      <c r="G35" s="62">
        <v>149.19999999999999</v>
      </c>
      <c r="H35" s="62">
        <v>151</v>
      </c>
      <c r="I35" s="62">
        <v>157.30000000000001</v>
      </c>
      <c r="J35" s="62">
        <v>157.19999999999999</v>
      </c>
      <c r="K35" s="62">
        <v>164</v>
      </c>
      <c r="L35" s="70">
        <f>73.9+89.5</f>
        <v>163.4</v>
      </c>
      <c r="M35" s="70">
        <f>74.3+91.5</f>
        <v>165.8</v>
      </c>
      <c r="N35" s="70">
        <f>74.5+88.9</f>
        <v>163.4</v>
      </c>
      <c r="O35" s="70">
        <f>88.8+74.6</f>
        <v>163.39999999999998</v>
      </c>
      <c r="P35" s="70">
        <f>77.92+74.1</f>
        <v>152.01999999999998</v>
      </c>
      <c r="Q35" s="70">
        <v>105.6</v>
      </c>
      <c r="R35" s="70">
        <f>96</f>
        <v>96</v>
      </c>
      <c r="S35" s="70">
        <v>111.8</v>
      </c>
      <c r="T35" s="70">
        <v>111.6</v>
      </c>
      <c r="U35" s="70">
        <v>113</v>
      </c>
      <c r="V35" s="70">
        <v>113</v>
      </c>
      <c r="W35" s="70">
        <v>111</v>
      </c>
      <c r="X35" s="70">
        <v>111</v>
      </c>
      <c r="Y35" s="70">
        <v>110.6</v>
      </c>
      <c r="Z35" s="70">
        <v>110.6</v>
      </c>
      <c r="AA35" s="70">
        <v>113</v>
      </c>
      <c r="AB35" s="70">
        <v>113</v>
      </c>
      <c r="AC35" s="70">
        <v>115</v>
      </c>
      <c r="AD35" s="70">
        <v>116.7</v>
      </c>
      <c r="AE35" s="70">
        <v>116.7</v>
      </c>
      <c r="AF35" s="70">
        <v>116.7</v>
      </c>
      <c r="AG35" s="67">
        <v>240</v>
      </c>
      <c r="AH35" s="55">
        <f t="shared" si="2"/>
        <v>165.8</v>
      </c>
      <c r="AI35" s="56">
        <f t="shared" si="3"/>
        <v>96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777.09999999999991</v>
      </c>
      <c r="C36" s="72">
        <f t="shared" si="4"/>
        <v>777.19999999999993</v>
      </c>
      <c r="D36" s="72">
        <f t="shared" si="4"/>
        <v>750</v>
      </c>
      <c r="E36" s="72">
        <f t="shared" si="4"/>
        <v>740</v>
      </c>
      <c r="F36" s="72">
        <f t="shared" si="4"/>
        <v>760</v>
      </c>
      <c r="G36" s="72">
        <f t="shared" si="4"/>
        <v>760</v>
      </c>
      <c r="H36" s="72">
        <f t="shared" si="4"/>
        <v>763.3</v>
      </c>
      <c r="I36" s="72">
        <f t="shared" si="4"/>
        <v>781.69999999999993</v>
      </c>
      <c r="J36" s="72">
        <f t="shared" si="4"/>
        <v>794.5</v>
      </c>
      <c r="K36" s="72">
        <f t="shared" si="4"/>
        <v>824.19999999999993</v>
      </c>
      <c r="L36" s="72">
        <f t="shared" si="4"/>
        <v>824.19999999999993</v>
      </c>
      <c r="M36" s="72">
        <f t="shared" si="4"/>
        <v>824</v>
      </c>
      <c r="N36" s="72">
        <f t="shared" si="4"/>
        <v>824.09999999999991</v>
      </c>
      <c r="O36" s="72">
        <f t="shared" si="4"/>
        <v>834.09999999999991</v>
      </c>
      <c r="P36" s="72">
        <f t="shared" si="4"/>
        <v>884.09999999999991</v>
      </c>
      <c r="Q36" s="72">
        <f t="shared" si="4"/>
        <v>846.3</v>
      </c>
      <c r="R36" s="72">
        <f t="shared" si="4"/>
        <v>814.19999999999993</v>
      </c>
      <c r="S36" s="72">
        <f t="shared" si="4"/>
        <v>874.19999999999993</v>
      </c>
      <c r="T36" s="72">
        <f t="shared" si="4"/>
        <v>873.9</v>
      </c>
      <c r="U36" s="72">
        <f t="shared" si="4"/>
        <v>863.9</v>
      </c>
      <c r="V36" s="72">
        <f t="shared" si="4"/>
        <v>857.9</v>
      </c>
      <c r="W36" s="72">
        <f t="shared" si="4"/>
        <v>894.9</v>
      </c>
      <c r="X36" s="72">
        <f t="shared" si="4"/>
        <v>961.9</v>
      </c>
      <c r="Y36" s="72">
        <f t="shared" si="4"/>
        <v>1008.9</v>
      </c>
      <c r="Z36" s="72">
        <f t="shared" si="4"/>
        <v>1006.5899999999999</v>
      </c>
      <c r="AA36" s="72">
        <f t="shared" si="4"/>
        <v>1005.9</v>
      </c>
      <c r="AB36" s="72">
        <f t="shared" si="4"/>
        <v>1005.9</v>
      </c>
      <c r="AC36" s="72">
        <f t="shared" si="4"/>
        <v>947.9</v>
      </c>
      <c r="AD36" s="72">
        <f t="shared" si="4"/>
        <v>847.9</v>
      </c>
      <c r="AE36" s="72">
        <f t="shared" si="4"/>
        <v>792.9</v>
      </c>
      <c r="AF36" s="72">
        <f t="shared" si="4"/>
        <v>762.9</v>
      </c>
      <c r="AG36" s="67">
        <f>SUM(AG11:AG35)</f>
        <v>1431.83</v>
      </c>
      <c r="AH36" s="55">
        <f t="shared" si="2"/>
        <v>1008.9</v>
      </c>
      <c r="AI36" s="56">
        <f t="shared" si="3"/>
        <v>740</v>
      </c>
      <c r="AJ36" s="176">
        <f>AVERAGE(B36:AF36)</f>
        <v>847.89000000000044</v>
      </c>
      <c r="AK36" s="176">
        <f>(1000-AJ36)*24</f>
        <v>3650.6399999999894</v>
      </c>
      <c r="AL36">
        <f>AK36/24</f>
        <v>152.10999999999956</v>
      </c>
    </row>
    <row r="37" spans="1:88" x14ac:dyDescent="0.25">
      <c r="A37" s="58" t="s">
        <v>44</v>
      </c>
      <c r="B37" s="62">
        <v>121</v>
      </c>
      <c r="C37" s="62">
        <v>121.3</v>
      </c>
      <c r="D37" s="62">
        <v>92</v>
      </c>
      <c r="E37" s="62">
        <v>92</v>
      </c>
      <c r="F37" s="62">
        <v>96.8</v>
      </c>
      <c r="G37" s="62">
        <v>96.9</v>
      </c>
      <c r="H37" s="62">
        <v>96.9</v>
      </c>
      <c r="I37" s="62">
        <v>96.8</v>
      </c>
      <c r="J37" s="62">
        <v>96.9</v>
      </c>
      <c r="K37" s="62">
        <v>143.80000000000001</v>
      </c>
      <c r="L37" s="50">
        <v>137</v>
      </c>
      <c r="M37" s="50">
        <v>144.19999999999999</v>
      </c>
      <c r="N37" s="50">
        <v>144.6</v>
      </c>
      <c r="O37" s="50">
        <v>144.6</v>
      </c>
      <c r="P37" s="50">
        <v>144.1</v>
      </c>
      <c r="Q37" s="50">
        <v>144.9</v>
      </c>
      <c r="R37" s="50">
        <v>144.9</v>
      </c>
      <c r="S37" s="50">
        <v>145.19999999999999</v>
      </c>
      <c r="T37" s="50">
        <v>145</v>
      </c>
      <c r="U37" s="50">
        <v>144.6</v>
      </c>
      <c r="V37" s="50">
        <v>145</v>
      </c>
      <c r="W37" s="50">
        <v>144.80000000000001</v>
      </c>
      <c r="X37" s="50">
        <v>145.30000000000001</v>
      </c>
      <c r="Y37" s="50">
        <v>145.1</v>
      </c>
      <c r="Z37" s="50">
        <v>145</v>
      </c>
      <c r="AA37" s="50">
        <v>144.9</v>
      </c>
      <c r="AB37" s="50">
        <v>144.9</v>
      </c>
      <c r="AC37" s="50">
        <v>144.9</v>
      </c>
      <c r="AD37" s="50">
        <v>144.80000000000001</v>
      </c>
      <c r="AE37" s="50">
        <v>144.80000000000001</v>
      </c>
      <c r="AF37" s="50">
        <v>144.80000000000001</v>
      </c>
      <c r="AG37" s="63">
        <v>144</v>
      </c>
      <c r="AH37" s="55">
        <f t="shared" si="2"/>
        <v>145.30000000000001</v>
      </c>
      <c r="AI37" s="56">
        <f t="shared" si="3"/>
        <v>92</v>
      </c>
      <c r="AK37" s="57"/>
    </row>
    <row r="38" spans="1:88" x14ac:dyDescent="0.25">
      <c r="A38" s="66" t="s">
        <v>45</v>
      </c>
      <c r="B38" s="62">
        <v>51.2</v>
      </c>
      <c r="C38" s="62">
        <v>50.8</v>
      </c>
      <c r="D38" s="62">
        <v>60.8</v>
      </c>
      <c r="E38" s="62">
        <v>61</v>
      </c>
      <c r="F38" s="62">
        <v>61</v>
      </c>
      <c r="G38" s="62">
        <v>61.1</v>
      </c>
      <c r="H38" s="62">
        <v>61.1</v>
      </c>
      <c r="I38" s="62">
        <v>70.099999999999994</v>
      </c>
      <c r="J38" s="62">
        <v>69.900000000000006</v>
      </c>
      <c r="K38" s="62">
        <v>69.599999999999994</v>
      </c>
      <c r="L38" s="52">
        <v>69</v>
      </c>
      <c r="M38" s="52">
        <v>69</v>
      </c>
      <c r="N38" s="52">
        <v>70</v>
      </c>
      <c r="O38" s="52">
        <v>69.7</v>
      </c>
      <c r="P38" s="52">
        <v>68.7</v>
      </c>
      <c r="Q38" s="52">
        <v>69.5</v>
      </c>
      <c r="R38" s="52">
        <v>69.5</v>
      </c>
      <c r="S38" s="52">
        <v>71.099999999999994</v>
      </c>
      <c r="T38" s="52">
        <v>72.2</v>
      </c>
      <c r="U38" s="52">
        <v>70.599999999999994</v>
      </c>
      <c r="V38" s="52">
        <v>69.599999999999994</v>
      </c>
      <c r="W38" s="52">
        <v>71.7</v>
      </c>
      <c r="X38" s="52">
        <v>70.400000000000006</v>
      </c>
      <c r="Y38" s="52">
        <v>70.400000000000006</v>
      </c>
      <c r="Z38" s="52">
        <v>70.599999999999994</v>
      </c>
      <c r="AA38" s="52">
        <v>70.900000000000006</v>
      </c>
      <c r="AB38" s="52">
        <v>70.900000000000006</v>
      </c>
      <c r="AC38" s="52">
        <v>70.900000000000006</v>
      </c>
      <c r="AD38" s="52">
        <v>71</v>
      </c>
      <c r="AE38" s="52">
        <v>71</v>
      </c>
      <c r="AF38" s="52">
        <v>71</v>
      </c>
      <c r="AG38" s="67">
        <v>70</v>
      </c>
      <c r="AH38" s="55">
        <f t="shared" si="2"/>
        <v>72.2</v>
      </c>
      <c r="AI38" s="56">
        <f t="shared" si="3"/>
        <v>50.8</v>
      </c>
      <c r="AK38" s="57"/>
    </row>
    <row r="39" spans="1:88" x14ac:dyDescent="0.25">
      <c r="A39" s="66" t="s">
        <v>46</v>
      </c>
      <c r="B39" s="62">
        <v>51.4</v>
      </c>
      <c r="C39" s="62">
        <v>51.5</v>
      </c>
      <c r="D39" s="62">
        <v>61.7</v>
      </c>
      <c r="E39" s="62">
        <v>61.7</v>
      </c>
      <c r="F39" s="62">
        <v>67.8</v>
      </c>
      <c r="G39" s="62">
        <v>67.8</v>
      </c>
      <c r="H39" s="62">
        <v>67.8</v>
      </c>
      <c r="I39" s="62">
        <v>70</v>
      </c>
      <c r="J39" s="62">
        <v>69.900000000000006</v>
      </c>
      <c r="K39" s="62">
        <v>69.8</v>
      </c>
      <c r="L39" s="52">
        <v>69.7</v>
      </c>
      <c r="M39" s="52">
        <v>69</v>
      </c>
      <c r="N39" s="52">
        <v>69.7</v>
      </c>
      <c r="O39" s="52">
        <v>69.3</v>
      </c>
      <c r="P39" s="52">
        <v>69.599999999999994</v>
      </c>
      <c r="Q39" s="52">
        <v>69.8</v>
      </c>
      <c r="R39" s="52">
        <v>70.400000000000006</v>
      </c>
      <c r="S39" s="52">
        <v>70</v>
      </c>
      <c r="T39" s="52">
        <v>69.7</v>
      </c>
      <c r="U39" s="52">
        <v>69.5</v>
      </c>
      <c r="V39" s="52">
        <v>69.5</v>
      </c>
      <c r="W39" s="52">
        <v>69.3</v>
      </c>
      <c r="X39" s="52">
        <v>69.400000000000006</v>
      </c>
      <c r="Y39" s="52">
        <v>69.3</v>
      </c>
      <c r="Z39" s="52">
        <v>69.7</v>
      </c>
      <c r="AA39" s="52">
        <v>70</v>
      </c>
      <c r="AB39" s="52">
        <v>70</v>
      </c>
      <c r="AC39" s="52">
        <v>70</v>
      </c>
      <c r="AD39" s="52">
        <v>70</v>
      </c>
      <c r="AE39" s="52">
        <v>70</v>
      </c>
      <c r="AF39" s="52">
        <v>70</v>
      </c>
      <c r="AG39" s="67">
        <v>69</v>
      </c>
      <c r="AH39" s="55">
        <f t="shared" si="2"/>
        <v>70.400000000000006</v>
      </c>
      <c r="AI39" s="56">
        <f t="shared" si="3"/>
        <v>51.4</v>
      </c>
      <c r="AK39" s="57"/>
    </row>
    <row r="40" spans="1:88" x14ac:dyDescent="0.25">
      <c r="A40" s="66" t="s">
        <v>47</v>
      </c>
      <c r="B40" s="62">
        <v>41.3</v>
      </c>
      <c r="C40" s="62">
        <v>41.3</v>
      </c>
      <c r="D40" s="62">
        <v>41.3</v>
      </c>
      <c r="E40" s="62">
        <v>41.3</v>
      </c>
      <c r="F40" s="62">
        <v>21.7</v>
      </c>
      <c r="G40" s="62">
        <v>21.7</v>
      </c>
      <c r="H40" s="62">
        <v>21.7</v>
      </c>
      <c r="I40" s="62">
        <v>41.8</v>
      </c>
      <c r="J40" s="62">
        <v>41.6</v>
      </c>
      <c r="K40" s="62">
        <v>60.2</v>
      </c>
      <c r="L40" s="52">
        <v>60.7</v>
      </c>
      <c r="M40" s="52">
        <v>60</v>
      </c>
      <c r="N40" s="52">
        <v>62</v>
      </c>
      <c r="O40" s="52">
        <v>61.5</v>
      </c>
      <c r="P40" s="52">
        <v>61.5</v>
      </c>
      <c r="Q40" s="52">
        <v>55.4</v>
      </c>
      <c r="R40" s="52">
        <v>55.4</v>
      </c>
      <c r="S40" s="52">
        <v>55.4</v>
      </c>
      <c r="T40" s="52">
        <v>56</v>
      </c>
      <c r="U40" s="52">
        <v>56</v>
      </c>
      <c r="V40" s="52">
        <v>56</v>
      </c>
      <c r="W40" s="52">
        <v>61.2</v>
      </c>
      <c r="X40" s="52">
        <v>61</v>
      </c>
      <c r="Y40" s="52">
        <v>61.2</v>
      </c>
      <c r="Z40" s="52">
        <v>61.2</v>
      </c>
      <c r="AA40" s="52">
        <v>59</v>
      </c>
      <c r="AB40" s="52">
        <v>59</v>
      </c>
      <c r="AC40" s="52">
        <v>59</v>
      </c>
      <c r="AD40" s="52">
        <v>59</v>
      </c>
      <c r="AE40" s="52">
        <v>59</v>
      </c>
      <c r="AF40" s="52">
        <v>59</v>
      </c>
      <c r="AG40" s="67">
        <v>60</v>
      </c>
      <c r="AH40" s="55">
        <f t="shared" si="2"/>
        <v>62</v>
      </c>
      <c r="AI40" s="56">
        <f t="shared" si="3"/>
        <v>21.7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29.7</v>
      </c>
      <c r="E41" s="62">
        <v>29.8</v>
      </c>
      <c r="F41" s="62">
        <v>29.8</v>
      </c>
      <c r="G41" s="62">
        <v>29.8</v>
      </c>
      <c r="H41" s="62">
        <v>29.8</v>
      </c>
      <c r="I41" s="62">
        <v>29.6</v>
      </c>
      <c r="J41" s="62">
        <v>29.6</v>
      </c>
      <c r="K41" s="62">
        <v>29.8</v>
      </c>
      <c r="L41" s="50">
        <v>29.6</v>
      </c>
      <c r="M41" s="50">
        <v>29.6</v>
      </c>
      <c r="N41" s="50">
        <v>29.5</v>
      </c>
      <c r="O41" s="50">
        <v>29.5</v>
      </c>
      <c r="P41" s="50">
        <v>29.5</v>
      </c>
      <c r="Q41" s="50">
        <v>29.7</v>
      </c>
      <c r="R41" s="50">
        <v>29.7</v>
      </c>
      <c r="S41" s="50">
        <v>29.7</v>
      </c>
      <c r="T41" s="50">
        <v>29.7</v>
      </c>
      <c r="U41" s="50">
        <v>29.7</v>
      </c>
      <c r="V41" s="50">
        <v>29.7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29.7</v>
      </c>
      <c r="AC41" s="52">
        <v>29.7</v>
      </c>
      <c r="AD41" s="52">
        <v>29.7</v>
      </c>
      <c r="AE41" s="52">
        <v>29.7</v>
      </c>
      <c r="AF41" s="52">
        <v>29.7</v>
      </c>
      <c r="AG41" s="67">
        <v>30</v>
      </c>
      <c r="AH41" s="55">
        <f t="shared" si="2"/>
        <v>29.8</v>
      </c>
      <c r="AI41" s="56">
        <f t="shared" si="3"/>
        <v>29.5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3</v>
      </c>
      <c r="C44" s="62">
        <v>3</v>
      </c>
      <c r="D44" s="62">
        <v>3</v>
      </c>
      <c r="E44" s="62">
        <v>3</v>
      </c>
      <c r="F44" s="62">
        <v>3</v>
      </c>
      <c r="G44" s="62">
        <v>3</v>
      </c>
      <c r="H44" s="62">
        <v>3</v>
      </c>
      <c r="I44" s="62">
        <v>3</v>
      </c>
      <c r="J44" s="62">
        <v>3</v>
      </c>
      <c r="K44" s="62">
        <v>3</v>
      </c>
      <c r="L44" s="50">
        <v>3</v>
      </c>
      <c r="M44" s="50">
        <v>3</v>
      </c>
      <c r="N44" s="50">
        <v>3</v>
      </c>
      <c r="O44" s="50">
        <v>0</v>
      </c>
      <c r="P44" s="50">
        <v>0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7">
        <v>15</v>
      </c>
      <c r="AH44" s="55">
        <f t="shared" si="2"/>
        <v>3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10</v>
      </c>
      <c r="C46" s="73">
        <v>10</v>
      </c>
      <c r="D46" s="73">
        <v>10</v>
      </c>
      <c r="E46" s="73">
        <v>10</v>
      </c>
      <c r="F46" s="73">
        <v>10</v>
      </c>
      <c r="G46" s="73">
        <v>10</v>
      </c>
      <c r="H46" s="73">
        <v>10</v>
      </c>
      <c r="I46" s="73">
        <v>10</v>
      </c>
      <c r="J46" s="73">
        <v>10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10</v>
      </c>
      <c r="AK46" s="57"/>
    </row>
    <row r="47" spans="1:88" x14ac:dyDescent="0.25">
      <c r="A47" s="66" t="s">
        <v>54</v>
      </c>
      <c r="B47" s="62">
        <v>9.3000000000000007</v>
      </c>
      <c r="C47" s="62">
        <v>9.3000000000000007</v>
      </c>
      <c r="D47" s="62">
        <v>9.3000000000000007</v>
      </c>
      <c r="E47" s="62">
        <v>9.3000000000000007</v>
      </c>
      <c r="F47" s="62">
        <v>9.3000000000000007</v>
      </c>
      <c r="G47" s="62">
        <v>9.3000000000000007</v>
      </c>
      <c r="H47" s="62">
        <v>9.3000000000000007</v>
      </c>
      <c r="I47" s="62">
        <v>9.3000000000000007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9.3000000000000007</v>
      </c>
      <c r="O47" s="50">
        <v>9.3000000000000007</v>
      </c>
      <c r="P47" s="50">
        <v>9.3000000000000007</v>
      </c>
      <c r="Q47" s="50">
        <v>9.3000000000000007</v>
      </c>
      <c r="R47" s="50">
        <v>9.3000000000000007</v>
      </c>
      <c r="S47" s="50">
        <v>9.3000000000000007</v>
      </c>
      <c r="T47" s="50">
        <v>9.3000000000000007</v>
      </c>
      <c r="U47" s="50">
        <v>9.3000000000000007</v>
      </c>
      <c r="V47" s="50">
        <v>9.3000000000000007</v>
      </c>
      <c r="W47" s="50">
        <v>9.3000000000000007</v>
      </c>
      <c r="X47" s="50">
        <v>9.3000000000000007</v>
      </c>
      <c r="Y47" s="50">
        <v>9.3000000000000007</v>
      </c>
      <c r="Z47" s="50">
        <v>9.3000000000000007</v>
      </c>
      <c r="AA47" s="50">
        <v>9.3000000000000007</v>
      </c>
      <c r="AB47" s="50">
        <v>9.3000000000000007</v>
      </c>
      <c r="AC47" s="50">
        <v>9.3000000000000007</v>
      </c>
      <c r="AD47" s="50">
        <v>9.3000000000000007</v>
      </c>
      <c r="AE47" s="50">
        <v>9.3000000000000007</v>
      </c>
      <c r="AF47" s="50">
        <v>9.3000000000000007</v>
      </c>
      <c r="AG47" s="67">
        <v>10.050000000000001</v>
      </c>
      <c r="AH47" s="55">
        <f t="shared" si="2"/>
        <v>9.3000000000000007</v>
      </c>
      <c r="AI47" s="56">
        <f t="shared" si="3"/>
        <v>9.3000000000000007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62">
        <v>3</v>
      </c>
      <c r="AG48" s="67">
        <v>6.2</v>
      </c>
      <c r="AH48" s="55">
        <f t="shared" si="2"/>
        <v>6.2</v>
      </c>
      <c r="AI48" s="56">
        <f t="shared" si="3"/>
        <v>3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3.53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3.53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356.74</v>
      </c>
      <c r="C50" s="72">
        <f t="shared" si="6"/>
        <v>356.74</v>
      </c>
      <c r="D50" s="72">
        <f t="shared" si="6"/>
        <v>347.54</v>
      </c>
      <c r="E50" s="72">
        <f t="shared" si="6"/>
        <v>347.84000000000003</v>
      </c>
      <c r="F50" s="72">
        <f t="shared" si="6"/>
        <v>339.14000000000004</v>
      </c>
      <c r="G50" s="72">
        <f t="shared" si="6"/>
        <v>339.34000000000003</v>
      </c>
      <c r="H50" s="72">
        <f t="shared" si="6"/>
        <v>339.34000000000003</v>
      </c>
      <c r="I50" s="72">
        <f t="shared" si="6"/>
        <v>370.34000000000003</v>
      </c>
      <c r="J50" s="72">
        <f t="shared" si="6"/>
        <v>369.94000000000005</v>
      </c>
      <c r="K50" s="72">
        <f t="shared" si="6"/>
        <v>439.24</v>
      </c>
      <c r="L50" s="72">
        <f t="shared" si="6"/>
        <v>432.04</v>
      </c>
      <c r="M50" s="72">
        <f t="shared" si="6"/>
        <v>437.84000000000003</v>
      </c>
      <c r="N50" s="72">
        <f t="shared" si="6"/>
        <v>441.84000000000003</v>
      </c>
      <c r="O50" s="72">
        <f t="shared" si="6"/>
        <v>437.64000000000004</v>
      </c>
      <c r="P50" s="72">
        <f t="shared" si="6"/>
        <v>436.44</v>
      </c>
      <c r="Q50" s="72">
        <f t="shared" si="6"/>
        <v>435.34</v>
      </c>
      <c r="R50" s="72">
        <f t="shared" si="6"/>
        <v>435.94</v>
      </c>
      <c r="S50" s="72">
        <f t="shared" si="6"/>
        <v>437.43999999999994</v>
      </c>
      <c r="T50" s="72">
        <f t="shared" si="6"/>
        <v>438.64</v>
      </c>
      <c r="U50" s="72">
        <f t="shared" si="6"/>
        <v>436.44</v>
      </c>
      <c r="V50" s="72">
        <f t="shared" si="6"/>
        <v>435.84000000000003</v>
      </c>
      <c r="W50" s="72">
        <f t="shared" si="6"/>
        <v>442.74</v>
      </c>
      <c r="X50" s="72">
        <f t="shared" si="6"/>
        <v>441.84000000000003</v>
      </c>
      <c r="Y50" s="72">
        <f t="shared" si="6"/>
        <v>441.72999999999996</v>
      </c>
      <c r="Z50" s="72">
        <f t="shared" si="6"/>
        <v>442.24</v>
      </c>
      <c r="AA50" s="72">
        <f t="shared" si="6"/>
        <v>440.54</v>
      </c>
      <c r="AB50" s="72">
        <f t="shared" si="6"/>
        <v>440.54</v>
      </c>
      <c r="AC50" s="72">
        <f t="shared" si="6"/>
        <v>440.54</v>
      </c>
      <c r="AD50" s="72">
        <f t="shared" si="6"/>
        <v>440.54</v>
      </c>
      <c r="AE50" s="72">
        <f t="shared" si="6"/>
        <v>440.54</v>
      </c>
      <c r="AF50" s="72">
        <f t="shared" si="6"/>
        <v>437.34000000000003</v>
      </c>
      <c r="AG50" s="77">
        <f>SUM(AG37:AG49)</f>
        <v>489.91</v>
      </c>
      <c r="AH50" s="55">
        <f t="shared" si="2"/>
        <v>442.74</v>
      </c>
      <c r="AI50" s="56">
        <f t="shared" si="3"/>
        <v>339.14000000000004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14.1</v>
      </c>
      <c r="O51" s="174">
        <v>14.1</v>
      </c>
      <c r="P51" s="50">
        <v>14</v>
      </c>
      <c r="Q51" s="50">
        <v>14.2</v>
      </c>
      <c r="R51" s="50">
        <v>10.4</v>
      </c>
      <c r="S51" s="50">
        <v>10.4</v>
      </c>
      <c r="T51" s="50">
        <v>10.8</v>
      </c>
      <c r="U51" s="50">
        <v>10.8</v>
      </c>
      <c r="V51" s="50">
        <v>10.6</v>
      </c>
      <c r="W51" s="50">
        <v>10.6</v>
      </c>
      <c r="X51" s="50">
        <v>52</v>
      </c>
      <c r="Y51" s="50">
        <v>59.1</v>
      </c>
      <c r="Z51" s="50">
        <v>50.4</v>
      </c>
      <c r="AA51" s="50">
        <v>43</v>
      </c>
      <c r="AB51" s="50">
        <v>40</v>
      </c>
      <c r="AC51" s="50">
        <v>14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59.1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5.8</v>
      </c>
      <c r="O52" s="174">
        <v>5.8</v>
      </c>
      <c r="P52" s="52">
        <v>5.6</v>
      </c>
      <c r="Q52" s="52">
        <v>5.8</v>
      </c>
      <c r="R52" s="50">
        <v>4</v>
      </c>
      <c r="S52" s="50">
        <v>3.6</v>
      </c>
      <c r="T52" s="50">
        <v>3.9</v>
      </c>
      <c r="U52" s="50">
        <v>3.9</v>
      </c>
      <c r="V52" s="52">
        <v>4.3</v>
      </c>
      <c r="W52" s="52">
        <v>3.6</v>
      </c>
      <c r="X52" s="52">
        <v>15.5</v>
      </c>
      <c r="Y52" s="52">
        <v>15.7</v>
      </c>
      <c r="Z52" s="52">
        <v>15.8</v>
      </c>
      <c r="AA52" s="52">
        <v>16</v>
      </c>
      <c r="AB52" s="52">
        <v>16</v>
      </c>
      <c r="AC52" s="52">
        <v>7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16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2.1</v>
      </c>
      <c r="O53" s="175">
        <v>2.1</v>
      </c>
      <c r="P53" s="78">
        <v>2</v>
      </c>
      <c r="Q53" s="78">
        <v>2.1</v>
      </c>
      <c r="R53" s="50">
        <v>1.5</v>
      </c>
      <c r="S53" s="50">
        <v>1.3</v>
      </c>
      <c r="T53" s="50">
        <v>1.4</v>
      </c>
      <c r="U53" s="50">
        <v>1.4</v>
      </c>
      <c r="V53" s="78">
        <v>1.6</v>
      </c>
      <c r="W53" s="78">
        <v>1.3</v>
      </c>
      <c r="X53" s="78">
        <v>5.7</v>
      </c>
      <c r="Y53" s="78">
        <v>5.7</v>
      </c>
      <c r="Z53" s="78">
        <v>5.8</v>
      </c>
      <c r="AA53" s="78">
        <v>5.8</v>
      </c>
      <c r="AB53" s="78">
        <v>5.8</v>
      </c>
      <c r="AC53" s="78">
        <v>2.6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5.8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 t="shared" ref="B54:AF54" si="7">SUM(B51:B53)</f>
        <v>0</v>
      </c>
      <c r="C54" s="72">
        <f t="shared" si="7"/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22</v>
      </c>
      <c r="O54" s="72">
        <f t="shared" si="7"/>
        <v>22</v>
      </c>
      <c r="P54" s="72">
        <f t="shared" si="7"/>
        <v>21.6</v>
      </c>
      <c r="Q54" s="72">
        <f t="shared" si="7"/>
        <v>22.1</v>
      </c>
      <c r="R54" s="72">
        <f t="shared" si="7"/>
        <v>15.9</v>
      </c>
      <c r="S54" s="72">
        <f t="shared" si="7"/>
        <v>15.3</v>
      </c>
      <c r="T54" s="72">
        <f t="shared" si="7"/>
        <v>16.100000000000001</v>
      </c>
      <c r="U54" s="72">
        <f t="shared" si="7"/>
        <v>16.100000000000001</v>
      </c>
      <c r="V54" s="72">
        <f t="shared" si="7"/>
        <v>16.5</v>
      </c>
      <c r="W54" s="72">
        <f t="shared" si="7"/>
        <v>15.5</v>
      </c>
      <c r="X54" s="72">
        <f t="shared" si="7"/>
        <v>73.2</v>
      </c>
      <c r="Y54" s="72">
        <f t="shared" si="7"/>
        <v>80.5</v>
      </c>
      <c r="Z54" s="72">
        <f t="shared" si="7"/>
        <v>72</v>
      </c>
      <c r="AA54" s="72">
        <f t="shared" si="7"/>
        <v>64.8</v>
      </c>
      <c r="AB54" s="72">
        <f t="shared" si="7"/>
        <v>61.8</v>
      </c>
      <c r="AC54" s="72">
        <f t="shared" si="7"/>
        <v>23.6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80.5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69.900000000000006</v>
      </c>
      <c r="Y55" s="50">
        <v>15.3</v>
      </c>
      <c r="Z55" s="50">
        <v>20.7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69.900000000000006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80">
        <v>0</v>
      </c>
      <c r="Y56" s="80">
        <v>-11.9</v>
      </c>
      <c r="Z56" s="80">
        <v>-9</v>
      </c>
      <c r="AA56" s="52">
        <v>-17</v>
      </c>
      <c r="AB56" s="52">
        <v>-17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-17</v>
      </c>
      <c r="AK56" s="57"/>
    </row>
    <row r="57" spans="1:37" x14ac:dyDescent="0.25">
      <c r="A57" s="66" t="s">
        <v>64</v>
      </c>
      <c r="B57" s="52">
        <v>-26.2</v>
      </c>
      <c r="C57" s="52">
        <v>-72</v>
      </c>
      <c r="D57" s="52">
        <v>-53.7</v>
      </c>
      <c r="E57" s="52">
        <v>-59.8</v>
      </c>
      <c r="F57" s="52">
        <v>-30.9</v>
      </c>
      <c r="G57" s="52">
        <v>-29.6</v>
      </c>
      <c r="H57" s="52">
        <v>-60</v>
      </c>
      <c r="I57" s="52">
        <v>-65.7</v>
      </c>
      <c r="J57" s="52">
        <v>-21</v>
      </c>
      <c r="K57" s="50">
        <v>-66</v>
      </c>
      <c r="L57" s="52">
        <v>-43</v>
      </c>
      <c r="M57" s="52">
        <v>-35</v>
      </c>
      <c r="N57" s="52">
        <v>-28.3</v>
      </c>
      <c r="O57" s="52">
        <v>-32</v>
      </c>
      <c r="P57" s="52">
        <v>-40</v>
      </c>
      <c r="Q57" s="52">
        <v>-42.5</v>
      </c>
      <c r="R57" s="52">
        <v>-12.3</v>
      </c>
      <c r="S57" s="52">
        <v>-59</v>
      </c>
      <c r="T57" s="52">
        <v>-93.9</v>
      </c>
      <c r="U57" s="52">
        <v>-44.1</v>
      </c>
      <c r="V57" s="52">
        <v>-2.2999999999999998</v>
      </c>
      <c r="W57" s="52">
        <v>-17.3</v>
      </c>
      <c r="X57" s="81">
        <v>-12.3</v>
      </c>
      <c r="Y57" s="81">
        <v>-12</v>
      </c>
      <c r="Z57" s="81">
        <v>-43</v>
      </c>
      <c r="AA57" s="52">
        <v>-34</v>
      </c>
      <c r="AB57" s="52">
        <v>-32</v>
      </c>
      <c r="AC57" s="52">
        <v>-50</v>
      </c>
      <c r="AD57" s="52">
        <v>-36</v>
      </c>
      <c r="AE57" s="52">
        <v>-20</v>
      </c>
      <c r="AF57" s="52">
        <v>-10</v>
      </c>
      <c r="AG57" s="82"/>
      <c r="AH57" s="55">
        <f t="shared" si="2"/>
        <v>-2.2999999999999998</v>
      </c>
      <c r="AI57" s="56">
        <f t="shared" si="3"/>
        <v>-93.9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2">
        <v>0</v>
      </c>
      <c r="P59" s="50">
        <v>0</v>
      </c>
      <c r="Q59" s="52">
        <v>0</v>
      </c>
      <c r="R59" s="50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0">
        <v>-64</v>
      </c>
      <c r="Z59" s="50">
        <v>-54</v>
      </c>
      <c r="AA59" s="50">
        <v>-55</v>
      </c>
      <c r="AB59" s="50">
        <v>-55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-64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52">
        <v>0</v>
      </c>
      <c r="P60" s="61">
        <v>0</v>
      </c>
      <c r="Q60" s="52">
        <v>0</v>
      </c>
      <c r="R60" s="61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0">
        <v>0</v>
      </c>
      <c r="L61" s="50">
        <v>0</v>
      </c>
      <c r="M61" s="61">
        <v>0</v>
      </c>
      <c r="N61" s="61">
        <v>0</v>
      </c>
      <c r="O61" s="52">
        <v>0</v>
      </c>
      <c r="P61" s="61">
        <v>0</v>
      </c>
      <c r="Q61" s="52">
        <v>0</v>
      </c>
      <c r="R61" s="61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9">
        <v>0</v>
      </c>
      <c r="Q62" s="52">
        <v>0</v>
      </c>
      <c r="R62" s="59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8</v>
      </c>
      <c r="AE62" s="59">
        <v>8</v>
      </c>
      <c r="AF62" s="59">
        <v>8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9">
        <v>0</v>
      </c>
      <c r="Q63" s="52">
        <v>0</v>
      </c>
      <c r="R63" s="59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2">
        <v>0</v>
      </c>
      <c r="L64" s="52">
        <v>0</v>
      </c>
      <c r="M64" s="84">
        <v>0</v>
      </c>
      <c r="N64" s="84">
        <v>0</v>
      </c>
      <c r="O64" s="52">
        <v>0</v>
      </c>
      <c r="P64" s="84">
        <v>0</v>
      </c>
      <c r="Q64" s="52">
        <v>0</v>
      </c>
      <c r="R64" s="84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0">
        <v>0</v>
      </c>
      <c r="L65" s="50">
        <v>0</v>
      </c>
      <c r="M65" s="84">
        <v>0</v>
      </c>
      <c r="N65" s="84">
        <v>0</v>
      </c>
      <c r="O65" s="52">
        <v>0</v>
      </c>
      <c r="P65" s="84">
        <v>0</v>
      </c>
      <c r="Q65" s="52">
        <v>0</v>
      </c>
      <c r="R65" s="84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 t="shared" ref="B66:AF66" si="8">SUM(B55:B65)</f>
        <v>-26.2</v>
      </c>
      <c r="C66" s="72">
        <f t="shared" si="8"/>
        <v>-72</v>
      </c>
      <c r="D66" s="72">
        <f t="shared" si="8"/>
        <v>-53.7</v>
      </c>
      <c r="E66" s="72">
        <f t="shared" si="8"/>
        <v>-59.8</v>
      </c>
      <c r="F66" s="72">
        <f t="shared" si="8"/>
        <v>-30.9</v>
      </c>
      <c r="G66" s="72">
        <f t="shared" si="8"/>
        <v>-29.6</v>
      </c>
      <c r="H66" s="72">
        <f t="shared" si="8"/>
        <v>-60</v>
      </c>
      <c r="I66" s="72">
        <f t="shared" si="8"/>
        <v>-65.7</v>
      </c>
      <c r="J66" s="72">
        <f t="shared" si="8"/>
        <v>-21</v>
      </c>
      <c r="K66" s="72">
        <f t="shared" si="8"/>
        <v>-66</v>
      </c>
      <c r="L66" s="72">
        <f t="shared" si="8"/>
        <v>-43</v>
      </c>
      <c r="M66" s="72">
        <f t="shared" si="8"/>
        <v>-35</v>
      </c>
      <c r="N66" s="72">
        <f t="shared" si="8"/>
        <v>-28.3</v>
      </c>
      <c r="O66" s="72">
        <f t="shared" si="8"/>
        <v>-32</v>
      </c>
      <c r="P66" s="72">
        <f t="shared" si="8"/>
        <v>-40</v>
      </c>
      <c r="Q66" s="72">
        <f t="shared" si="8"/>
        <v>-42.5</v>
      </c>
      <c r="R66" s="72">
        <f t="shared" si="8"/>
        <v>-12.3</v>
      </c>
      <c r="S66" s="72">
        <f t="shared" si="8"/>
        <v>-59</v>
      </c>
      <c r="T66" s="72">
        <f t="shared" si="8"/>
        <v>-93.9</v>
      </c>
      <c r="U66" s="72">
        <f t="shared" si="8"/>
        <v>-44.1</v>
      </c>
      <c r="V66" s="72">
        <f t="shared" si="8"/>
        <v>-2.2999999999999998</v>
      </c>
      <c r="W66" s="72">
        <f t="shared" si="8"/>
        <v>-17.3</v>
      </c>
      <c r="X66" s="72">
        <f t="shared" si="8"/>
        <v>57.600000000000009</v>
      </c>
      <c r="Y66" s="72">
        <f t="shared" si="8"/>
        <v>-72.599999999999994</v>
      </c>
      <c r="Z66" s="72">
        <f t="shared" si="8"/>
        <v>-85.3</v>
      </c>
      <c r="AA66" s="72">
        <f t="shared" si="8"/>
        <v>-106</v>
      </c>
      <c r="AB66" s="72">
        <f t="shared" si="8"/>
        <v>-104</v>
      </c>
      <c r="AC66" s="72">
        <f t="shared" si="8"/>
        <v>-50</v>
      </c>
      <c r="AD66" s="72">
        <f t="shared" si="8"/>
        <v>-28</v>
      </c>
      <c r="AE66" s="72">
        <f t="shared" si="8"/>
        <v>-12</v>
      </c>
      <c r="AF66" s="72">
        <f t="shared" si="8"/>
        <v>-2</v>
      </c>
      <c r="AG66" s="77">
        <f>SUM(AG55:AG65)</f>
        <v>0</v>
      </c>
      <c r="AH66" s="55">
        <f t="shared" si="2"/>
        <v>57.600000000000009</v>
      </c>
      <c r="AI66" s="56">
        <f t="shared" si="3"/>
        <v>-106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 t="shared" ref="B71:AG71" si="10">B66+B54+B50+B36+B70</f>
        <v>1107.6399999999999</v>
      </c>
      <c r="C71" s="87">
        <f t="shared" si="10"/>
        <v>1061.94</v>
      </c>
      <c r="D71" s="87">
        <f t="shared" si="10"/>
        <v>1043.8400000000001</v>
      </c>
      <c r="E71" s="87">
        <f t="shared" si="10"/>
        <v>1028.04</v>
      </c>
      <c r="F71" s="87">
        <f t="shared" si="10"/>
        <v>1068.24</v>
      </c>
      <c r="G71" s="87">
        <f t="shared" si="10"/>
        <v>1069.74</v>
      </c>
      <c r="H71" s="87">
        <f t="shared" si="10"/>
        <v>1042.6399999999999</v>
      </c>
      <c r="I71" s="87">
        <f t="shared" si="10"/>
        <v>1086.3399999999999</v>
      </c>
      <c r="J71" s="87">
        <f t="shared" si="10"/>
        <v>1143.44</v>
      </c>
      <c r="K71" s="87">
        <f t="shared" si="10"/>
        <v>1197.44</v>
      </c>
      <c r="L71" s="87">
        <f t="shared" si="10"/>
        <v>1213.24</v>
      </c>
      <c r="M71" s="87">
        <f t="shared" si="10"/>
        <v>1226.8400000000001</v>
      </c>
      <c r="N71" s="87">
        <f t="shared" si="10"/>
        <v>1259.6399999999999</v>
      </c>
      <c r="O71" s="87">
        <f t="shared" si="10"/>
        <v>1261.74</v>
      </c>
      <c r="P71" s="87">
        <f t="shared" si="10"/>
        <v>1302.1399999999999</v>
      </c>
      <c r="Q71" s="87">
        <f t="shared" si="10"/>
        <v>1261.24</v>
      </c>
      <c r="R71" s="87">
        <f t="shared" si="10"/>
        <v>1253.74</v>
      </c>
      <c r="S71" s="87">
        <f t="shared" si="10"/>
        <v>1267.9399999999998</v>
      </c>
      <c r="T71" s="87">
        <f t="shared" si="10"/>
        <v>1234.74</v>
      </c>
      <c r="U71" s="87">
        <f t="shared" si="10"/>
        <v>1272.3399999999999</v>
      </c>
      <c r="V71" s="87">
        <f t="shared" si="10"/>
        <v>1307.94</v>
      </c>
      <c r="W71" s="87">
        <f t="shared" si="10"/>
        <v>1335.84</v>
      </c>
      <c r="X71" s="87">
        <f t="shared" si="10"/>
        <v>1534.54</v>
      </c>
      <c r="Y71" s="87">
        <f t="shared" si="10"/>
        <v>1458.53</v>
      </c>
      <c r="Z71" s="87">
        <f t="shared" si="10"/>
        <v>1435.53</v>
      </c>
      <c r="AA71" s="87">
        <f t="shared" si="10"/>
        <v>1405.24</v>
      </c>
      <c r="AB71" s="87">
        <f t="shared" si="10"/>
        <v>1404.24</v>
      </c>
      <c r="AC71" s="87">
        <f t="shared" si="10"/>
        <v>1362.04</v>
      </c>
      <c r="AD71" s="87">
        <f t="shared" si="10"/>
        <v>1260.44</v>
      </c>
      <c r="AE71" s="87">
        <f t="shared" si="10"/>
        <v>1221.44</v>
      </c>
      <c r="AF71" s="87">
        <f t="shared" si="10"/>
        <v>1198.24</v>
      </c>
      <c r="AG71" s="87">
        <f t="shared" si="10"/>
        <v>2083.14</v>
      </c>
      <c r="AH71" s="55">
        <f t="shared" si="2"/>
        <v>1534.54</v>
      </c>
      <c r="AI71" s="56">
        <f t="shared" si="3"/>
        <v>1028.04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>
        <v>50</v>
      </c>
      <c r="L72" s="89">
        <v>35</v>
      </c>
      <c r="M72" s="89">
        <v>35</v>
      </c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50</v>
      </c>
      <c r="AI72" s="56">
        <f t="shared" si="3"/>
        <v>35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 t="shared" ref="B73:AF73" si="11">B70+B66+B54+B50+B36+B72</f>
        <v>1107.6399999999999</v>
      </c>
      <c r="C73" s="87">
        <f t="shared" si="11"/>
        <v>1061.94</v>
      </c>
      <c r="D73" s="87">
        <f t="shared" si="11"/>
        <v>1043.8400000000001</v>
      </c>
      <c r="E73" s="87">
        <f t="shared" si="11"/>
        <v>1028.04</v>
      </c>
      <c r="F73" s="87">
        <f t="shared" si="11"/>
        <v>1068.24</v>
      </c>
      <c r="G73" s="87">
        <f t="shared" si="11"/>
        <v>1069.74</v>
      </c>
      <c r="H73" s="87">
        <f t="shared" si="11"/>
        <v>1042.6399999999999</v>
      </c>
      <c r="I73" s="87">
        <f t="shared" si="11"/>
        <v>1086.3399999999999</v>
      </c>
      <c r="J73" s="87">
        <f t="shared" si="11"/>
        <v>1143.44</v>
      </c>
      <c r="K73" s="87">
        <f t="shared" si="11"/>
        <v>1247.44</v>
      </c>
      <c r="L73" s="87">
        <f t="shared" si="11"/>
        <v>1248.24</v>
      </c>
      <c r="M73" s="87">
        <f t="shared" si="11"/>
        <v>1261.8400000000001</v>
      </c>
      <c r="N73" s="87">
        <f t="shared" si="11"/>
        <v>1259.6399999999999</v>
      </c>
      <c r="O73" s="87">
        <f t="shared" si="11"/>
        <v>1261.74</v>
      </c>
      <c r="P73" s="87">
        <f t="shared" si="11"/>
        <v>1302.1399999999999</v>
      </c>
      <c r="Q73" s="87">
        <f t="shared" si="11"/>
        <v>1261.24</v>
      </c>
      <c r="R73" s="87">
        <f t="shared" si="11"/>
        <v>1253.74</v>
      </c>
      <c r="S73" s="87">
        <f t="shared" si="11"/>
        <v>1267.9399999999998</v>
      </c>
      <c r="T73" s="87">
        <f t="shared" si="11"/>
        <v>1234.74</v>
      </c>
      <c r="U73" s="87">
        <f t="shared" si="11"/>
        <v>1272.3399999999999</v>
      </c>
      <c r="V73" s="87">
        <f t="shared" si="11"/>
        <v>1307.94</v>
      </c>
      <c r="W73" s="87">
        <f t="shared" si="11"/>
        <v>1335.84</v>
      </c>
      <c r="X73" s="87">
        <f t="shared" si="11"/>
        <v>1534.54</v>
      </c>
      <c r="Y73" s="87">
        <f t="shared" si="11"/>
        <v>1458.53</v>
      </c>
      <c r="Z73" s="87">
        <f t="shared" si="11"/>
        <v>1435.53</v>
      </c>
      <c r="AA73" s="87">
        <f t="shared" si="11"/>
        <v>1405.24</v>
      </c>
      <c r="AB73" s="87">
        <f t="shared" si="11"/>
        <v>1404.24</v>
      </c>
      <c r="AC73" s="87">
        <f t="shared" si="11"/>
        <v>1362.04</v>
      </c>
      <c r="AD73" s="87">
        <f t="shared" si="11"/>
        <v>1260.44</v>
      </c>
      <c r="AE73" s="87">
        <f t="shared" si="11"/>
        <v>1221.44</v>
      </c>
      <c r="AF73" s="87">
        <f t="shared" si="11"/>
        <v>1198.24</v>
      </c>
      <c r="AG73" s="77">
        <f>AG70+AG66+AG54+AG50+AG36+AG72</f>
        <v>2083.14</v>
      </c>
      <c r="AH73" s="55">
        <f t="shared" si="2"/>
        <v>1534.54</v>
      </c>
      <c r="AI73" s="56">
        <f t="shared" si="3"/>
        <v>1028.04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11.9</v>
      </c>
      <c r="Z75" s="59">
        <f t="shared" si="13"/>
        <v>9</v>
      </c>
      <c r="AA75" s="59">
        <f t="shared" si="13"/>
        <v>17</v>
      </c>
      <c r="AB75" s="59">
        <f t="shared" si="13"/>
        <v>17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17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64</v>
      </c>
      <c r="Z76" s="59">
        <f t="shared" si="14"/>
        <v>54</v>
      </c>
      <c r="AA76" s="59">
        <f t="shared" si="14"/>
        <v>55</v>
      </c>
      <c r="AB76" s="59">
        <f t="shared" si="14"/>
        <v>55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64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26.2</v>
      </c>
      <c r="C77" s="59">
        <f t="shared" ref="C77:AF77" si="15">IF(C57&lt;0,C57*-1,0)</f>
        <v>72</v>
      </c>
      <c r="D77" s="59">
        <f t="shared" si="15"/>
        <v>53.7</v>
      </c>
      <c r="E77" s="59">
        <f t="shared" si="15"/>
        <v>59.8</v>
      </c>
      <c r="F77" s="59">
        <f t="shared" si="15"/>
        <v>30.9</v>
      </c>
      <c r="G77" s="59">
        <f t="shared" si="15"/>
        <v>29.6</v>
      </c>
      <c r="H77" s="59">
        <f t="shared" si="15"/>
        <v>60</v>
      </c>
      <c r="I77" s="59">
        <f t="shared" si="15"/>
        <v>65.7</v>
      </c>
      <c r="J77" s="59">
        <f t="shared" si="15"/>
        <v>21</v>
      </c>
      <c r="K77" s="59">
        <f t="shared" si="15"/>
        <v>66</v>
      </c>
      <c r="L77" s="59">
        <f t="shared" si="15"/>
        <v>43</v>
      </c>
      <c r="M77" s="59">
        <f t="shared" si="15"/>
        <v>35</v>
      </c>
      <c r="N77" s="59">
        <f t="shared" si="15"/>
        <v>28.3</v>
      </c>
      <c r="O77" s="59">
        <f t="shared" si="15"/>
        <v>32</v>
      </c>
      <c r="P77" s="59">
        <f t="shared" si="15"/>
        <v>40</v>
      </c>
      <c r="Q77" s="59">
        <f t="shared" si="15"/>
        <v>42.5</v>
      </c>
      <c r="R77" s="59">
        <f t="shared" si="15"/>
        <v>12.3</v>
      </c>
      <c r="S77" s="59">
        <f t="shared" si="15"/>
        <v>59</v>
      </c>
      <c r="T77" s="59">
        <f t="shared" si="15"/>
        <v>93.9</v>
      </c>
      <c r="U77" s="59">
        <f t="shared" si="15"/>
        <v>44.1</v>
      </c>
      <c r="V77" s="59">
        <f t="shared" si="15"/>
        <v>2.2999999999999998</v>
      </c>
      <c r="W77" s="59">
        <f t="shared" si="15"/>
        <v>17.3</v>
      </c>
      <c r="X77" s="59">
        <f t="shared" si="15"/>
        <v>12.3</v>
      </c>
      <c r="Y77" s="59">
        <f t="shared" si="15"/>
        <v>12</v>
      </c>
      <c r="Z77" s="59">
        <f t="shared" si="15"/>
        <v>43</v>
      </c>
      <c r="AA77" s="59">
        <f t="shared" si="15"/>
        <v>34</v>
      </c>
      <c r="AB77" s="59">
        <f t="shared" si="15"/>
        <v>32</v>
      </c>
      <c r="AC77" s="59">
        <f t="shared" si="15"/>
        <v>50</v>
      </c>
      <c r="AD77" s="59">
        <f t="shared" si="15"/>
        <v>36</v>
      </c>
      <c r="AE77" s="59">
        <f t="shared" si="15"/>
        <v>20</v>
      </c>
      <c r="AF77" s="59">
        <f t="shared" si="15"/>
        <v>10</v>
      </c>
      <c r="AG77" s="90"/>
      <c r="AH77" s="55">
        <f t="shared" ref="AH77:AH89" si="16">MAX(B77:AF77)</f>
        <v>93.9</v>
      </c>
      <c r="AI77" s="56">
        <f t="shared" ref="AI77:AI89" si="17">MIN(B77:AF77)</f>
        <v>2.2999999999999998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26.2</v>
      </c>
      <c r="C80" s="72">
        <f t="shared" ref="C80:AG80" si="19">SUM(C74:C79)</f>
        <v>72</v>
      </c>
      <c r="D80" s="72">
        <f t="shared" si="19"/>
        <v>53.7</v>
      </c>
      <c r="E80" s="72">
        <f t="shared" si="19"/>
        <v>59.8</v>
      </c>
      <c r="F80" s="72">
        <f t="shared" si="19"/>
        <v>30.9</v>
      </c>
      <c r="G80" s="72">
        <f t="shared" si="19"/>
        <v>29.6</v>
      </c>
      <c r="H80" s="72">
        <f t="shared" si="19"/>
        <v>60</v>
      </c>
      <c r="I80" s="72">
        <f t="shared" si="19"/>
        <v>65.7</v>
      </c>
      <c r="J80" s="72">
        <f t="shared" si="19"/>
        <v>21</v>
      </c>
      <c r="K80" s="72">
        <f t="shared" si="19"/>
        <v>66</v>
      </c>
      <c r="L80" s="72">
        <f t="shared" si="19"/>
        <v>43</v>
      </c>
      <c r="M80" s="72">
        <f t="shared" si="19"/>
        <v>35</v>
      </c>
      <c r="N80" s="72">
        <f t="shared" si="19"/>
        <v>28.3</v>
      </c>
      <c r="O80" s="72">
        <f t="shared" si="19"/>
        <v>32</v>
      </c>
      <c r="P80" s="72">
        <f t="shared" si="19"/>
        <v>40</v>
      </c>
      <c r="Q80" s="72">
        <f t="shared" si="19"/>
        <v>42.5</v>
      </c>
      <c r="R80" s="72">
        <f t="shared" si="19"/>
        <v>12.3</v>
      </c>
      <c r="S80" s="72">
        <f t="shared" si="19"/>
        <v>59</v>
      </c>
      <c r="T80" s="72">
        <f t="shared" si="19"/>
        <v>93.9</v>
      </c>
      <c r="U80" s="72">
        <f t="shared" si="19"/>
        <v>44.1</v>
      </c>
      <c r="V80" s="72">
        <f t="shared" si="19"/>
        <v>2.2999999999999998</v>
      </c>
      <c r="W80" s="72">
        <f t="shared" si="19"/>
        <v>17.3</v>
      </c>
      <c r="X80" s="72">
        <f t="shared" si="19"/>
        <v>12.3</v>
      </c>
      <c r="Y80" s="72">
        <f t="shared" si="19"/>
        <v>87.9</v>
      </c>
      <c r="Z80" s="72">
        <f t="shared" si="19"/>
        <v>106</v>
      </c>
      <c r="AA80" s="72">
        <f t="shared" si="19"/>
        <v>106</v>
      </c>
      <c r="AB80" s="72">
        <f t="shared" si="19"/>
        <v>104</v>
      </c>
      <c r="AC80" s="72">
        <f t="shared" si="19"/>
        <v>50</v>
      </c>
      <c r="AD80" s="72">
        <f t="shared" si="19"/>
        <v>36</v>
      </c>
      <c r="AE80" s="72">
        <f t="shared" si="19"/>
        <v>20</v>
      </c>
      <c r="AF80" s="72">
        <f t="shared" si="19"/>
        <v>10</v>
      </c>
      <c r="AG80" s="77">
        <f t="shared" si="19"/>
        <v>0</v>
      </c>
      <c r="AH80" s="55">
        <f t="shared" si="16"/>
        <v>106</v>
      </c>
      <c r="AI80" s="56">
        <f t="shared" si="17"/>
        <v>2.2999999999999998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2267.6799999999994</v>
      </c>
      <c r="C81" s="72">
        <f t="shared" si="20"/>
        <v>2267.88</v>
      </c>
      <c r="D81" s="72">
        <f t="shared" si="20"/>
        <v>2195.08</v>
      </c>
      <c r="E81" s="72">
        <f t="shared" si="20"/>
        <v>2175.6800000000003</v>
      </c>
      <c r="F81" s="72">
        <f t="shared" si="20"/>
        <v>2198.2800000000002</v>
      </c>
      <c r="G81" s="72">
        <f t="shared" si="20"/>
        <v>2198.6799999999998</v>
      </c>
      <c r="H81" s="72">
        <f t="shared" si="20"/>
        <v>2205.2799999999997</v>
      </c>
      <c r="I81" s="72">
        <f t="shared" si="20"/>
        <v>2304.0799999999995</v>
      </c>
      <c r="J81" s="72">
        <f t="shared" si="20"/>
        <v>2328.88</v>
      </c>
      <c r="K81" s="72">
        <f t="shared" si="20"/>
        <v>2626.88</v>
      </c>
      <c r="L81" s="72">
        <f t="shared" si="20"/>
        <v>2582.48</v>
      </c>
      <c r="M81" s="72">
        <f t="shared" si="20"/>
        <v>2593.6800000000003</v>
      </c>
      <c r="N81" s="72">
        <f t="shared" si="20"/>
        <v>2575.88</v>
      </c>
      <c r="O81" s="72">
        <f t="shared" si="20"/>
        <v>2587.48</v>
      </c>
      <c r="P81" s="72">
        <f t="shared" si="20"/>
        <v>2684.2799999999997</v>
      </c>
      <c r="Q81" s="72">
        <f t="shared" si="20"/>
        <v>2607.48</v>
      </c>
      <c r="R81" s="72">
        <f t="shared" si="20"/>
        <v>2532.0800000000004</v>
      </c>
      <c r="S81" s="72">
        <f t="shared" si="20"/>
        <v>2653.8799999999997</v>
      </c>
      <c r="T81" s="72">
        <f t="shared" si="20"/>
        <v>2657.28</v>
      </c>
      <c r="U81" s="72">
        <f t="shared" si="20"/>
        <v>2632.8799999999997</v>
      </c>
      <c r="V81" s="72">
        <f t="shared" si="20"/>
        <v>2620.4800000000005</v>
      </c>
      <c r="W81" s="72">
        <f t="shared" si="20"/>
        <v>2706.28</v>
      </c>
      <c r="X81" s="72">
        <f t="shared" si="20"/>
        <v>3093.6800000000003</v>
      </c>
      <c r="Y81" s="72">
        <f t="shared" si="20"/>
        <v>3092.86</v>
      </c>
      <c r="Z81" s="72">
        <f t="shared" si="20"/>
        <v>3083.06</v>
      </c>
      <c r="AA81" s="72">
        <f t="shared" si="20"/>
        <v>3022.48</v>
      </c>
      <c r="AB81" s="72">
        <f t="shared" si="20"/>
        <v>3016.48</v>
      </c>
      <c r="AC81" s="72">
        <f t="shared" si="20"/>
        <v>2824.08</v>
      </c>
      <c r="AD81" s="72">
        <f t="shared" si="20"/>
        <v>2592.88</v>
      </c>
      <c r="AE81" s="72">
        <f t="shared" si="20"/>
        <v>2482.88</v>
      </c>
      <c r="AF81" s="72">
        <f t="shared" si="20"/>
        <v>2416.48</v>
      </c>
      <c r="AG81" s="77">
        <f t="shared" si="20"/>
        <v>4238.08</v>
      </c>
      <c r="AH81" s="55">
        <f t="shared" si="16"/>
        <v>3093.6800000000003</v>
      </c>
      <c r="AI81" s="56">
        <f t="shared" si="17"/>
        <v>2175.6800000000003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49.997999999999998</v>
      </c>
      <c r="C82" s="93">
        <v>50.023000000000003</v>
      </c>
      <c r="D82" s="93">
        <v>50</v>
      </c>
      <c r="E82" s="93">
        <v>50.04</v>
      </c>
      <c r="F82" s="93">
        <v>49.97</v>
      </c>
      <c r="G82" s="93">
        <v>49.97</v>
      </c>
      <c r="H82" s="93">
        <v>49.9</v>
      </c>
      <c r="I82" s="93">
        <v>49.9</v>
      </c>
      <c r="J82" s="93">
        <v>49.96</v>
      </c>
      <c r="K82" s="93">
        <v>50.026000000000003</v>
      </c>
      <c r="L82" s="93">
        <v>50.07</v>
      </c>
      <c r="M82" s="93">
        <v>50.04</v>
      </c>
      <c r="N82" s="93">
        <v>50.021000000000001</v>
      </c>
      <c r="O82" s="93">
        <v>49.988</v>
      </c>
      <c r="P82" s="93">
        <v>49.939</v>
      </c>
      <c r="Q82" s="93">
        <v>49.941000000000003</v>
      </c>
      <c r="R82" s="93">
        <v>50.079000000000001</v>
      </c>
      <c r="S82" s="93">
        <v>49.98</v>
      </c>
      <c r="T82" s="93">
        <v>49.872999999999998</v>
      </c>
      <c r="U82" s="93">
        <v>50.015000000000001</v>
      </c>
      <c r="V82" s="93">
        <v>50.036999999999999</v>
      </c>
      <c r="W82" s="93">
        <v>49.948</v>
      </c>
      <c r="X82" s="93">
        <v>49.881999999999998</v>
      </c>
      <c r="Y82" s="93">
        <v>49.91</v>
      </c>
      <c r="Z82" s="93">
        <v>49.915999999999997</v>
      </c>
      <c r="AA82" s="93">
        <v>50.06</v>
      </c>
      <c r="AB82" s="93">
        <v>49.96</v>
      </c>
      <c r="AC82" s="93">
        <v>49.89</v>
      </c>
      <c r="AD82" s="93">
        <v>50.03</v>
      </c>
      <c r="AE82" s="93">
        <v>50.04</v>
      </c>
      <c r="AF82" s="94">
        <v>50</v>
      </c>
      <c r="AG82" s="95"/>
      <c r="AH82" s="55">
        <f t="shared" si="16"/>
        <v>50.079000000000001</v>
      </c>
      <c r="AI82" s="56">
        <f t="shared" si="17"/>
        <v>49.872999999999998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127.6</v>
      </c>
      <c r="C83" s="52">
        <v>126.4</v>
      </c>
      <c r="D83" s="52">
        <v>127.1</v>
      </c>
      <c r="E83" s="52">
        <v>127.1</v>
      </c>
      <c r="F83" s="52">
        <v>125.8</v>
      </c>
      <c r="G83" s="52">
        <v>126.1</v>
      </c>
      <c r="H83" s="52">
        <v>127.3</v>
      </c>
      <c r="I83" s="52">
        <v>126.7</v>
      </c>
      <c r="J83" s="52">
        <v>124.2</v>
      </c>
      <c r="K83" s="52">
        <v>124.1</v>
      </c>
      <c r="L83" s="52">
        <v>123</v>
      </c>
      <c r="M83" s="52">
        <v>123.3</v>
      </c>
      <c r="N83" s="52">
        <v>122</v>
      </c>
      <c r="O83" s="52">
        <v>121.7</v>
      </c>
      <c r="P83" s="52">
        <v>122.9</v>
      </c>
      <c r="Q83" s="52">
        <v>123.7</v>
      </c>
      <c r="R83" s="52">
        <v>123.9</v>
      </c>
      <c r="S83" s="52">
        <v>121.3</v>
      </c>
      <c r="T83" s="97">
        <v>123</v>
      </c>
      <c r="U83" s="97">
        <v>121</v>
      </c>
      <c r="V83" s="97">
        <v>122.7</v>
      </c>
      <c r="W83" s="97">
        <v>122.9</v>
      </c>
      <c r="X83" s="97">
        <v>121</v>
      </c>
      <c r="Y83" s="97">
        <v>122.7</v>
      </c>
      <c r="Z83" s="97">
        <v>124.2</v>
      </c>
      <c r="AA83" s="52">
        <v>124.8</v>
      </c>
      <c r="AB83" s="52">
        <v>124</v>
      </c>
      <c r="AC83" s="52">
        <v>125</v>
      </c>
      <c r="AD83" s="52">
        <v>125.5</v>
      </c>
      <c r="AE83" s="52">
        <v>125</v>
      </c>
      <c r="AF83" s="98">
        <v>124</v>
      </c>
      <c r="AG83" s="99"/>
      <c r="AH83" s="55">
        <f t="shared" si="16"/>
        <v>127.6</v>
      </c>
      <c r="AI83" s="56">
        <f t="shared" si="17"/>
        <v>121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131.5</v>
      </c>
      <c r="C84" s="52">
        <v>130.80000000000001</v>
      </c>
      <c r="D84" s="52">
        <v>131.1</v>
      </c>
      <c r="E84" s="52">
        <v>131.19999999999999</v>
      </c>
      <c r="F84" s="52">
        <v>129.9</v>
      </c>
      <c r="G84" s="52">
        <v>130</v>
      </c>
      <c r="H84" s="52">
        <v>130.19999999999999</v>
      </c>
      <c r="I84" s="52">
        <v>129.19999999999999</v>
      </c>
      <c r="J84" s="52">
        <v>127.6</v>
      </c>
      <c r="K84" s="52">
        <v>127.4</v>
      </c>
      <c r="L84" s="52">
        <v>126.5</v>
      </c>
      <c r="M84" s="52">
        <v>126.8</v>
      </c>
      <c r="N84" s="52">
        <v>126</v>
      </c>
      <c r="O84" s="52">
        <v>125.1</v>
      </c>
      <c r="P84" s="52">
        <v>125.7</v>
      </c>
      <c r="Q84" s="52">
        <v>126.5</v>
      </c>
      <c r="R84" s="52">
        <v>126.8</v>
      </c>
      <c r="S84" s="52">
        <v>124.8</v>
      </c>
      <c r="T84" s="97">
        <v>126.4</v>
      </c>
      <c r="U84" s="97">
        <v>125.3</v>
      </c>
      <c r="V84" s="97">
        <v>126.1</v>
      </c>
      <c r="W84" s="97">
        <v>126.1</v>
      </c>
      <c r="X84" s="97">
        <v>124.9</v>
      </c>
      <c r="Y84" s="97">
        <v>126.5</v>
      </c>
      <c r="Z84" s="97">
        <v>128</v>
      </c>
      <c r="AA84" s="52">
        <v>129</v>
      </c>
      <c r="AB84" s="52">
        <v>128</v>
      </c>
      <c r="AC84" s="52">
        <v>129</v>
      </c>
      <c r="AD84" s="52">
        <v>130</v>
      </c>
      <c r="AE84" s="52">
        <v>129.5</v>
      </c>
      <c r="AF84" s="98">
        <v>129</v>
      </c>
      <c r="AG84" s="99"/>
      <c r="AH84" s="55">
        <f t="shared" si="16"/>
        <v>131.5</v>
      </c>
      <c r="AI84" s="56">
        <f t="shared" si="17"/>
        <v>124.8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127.7</v>
      </c>
      <c r="C85" s="52">
        <v>126</v>
      </c>
      <c r="D85" s="52">
        <v>131.4</v>
      </c>
      <c r="E85" s="52">
        <v>130</v>
      </c>
      <c r="F85" s="52">
        <v>127.9</v>
      </c>
      <c r="G85" s="52">
        <v>130</v>
      </c>
      <c r="H85" s="52">
        <v>129.5</v>
      </c>
      <c r="I85" s="52">
        <v>126.1</v>
      </c>
      <c r="J85" s="52">
        <v>127.3</v>
      </c>
      <c r="K85" s="52">
        <v>127.5</v>
      </c>
      <c r="L85" s="52">
        <v>125.8</v>
      </c>
      <c r="M85" s="52">
        <v>127.7</v>
      </c>
      <c r="N85" s="52">
        <v>127</v>
      </c>
      <c r="O85" s="52">
        <v>124.6</v>
      </c>
      <c r="P85" s="52">
        <v>127.6</v>
      </c>
      <c r="Q85" s="52">
        <v>128.80000000000001</v>
      </c>
      <c r="R85" s="52">
        <v>127.1</v>
      </c>
      <c r="S85" s="52">
        <v>122.1</v>
      </c>
      <c r="T85" s="52">
        <v>126.3</v>
      </c>
      <c r="U85" s="52">
        <v>126.8</v>
      </c>
      <c r="V85" s="52">
        <v>129</v>
      </c>
      <c r="W85" s="97">
        <v>125.8</v>
      </c>
      <c r="X85" s="97">
        <v>123.3</v>
      </c>
      <c r="Y85" s="97">
        <v>125.8</v>
      </c>
      <c r="Z85" s="97">
        <v>128.4</v>
      </c>
      <c r="AA85" s="52">
        <v>126</v>
      </c>
      <c r="AB85" s="52">
        <v>126</v>
      </c>
      <c r="AC85" s="52">
        <v>129</v>
      </c>
      <c r="AD85" s="52">
        <v>129</v>
      </c>
      <c r="AE85" s="52">
        <v>126.5</v>
      </c>
      <c r="AF85" s="98">
        <v>128</v>
      </c>
      <c r="AG85" s="99"/>
      <c r="AH85" s="55">
        <f t="shared" si="16"/>
        <v>131.4</v>
      </c>
      <c r="AI85" s="56">
        <f t="shared" si="17"/>
        <v>122.1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131.6</v>
      </c>
      <c r="C86" s="52">
        <v>132.30000000000001</v>
      </c>
      <c r="D86" s="52">
        <v>135.19999999999999</v>
      </c>
      <c r="E86" s="52">
        <v>134</v>
      </c>
      <c r="F86" s="52">
        <v>132.5</v>
      </c>
      <c r="G86" s="52">
        <v>133.9</v>
      </c>
      <c r="H86" s="52">
        <v>132.9</v>
      </c>
      <c r="I86" s="52">
        <v>130</v>
      </c>
      <c r="J86" s="52">
        <v>130.1</v>
      </c>
      <c r="K86" s="52">
        <v>131</v>
      </c>
      <c r="L86" s="52">
        <v>129</v>
      </c>
      <c r="M86" s="52">
        <v>130.69999999999999</v>
      </c>
      <c r="N86" s="52">
        <v>131</v>
      </c>
      <c r="O86" s="52">
        <v>127.3</v>
      </c>
      <c r="P86" s="52">
        <v>134.4</v>
      </c>
      <c r="Q86" s="52">
        <v>130</v>
      </c>
      <c r="R86" s="52">
        <v>128.4</v>
      </c>
      <c r="S86" s="52">
        <v>124.7</v>
      </c>
      <c r="T86" s="52">
        <v>128</v>
      </c>
      <c r="U86" s="52">
        <v>128.1</v>
      </c>
      <c r="V86" s="52">
        <v>130.19999999999999</v>
      </c>
      <c r="W86" s="97">
        <v>127</v>
      </c>
      <c r="X86" s="97">
        <v>124.9</v>
      </c>
      <c r="Y86" s="97">
        <v>127.7</v>
      </c>
      <c r="Z86" s="97">
        <v>127.1</v>
      </c>
      <c r="AA86" s="52">
        <v>129</v>
      </c>
      <c r="AB86" s="52">
        <v>129</v>
      </c>
      <c r="AC86" s="52">
        <v>130</v>
      </c>
      <c r="AD86" s="52">
        <v>133</v>
      </c>
      <c r="AE86" s="52">
        <v>130.9</v>
      </c>
      <c r="AF86" s="98">
        <v>132</v>
      </c>
      <c r="AG86" s="99"/>
      <c r="AH86" s="55">
        <f t="shared" si="16"/>
        <v>135.19999999999999</v>
      </c>
      <c r="AI86" s="56">
        <f t="shared" si="17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135.1</v>
      </c>
      <c r="C87" s="101">
        <v>134</v>
      </c>
      <c r="D87" s="101">
        <v>134.19999999999999</v>
      </c>
      <c r="E87" s="101">
        <v>134.1</v>
      </c>
      <c r="F87" s="101">
        <v>134.5</v>
      </c>
      <c r="G87" s="101">
        <v>134</v>
      </c>
      <c r="H87" s="101">
        <v>134.6</v>
      </c>
      <c r="I87" s="101">
        <v>135.69999999999999</v>
      </c>
      <c r="J87" s="101">
        <v>132.9</v>
      </c>
      <c r="K87" s="101">
        <v>1357</v>
      </c>
      <c r="L87" s="101">
        <v>132.19999999999999</v>
      </c>
      <c r="M87" s="101">
        <v>132.6</v>
      </c>
      <c r="N87" s="101">
        <v>131.19999999999999</v>
      </c>
      <c r="O87" s="101">
        <v>131.1</v>
      </c>
      <c r="P87" s="101">
        <v>130.1</v>
      </c>
      <c r="Q87" s="101">
        <v>134.6</v>
      </c>
      <c r="R87" s="101">
        <v>133</v>
      </c>
      <c r="S87" s="101">
        <v>133.80000000000001</v>
      </c>
      <c r="T87" s="101">
        <v>135</v>
      </c>
      <c r="U87" s="101">
        <v>134</v>
      </c>
      <c r="V87" s="101">
        <v>134.5</v>
      </c>
      <c r="W87" s="97">
        <v>134.1</v>
      </c>
      <c r="X87" s="97">
        <v>130.9</v>
      </c>
      <c r="Y87" s="97">
        <v>130.9</v>
      </c>
      <c r="Z87" s="97">
        <v>133.30000000000001</v>
      </c>
      <c r="AA87" s="101">
        <v>133.5</v>
      </c>
      <c r="AB87" s="101">
        <v>132</v>
      </c>
      <c r="AC87" s="101">
        <v>133</v>
      </c>
      <c r="AD87" s="101">
        <v>132</v>
      </c>
      <c r="AE87" s="101">
        <v>134.6</v>
      </c>
      <c r="AF87" s="102">
        <v>133</v>
      </c>
      <c r="AG87" s="103"/>
      <c r="AH87" s="55">
        <f t="shared" si="16"/>
        <v>1357</v>
      </c>
      <c r="AI87" s="56">
        <f t="shared" si="17"/>
        <v>130.1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134.1</v>
      </c>
      <c r="C88" s="52">
        <v>135.1</v>
      </c>
      <c r="D88" s="52">
        <v>136.6</v>
      </c>
      <c r="E88" s="52">
        <v>133.19999999999999</v>
      </c>
      <c r="F88" s="52">
        <v>132.9</v>
      </c>
      <c r="G88" s="52">
        <v>132.4</v>
      </c>
      <c r="H88" s="52">
        <v>133.80000000000001</v>
      </c>
      <c r="I88" s="52">
        <v>136.4</v>
      </c>
      <c r="J88" s="52">
        <v>133.6</v>
      </c>
      <c r="K88" s="52">
        <v>136</v>
      </c>
      <c r="L88" s="52">
        <v>130.4</v>
      </c>
      <c r="M88" s="52">
        <v>129.30000000000001</v>
      </c>
      <c r="N88" s="52">
        <v>127.5</v>
      </c>
      <c r="O88" s="52">
        <v>129.69999999999999</v>
      </c>
      <c r="P88" s="52">
        <v>130.9</v>
      </c>
      <c r="Q88" s="52">
        <v>133.80000000000001</v>
      </c>
      <c r="R88" s="52">
        <v>128.6</v>
      </c>
      <c r="S88" s="52">
        <v>131.1</v>
      </c>
      <c r="T88" s="52">
        <v>131.69999999999999</v>
      </c>
      <c r="U88" s="52">
        <v>133.30000000000001</v>
      </c>
      <c r="V88" s="52">
        <v>134.1</v>
      </c>
      <c r="W88" s="97">
        <v>130.6</v>
      </c>
      <c r="X88" s="97">
        <v>129.9</v>
      </c>
      <c r="Y88" s="97">
        <v>125.9</v>
      </c>
      <c r="Z88" s="97">
        <v>129.80000000000001</v>
      </c>
      <c r="AA88" s="52">
        <v>130</v>
      </c>
      <c r="AB88" s="52">
        <v>130</v>
      </c>
      <c r="AC88" s="52">
        <v>130</v>
      </c>
      <c r="AD88" s="52">
        <v>131</v>
      </c>
      <c r="AE88" s="52">
        <v>132.6</v>
      </c>
      <c r="AF88" s="98">
        <v>132</v>
      </c>
      <c r="AG88" s="99"/>
      <c r="AH88" s="55">
        <f t="shared" si="16"/>
        <v>136.6</v>
      </c>
      <c r="AI88" s="56">
        <f t="shared" si="17"/>
        <v>125.9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66.900000000000006</v>
      </c>
      <c r="C89" s="104">
        <v>66.400000000000006</v>
      </c>
      <c r="D89" s="104">
        <v>66.5</v>
      </c>
      <c r="E89" s="104">
        <v>66.599999999999994</v>
      </c>
      <c r="F89" s="104">
        <v>65.900000000000006</v>
      </c>
      <c r="G89" s="104">
        <v>65.900000000000006</v>
      </c>
      <c r="H89" s="104">
        <v>66</v>
      </c>
      <c r="I89" s="104">
        <v>65.3</v>
      </c>
      <c r="J89" s="104">
        <v>64.7</v>
      </c>
      <c r="K89" s="104">
        <v>64.5</v>
      </c>
      <c r="L89" s="104">
        <v>64.099999999999994</v>
      </c>
      <c r="M89" s="104">
        <v>64.2</v>
      </c>
      <c r="N89" s="104">
        <v>63.7</v>
      </c>
      <c r="O89" s="104">
        <v>63.3</v>
      </c>
      <c r="P89" s="104">
        <v>63.7</v>
      </c>
      <c r="Q89" s="104">
        <v>64.099999999999994</v>
      </c>
      <c r="R89" s="104">
        <v>64.3</v>
      </c>
      <c r="S89" s="104">
        <v>63.1</v>
      </c>
      <c r="T89" s="104">
        <v>64</v>
      </c>
      <c r="U89" s="104">
        <v>63.6</v>
      </c>
      <c r="V89" s="104">
        <v>64</v>
      </c>
      <c r="W89" s="104">
        <v>64</v>
      </c>
      <c r="X89" s="104">
        <v>63.7</v>
      </c>
      <c r="Y89" s="104">
        <v>64.5</v>
      </c>
      <c r="Z89" s="104">
        <v>65</v>
      </c>
      <c r="AA89" s="104">
        <v>65.8</v>
      </c>
      <c r="AB89" s="104">
        <v>65.8</v>
      </c>
      <c r="AC89" s="104">
        <v>65.5</v>
      </c>
      <c r="AD89" s="104">
        <v>65.400000000000006</v>
      </c>
      <c r="AE89" s="104">
        <v>66</v>
      </c>
      <c r="AF89" s="105">
        <v>65.7</v>
      </c>
      <c r="AG89" s="106"/>
      <c r="AH89" s="55">
        <f t="shared" si="16"/>
        <v>66.900000000000006</v>
      </c>
      <c r="AI89" s="56">
        <f t="shared" si="17"/>
        <v>63.1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131.33999999999997</v>
      </c>
      <c r="C91" s="178">
        <f t="shared" ref="C91:AF91" si="21">SUM(C14,C17,C20:C21,C40,C42:C43,C45,C47,C92:C95,C100,C106,C112,C121,C123,C135,C142,C145:C146,C153,C155,C157,C161:C163,C165:C167,C172,C178:C179,C181:C183,C191,C196)</f>
        <v>128.74</v>
      </c>
      <c r="D91" s="178">
        <f t="shared" si="21"/>
        <v>125.54</v>
      </c>
      <c r="E91" s="178">
        <f t="shared" si="21"/>
        <v>132.84</v>
      </c>
      <c r="F91" s="111">
        <f t="shared" si="21"/>
        <v>156.44</v>
      </c>
      <c r="G91" s="111">
        <f t="shared" si="21"/>
        <v>170.23999999999998</v>
      </c>
      <c r="H91" s="111">
        <f t="shared" si="21"/>
        <v>179.63999999999996</v>
      </c>
      <c r="I91" s="111">
        <f t="shared" si="21"/>
        <v>243.04</v>
      </c>
      <c r="J91" s="111">
        <f t="shared" si="21"/>
        <v>263.04000000000002</v>
      </c>
      <c r="K91" s="111">
        <f t="shared" si="21"/>
        <v>279.84000000000003</v>
      </c>
      <c r="L91" s="111">
        <f t="shared" si="21"/>
        <v>279.14</v>
      </c>
      <c r="M91" s="111">
        <f t="shared" si="21"/>
        <v>270.84000000000003</v>
      </c>
      <c r="N91" s="111">
        <f t="shared" si="21"/>
        <v>280.34000000000003</v>
      </c>
      <c r="O91" s="111">
        <f t="shared" si="21"/>
        <v>302.44000000000005</v>
      </c>
      <c r="P91" s="111">
        <f t="shared" si="21"/>
        <v>279.24</v>
      </c>
      <c r="Q91" s="111">
        <f t="shared" si="21"/>
        <v>351.54000000000008</v>
      </c>
      <c r="R91" s="111">
        <f t="shared" si="21"/>
        <v>344.34000000000009</v>
      </c>
      <c r="S91" s="111">
        <f t="shared" si="21"/>
        <v>331.84000000000009</v>
      </c>
      <c r="T91" s="111">
        <f t="shared" si="21"/>
        <v>326.94</v>
      </c>
      <c r="U91" s="111">
        <f t="shared" si="21"/>
        <v>331.34000000000003</v>
      </c>
      <c r="V91" s="111">
        <f t="shared" si="21"/>
        <v>350.64</v>
      </c>
      <c r="W91" s="111">
        <f t="shared" si="21"/>
        <v>373.94000000000005</v>
      </c>
      <c r="X91" s="111">
        <f t="shared" si="21"/>
        <v>397.14</v>
      </c>
      <c r="Y91" s="111">
        <f t="shared" si="21"/>
        <v>398.74000000000007</v>
      </c>
      <c r="Z91" s="111">
        <f t="shared" si="21"/>
        <v>364.84000000000003</v>
      </c>
      <c r="AA91" s="111">
        <f t="shared" si="21"/>
        <v>352.74</v>
      </c>
      <c r="AB91" s="111">
        <f t="shared" si="21"/>
        <v>339.74</v>
      </c>
      <c r="AC91" s="111">
        <f t="shared" si="21"/>
        <v>312.74</v>
      </c>
      <c r="AD91" s="111">
        <f t="shared" si="21"/>
        <v>281.74</v>
      </c>
      <c r="AE91" s="111">
        <f t="shared" si="21"/>
        <v>241.73999999999998</v>
      </c>
      <c r="AF91" s="111">
        <f t="shared" si="21"/>
        <v>248.73999999999998</v>
      </c>
      <c r="AG91" s="112"/>
      <c r="AH91" s="55">
        <f>MAX(B91:AF91)</f>
        <v>398.74000000000007</v>
      </c>
      <c r="AI91" s="56">
        <f>MIN(B91:AF91)</f>
        <v>125.54</v>
      </c>
    </row>
    <row r="92" spans="1:88" x14ac:dyDescent="0.25">
      <c r="A92" s="113" t="s">
        <v>95</v>
      </c>
      <c r="B92" s="59">
        <v>18.600000000000001</v>
      </c>
      <c r="C92" s="59">
        <v>32</v>
      </c>
      <c r="D92" s="59">
        <v>28.7</v>
      </c>
      <c r="E92" s="59">
        <v>31.7</v>
      </c>
      <c r="F92" s="59">
        <v>40.4</v>
      </c>
      <c r="G92" s="59">
        <v>26.3</v>
      </c>
      <c r="H92" s="59">
        <v>35.700000000000003</v>
      </c>
      <c r="I92" s="59">
        <v>49.2</v>
      </c>
      <c r="J92" s="114">
        <v>43.7</v>
      </c>
      <c r="K92" s="114">
        <v>56.6</v>
      </c>
      <c r="L92" s="115">
        <v>49</v>
      </c>
      <c r="M92" s="114">
        <v>52.6</v>
      </c>
      <c r="N92" s="114">
        <v>50.2</v>
      </c>
      <c r="O92" s="114">
        <v>43.5</v>
      </c>
      <c r="P92" s="114">
        <v>24.5</v>
      </c>
      <c r="Q92" s="114">
        <v>40.9</v>
      </c>
      <c r="R92" s="114">
        <v>35.9</v>
      </c>
      <c r="S92" s="114">
        <v>40.799999999999997</v>
      </c>
      <c r="T92" s="115">
        <v>39.299999999999997</v>
      </c>
      <c r="U92" s="115">
        <v>39.9</v>
      </c>
      <c r="V92" s="115">
        <v>37.6</v>
      </c>
      <c r="W92" s="114">
        <v>38</v>
      </c>
      <c r="X92" s="114">
        <v>33.299999999999997</v>
      </c>
      <c r="Y92" s="114">
        <v>18</v>
      </c>
      <c r="Z92" s="114">
        <v>28.5</v>
      </c>
      <c r="AA92" s="115">
        <v>21</v>
      </c>
      <c r="AB92" s="115">
        <v>18</v>
      </c>
      <c r="AC92" s="115">
        <v>20</v>
      </c>
      <c r="AD92" s="115">
        <v>24</v>
      </c>
      <c r="AE92" s="115">
        <v>16</v>
      </c>
      <c r="AF92" s="116">
        <v>29</v>
      </c>
      <c r="AG92" s="117">
        <v>75</v>
      </c>
      <c r="AH92" s="55">
        <f t="shared" ref="AH92:AH97" si="22">IF(ABS(MAX(B92:AF92))&gt;ABS(MIN(B92:AF92)),MAX(B92:AF92),MIN(B92:AF92))</f>
        <v>56.6</v>
      </c>
      <c r="AI92" s="118">
        <f t="shared" ref="AI92:AI97" si="23">INDEX($B$9:$AF$9,1,MATCH(AH92,B92:AF92,0))</f>
        <v>0.3125</v>
      </c>
    </row>
    <row r="93" spans="1:88" x14ac:dyDescent="0.25">
      <c r="A93" s="119" t="s">
        <v>96</v>
      </c>
      <c r="B93" s="61">
        <v>-97</v>
      </c>
      <c r="C93" s="61">
        <v>-103</v>
      </c>
      <c r="D93" s="61">
        <f>-44.5-53.6</f>
        <v>-98.1</v>
      </c>
      <c r="E93" s="61">
        <f>-44-52.5</f>
        <v>-96.5</v>
      </c>
      <c r="F93" s="61">
        <f>-36.9-44.4</f>
        <v>-81.3</v>
      </c>
      <c r="G93" s="61">
        <f>-32.1-38.7</f>
        <v>-70.800000000000011</v>
      </c>
      <c r="H93" s="61">
        <f>-32.1-38.7</f>
        <v>-70.800000000000011</v>
      </c>
      <c r="I93" s="61">
        <f>-26-31</f>
        <v>-57</v>
      </c>
      <c r="J93" s="61">
        <f>-23.1-27.7</f>
        <v>-50.8</v>
      </c>
      <c r="K93" s="61">
        <v>-55</v>
      </c>
      <c r="L93" s="61">
        <f>-26-31.5</f>
        <v>-57.5</v>
      </c>
      <c r="M93" s="61">
        <f>-27.1-32.4</f>
        <v>-59.5</v>
      </c>
      <c r="N93" s="61">
        <v>-57.4</v>
      </c>
      <c r="O93" s="61">
        <v>-39.299999999999997</v>
      </c>
      <c r="P93" s="61">
        <v>-60</v>
      </c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52"/>
      <c r="AB93" s="52"/>
      <c r="AC93" s="52"/>
      <c r="AD93" s="52"/>
      <c r="AE93" s="52"/>
      <c r="AF93" s="120"/>
      <c r="AG93" s="117">
        <v>240</v>
      </c>
      <c r="AH93" s="55">
        <f t="shared" si="22"/>
        <v>-103</v>
      </c>
      <c r="AI93" s="118">
        <f t="shared" si="23"/>
        <v>8.3333333333333301E-2</v>
      </c>
    </row>
    <row r="94" spans="1:88" x14ac:dyDescent="0.25">
      <c r="A94" s="119" t="s">
        <v>97</v>
      </c>
      <c r="B94" s="61">
        <v>-10.3</v>
      </c>
      <c r="C94" s="61">
        <v>-17</v>
      </c>
      <c r="D94" s="61">
        <v>-20.100000000000001</v>
      </c>
      <c r="E94" s="61">
        <v>-16.3</v>
      </c>
      <c r="F94" s="61">
        <v>-12.5</v>
      </c>
      <c r="G94" s="61">
        <v>-6.8</v>
      </c>
      <c r="H94" s="61">
        <v>-6.8</v>
      </c>
      <c r="I94" s="61">
        <v>4.5</v>
      </c>
      <c r="J94" s="61">
        <v>2.2000000000000002</v>
      </c>
      <c r="K94" s="61">
        <v>7.8</v>
      </c>
      <c r="L94" s="61">
        <v>9.1999999999999993</v>
      </c>
      <c r="M94" s="61">
        <v>5.3</v>
      </c>
      <c r="N94" s="61">
        <v>5.5</v>
      </c>
      <c r="O94" s="61">
        <v>18.399999999999999</v>
      </c>
      <c r="P94" s="61">
        <v>15.7</v>
      </c>
      <c r="Q94" s="61">
        <v>13.1</v>
      </c>
      <c r="R94" s="61">
        <v>11.4</v>
      </c>
      <c r="S94" s="61">
        <v>7.3</v>
      </c>
      <c r="T94" s="61">
        <v>11.5</v>
      </c>
      <c r="U94" s="61">
        <v>7</v>
      </c>
      <c r="V94" s="61">
        <v>6.2</v>
      </c>
      <c r="W94" s="61">
        <v>17.399999999999999</v>
      </c>
      <c r="X94" s="61">
        <v>37</v>
      </c>
      <c r="Y94" s="61">
        <v>37.799999999999997</v>
      </c>
      <c r="Z94" s="61">
        <v>26.9</v>
      </c>
      <c r="AA94" s="52">
        <v>20</v>
      </c>
      <c r="AB94" s="52">
        <v>8</v>
      </c>
      <c r="AC94" s="52">
        <v>-4</v>
      </c>
      <c r="AD94" s="52">
        <v>-9</v>
      </c>
      <c r="AE94" s="52">
        <v>-11</v>
      </c>
      <c r="AF94" s="120">
        <v>-17</v>
      </c>
      <c r="AG94" s="117">
        <v>60</v>
      </c>
      <c r="AH94" s="55">
        <f t="shared" si="22"/>
        <v>37.799999999999997</v>
      </c>
      <c r="AI94" s="118">
        <f t="shared" si="23"/>
        <v>0.79166666666666663</v>
      </c>
    </row>
    <row r="95" spans="1:88" x14ac:dyDescent="0.25">
      <c r="A95" s="121" t="s">
        <v>98</v>
      </c>
      <c r="B95" s="84">
        <v>9.6999999999999993</v>
      </c>
      <c r="C95" s="84">
        <v>6.3</v>
      </c>
      <c r="D95" s="84">
        <v>4.5999999999999996</v>
      </c>
      <c r="E95" s="84">
        <v>3.5</v>
      </c>
      <c r="F95" s="84">
        <v>19</v>
      </c>
      <c r="G95" s="84">
        <v>30.7</v>
      </c>
      <c r="H95" s="84">
        <v>30.7</v>
      </c>
      <c r="I95" s="84">
        <v>26.6</v>
      </c>
      <c r="J95" s="84">
        <v>48.4</v>
      </c>
      <c r="K95" s="84">
        <v>31.9</v>
      </c>
      <c r="L95" s="84">
        <v>39.6</v>
      </c>
      <c r="M95" s="84">
        <v>34.5</v>
      </c>
      <c r="N95" s="84">
        <v>42</v>
      </c>
      <c r="O95" s="84">
        <v>40.4</v>
      </c>
      <c r="P95" s="84">
        <v>59.6</v>
      </c>
      <c r="Q95" s="84">
        <v>64</v>
      </c>
      <c r="R95" s="84">
        <v>63.6</v>
      </c>
      <c r="S95" s="84">
        <v>50.3</v>
      </c>
      <c r="T95" s="84">
        <v>42.4</v>
      </c>
      <c r="U95" s="84">
        <v>50.7</v>
      </c>
      <c r="V95" s="84">
        <v>73.099999999999994</v>
      </c>
      <c r="W95" s="84">
        <v>79.599999999999994</v>
      </c>
      <c r="X95" s="84">
        <v>88.1</v>
      </c>
      <c r="Y95" s="84">
        <v>104</v>
      </c>
      <c r="Z95" s="84">
        <v>70.5</v>
      </c>
      <c r="AA95" s="122">
        <v>75</v>
      </c>
      <c r="AB95" s="122">
        <v>77</v>
      </c>
      <c r="AC95" s="122">
        <v>60</v>
      </c>
      <c r="AD95" s="122">
        <v>30</v>
      </c>
      <c r="AE95" s="122">
        <v>0</v>
      </c>
      <c r="AF95" s="123">
        <v>0</v>
      </c>
      <c r="AG95" s="124">
        <v>120</v>
      </c>
      <c r="AH95" s="55">
        <f t="shared" si="22"/>
        <v>104</v>
      </c>
      <c r="AI95" s="118">
        <f t="shared" si="23"/>
        <v>0.79166666666666663</v>
      </c>
    </row>
    <row r="96" spans="1:88" x14ac:dyDescent="0.25">
      <c r="A96" s="121" t="s">
        <v>99</v>
      </c>
      <c r="B96" s="84">
        <v>33.200000000000003</v>
      </c>
      <c r="C96" s="84">
        <v>30</v>
      </c>
      <c r="D96" s="84">
        <v>28.5</v>
      </c>
      <c r="E96" s="84">
        <v>26.7</v>
      </c>
      <c r="F96" s="84">
        <v>37.200000000000003</v>
      </c>
      <c r="G96" s="84">
        <v>47.8</v>
      </c>
      <c r="H96" s="84">
        <v>47.8</v>
      </c>
      <c r="I96" s="84">
        <v>34.700000000000003</v>
      </c>
      <c r="J96" s="84">
        <v>49.5</v>
      </c>
      <c r="K96" s="84">
        <v>34.6</v>
      </c>
      <c r="L96" s="84">
        <v>39.799999999999997</v>
      </c>
      <c r="M96" s="84">
        <v>37.5</v>
      </c>
      <c r="N96" s="84">
        <v>47.2</v>
      </c>
      <c r="O96" s="84">
        <v>41.2</v>
      </c>
      <c r="P96" s="84">
        <v>56.9</v>
      </c>
      <c r="Q96" s="84">
        <v>31.3</v>
      </c>
      <c r="R96" s="84">
        <v>40.200000000000003</v>
      </c>
      <c r="S96" s="84">
        <v>48.4</v>
      </c>
      <c r="T96" s="84">
        <v>29.1</v>
      </c>
      <c r="U96" s="84">
        <v>46.6</v>
      </c>
      <c r="V96" s="84">
        <v>58.9</v>
      </c>
      <c r="W96" s="84">
        <v>63.8</v>
      </c>
      <c r="X96" s="84">
        <v>72.599999999999994</v>
      </c>
      <c r="Y96" s="84">
        <v>88.1</v>
      </c>
      <c r="Z96" s="84">
        <v>58</v>
      </c>
      <c r="AA96" s="122">
        <v>67</v>
      </c>
      <c r="AB96" s="122">
        <v>71</v>
      </c>
      <c r="AC96" s="122">
        <v>57</v>
      </c>
      <c r="AD96" s="122">
        <v>37</v>
      </c>
      <c r="AE96" s="122">
        <v>43</v>
      </c>
      <c r="AF96" s="123">
        <v>26</v>
      </c>
      <c r="AG96" s="124"/>
      <c r="AH96" s="55">
        <f t="shared" si="22"/>
        <v>88.1</v>
      </c>
      <c r="AI96" s="118">
        <f t="shared" si="23"/>
        <v>0.79166666666666663</v>
      </c>
    </row>
    <row r="97" spans="1:37" ht="15.75" thickBot="1" x14ac:dyDescent="0.3">
      <c r="A97" s="121" t="s">
        <v>100</v>
      </c>
      <c r="B97" s="84">
        <v>67.2</v>
      </c>
      <c r="C97" s="84">
        <v>48.4</v>
      </c>
      <c r="D97" s="84">
        <v>60.7</v>
      </c>
      <c r="E97" s="84">
        <v>56.9</v>
      </c>
      <c r="F97" s="84">
        <v>50.4</v>
      </c>
      <c r="G97" s="84">
        <v>52.2</v>
      </c>
      <c r="H97" s="84">
        <v>52.2</v>
      </c>
      <c r="I97" s="84">
        <v>37.4</v>
      </c>
      <c r="J97" s="84">
        <v>44.6</v>
      </c>
      <c r="K97" s="84">
        <v>24.3</v>
      </c>
      <c r="L97" s="84">
        <v>35.4</v>
      </c>
      <c r="M97" s="84">
        <v>34.5</v>
      </c>
      <c r="N97" s="84">
        <v>40.6</v>
      </c>
      <c r="O97" s="84">
        <v>51</v>
      </c>
      <c r="P97" s="84">
        <v>70.7</v>
      </c>
      <c r="Q97" s="84">
        <v>47.7</v>
      </c>
      <c r="R97" s="84">
        <v>16</v>
      </c>
      <c r="S97" s="84">
        <v>16</v>
      </c>
      <c r="T97" s="84">
        <v>18.3</v>
      </c>
      <c r="U97" s="84">
        <v>18.899999999999999</v>
      </c>
      <c r="V97" s="84">
        <v>18.7</v>
      </c>
      <c r="W97" s="84">
        <v>18.600000000000001</v>
      </c>
      <c r="X97" s="84">
        <v>21.9</v>
      </c>
      <c r="Y97" s="84">
        <v>69.8</v>
      </c>
      <c r="Z97" s="84">
        <v>51.7</v>
      </c>
      <c r="AA97" s="122">
        <v>76</v>
      </c>
      <c r="AB97" s="122">
        <v>56</v>
      </c>
      <c r="AC97" s="122">
        <v>68</v>
      </c>
      <c r="AD97" s="122">
        <v>48</v>
      </c>
      <c r="AE97" s="122">
        <v>33</v>
      </c>
      <c r="AF97" s="123">
        <v>38</v>
      </c>
      <c r="AG97" s="125"/>
      <c r="AH97" s="55">
        <f t="shared" si="22"/>
        <v>76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1261.8400000000001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14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2078/04/14)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2078/04/14)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1107.6399999999999</v>
      </c>
      <c r="U211" s="170">
        <f t="shared" si="52"/>
        <v>1061.94</v>
      </c>
      <c r="V211" s="170">
        <f t="shared" si="52"/>
        <v>1043.8400000000001</v>
      </c>
      <c r="W211" s="170">
        <f t="shared" si="52"/>
        <v>1028.04</v>
      </c>
      <c r="X211" s="170">
        <f t="shared" si="52"/>
        <v>1068.24</v>
      </c>
      <c r="Y211" s="170">
        <f t="shared" si="52"/>
        <v>1069.74</v>
      </c>
      <c r="Z211" s="170">
        <f t="shared" si="52"/>
        <v>1042.6399999999999</v>
      </c>
      <c r="AA211" s="170">
        <f t="shared" si="52"/>
        <v>1086.3399999999999</v>
      </c>
      <c r="AB211" s="170">
        <f t="shared" si="52"/>
        <v>1143.44</v>
      </c>
      <c r="AC211" s="170">
        <f t="shared" si="52"/>
        <v>1247.44</v>
      </c>
      <c r="AD211" s="170">
        <f t="shared" si="52"/>
        <v>1248.24</v>
      </c>
      <c r="AE211" s="170">
        <f t="shared" si="52"/>
        <v>1261.8400000000001</v>
      </c>
      <c r="AF211" s="170">
        <f t="shared" si="52"/>
        <v>1259.6399999999999</v>
      </c>
      <c r="AG211" s="170">
        <f t="shared" si="52"/>
        <v>1261.74</v>
      </c>
      <c r="AH211" s="170">
        <f t="shared" si="52"/>
        <v>1302.1399999999999</v>
      </c>
      <c r="AI211" s="170">
        <f t="shared" si="52"/>
        <v>1261.24</v>
      </c>
      <c r="AJ211" s="170">
        <f t="shared" si="52"/>
        <v>1253.74</v>
      </c>
      <c r="AK211" s="170">
        <f t="shared" si="52"/>
        <v>1267.9399999999998</v>
      </c>
      <c r="AL211" s="170">
        <f t="shared" si="52"/>
        <v>1234.74</v>
      </c>
      <c r="AM211" s="170">
        <f t="shared" si="52"/>
        <v>1272.3399999999999</v>
      </c>
      <c r="AN211" s="170">
        <f t="shared" si="52"/>
        <v>1307.94</v>
      </c>
      <c r="AO211" s="170">
        <f t="shared" si="52"/>
        <v>1335.84</v>
      </c>
      <c r="AP211" s="170">
        <f t="shared" si="52"/>
        <v>1534.54</v>
      </c>
      <c r="AQ211" s="170">
        <f t="shared" si="52"/>
        <v>1458.53</v>
      </c>
      <c r="AR211" s="170">
        <f t="shared" si="52"/>
        <v>1435.53</v>
      </c>
      <c r="AS211" s="170">
        <f t="shared" si="52"/>
        <v>1405.24</v>
      </c>
      <c r="AT211" s="170">
        <f t="shared" si="52"/>
        <v>1404.24</v>
      </c>
      <c r="AU211" s="170">
        <f t="shared" si="52"/>
        <v>1362.04</v>
      </c>
      <c r="AV211" s="170">
        <f t="shared" si="52"/>
        <v>1260.44</v>
      </c>
      <c r="AW211" s="170">
        <f t="shared" si="52"/>
        <v>1221.44</v>
      </c>
      <c r="AX211" s="170">
        <f t="shared" si="52"/>
        <v>1198.24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689" priority="358">
      <formula>S$9&gt;=20/24</formula>
    </cfRule>
    <cfRule type="expression" dxfId="6688" priority="359">
      <formula>AND(S$9&gt;=14/24,S$9&lt;20/24)</formula>
    </cfRule>
    <cfRule type="expression" dxfId="6687" priority="360">
      <formula>AND(S$9&gt;=8/24,S$9&lt;14/24)</formula>
    </cfRule>
    <cfRule type="expression" dxfId="6686" priority="361">
      <formula>S$9&lt;8/24</formula>
    </cfRule>
  </conditionalFormatting>
  <conditionalFormatting sqref="B8:AF10 AA79:AF79 C79:Q79 C80:AF80 C191:AF197 L35:Q35 AE55:AF57 C66:AF70 K55:K57 M60:M65 T210:AX210 K58:N58 K59:M59 N59:N65 L12:Q13 L15:Q16 L18:Q31 L17:R17 R18:R29 W83:Z89 C72:AF76 C78:AF78 B54:AF54 B66 B73 O58:Q65 L37:R40 S38:X40 L56:W57 S17:X29 M43:X46 L11:AD11 AA82:AF89 L51:AF53 Y12:AF13 Y38:AF41 Y15:AF30">
    <cfRule type="expression" dxfId="6685" priority="354">
      <formula>B$9&gt;=20/24</formula>
    </cfRule>
    <cfRule type="expression" dxfId="6684" priority="355">
      <formula>AND(B$9&gt;=14/24,B$9&lt;20/24)</formula>
    </cfRule>
    <cfRule type="expression" dxfId="6683" priority="356">
      <formula>AND(B$9&gt;=8/24,B$9&lt;14/24)</formula>
    </cfRule>
    <cfRule type="expression" dxfId="6682" priority="357">
      <formula>B$9&lt;8/24</formula>
    </cfRule>
  </conditionalFormatting>
  <conditionalFormatting sqref="B189:AF189">
    <cfRule type="expression" dxfId="6681" priority="350">
      <formula>B$9&gt;=20/24</formula>
    </cfRule>
    <cfRule type="expression" dxfId="6680" priority="351">
      <formula>AND(B$9&gt;=14/24,B$9&lt;20/24)</formula>
    </cfRule>
    <cfRule type="expression" dxfId="6679" priority="352">
      <formula>AND(B$9&gt;=8/24,B$9&lt;14/24)</formula>
    </cfRule>
    <cfRule type="expression" dxfId="6678" priority="353">
      <formula>B$9&lt;8/24</formula>
    </cfRule>
  </conditionalFormatting>
  <conditionalFormatting sqref="AL4:AL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6677" priority="345">
      <formula>L$9&gt;=20/24</formula>
    </cfRule>
    <cfRule type="expression" dxfId="6676" priority="346">
      <formula>AND(L$9&gt;=14/24,L$9&lt;20/24)</formula>
    </cfRule>
    <cfRule type="expression" dxfId="6675" priority="347">
      <formula>AND(L$9&gt;=8/24,L$9&lt;14/24)</formula>
    </cfRule>
    <cfRule type="expression" dxfId="6674" priority="348">
      <formula>L$9&lt;8/24</formula>
    </cfRule>
  </conditionalFormatting>
  <conditionalFormatting sqref="L41:S41">
    <cfRule type="expression" dxfId="6673" priority="341">
      <formula>L$9&gt;=20/24</formula>
    </cfRule>
    <cfRule type="expression" dxfId="6672" priority="342">
      <formula>AND(L$9&gt;=14/24,L$9&lt;20/24)</formula>
    </cfRule>
    <cfRule type="expression" dxfId="6671" priority="343">
      <formula>AND(L$9&gt;=8/24,L$9&lt;14/24)</formula>
    </cfRule>
    <cfRule type="expression" dxfId="6670" priority="344">
      <formula>L$9&lt;8/24</formula>
    </cfRule>
  </conditionalFormatting>
  <conditionalFormatting sqref="Y31:AF31">
    <cfRule type="expression" dxfId="6669" priority="337">
      <formula>Y$9&gt;=20/24</formula>
    </cfRule>
    <cfRule type="expression" dxfId="6668" priority="338">
      <formula>AND(Y$9&gt;=14/24,Y$9&lt;20/24)</formula>
    </cfRule>
    <cfRule type="expression" dxfId="6667" priority="339">
      <formula>AND(Y$9&gt;=8/24,Y$9&lt;14/24)</formula>
    </cfRule>
    <cfRule type="expression" dxfId="6666" priority="340">
      <formula>Y$9&lt;8/24</formula>
    </cfRule>
  </conditionalFormatting>
  <conditionalFormatting sqref="S37:AF37">
    <cfRule type="expression" dxfId="6665" priority="333">
      <formula>S$9&gt;=20/24</formula>
    </cfRule>
    <cfRule type="expression" dxfId="6664" priority="334">
      <formula>AND(S$9&gt;=14/24,S$9&lt;20/24)</formula>
    </cfRule>
    <cfRule type="expression" dxfId="6663" priority="335">
      <formula>AND(S$9&gt;=8/24,S$9&lt;14/24)</formula>
    </cfRule>
    <cfRule type="expression" dxfId="6662" priority="336">
      <formula>S$9&lt;8/24</formula>
    </cfRule>
  </conditionalFormatting>
  <conditionalFormatting sqref="R55:AD55">
    <cfRule type="expression" dxfId="6661" priority="329">
      <formula>R$9&gt;=20/24</formula>
    </cfRule>
    <cfRule type="expression" dxfId="6660" priority="330">
      <formula>AND(R$9&gt;=14/24,R$9&lt;20/24)</formula>
    </cfRule>
    <cfRule type="expression" dxfId="6659" priority="331">
      <formula>AND(R$9&gt;=8/24,R$9&lt;14/24)</formula>
    </cfRule>
    <cfRule type="expression" dxfId="6658" priority="332">
      <formula>R$9&lt;8/24</formula>
    </cfRule>
  </conditionalFormatting>
  <conditionalFormatting sqref="R79:Z79">
    <cfRule type="expression" dxfId="6657" priority="325">
      <formula>R$9&gt;=20/24</formula>
    </cfRule>
    <cfRule type="expression" dxfId="6656" priority="326">
      <formula>AND(R$9&gt;=14/24,R$9&lt;20/24)</formula>
    </cfRule>
    <cfRule type="expression" dxfId="6655" priority="327">
      <formula>AND(R$9&gt;=8/24,R$9&lt;14/24)</formula>
    </cfRule>
    <cfRule type="expression" dxfId="6654" priority="328">
      <formula>R$9&lt;8/24</formula>
    </cfRule>
  </conditionalFormatting>
  <conditionalFormatting sqref="T82:Z82">
    <cfRule type="expression" dxfId="6653" priority="321">
      <formula>T$9&gt;=20/24</formula>
    </cfRule>
    <cfRule type="expression" dxfId="6652" priority="322">
      <formula>AND(T$9&gt;=14/24,T$9&lt;20/24)</formula>
    </cfRule>
    <cfRule type="expression" dxfId="6651" priority="323">
      <formula>AND(T$9&gt;=8/24,T$9&lt;14/24)</formula>
    </cfRule>
    <cfRule type="expression" dxfId="6650" priority="324">
      <formula>T$9&lt;8/24</formula>
    </cfRule>
  </conditionalFormatting>
  <conditionalFormatting sqref="L33:Q33">
    <cfRule type="expression" dxfId="6649" priority="317">
      <formula>L$9&gt;=20/24</formula>
    </cfRule>
    <cfRule type="expression" dxfId="6648" priority="318">
      <formula>AND(L$9&gt;=14/24,L$9&lt;20/24)</formula>
    </cfRule>
    <cfRule type="expression" dxfId="6647" priority="319">
      <formula>AND(L$9&gt;=8/24,L$9&lt;14/24)</formula>
    </cfRule>
    <cfRule type="expression" dxfId="6646" priority="320">
      <formula>L$9&lt;8/24</formula>
    </cfRule>
  </conditionalFormatting>
  <conditionalFormatting sqref="L47:X47">
    <cfRule type="expression" dxfId="6645" priority="313">
      <formula>L$9&gt;=20/24</formula>
    </cfRule>
    <cfRule type="expression" dxfId="6644" priority="314">
      <formula>AND(L$9&gt;=14/24,L$9&lt;20/24)</formula>
    </cfRule>
    <cfRule type="expression" dxfId="6643" priority="315">
      <formula>AND(L$9&gt;=8/24,L$9&lt;14/24)</formula>
    </cfRule>
    <cfRule type="expression" dxfId="6642" priority="316">
      <formula>L$9&lt;8/24</formula>
    </cfRule>
  </conditionalFormatting>
  <conditionalFormatting sqref="L48:X48">
    <cfRule type="expression" dxfId="6641" priority="309">
      <formula>L$9&gt;=20/24</formula>
    </cfRule>
    <cfRule type="expression" dxfId="6640" priority="310">
      <formula>AND(L$9&gt;=14/24,L$9&lt;20/24)</formula>
    </cfRule>
    <cfRule type="expression" dxfId="6639" priority="311">
      <formula>AND(L$9&gt;=8/24,L$9&lt;14/24)</formula>
    </cfRule>
    <cfRule type="expression" dxfId="6638" priority="312">
      <formula>L$9&lt;8/24</formula>
    </cfRule>
  </conditionalFormatting>
  <conditionalFormatting sqref="L43:X46">
    <cfRule type="expression" dxfId="6637" priority="305">
      <formula>L$9&gt;=20/24</formula>
    </cfRule>
    <cfRule type="expression" dxfId="6636" priority="306">
      <formula>AND(L$9&gt;=14/24,L$9&lt;20/24)</formula>
    </cfRule>
    <cfRule type="expression" dxfId="6635" priority="307">
      <formula>AND(L$9&gt;=8/24,L$9&lt;14/24)</formula>
    </cfRule>
    <cfRule type="expression" dxfId="6634" priority="308">
      <formula>L$9&lt;8/24</formula>
    </cfRule>
  </conditionalFormatting>
  <conditionalFormatting sqref="R35:AF35">
    <cfRule type="expression" dxfId="6633" priority="301">
      <formula>R$9&gt;=20/24</formula>
    </cfRule>
    <cfRule type="expression" dxfId="6632" priority="302">
      <formula>AND(R$9&gt;=14/24,R$9&lt;20/24)</formula>
    </cfRule>
    <cfRule type="expression" dxfId="6631" priority="303">
      <formula>AND(R$9&gt;=8/24,R$9&lt;14/24)</formula>
    </cfRule>
    <cfRule type="expression" dxfId="6630" priority="304">
      <formula>R$9&lt;8/24</formula>
    </cfRule>
  </conditionalFormatting>
  <conditionalFormatting sqref="R30:X31 R33:AF33">
    <cfRule type="expression" dxfId="6629" priority="297">
      <formula>R$9&gt;=20/24</formula>
    </cfRule>
    <cfRule type="expression" dxfId="6628" priority="298">
      <formula>AND(R$9&gt;=14/24,R$9&lt;20/24)</formula>
    </cfRule>
    <cfRule type="expression" dxfId="6627" priority="299">
      <formula>AND(R$9&gt;=8/24,R$9&lt;14/24)</formula>
    </cfRule>
    <cfRule type="expression" dxfId="6626" priority="300">
      <formula>R$9&lt;8/24</formula>
    </cfRule>
  </conditionalFormatting>
  <conditionalFormatting sqref="T41:X41 Y43:AF46">
    <cfRule type="expression" dxfId="6625" priority="293">
      <formula>T$9&gt;=20/24</formula>
    </cfRule>
    <cfRule type="expression" dxfId="6624" priority="294">
      <formula>AND(T$9&gt;=14/24,T$9&lt;20/24)</formula>
    </cfRule>
    <cfRule type="expression" dxfId="6623" priority="295">
      <formula>AND(T$9&gt;=8/24,T$9&lt;14/24)</formula>
    </cfRule>
    <cfRule type="expression" dxfId="6622" priority="296">
      <formula>T$9&lt;8/24</formula>
    </cfRule>
  </conditionalFormatting>
  <conditionalFormatting sqref="Y47:AF47">
    <cfRule type="expression" dxfId="6621" priority="289">
      <formula>Y$9&gt;=20/24</formula>
    </cfRule>
    <cfRule type="expression" dxfId="6620" priority="290">
      <formula>AND(Y$9&gt;=14/24,Y$9&lt;20/24)</formula>
    </cfRule>
    <cfRule type="expression" dxfId="6619" priority="291">
      <formula>AND(Y$9&gt;=8/24,Y$9&lt;14/24)</formula>
    </cfRule>
    <cfRule type="expression" dxfId="6618" priority="292">
      <formula>Y$9&lt;8/24</formula>
    </cfRule>
  </conditionalFormatting>
  <conditionalFormatting sqref="Y48:AE48">
    <cfRule type="expression" dxfId="6617" priority="285">
      <formula>Y$9&gt;=20/24</formula>
    </cfRule>
    <cfRule type="expression" dxfId="6616" priority="286">
      <formula>AND(Y$9&gt;=14/24,Y$9&lt;20/24)</formula>
    </cfRule>
    <cfRule type="expression" dxfId="6615" priority="287">
      <formula>AND(Y$9&gt;=8/24,Y$9&lt;14/24)</formula>
    </cfRule>
    <cfRule type="expression" dxfId="6614" priority="288">
      <formula>Y$9&lt;8/24</formula>
    </cfRule>
  </conditionalFormatting>
  <conditionalFormatting sqref="R58:AF65">
    <cfRule type="expression" dxfId="6613" priority="281">
      <formula>R$9&gt;=20/24</formula>
    </cfRule>
    <cfRule type="expression" dxfId="6612" priority="282">
      <formula>AND(R$9&gt;=14/24,R$9&lt;20/24)</formula>
    </cfRule>
    <cfRule type="expression" dxfId="6611" priority="283">
      <formula>AND(R$9&gt;=8/24,R$9&lt;14/24)</formula>
    </cfRule>
    <cfRule type="expression" dxfId="6610" priority="284">
      <formula>R$9&lt;8/24</formula>
    </cfRule>
  </conditionalFormatting>
  <conditionalFormatting sqref="AA92:AF95">
    <cfRule type="expression" dxfId="6609" priority="277">
      <formula>AA$9&gt;=20/24</formula>
    </cfRule>
    <cfRule type="expression" dxfId="6608" priority="278">
      <formula>AND(AA$9&gt;=14/24,AA$9&lt;20/24)</formula>
    </cfRule>
    <cfRule type="expression" dxfId="6607" priority="279">
      <formula>AND(AA$9&gt;=8/24,AA$9&lt;14/24)</formula>
    </cfRule>
    <cfRule type="expression" dxfId="6606" priority="280">
      <formula>AA$9&lt;8/24</formula>
    </cfRule>
  </conditionalFormatting>
  <conditionalFormatting sqref="K60:K65">
    <cfRule type="expression" dxfId="6605" priority="273">
      <formula>K$9&gt;=20/24</formula>
    </cfRule>
    <cfRule type="expression" dxfId="6604" priority="274">
      <formula>AND(K$9&gt;=14/24,K$9&lt;20/24)</formula>
    </cfRule>
    <cfRule type="expression" dxfId="6603" priority="275">
      <formula>AND(K$9&gt;=8/24,K$9&lt;14/24)</formula>
    </cfRule>
    <cfRule type="expression" dxfId="6602" priority="276">
      <formula>K$9&lt;8/24</formula>
    </cfRule>
  </conditionalFormatting>
  <conditionalFormatting sqref="T92:Z95">
    <cfRule type="expression" dxfId="6601" priority="269">
      <formula>T$9&gt;=20/24</formula>
    </cfRule>
    <cfRule type="expression" dxfId="6600" priority="270">
      <formula>AND(T$9&gt;=14/24,T$9&lt;20/24)</formula>
    </cfRule>
    <cfRule type="expression" dxfId="6599" priority="271">
      <formula>AND(T$9&gt;=8/24,T$9&lt;14/24)</formula>
    </cfRule>
    <cfRule type="expression" dxfId="6598" priority="272">
      <formula>T$9&lt;8/24</formula>
    </cfRule>
  </conditionalFormatting>
  <conditionalFormatting sqref="AG49 K12:Q13 K15:Q16 C49:AF50 B36:AF36 B50 B54:AF54 K17:X31 K41:Y41 C40:Y40 K11:AF11 C37:AD39 Z40:AD41 K51:AF53 K33:AF35 Y12:AF13 AE37:AF41 K43:AF48 Y15:AF31">
    <cfRule type="expression" dxfId="6597" priority="268">
      <formula>B11&gt;$AG11</formula>
    </cfRule>
  </conditionalFormatting>
  <conditionalFormatting sqref="A98:A154 A82:A95 A11:A13 A15:A31 A43:A70 A78:A80 A72:A76 A33:A41 A167:A198">
    <cfRule type="expression" dxfId="6596" priority="267">
      <formula>$AH11=0</formula>
    </cfRule>
  </conditionalFormatting>
  <conditionalFormatting sqref="AA96:AF96">
    <cfRule type="expression" dxfId="6595" priority="263">
      <formula>AA$9&gt;=20/24</formula>
    </cfRule>
    <cfRule type="expression" dxfId="6594" priority="264">
      <formula>AND(AA$9&gt;=14/24,AA$9&lt;20/24)</formula>
    </cfRule>
    <cfRule type="expression" dxfId="6593" priority="265">
      <formula>AND(AA$9&gt;=8/24,AA$9&lt;14/24)</formula>
    </cfRule>
    <cfRule type="expression" dxfId="6592" priority="266">
      <formula>AA$9&lt;8/24</formula>
    </cfRule>
  </conditionalFormatting>
  <conditionalFormatting sqref="T96:Z96">
    <cfRule type="expression" dxfId="6591" priority="259">
      <formula>T$9&gt;=20/24</formula>
    </cfRule>
    <cfRule type="expression" dxfId="6590" priority="260">
      <formula>AND(T$9&gt;=14/24,T$9&lt;20/24)</formula>
    </cfRule>
    <cfRule type="expression" dxfId="6589" priority="261">
      <formula>AND(T$9&gt;=8/24,T$9&lt;14/24)</formula>
    </cfRule>
    <cfRule type="expression" dxfId="6588" priority="262">
      <formula>T$9&lt;8/24</formula>
    </cfRule>
  </conditionalFormatting>
  <conditionalFormatting sqref="A96">
    <cfRule type="expression" dxfId="6587" priority="258">
      <formula>$AH96=0</formula>
    </cfRule>
  </conditionalFormatting>
  <conditionalFormatting sqref="K34:AF34">
    <cfRule type="expression" dxfId="6586" priority="254">
      <formula>K$9&gt;=20/24</formula>
    </cfRule>
    <cfRule type="expression" dxfId="6585" priority="255">
      <formula>AND(K$9&gt;=14/24,K$9&lt;20/24)</formula>
    </cfRule>
    <cfRule type="expression" dxfId="6584" priority="256">
      <formula>AND(K$9&gt;=8/24,K$9&lt;14/24)</formula>
    </cfRule>
    <cfRule type="expression" dxfId="6583" priority="257">
      <formula>K$9&lt;8/24</formula>
    </cfRule>
  </conditionalFormatting>
  <conditionalFormatting sqref="R34:AF34">
    <cfRule type="expression" dxfId="6582" priority="250">
      <formula>R$9&gt;=20/24</formula>
    </cfRule>
    <cfRule type="expression" dxfId="6581" priority="251">
      <formula>AND(R$9&gt;=14/24,R$9&lt;20/24)</formula>
    </cfRule>
    <cfRule type="expression" dxfId="6580" priority="252">
      <formula>AND(R$9&gt;=8/24,R$9&lt;14/24)</formula>
    </cfRule>
    <cfRule type="expression" dxfId="6579" priority="253">
      <formula>R$9&lt;8/24</formula>
    </cfRule>
  </conditionalFormatting>
  <conditionalFormatting sqref="L60:L65">
    <cfRule type="expression" dxfId="6578" priority="238">
      <formula>L$9&gt;=20/24</formula>
    </cfRule>
    <cfRule type="expression" dxfId="6577" priority="239">
      <formula>AND(L$9&gt;=14/24,L$9&lt;20/24)</formula>
    </cfRule>
    <cfRule type="expression" dxfId="6576" priority="240">
      <formula>AND(L$9&gt;=8/24,L$9&lt;14/24)</formula>
    </cfRule>
    <cfRule type="expression" dxfId="6575" priority="241">
      <formula>L$9&lt;8/24</formula>
    </cfRule>
  </conditionalFormatting>
  <conditionalFormatting sqref="AL3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6574" priority="233">
      <formula>Y$9&gt;=20/24</formula>
    </cfRule>
    <cfRule type="expression" dxfId="6573" priority="234">
      <formula>AND(Y$9&gt;=14/24,Y$9&lt;20/24)</formula>
    </cfRule>
    <cfRule type="expression" dxfId="6572" priority="235">
      <formula>AND(Y$9&gt;=8/24,Y$9&lt;14/24)</formula>
    </cfRule>
    <cfRule type="expression" dxfId="6571" priority="236">
      <formula>Y$9&lt;8/24</formula>
    </cfRule>
  </conditionalFormatting>
  <conditionalFormatting sqref="L32:Q32">
    <cfRule type="expression" dxfId="6570" priority="229">
      <formula>L$9&gt;=20/24</formula>
    </cfRule>
    <cfRule type="expression" dxfId="6569" priority="230">
      <formula>AND(L$9&gt;=14/24,L$9&lt;20/24)</formula>
    </cfRule>
    <cfRule type="expression" dxfId="6568" priority="231">
      <formula>AND(L$9&gt;=8/24,L$9&lt;14/24)</formula>
    </cfRule>
    <cfRule type="expression" dxfId="6567" priority="232">
      <formula>L$9&lt;8/24</formula>
    </cfRule>
  </conditionalFormatting>
  <conditionalFormatting sqref="R32:X32">
    <cfRule type="expression" dxfId="6566" priority="225">
      <formula>R$9&gt;=20/24</formula>
    </cfRule>
    <cfRule type="expression" dxfId="6565" priority="226">
      <formula>AND(R$9&gt;=14/24,R$9&lt;20/24)</formula>
    </cfRule>
    <cfRule type="expression" dxfId="6564" priority="227">
      <formula>AND(R$9&gt;=8/24,R$9&lt;14/24)</formula>
    </cfRule>
    <cfRule type="expression" dxfId="6563" priority="228">
      <formula>R$9&lt;8/24</formula>
    </cfRule>
  </conditionalFormatting>
  <conditionalFormatting sqref="K32:AF32">
    <cfRule type="expression" dxfId="6562" priority="224">
      <formula>K32&gt;$AG32</formula>
    </cfRule>
  </conditionalFormatting>
  <conditionalFormatting sqref="A32">
    <cfRule type="expression" dxfId="6561" priority="223">
      <formula>$AH32=0</formula>
    </cfRule>
  </conditionalFormatting>
  <conditionalFormatting sqref="B81:AF81">
    <cfRule type="expression" dxfId="6560" priority="219">
      <formula>B$9&gt;=20/24</formula>
    </cfRule>
    <cfRule type="expression" dxfId="6559" priority="220">
      <formula>AND(B$9&gt;=14/24,B$9&lt;20/24)</formula>
    </cfRule>
    <cfRule type="expression" dxfId="6558" priority="221">
      <formula>AND(B$9&gt;=8/24,B$9&lt;14/24)</formula>
    </cfRule>
    <cfRule type="expression" dxfId="6557" priority="222">
      <formula>B$9&lt;8/24</formula>
    </cfRule>
  </conditionalFormatting>
  <conditionalFormatting sqref="A81">
    <cfRule type="expression" dxfId="6556" priority="218">
      <formula>$AH81=0</formula>
    </cfRule>
  </conditionalFormatting>
  <conditionalFormatting sqref="Y14:AF14">
    <cfRule type="expression" dxfId="6555" priority="214">
      <formula>Y$9&gt;=20/24</formula>
    </cfRule>
    <cfRule type="expression" dxfId="6554" priority="215">
      <formula>AND(Y$9&gt;=14/24,Y$9&lt;20/24)</formula>
    </cfRule>
    <cfRule type="expression" dxfId="6553" priority="216">
      <formula>AND(Y$9&gt;=8/24,Y$9&lt;14/24)</formula>
    </cfRule>
    <cfRule type="expression" dxfId="6552" priority="217">
      <formula>Y$9&lt;8/24</formula>
    </cfRule>
  </conditionalFormatting>
  <conditionalFormatting sqref="L14:Q14">
    <cfRule type="expression" dxfId="6551" priority="210">
      <formula>L$9&gt;=20/24</formula>
    </cfRule>
    <cfRule type="expression" dxfId="6550" priority="211">
      <formula>AND(L$9&gt;=14/24,L$9&lt;20/24)</formula>
    </cfRule>
    <cfRule type="expression" dxfId="6549" priority="212">
      <formula>AND(L$9&gt;=8/24,L$9&lt;14/24)</formula>
    </cfRule>
    <cfRule type="expression" dxfId="6548" priority="213">
      <formula>L$9&lt;8/24</formula>
    </cfRule>
  </conditionalFormatting>
  <conditionalFormatting sqref="K14:Q14 Y14:AF14">
    <cfRule type="expression" dxfId="6547" priority="209">
      <formula>K14&gt;$AG14</formula>
    </cfRule>
  </conditionalFormatting>
  <conditionalFormatting sqref="A14">
    <cfRule type="expression" dxfId="6546" priority="208">
      <formula>$AH14=0</formula>
    </cfRule>
  </conditionalFormatting>
  <conditionalFormatting sqref="A161:A166">
    <cfRule type="expression" dxfId="6545" priority="207">
      <formula>$AH161=0</formula>
    </cfRule>
  </conditionalFormatting>
  <conditionalFormatting sqref="A155:A160">
    <cfRule type="expression" dxfId="6544" priority="206">
      <formula>$AH155=0</formula>
    </cfRule>
  </conditionalFormatting>
  <conditionalFormatting sqref="Y42:AF42">
    <cfRule type="expression" dxfId="6543" priority="202">
      <formula>Y$9&gt;=20/24</formula>
    </cfRule>
    <cfRule type="expression" dxfId="6542" priority="203">
      <formula>AND(Y$9&gt;=14/24,Y$9&lt;20/24)</formula>
    </cfRule>
    <cfRule type="expression" dxfId="6541" priority="204">
      <formula>AND(Y$9&gt;=8/24,Y$9&lt;14/24)</formula>
    </cfRule>
    <cfRule type="expression" dxfId="6540" priority="205">
      <formula>Y$9&lt;8/24</formula>
    </cfRule>
  </conditionalFormatting>
  <conditionalFormatting sqref="L42:X42">
    <cfRule type="expression" dxfId="6539" priority="198">
      <formula>L$9&gt;=20/24</formula>
    </cfRule>
    <cfRule type="expression" dxfId="6538" priority="199">
      <formula>AND(L$9&gt;=14/24,L$9&lt;20/24)</formula>
    </cfRule>
    <cfRule type="expression" dxfId="6537" priority="200">
      <formula>AND(L$9&gt;=8/24,L$9&lt;14/24)</formula>
    </cfRule>
    <cfRule type="expression" dxfId="6536" priority="201">
      <formula>L$9&lt;8/24</formula>
    </cfRule>
  </conditionalFormatting>
  <conditionalFormatting sqref="K42:AF42">
    <cfRule type="expression" dxfId="6535" priority="193">
      <formula>K42&gt;$AG42</formula>
    </cfRule>
  </conditionalFormatting>
  <conditionalFormatting sqref="A42">
    <cfRule type="expression" dxfId="6534" priority="192">
      <formula>$AH42=0</formula>
    </cfRule>
  </conditionalFormatting>
  <conditionalFormatting sqref="C77:AF77">
    <cfRule type="expression" dxfId="6533" priority="188">
      <formula>C$9&gt;=20/24</formula>
    </cfRule>
    <cfRule type="expression" dxfId="6532" priority="189">
      <formula>AND(C$9&gt;=14/24,C$9&lt;20/24)</formula>
    </cfRule>
    <cfRule type="expression" dxfId="6531" priority="190">
      <formula>AND(C$9&gt;=8/24,C$9&lt;14/24)</formula>
    </cfRule>
    <cfRule type="expression" dxfId="6530" priority="191">
      <formula>C$9&lt;8/24</formula>
    </cfRule>
  </conditionalFormatting>
  <conditionalFormatting sqref="A77">
    <cfRule type="expression" dxfId="6529" priority="187">
      <formula>$AH77=0</formula>
    </cfRule>
  </conditionalFormatting>
  <conditionalFormatting sqref="B71:AG71">
    <cfRule type="expression" dxfId="6528" priority="183">
      <formula>B$9&gt;=20/24</formula>
    </cfRule>
    <cfRule type="expression" dxfId="6527" priority="184">
      <formula>AND(B$9&gt;=14/24,B$9&lt;20/24)</formula>
    </cfRule>
    <cfRule type="expression" dxfId="6526" priority="185">
      <formula>AND(B$9&gt;=8/24,B$9&lt;14/24)</formula>
    </cfRule>
    <cfRule type="expression" dxfId="6525" priority="186">
      <formula>B$9&lt;8/24</formula>
    </cfRule>
  </conditionalFormatting>
  <conditionalFormatting sqref="A71">
    <cfRule type="expression" dxfId="6524" priority="182">
      <formula>$AH71=0</formula>
    </cfRule>
  </conditionalFormatting>
  <conditionalFormatting sqref="AL32:AL33 AL7:AL30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6523" priority="174">
      <formula>T$9&gt;=20/24</formula>
    </cfRule>
    <cfRule type="expression" dxfId="6522" priority="175">
      <formula>AND(T$9&gt;=14/24,T$9&lt;20/24)</formula>
    </cfRule>
    <cfRule type="expression" dxfId="6521" priority="176">
      <formula>AND(T$9&gt;=8/24,T$9&lt;14/24)</formula>
    </cfRule>
    <cfRule type="expression" dxfId="6520" priority="177">
      <formula>T$9&lt;8/24</formula>
    </cfRule>
  </conditionalFormatting>
  <conditionalFormatting sqref="R83:S89 C82:Q89">
    <cfRule type="expression" dxfId="6519" priority="170">
      <formula>C$9&gt;=20/24</formula>
    </cfRule>
    <cfRule type="expression" dxfId="6518" priority="171">
      <formula>AND(C$9&gt;=14/24,C$9&lt;20/24)</formula>
    </cfRule>
    <cfRule type="expression" dxfId="6517" priority="172">
      <formula>AND(C$9&gt;=8/24,C$9&lt;14/24)</formula>
    </cfRule>
    <cfRule type="expression" dxfId="6516" priority="173">
      <formula>C$9&lt;8/24</formula>
    </cfRule>
  </conditionalFormatting>
  <conditionalFormatting sqref="R82:S82">
    <cfRule type="expression" dxfId="6515" priority="166">
      <formula>R$9&gt;=20/24</formula>
    </cfRule>
    <cfRule type="expression" dxfId="6514" priority="167">
      <formula>AND(R$9&gt;=14/24,R$9&lt;20/24)</formula>
    </cfRule>
    <cfRule type="expression" dxfId="6513" priority="168">
      <formula>AND(R$9&gt;=8/24,R$9&lt;14/24)</formula>
    </cfRule>
    <cfRule type="expression" dxfId="6512" priority="169">
      <formula>R$9&lt;8/24</formula>
    </cfRule>
  </conditionalFormatting>
  <conditionalFormatting sqref="J93:L95 C92:I95">
    <cfRule type="expression" dxfId="6511" priority="162">
      <formula>C$9&gt;=20/24</formula>
    </cfRule>
    <cfRule type="expression" dxfId="6510" priority="163">
      <formula>AND(C$9&gt;=14/24,C$9&lt;20/24)</formula>
    </cfRule>
    <cfRule type="expression" dxfId="6509" priority="164">
      <formula>AND(C$9&gt;=8/24,C$9&lt;14/24)</formula>
    </cfRule>
    <cfRule type="expression" dxfId="6508" priority="165">
      <formula>C$9&lt;8/24</formula>
    </cfRule>
  </conditionalFormatting>
  <conditionalFormatting sqref="M93:Q95 N92:Q92">
    <cfRule type="expression" dxfId="6507" priority="158">
      <formula>M$9&gt;=20/24</formula>
    </cfRule>
    <cfRule type="expression" dxfId="6506" priority="159">
      <formula>AND(M$9&gt;=14/24,M$9&lt;20/24)</formula>
    </cfRule>
    <cfRule type="expression" dxfId="6505" priority="160">
      <formula>AND(M$9&gt;=8/24,M$9&lt;14/24)</formula>
    </cfRule>
    <cfRule type="expression" dxfId="6504" priority="161">
      <formula>M$9&lt;8/24</formula>
    </cfRule>
  </conditionalFormatting>
  <conditionalFormatting sqref="R92:S95">
    <cfRule type="expression" dxfId="6503" priority="154">
      <formula>R$9&gt;=20/24</formula>
    </cfRule>
    <cfRule type="expression" dxfId="6502" priority="155">
      <formula>AND(R$9&gt;=14/24,R$9&lt;20/24)</formula>
    </cfRule>
    <cfRule type="expression" dxfId="6501" priority="156">
      <formula>AND(R$9&gt;=8/24,R$9&lt;14/24)</formula>
    </cfRule>
    <cfRule type="expression" dxfId="6500" priority="157">
      <formula>R$9&lt;8/24</formula>
    </cfRule>
  </conditionalFormatting>
  <conditionalFormatting sqref="C96:L96">
    <cfRule type="expression" dxfId="6499" priority="150">
      <formula>C$9&gt;=20/24</formula>
    </cfRule>
    <cfRule type="expression" dxfId="6498" priority="151">
      <formula>AND(C$9&gt;=14/24,C$9&lt;20/24)</formula>
    </cfRule>
    <cfRule type="expression" dxfId="6497" priority="152">
      <formula>AND(C$9&gt;=8/24,C$9&lt;14/24)</formula>
    </cfRule>
    <cfRule type="expression" dxfId="6496" priority="153">
      <formula>C$9&lt;8/24</formula>
    </cfRule>
  </conditionalFormatting>
  <conditionalFormatting sqref="M96:Q96">
    <cfRule type="expression" dxfId="6495" priority="146">
      <formula>M$9&gt;=20/24</formula>
    </cfRule>
    <cfRule type="expression" dxfId="6494" priority="147">
      <formula>AND(M$9&gt;=14/24,M$9&lt;20/24)</formula>
    </cfRule>
    <cfRule type="expression" dxfId="6493" priority="148">
      <formula>AND(M$9&gt;=8/24,M$9&lt;14/24)</formula>
    </cfRule>
    <cfRule type="expression" dxfId="6492" priority="149">
      <formula>M$9&lt;8/24</formula>
    </cfRule>
  </conditionalFormatting>
  <conditionalFormatting sqref="R96:S96">
    <cfRule type="expression" dxfId="6491" priority="142">
      <formula>R$9&gt;=20/24</formula>
    </cfRule>
    <cfRule type="expression" dxfId="6490" priority="143">
      <formula>AND(R$9&gt;=14/24,R$9&lt;20/24)</formula>
    </cfRule>
    <cfRule type="expression" dxfId="6489" priority="144">
      <formula>AND(R$9&gt;=8/24,R$9&lt;14/24)</formula>
    </cfRule>
    <cfRule type="expression" dxfId="6488" priority="145">
      <formula>R$9&lt;8/24</formula>
    </cfRule>
  </conditionalFormatting>
  <conditionalFormatting sqref="L92:M92">
    <cfRule type="expression" dxfId="6487" priority="138">
      <formula>L$9&gt;=20/24</formula>
    </cfRule>
    <cfRule type="expression" dxfId="6486" priority="139">
      <formula>AND(L$9&gt;=14/24,L$9&lt;20/24)</formula>
    </cfRule>
    <cfRule type="expression" dxfId="6485" priority="140">
      <formula>AND(L$9&gt;=8/24,L$9&lt;14/24)</formula>
    </cfRule>
    <cfRule type="expression" dxfId="6484" priority="141">
      <formula>L$9&lt;8/24</formula>
    </cfRule>
  </conditionalFormatting>
  <conditionalFormatting sqref="J92:K92">
    <cfRule type="expression" dxfId="6483" priority="134">
      <formula>J$9&gt;=20/24</formula>
    </cfRule>
    <cfRule type="expression" dxfId="6482" priority="135">
      <formula>AND(J$9&gt;=14/24,J$9&lt;20/24)</formula>
    </cfRule>
    <cfRule type="expression" dxfId="6481" priority="136">
      <formula>AND(J$9&gt;=8/24,J$9&lt;14/24)</formula>
    </cfRule>
    <cfRule type="expression" dxfId="6480" priority="137">
      <formula>J$9&lt;8/24</formula>
    </cfRule>
  </conditionalFormatting>
  <conditionalFormatting sqref="T92:V92">
    <cfRule type="expression" dxfId="6479" priority="130">
      <formula>T$9&gt;=20/24</formula>
    </cfRule>
    <cfRule type="expression" dxfId="6478" priority="131">
      <formula>AND(T$9&gt;=14/24,T$9&lt;20/24)</formula>
    </cfRule>
    <cfRule type="expression" dxfId="6477" priority="132">
      <formula>AND(T$9&gt;=8/24,T$9&lt;14/24)</formula>
    </cfRule>
    <cfRule type="expression" dxfId="6476" priority="133">
      <formula>T$9&lt;8/24</formula>
    </cfRule>
  </conditionalFormatting>
  <conditionalFormatting sqref="M92:S92">
    <cfRule type="expression" dxfId="6475" priority="126">
      <formula>M$9&gt;=20/24</formula>
    </cfRule>
    <cfRule type="expression" dxfId="6474" priority="127">
      <formula>AND(M$9&gt;=14/24,M$9&lt;20/24)</formula>
    </cfRule>
    <cfRule type="expression" dxfId="6473" priority="128">
      <formula>AND(M$9&gt;=8/24,M$9&lt;14/24)</formula>
    </cfRule>
    <cfRule type="expression" dxfId="6472" priority="129">
      <formula>M$9&lt;8/24</formula>
    </cfRule>
  </conditionalFormatting>
  <conditionalFormatting sqref="AA97:AF97">
    <cfRule type="expression" dxfId="6471" priority="122">
      <formula>AA$9&gt;=20/24</formula>
    </cfRule>
    <cfRule type="expression" dxfId="6470" priority="123">
      <formula>AND(AA$9&gt;=14/24,AA$9&lt;20/24)</formula>
    </cfRule>
    <cfRule type="expression" dxfId="6469" priority="124">
      <formula>AND(AA$9&gt;=8/24,AA$9&lt;14/24)</formula>
    </cfRule>
    <cfRule type="expression" dxfId="6468" priority="125">
      <formula>AA$9&lt;8/24</formula>
    </cfRule>
  </conditionalFormatting>
  <conditionalFormatting sqref="T97:Z97">
    <cfRule type="expression" dxfId="6467" priority="118">
      <formula>T$9&gt;=20/24</formula>
    </cfRule>
    <cfRule type="expression" dxfId="6466" priority="119">
      <formula>AND(T$9&gt;=14/24,T$9&lt;20/24)</formula>
    </cfRule>
    <cfRule type="expression" dxfId="6465" priority="120">
      <formula>AND(T$9&gt;=8/24,T$9&lt;14/24)</formula>
    </cfRule>
    <cfRule type="expression" dxfId="6464" priority="121">
      <formula>T$9&lt;8/24</formula>
    </cfRule>
  </conditionalFormatting>
  <conditionalFormatting sqref="A97">
    <cfRule type="expression" dxfId="6463" priority="117">
      <formula>$AH97=0</formula>
    </cfRule>
  </conditionalFormatting>
  <conditionalFormatting sqref="C97:L97">
    <cfRule type="expression" dxfId="6462" priority="113">
      <formula>C$9&gt;=20/24</formula>
    </cfRule>
    <cfRule type="expression" dxfId="6461" priority="114">
      <formula>AND(C$9&gt;=14/24,C$9&lt;20/24)</formula>
    </cfRule>
    <cfRule type="expression" dxfId="6460" priority="115">
      <formula>AND(C$9&gt;=8/24,C$9&lt;14/24)</formula>
    </cfRule>
    <cfRule type="expression" dxfId="6459" priority="116">
      <formula>C$9&lt;8/24</formula>
    </cfRule>
  </conditionalFormatting>
  <conditionalFormatting sqref="M97:Q97">
    <cfRule type="expression" dxfId="6458" priority="109">
      <formula>M$9&gt;=20/24</formula>
    </cfRule>
    <cfRule type="expression" dxfId="6457" priority="110">
      <formula>AND(M$9&gt;=14/24,M$9&lt;20/24)</formula>
    </cfRule>
    <cfRule type="expression" dxfId="6456" priority="111">
      <formula>AND(M$9&gt;=8/24,M$9&lt;14/24)</formula>
    </cfRule>
    <cfRule type="expression" dxfId="6455" priority="112">
      <formula>M$9&lt;8/24</formula>
    </cfRule>
  </conditionalFormatting>
  <conditionalFormatting sqref="R97:S97">
    <cfRule type="expression" dxfId="6454" priority="105">
      <formula>R$9&gt;=20/24</formula>
    </cfRule>
    <cfRule type="expression" dxfId="6453" priority="106">
      <formula>AND(R$9&gt;=14/24,R$9&lt;20/24)</formula>
    </cfRule>
    <cfRule type="expression" dxfId="6452" priority="107">
      <formula>AND(R$9&gt;=8/24,R$9&lt;14/24)</formula>
    </cfRule>
    <cfRule type="expression" dxfId="6451" priority="108">
      <formula>R$9&lt;8/24</formula>
    </cfRule>
  </conditionalFormatting>
  <conditionalFormatting sqref="R12:X15">
    <cfRule type="expression" dxfId="6450" priority="101">
      <formula>R$9&gt;=20/24</formula>
    </cfRule>
    <cfRule type="expression" dxfId="6449" priority="102">
      <formula>AND(R$9&gt;=14/24,R$9&lt;20/24)</formula>
    </cfRule>
    <cfRule type="expression" dxfId="6448" priority="103">
      <formula>AND(R$9&gt;=8/24,R$9&lt;14/24)</formula>
    </cfRule>
    <cfRule type="expression" dxfId="6447" priority="104">
      <formula>R$9&lt;8/24</formula>
    </cfRule>
  </conditionalFormatting>
  <conditionalFormatting sqref="R16:X16">
    <cfRule type="expression" dxfId="6446" priority="97">
      <formula>R$9&gt;=20/24</formula>
    </cfRule>
    <cfRule type="expression" dxfId="6445" priority="98">
      <formula>AND(R$9&gt;=14/24,R$9&lt;20/24)</formula>
    </cfRule>
    <cfRule type="expression" dxfId="6444" priority="99">
      <formula>AND(R$9&gt;=8/24,R$9&lt;14/24)</formula>
    </cfRule>
    <cfRule type="expression" dxfId="6443" priority="100">
      <formula>R$9&lt;8/24</formula>
    </cfRule>
  </conditionalFormatting>
  <conditionalFormatting sqref="R12:X12">
    <cfRule type="expression" dxfId="6442" priority="93">
      <formula>R$9&gt;=20/24</formula>
    </cfRule>
    <cfRule type="expression" dxfId="6441" priority="94">
      <formula>AND(R$9&gt;=14/24,R$9&lt;20/24)</formula>
    </cfRule>
    <cfRule type="expression" dxfId="6440" priority="95">
      <formula>AND(R$9&gt;=8/24,R$9&lt;14/24)</formula>
    </cfRule>
    <cfRule type="expression" dxfId="6439" priority="96">
      <formula>R$9&lt;8/24</formula>
    </cfRule>
  </conditionalFormatting>
  <conditionalFormatting sqref="AA56:AD57">
    <cfRule type="expression" dxfId="6438" priority="89">
      <formula>AA$9&gt;=20/24</formula>
    </cfRule>
    <cfRule type="expression" dxfId="6437" priority="90">
      <formula>AND(AA$9&gt;=14/24,AA$9&lt;20/24)</formula>
    </cfRule>
    <cfRule type="expression" dxfId="6436" priority="91">
      <formula>AND(AA$9&gt;=8/24,AA$9&lt;14/24)</formula>
    </cfRule>
    <cfRule type="expression" dxfId="6435" priority="92">
      <formula>AA$9&lt;8/24</formula>
    </cfRule>
  </conditionalFormatting>
  <conditionalFormatting sqref="B72 B78:B80 B67:B70 B74:B76 B61:J65 B55:J59">
    <cfRule type="expression" dxfId="6434" priority="41">
      <formula>B$9&gt;=20/24</formula>
    </cfRule>
    <cfRule type="expression" dxfId="6433" priority="42">
      <formula>AND(B$9&gt;=14/24,B$9&lt;20/24)</formula>
    </cfRule>
    <cfRule type="expression" dxfId="6432" priority="43">
      <formula>AND(B$9&gt;=8/24,B$9&lt;14/24)</formula>
    </cfRule>
    <cfRule type="expression" dxfId="6431" priority="44">
      <formula>B$9&lt;8/24</formula>
    </cfRule>
  </conditionalFormatting>
  <conditionalFormatting sqref="B60:J60">
    <cfRule type="expression" dxfId="6430" priority="37">
      <formula>B$9&gt;=20/24</formula>
    </cfRule>
    <cfRule type="expression" dxfId="6429" priority="38">
      <formula>AND(B$9&gt;=14/24,B$9&lt;20/24)</formula>
    </cfRule>
    <cfRule type="expression" dxfId="6428" priority="39">
      <formula>AND(B$9&gt;=8/24,B$9&lt;14/24)</formula>
    </cfRule>
    <cfRule type="expression" dxfId="6427" priority="40">
      <formula>B$9&lt;8/24</formula>
    </cfRule>
  </conditionalFormatting>
  <conditionalFormatting sqref="B43:B49 B37:B41 B15:J31 B11:J13 B33:J35 C43:J48 C41:J41 B51:J53">
    <cfRule type="expression" dxfId="6426" priority="36">
      <formula>B11&gt;$AG11</formula>
    </cfRule>
  </conditionalFormatting>
  <conditionalFormatting sqref="B34:J34">
    <cfRule type="expression" dxfId="6425" priority="32">
      <formula>B$9&gt;=20/24</formula>
    </cfRule>
    <cfRule type="expression" dxfId="6424" priority="33">
      <formula>AND(B$9&gt;=14/24,B$9&lt;20/24)</formula>
    </cfRule>
    <cfRule type="expression" dxfId="6423" priority="34">
      <formula>AND(B$9&gt;=8/24,B$9&lt;14/24)</formula>
    </cfRule>
    <cfRule type="expression" dxfId="6422" priority="35">
      <formula>B$9&lt;8/24</formula>
    </cfRule>
  </conditionalFormatting>
  <conditionalFormatting sqref="B32:J32">
    <cfRule type="expression" dxfId="6421" priority="31">
      <formula>B32&gt;$AG32</formula>
    </cfRule>
  </conditionalFormatting>
  <conditionalFormatting sqref="B14:J14">
    <cfRule type="expression" dxfId="6420" priority="26">
      <formula>B14&gt;$AG14</formula>
    </cfRule>
  </conditionalFormatting>
  <conditionalFormatting sqref="B42:J42">
    <cfRule type="expression" dxfId="6419" priority="25">
      <formula>B42&gt;$AG42</formula>
    </cfRule>
  </conditionalFormatting>
  <conditionalFormatting sqref="B77">
    <cfRule type="expression" dxfId="6418" priority="21">
      <formula>B$9&gt;=20/24</formula>
    </cfRule>
    <cfRule type="expression" dxfId="6417" priority="22">
      <formula>AND(B$9&gt;=14/24,B$9&lt;20/24)</formula>
    </cfRule>
    <cfRule type="expression" dxfId="6416" priority="23">
      <formula>AND(B$9&gt;=8/24,B$9&lt;14/24)</formula>
    </cfRule>
    <cfRule type="expression" dxfId="6415" priority="24">
      <formula>B$9&lt;8/24</formula>
    </cfRule>
  </conditionalFormatting>
  <conditionalFormatting sqref="B82:B89">
    <cfRule type="expression" dxfId="6414" priority="13">
      <formula>B$9&gt;=20/24</formula>
    </cfRule>
    <cfRule type="expression" dxfId="6413" priority="14">
      <formula>AND(B$9&gt;=14/24,B$9&lt;20/24)</formula>
    </cfRule>
    <cfRule type="expression" dxfId="6412" priority="15">
      <formula>AND(B$9&gt;=8/24,B$9&lt;14/24)</formula>
    </cfRule>
    <cfRule type="expression" dxfId="6411" priority="16">
      <formula>B$9&lt;8/24</formula>
    </cfRule>
  </conditionalFormatting>
  <conditionalFormatting sqref="B92:B95">
    <cfRule type="expression" dxfId="6410" priority="9">
      <formula>B$9&gt;=20/24</formula>
    </cfRule>
    <cfRule type="expression" dxfId="6409" priority="10">
      <formula>AND(B$9&gt;=14/24,B$9&lt;20/24)</formula>
    </cfRule>
    <cfRule type="expression" dxfId="6408" priority="11">
      <formula>AND(B$9&gt;=8/24,B$9&lt;14/24)</formula>
    </cfRule>
    <cfRule type="expression" dxfId="6407" priority="12">
      <formula>B$9&lt;8/24</formula>
    </cfRule>
  </conditionalFormatting>
  <conditionalFormatting sqref="B96">
    <cfRule type="expression" dxfId="6406" priority="5">
      <formula>B$9&gt;=20/24</formula>
    </cfRule>
    <cfRule type="expression" dxfId="6405" priority="6">
      <formula>AND(B$9&gt;=14/24,B$9&lt;20/24)</formula>
    </cfRule>
    <cfRule type="expression" dxfId="6404" priority="7">
      <formula>AND(B$9&gt;=8/24,B$9&lt;14/24)</formula>
    </cfRule>
    <cfRule type="expression" dxfId="6403" priority="8">
      <formula>B$9&lt;8/24</formula>
    </cfRule>
  </conditionalFormatting>
  <conditionalFormatting sqref="B97">
    <cfRule type="expression" dxfId="6402" priority="1">
      <formula>B$9&gt;=20/24</formula>
    </cfRule>
    <cfRule type="expression" dxfId="6401" priority="2">
      <formula>AND(B$9&gt;=14/24,B$9&lt;20/24)</formula>
    </cfRule>
    <cfRule type="expression" dxfId="6400" priority="3">
      <formula>AND(B$9&gt;=8/24,B$9&lt;14/24)</formula>
    </cfRule>
    <cfRule type="expression" dxfId="6399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I16" sqref="I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2078/04/15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-40</v>
      </c>
      <c r="C5" s="32">
        <f t="shared" ref="C5:AF5" si="0">C66</f>
        <v>-30</v>
      </c>
      <c r="D5" s="32">
        <f t="shared" si="0"/>
        <v>-50</v>
      </c>
      <c r="E5" s="32">
        <f t="shared" si="0"/>
        <v>-10</v>
      </c>
      <c r="F5" s="32">
        <f t="shared" si="0"/>
        <v>-31.2</v>
      </c>
      <c r="G5" s="32">
        <f t="shared" si="0"/>
        <v>-26.4</v>
      </c>
      <c r="H5" s="32">
        <f t="shared" si="0"/>
        <v>-22.2</v>
      </c>
      <c r="I5" s="32">
        <f t="shared" si="0"/>
        <v>-5</v>
      </c>
      <c r="J5" s="32">
        <f t="shared" si="0"/>
        <v>-40</v>
      </c>
      <c r="K5" s="32">
        <f t="shared" si="0"/>
        <v>-20</v>
      </c>
      <c r="L5" s="32">
        <f t="shared" si="0"/>
        <v>-28</v>
      </c>
      <c r="M5" s="32">
        <f t="shared" si="0"/>
        <v>-10</v>
      </c>
      <c r="N5" s="32">
        <f t="shared" si="0"/>
        <v>-43.4</v>
      </c>
      <c r="O5" s="32">
        <f t="shared" si="0"/>
        <v>-39.700000000000003</v>
      </c>
      <c r="P5" s="32">
        <f t="shared" si="0"/>
        <v>-56.4</v>
      </c>
      <c r="Q5" s="32">
        <f t="shared" si="0"/>
        <v>-41</v>
      </c>
      <c r="R5" s="32">
        <f t="shared" si="0"/>
        <v>-59.8</v>
      </c>
      <c r="S5" s="32">
        <f t="shared" si="0"/>
        <v>-9.5</v>
      </c>
      <c r="T5" s="32">
        <f t="shared" si="0"/>
        <v>-4.4000000000000004</v>
      </c>
      <c r="U5" s="32">
        <f t="shared" si="0"/>
        <v>-65.599999999999994</v>
      </c>
      <c r="V5" s="32">
        <f t="shared" si="0"/>
        <v>-1.9000000000000004</v>
      </c>
      <c r="W5" s="32">
        <f t="shared" si="0"/>
        <v>-37.9</v>
      </c>
      <c r="X5" s="32">
        <f t="shared" si="0"/>
        <v>-110.19999999999999</v>
      </c>
      <c r="Y5" s="32">
        <f t="shared" si="0"/>
        <v>-106.30000000000001</v>
      </c>
      <c r="Z5" s="32">
        <f t="shared" si="0"/>
        <v>-122.30000000000001</v>
      </c>
      <c r="AA5" s="32">
        <f t="shared" si="0"/>
        <v>-138.69999999999999</v>
      </c>
      <c r="AB5" s="32">
        <f t="shared" si="0"/>
        <v>-129.69999999999999</v>
      </c>
      <c r="AC5" s="32">
        <f t="shared" si="0"/>
        <v>-187.4</v>
      </c>
      <c r="AD5" s="32">
        <f t="shared" si="0"/>
        <v>-188.6</v>
      </c>
      <c r="AE5" s="32">
        <f t="shared" si="0"/>
        <v>-150.89999999999998</v>
      </c>
      <c r="AF5" s="32">
        <f t="shared" si="0"/>
        <v>31.599999999999994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1293MW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Load=1073</v>
      </c>
      <c r="B7" s="37">
        <f t="shared" ref="B7:AF7" si="1">B73</f>
        <v>1161.24</v>
      </c>
      <c r="C7" s="37">
        <f t="shared" si="1"/>
        <v>1154.44</v>
      </c>
      <c r="D7" s="37">
        <f t="shared" si="1"/>
        <v>1104.3400000000001</v>
      </c>
      <c r="E7" s="37">
        <f t="shared" si="1"/>
        <v>1079.44</v>
      </c>
      <c r="F7" s="37">
        <f t="shared" si="1"/>
        <v>1073.3399999999999</v>
      </c>
      <c r="G7" s="37">
        <f t="shared" si="1"/>
        <v>1090.54</v>
      </c>
      <c r="H7" s="37">
        <f t="shared" si="1"/>
        <v>1095.24</v>
      </c>
      <c r="I7" s="37">
        <f t="shared" si="1"/>
        <v>1112.74</v>
      </c>
      <c r="J7" s="37">
        <f t="shared" si="1"/>
        <v>1149.3399999999999</v>
      </c>
      <c r="K7" s="37">
        <f t="shared" si="1"/>
        <v>1209.04</v>
      </c>
      <c r="L7" s="37">
        <f>L73</f>
        <v>1270.04</v>
      </c>
      <c r="M7" s="37">
        <f t="shared" si="1"/>
        <v>1293.3399999999999</v>
      </c>
      <c r="N7" s="37">
        <f t="shared" si="1"/>
        <v>1280.94</v>
      </c>
      <c r="O7" s="37">
        <f t="shared" si="1"/>
        <v>1298.44</v>
      </c>
      <c r="P7" s="37">
        <f t="shared" si="1"/>
        <v>1284.54</v>
      </c>
      <c r="Q7" s="37">
        <f t="shared" si="1"/>
        <v>1283.74</v>
      </c>
      <c r="R7" s="37">
        <f t="shared" si="1"/>
        <v>1295.6399999999999</v>
      </c>
      <c r="S7" s="37">
        <f t="shared" si="1"/>
        <v>1189.74</v>
      </c>
      <c r="T7" s="37">
        <f t="shared" si="1"/>
        <v>1254.6399999999999</v>
      </c>
      <c r="U7" s="37">
        <f t="shared" si="1"/>
        <v>1245.6399999999999</v>
      </c>
      <c r="V7" s="37">
        <f t="shared" si="1"/>
        <v>1243.1399999999999</v>
      </c>
      <c r="W7" s="37">
        <f t="shared" si="1"/>
        <v>1355.04</v>
      </c>
      <c r="X7" s="37">
        <f t="shared" si="1"/>
        <v>1485.8400000000001</v>
      </c>
      <c r="Y7" s="37">
        <f t="shared" si="1"/>
        <v>1489.74</v>
      </c>
      <c r="Z7" s="37">
        <f t="shared" si="1"/>
        <v>1473.74</v>
      </c>
      <c r="AA7" s="37">
        <f t="shared" si="1"/>
        <v>1442.2400000000002</v>
      </c>
      <c r="AB7" s="37">
        <f t="shared" si="1"/>
        <v>1415.94</v>
      </c>
      <c r="AC7" s="37">
        <f t="shared" si="1"/>
        <v>1357.9400000000003</v>
      </c>
      <c r="AD7" s="37">
        <f t="shared" si="1"/>
        <v>1254.6400000000001</v>
      </c>
      <c r="AE7" s="37">
        <f t="shared" si="1"/>
        <v>1211.04</v>
      </c>
      <c r="AF7" s="37">
        <f t="shared" si="1"/>
        <v>1175.3399999999999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220</v>
      </c>
      <c r="C11" s="49">
        <v>200</v>
      </c>
      <c r="D11" s="49">
        <v>170</v>
      </c>
      <c r="E11" s="49">
        <v>160</v>
      </c>
      <c r="F11" s="49">
        <v>160</v>
      </c>
      <c r="G11" s="49">
        <v>160</v>
      </c>
      <c r="H11" s="49">
        <v>160</v>
      </c>
      <c r="I11" s="49">
        <v>160</v>
      </c>
      <c r="J11" s="49">
        <v>190</v>
      </c>
      <c r="K11" s="49">
        <v>210</v>
      </c>
      <c r="L11" s="50">
        <v>250</v>
      </c>
      <c r="M11" s="50">
        <v>240</v>
      </c>
      <c r="N11" s="50">
        <v>241</v>
      </c>
      <c r="O11" s="50">
        <v>260</v>
      </c>
      <c r="P11" s="50">
        <v>260</v>
      </c>
      <c r="Q11" s="51">
        <v>278</v>
      </c>
      <c r="R11" s="52">
        <v>290</v>
      </c>
      <c r="S11" s="52">
        <v>255</v>
      </c>
      <c r="T11" s="52">
        <v>255</v>
      </c>
      <c r="U11" s="52">
        <v>275</v>
      </c>
      <c r="V11" s="52">
        <v>255</v>
      </c>
      <c r="W11" s="52">
        <v>300</v>
      </c>
      <c r="X11" s="52">
        <v>452</v>
      </c>
      <c r="Y11" s="52">
        <v>452</v>
      </c>
      <c r="Z11" s="52">
        <v>452</v>
      </c>
      <c r="AA11" s="115">
        <v>456</v>
      </c>
      <c r="AB11" s="115">
        <v>456</v>
      </c>
      <c r="AC11" s="115">
        <v>456</v>
      </c>
      <c r="AD11" s="115">
        <v>394</v>
      </c>
      <c r="AE11" s="49">
        <v>312</v>
      </c>
      <c r="AF11" s="49">
        <v>76</v>
      </c>
      <c r="AG11" s="54">
        <v>456</v>
      </c>
      <c r="AH11" s="55">
        <f>MAX(B11:AF11)</f>
        <v>456</v>
      </c>
      <c r="AI11" s="56">
        <f>MIN(B11:AF11)</f>
        <v>76</v>
      </c>
      <c r="AJ11" s="56"/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50</v>
      </c>
      <c r="F12" s="49">
        <v>50</v>
      </c>
      <c r="G12" s="49">
        <v>50</v>
      </c>
      <c r="H12" s="49">
        <v>50</v>
      </c>
      <c r="I12" s="49">
        <v>50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J12" s="56"/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J13" s="56"/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</v>
      </c>
      <c r="C14" s="62">
        <v>45.6</v>
      </c>
      <c r="D14" s="62">
        <v>45.9</v>
      </c>
      <c r="E14" s="62">
        <v>41</v>
      </c>
      <c r="F14" s="62">
        <v>41</v>
      </c>
      <c r="G14" s="62">
        <v>41</v>
      </c>
      <c r="H14" s="62">
        <v>41</v>
      </c>
      <c r="I14" s="62">
        <v>41</v>
      </c>
      <c r="J14" s="62">
        <v>45.9</v>
      </c>
      <c r="K14" s="62">
        <v>45.9</v>
      </c>
      <c r="L14" s="50">
        <v>45.9</v>
      </c>
      <c r="M14" s="50">
        <v>45.8</v>
      </c>
      <c r="N14" s="50">
        <v>45.8</v>
      </c>
      <c r="O14" s="50">
        <v>45.9</v>
      </c>
      <c r="P14" s="50">
        <v>45.8</v>
      </c>
      <c r="Q14" s="50">
        <v>45.8</v>
      </c>
      <c r="R14" s="61">
        <v>45.9</v>
      </c>
      <c r="S14" s="61">
        <v>45.9</v>
      </c>
      <c r="T14" s="61">
        <v>45.9</v>
      </c>
      <c r="U14" s="61">
        <v>45.9</v>
      </c>
      <c r="V14" s="61">
        <v>45.9</v>
      </c>
      <c r="W14" s="61">
        <v>45.8</v>
      </c>
      <c r="X14" s="61">
        <v>45.8</v>
      </c>
      <c r="Y14" s="61">
        <v>45.8</v>
      </c>
      <c r="Z14" s="61">
        <v>45.8</v>
      </c>
      <c r="AA14" s="50">
        <v>45.6</v>
      </c>
      <c r="AB14" s="50">
        <v>45.6</v>
      </c>
      <c r="AC14" s="50">
        <v>45.6</v>
      </c>
      <c r="AD14" s="50">
        <v>45.6</v>
      </c>
      <c r="AE14" s="62">
        <v>45.6</v>
      </c>
      <c r="AF14" s="62">
        <v>45.6</v>
      </c>
      <c r="AG14" s="63">
        <v>45</v>
      </c>
      <c r="AH14" s="55">
        <f t="shared" si="2"/>
        <v>45.9</v>
      </c>
      <c r="AI14" s="56">
        <f t="shared" si="3"/>
        <v>41</v>
      </c>
      <c r="AJ14" s="56"/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24</v>
      </c>
      <c r="C15" s="49">
        <v>20</v>
      </c>
      <c r="D15" s="49">
        <v>20</v>
      </c>
      <c r="E15" s="49">
        <v>20</v>
      </c>
      <c r="F15" s="49">
        <v>20</v>
      </c>
      <c r="G15" s="49">
        <v>20</v>
      </c>
      <c r="H15" s="49">
        <v>20</v>
      </c>
      <c r="I15" s="49">
        <v>20</v>
      </c>
      <c r="J15" s="49">
        <v>24</v>
      </c>
      <c r="K15" s="49">
        <v>26</v>
      </c>
      <c r="L15" s="50">
        <v>28</v>
      </c>
      <c r="M15" s="50">
        <v>28</v>
      </c>
      <c r="N15" s="50">
        <v>28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0</v>
      </c>
      <c r="U15" s="84">
        <v>26</v>
      </c>
      <c r="V15" s="84">
        <v>26</v>
      </c>
      <c r="W15" s="84">
        <v>26</v>
      </c>
      <c r="X15" s="84">
        <v>28</v>
      </c>
      <c r="Y15" s="84">
        <v>28</v>
      </c>
      <c r="Z15" s="84">
        <v>28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28</v>
      </c>
      <c r="AI15" s="56">
        <f t="shared" si="3"/>
        <v>0</v>
      </c>
      <c r="AJ15" s="56"/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15</v>
      </c>
      <c r="C16" s="49">
        <v>15</v>
      </c>
      <c r="D16" s="49">
        <v>15</v>
      </c>
      <c r="E16" s="49">
        <v>15</v>
      </c>
      <c r="F16" s="49">
        <v>15</v>
      </c>
      <c r="G16" s="49">
        <v>15</v>
      </c>
      <c r="H16" s="49">
        <v>15</v>
      </c>
      <c r="I16" s="49">
        <v>15</v>
      </c>
      <c r="J16" s="49">
        <v>15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61">
        <v>25</v>
      </c>
      <c r="Z16" s="61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15</v>
      </c>
      <c r="AJ16" s="56"/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J17" s="56"/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25.3</v>
      </c>
      <c r="C18" s="49">
        <v>25.3</v>
      </c>
      <c r="D18" s="49">
        <v>19.899999999999999</v>
      </c>
      <c r="E18" s="49">
        <v>19.899999999999999</v>
      </c>
      <c r="F18" s="49">
        <v>19.899999999999999</v>
      </c>
      <c r="G18" s="49">
        <v>19.899999999999999</v>
      </c>
      <c r="H18" s="49">
        <v>19.899999999999999</v>
      </c>
      <c r="I18" s="49">
        <v>19.899999999999999</v>
      </c>
      <c r="J18" s="49">
        <v>25.2</v>
      </c>
      <c r="K18" s="49">
        <v>25</v>
      </c>
      <c r="L18" s="50">
        <v>25</v>
      </c>
      <c r="M18" s="50">
        <v>25.3</v>
      </c>
      <c r="N18" s="50">
        <v>25.3</v>
      </c>
      <c r="O18" s="50">
        <v>25.3</v>
      </c>
      <c r="P18" s="50">
        <v>25.3</v>
      </c>
      <c r="Q18" s="50">
        <v>25.2</v>
      </c>
      <c r="R18" s="50">
        <v>25.2</v>
      </c>
      <c r="S18" s="50">
        <v>25.3</v>
      </c>
      <c r="T18" s="50">
        <v>25.3</v>
      </c>
      <c r="U18" s="50">
        <v>25.3</v>
      </c>
      <c r="V18" s="50">
        <v>25.3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50">
        <v>25.2</v>
      </c>
      <c r="AF18" s="50">
        <v>25.2</v>
      </c>
      <c r="AG18" s="60">
        <v>30</v>
      </c>
      <c r="AH18" s="55">
        <f t="shared" si="2"/>
        <v>25.3</v>
      </c>
      <c r="AI18" s="56">
        <f t="shared" si="3"/>
        <v>19.899999999999999</v>
      </c>
      <c r="AJ18" s="56"/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J19" s="56"/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J20" s="56"/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J21" s="56"/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14</v>
      </c>
      <c r="C22" s="49">
        <v>14</v>
      </c>
      <c r="D22" s="49">
        <v>20</v>
      </c>
      <c r="E22" s="49">
        <v>20</v>
      </c>
      <c r="F22" s="49">
        <v>20</v>
      </c>
      <c r="G22" s="49">
        <v>20</v>
      </c>
      <c r="H22" s="49">
        <v>20</v>
      </c>
      <c r="I22" s="49">
        <v>20</v>
      </c>
      <c r="J22" s="49">
        <v>20</v>
      </c>
      <c r="K22" s="49">
        <v>20</v>
      </c>
      <c r="L22" s="50">
        <v>20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14</v>
      </c>
      <c r="AJ22" s="56"/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18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18</v>
      </c>
      <c r="AJ23" s="56"/>
      <c r="AK23" s="56"/>
      <c r="AL23" s="30"/>
      <c r="AM23" s="26"/>
      <c r="AN23" s="50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20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18</v>
      </c>
      <c r="AJ24" s="56"/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7</v>
      </c>
      <c r="C25" s="49">
        <v>7</v>
      </c>
      <c r="D25" s="49">
        <v>7</v>
      </c>
      <c r="E25" s="49">
        <v>7</v>
      </c>
      <c r="F25" s="49">
        <v>7</v>
      </c>
      <c r="G25" s="49">
        <v>7</v>
      </c>
      <c r="H25" s="49">
        <v>7</v>
      </c>
      <c r="I25" s="49">
        <v>7</v>
      </c>
      <c r="J25" s="49">
        <v>7</v>
      </c>
      <c r="K25" s="49">
        <v>7</v>
      </c>
      <c r="L25" s="50">
        <v>14</v>
      </c>
      <c r="M25" s="50">
        <v>14</v>
      </c>
      <c r="N25" s="50">
        <v>14</v>
      </c>
      <c r="O25" s="50">
        <v>14</v>
      </c>
      <c r="P25" s="50">
        <v>14</v>
      </c>
      <c r="Q25" s="50">
        <v>14</v>
      </c>
      <c r="R25" s="50">
        <v>11</v>
      </c>
      <c r="S25" s="50">
        <v>8</v>
      </c>
      <c r="T25" s="50">
        <v>10</v>
      </c>
      <c r="U25" s="50">
        <v>10</v>
      </c>
      <c r="V25" s="50">
        <v>10</v>
      </c>
      <c r="W25" s="50">
        <v>10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60">
        <v>20</v>
      </c>
      <c r="AH25" s="55">
        <f t="shared" si="2"/>
        <v>20</v>
      </c>
      <c r="AI25" s="56">
        <f t="shared" si="3"/>
        <v>7</v>
      </c>
      <c r="AJ25" s="56"/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10</v>
      </c>
      <c r="AJ26" s="56"/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J27" s="56"/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12.8</v>
      </c>
      <c r="C28" s="49">
        <v>12.8</v>
      </c>
      <c r="D28" s="49">
        <v>12.5</v>
      </c>
      <c r="E28" s="49">
        <v>12.5</v>
      </c>
      <c r="F28" s="49">
        <v>12.5</v>
      </c>
      <c r="G28" s="49">
        <v>12.5</v>
      </c>
      <c r="H28" s="49">
        <v>12.5</v>
      </c>
      <c r="I28" s="49">
        <v>12.5</v>
      </c>
      <c r="J28" s="49">
        <v>12.5</v>
      </c>
      <c r="K28" s="49">
        <v>12.5</v>
      </c>
      <c r="L28" s="50">
        <v>12.5</v>
      </c>
      <c r="M28" s="50">
        <v>12.3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12.8</v>
      </c>
      <c r="AI28" s="56">
        <f t="shared" si="3"/>
        <v>12.3</v>
      </c>
      <c r="AJ28" s="56"/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4</v>
      </c>
      <c r="C29" s="49">
        <v>12</v>
      </c>
      <c r="D29" s="49">
        <v>12</v>
      </c>
      <c r="E29" s="49">
        <v>8</v>
      </c>
      <c r="F29" s="49">
        <v>8</v>
      </c>
      <c r="G29" s="49">
        <v>8</v>
      </c>
      <c r="H29" s="49">
        <v>8</v>
      </c>
      <c r="I29" s="49">
        <v>8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4</v>
      </c>
      <c r="AJ29" s="56"/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J30" s="56"/>
      <c r="AK30" s="56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J31" s="56"/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J32" s="56"/>
      <c r="AK32" s="56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J33" s="56"/>
      <c r="AK33" s="56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200</v>
      </c>
      <c r="AJ34" s="56"/>
      <c r="AK34" s="56"/>
    </row>
    <row r="35" spans="1:88" ht="15.75" thickBot="1" x14ac:dyDescent="0.3">
      <c r="A35" s="69" t="s">
        <v>42</v>
      </c>
      <c r="B35" s="62">
        <v>116.7</v>
      </c>
      <c r="C35" s="62">
        <v>125</v>
      </c>
      <c r="D35" s="62">
        <f>85.1+45.9</f>
        <v>131</v>
      </c>
      <c r="E35" s="62">
        <f>86+46.3</f>
        <v>132.30000000000001</v>
      </c>
      <c r="F35" s="62">
        <f>85.5+46</f>
        <v>131.5</v>
      </c>
      <c r="G35" s="62">
        <f>85+45.8</f>
        <v>130.80000000000001</v>
      </c>
      <c r="H35" s="62">
        <f>84.7+45.7</f>
        <v>130.4</v>
      </c>
      <c r="I35" s="62">
        <f>84.5+45.5</f>
        <v>130</v>
      </c>
      <c r="J35" s="62">
        <f>78.9+52.9</f>
        <v>131.80000000000001</v>
      </c>
      <c r="K35" s="62">
        <v>157</v>
      </c>
      <c r="L35" s="70">
        <v>165</v>
      </c>
      <c r="M35" s="70">
        <f>75+90.2</f>
        <v>165.2</v>
      </c>
      <c r="N35" s="70">
        <f>74.4+94</f>
        <v>168.4</v>
      </c>
      <c r="O35" s="70">
        <f>72.8+94.4</f>
        <v>167.2</v>
      </c>
      <c r="P35" s="70">
        <f>71.8+94.6</f>
        <v>166.39999999999998</v>
      </c>
      <c r="Q35" s="70">
        <f>72.6+94.5</f>
        <v>167.1</v>
      </c>
      <c r="R35" s="70">
        <f>72.5+94.5</f>
        <v>167</v>
      </c>
      <c r="S35" s="70">
        <v>168</v>
      </c>
      <c r="T35" s="70">
        <v>167</v>
      </c>
      <c r="U35" s="70">
        <v>166.2</v>
      </c>
      <c r="V35" s="70">
        <v>165.2</v>
      </c>
      <c r="W35" s="70">
        <v>164</v>
      </c>
      <c r="X35" s="70">
        <v>163</v>
      </c>
      <c r="Y35" s="70">
        <v>163</v>
      </c>
      <c r="Z35" s="70">
        <v>163</v>
      </c>
      <c r="AA35" s="70">
        <v>162.80000000000001</v>
      </c>
      <c r="AB35" s="70">
        <v>162.80000000000001</v>
      </c>
      <c r="AC35" s="70">
        <f>93.3+72.6</f>
        <v>165.89999999999998</v>
      </c>
      <c r="AD35" s="70">
        <f>94.1+73.7</f>
        <v>167.8</v>
      </c>
      <c r="AE35" s="62">
        <f>94.6+73.8</f>
        <v>168.39999999999998</v>
      </c>
      <c r="AF35" s="62">
        <f>94.6+73.8</f>
        <v>168.39999999999998</v>
      </c>
      <c r="AG35" s="67">
        <v>240</v>
      </c>
      <c r="AH35" s="55">
        <f t="shared" si="2"/>
        <v>168.4</v>
      </c>
      <c r="AI35" s="56">
        <f t="shared" si="3"/>
        <v>116.7</v>
      </c>
      <c r="AJ35" s="56"/>
      <c r="AK35" s="56"/>
    </row>
    <row r="36" spans="1:88" ht="15.75" thickBot="1" x14ac:dyDescent="0.3">
      <c r="A36" s="71" t="s">
        <v>43</v>
      </c>
      <c r="B36" s="72">
        <f t="shared" ref="B36:AF36" si="4">SUM(B11:B34)</f>
        <v>763.9</v>
      </c>
      <c r="C36" s="72">
        <f t="shared" si="4"/>
        <v>747.9</v>
      </c>
      <c r="D36" s="72">
        <f t="shared" si="4"/>
        <v>714.5</v>
      </c>
      <c r="E36" s="72">
        <f t="shared" si="4"/>
        <v>685.59999999999991</v>
      </c>
      <c r="F36" s="72">
        <f t="shared" si="4"/>
        <v>685.59999999999991</v>
      </c>
      <c r="G36" s="72">
        <f t="shared" si="4"/>
        <v>685.59999999999991</v>
      </c>
      <c r="H36" s="72">
        <f t="shared" si="4"/>
        <v>685.59999999999991</v>
      </c>
      <c r="I36" s="72">
        <f t="shared" si="4"/>
        <v>685.59999999999991</v>
      </c>
      <c r="J36" s="72">
        <f t="shared" si="4"/>
        <v>749.8</v>
      </c>
      <c r="K36" s="72">
        <f t="shared" si="4"/>
        <v>788.49999999999989</v>
      </c>
      <c r="L36" s="72">
        <f t="shared" si="4"/>
        <v>857.49999999999989</v>
      </c>
      <c r="M36" s="72">
        <f t="shared" si="4"/>
        <v>849.49999999999989</v>
      </c>
      <c r="N36" s="72">
        <f t="shared" si="4"/>
        <v>850.59999999999991</v>
      </c>
      <c r="O36" s="72">
        <f t="shared" si="4"/>
        <v>867.69999999999993</v>
      </c>
      <c r="P36" s="72">
        <f t="shared" si="4"/>
        <v>867.59999999999991</v>
      </c>
      <c r="Q36" s="72">
        <f t="shared" si="4"/>
        <v>885.5</v>
      </c>
      <c r="R36" s="72">
        <f t="shared" si="4"/>
        <v>894.59999999999991</v>
      </c>
      <c r="S36" s="72">
        <f t="shared" si="4"/>
        <v>856.69999999999993</v>
      </c>
      <c r="T36" s="72">
        <f t="shared" si="4"/>
        <v>832.69999999999993</v>
      </c>
      <c r="U36" s="72">
        <f t="shared" si="4"/>
        <v>878.69999999999993</v>
      </c>
      <c r="V36" s="72">
        <f t="shared" si="4"/>
        <v>858.69999999999993</v>
      </c>
      <c r="W36" s="72">
        <f t="shared" si="4"/>
        <v>903.5</v>
      </c>
      <c r="X36" s="72">
        <f t="shared" si="4"/>
        <v>1067.5</v>
      </c>
      <c r="Y36" s="72">
        <f t="shared" si="4"/>
        <v>1067.5</v>
      </c>
      <c r="Z36" s="72">
        <f t="shared" si="4"/>
        <v>1067.5</v>
      </c>
      <c r="AA36" s="72">
        <f t="shared" si="4"/>
        <v>1069.3000000000002</v>
      </c>
      <c r="AB36" s="72">
        <f t="shared" si="4"/>
        <v>1069.3000000000002</v>
      </c>
      <c r="AC36" s="72">
        <f t="shared" si="4"/>
        <v>1069.3000000000002</v>
      </c>
      <c r="AD36" s="72">
        <f t="shared" si="4"/>
        <v>1007.3000000000001</v>
      </c>
      <c r="AE36" s="72">
        <f t="shared" si="4"/>
        <v>925.30000000000007</v>
      </c>
      <c r="AF36" s="72">
        <f t="shared" si="4"/>
        <v>689.3</v>
      </c>
      <c r="AG36" s="67">
        <f>SUM(AG11:AG35)</f>
        <v>1431.83</v>
      </c>
      <c r="AH36" s="55">
        <f t="shared" si="2"/>
        <v>1069.3000000000002</v>
      </c>
      <c r="AI36" s="56">
        <f t="shared" si="3"/>
        <v>685.59999999999991</v>
      </c>
      <c r="AJ36" s="56">
        <f>AVERAGE(B36:J36)</f>
        <v>711.56666666666683</v>
      </c>
      <c r="AK36" s="56">
        <v>1000</v>
      </c>
      <c r="AL36">
        <f>(AJ36-AK36)*7</f>
        <v>-2019.0333333333322</v>
      </c>
    </row>
    <row r="37" spans="1:88" x14ac:dyDescent="0.25">
      <c r="A37" s="58" t="s">
        <v>44</v>
      </c>
      <c r="B37" s="62">
        <v>144.80000000000001</v>
      </c>
      <c r="C37" s="62">
        <v>143</v>
      </c>
      <c r="D37" s="62">
        <v>142.4</v>
      </c>
      <c r="E37" s="62">
        <v>130</v>
      </c>
      <c r="F37" s="62">
        <v>141.30000000000001</v>
      </c>
      <c r="G37" s="62">
        <v>141.4</v>
      </c>
      <c r="H37" s="62">
        <v>141.30000000000001</v>
      </c>
      <c r="I37" s="62">
        <v>141.4</v>
      </c>
      <c r="J37" s="62">
        <v>141.4</v>
      </c>
      <c r="K37" s="62">
        <v>144</v>
      </c>
      <c r="L37" s="50">
        <v>144</v>
      </c>
      <c r="M37" s="50">
        <v>144.1</v>
      </c>
      <c r="N37" s="50">
        <v>144</v>
      </c>
      <c r="O37" s="50">
        <v>144.30000000000001</v>
      </c>
      <c r="P37" s="50">
        <v>144.30000000000001</v>
      </c>
      <c r="Q37" s="50">
        <v>131.6</v>
      </c>
      <c r="R37" s="50">
        <v>144.69999999999999</v>
      </c>
      <c r="S37" s="50">
        <v>30.4</v>
      </c>
      <c r="T37" s="50">
        <v>145</v>
      </c>
      <c r="U37" s="50">
        <v>145</v>
      </c>
      <c r="V37" s="50">
        <v>121.3</v>
      </c>
      <c r="W37" s="50">
        <v>144</v>
      </c>
      <c r="X37" s="50">
        <v>144</v>
      </c>
      <c r="Y37" s="50">
        <v>144</v>
      </c>
      <c r="Z37" s="50">
        <v>144</v>
      </c>
      <c r="AA37" s="50">
        <v>145.19999999999999</v>
      </c>
      <c r="AB37" s="50">
        <v>145.19999999999999</v>
      </c>
      <c r="AC37" s="50">
        <v>145.30000000000001</v>
      </c>
      <c r="AD37" s="50">
        <v>145.19999999999999</v>
      </c>
      <c r="AE37" s="49">
        <v>145.19999999999999</v>
      </c>
      <c r="AF37" s="49">
        <v>145.19999999999999</v>
      </c>
      <c r="AG37" s="63">
        <v>144</v>
      </c>
      <c r="AH37" s="55">
        <f t="shared" si="2"/>
        <v>145.30000000000001</v>
      </c>
      <c r="AI37" s="56">
        <f t="shared" si="3"/>
        <v>30.4</v>
      </c>
      <c r="AJ37" s="56"/>
      <c r="AK37" s="56">
        <f>AK36-AJ36</f>
        <v>288.43333333333317</v>
      </c>
    </row>
    <row r="38" spans="1:88" x14ac:dyDescent="0.25">
      <c r="A38" s="66" t="s">
        <v>45</v>
      </c>
      <c r="B38" s="62">
        <v>71</v>
      </c>
      <c r="C38" s="62">
        <v>70</v>
      </c>
      <c r="D38" s="62">
        <v>70.3</v>
      </c>
      <c r="E38" s="62">
        <v>65</v>
      </c>
      <c r="F38" s="62">
        <v>66</v>
      </c>
      <c r="G38" s="62">
        <v>65.2</v>
      </c>
      <c r="H38" s="62">
        <v>65.5</v>
      </c>
      <c r="I38" s="62">
        <v>65.099999999999994</v>
      </c>
      <c r="J38" s="62">
        <v>71.900000000000006</v>
      </c>
      <c r="K38" s="62">
        <v>70</v>
      </c>
      <c r="L38" s="52">
        <v>70</v>
      </c>
      <c r="M38" s="52">
        <v>66.3</v>
      </c>
      <c r="N38" s="52">
        <v>69.5</v>
      </c>
      <c r="O38" s="52">
        <v>70.2</v>
      </c>
      <c r="P38" s="52">
        <v>71.599999999999994</v>
      </c>
      <c r="Q38" s="52">
        <v>63.7</v>
      </c>
      <c r="R38" s="52">
        <v>70</v>
      </c>
      <c r="S38" s="52">
        <v>72.099999999999994</v>
      </c>
      <c r="T38" s="52">
        <v>72.099999999999994</v>
      </c>
      <c r="U38" s="52">
        <v>72.099999999999994</v>
      </c>
      <c r="V38" s="52">
        <v>61.3</v>
      </c>
      <c r="W38" s="52">
        <v>72</v>
      </c>
      <c r="X38" s="52">
        <v>72</v>
      </c>
      <c r="Y38" s="52">
        <v>72</v>
      </c>
      <c r="Z38" s="52">
        <v>72</v>
      </c>
      <c r="AA38" s="52">
        <v>71.3</v>
      </c>
      <c r="AB38" s="52">
        <v>71.3</v>
      </c>
      <c r="AC38" s="52">
        <v>71.3</v>
      </c>
      <c r="AD38" s="52">
        <v>70.3</v>
      </c>
      <c r="AE38" s="62">
        <v>71.7</v>
      </c>
      <c r="AF38" s="62">
        <v>71.7</v>
      </c>
      <c r="AG38" s="67">
        <v>70</v>
      </c>
      <c r="AH38" s="55">
        <f t="shared" si="2"/>
        <v>72.099999999999994</v>
      </c>
      <c r="AI38" s="56">
        <f t="shared" si="3"/>
        <v>61.3</v>
      </c>
      <c r="AJ38" s="56"/>
      <c r="AK38" s="56"/>
    </row>
    <row r="39" spans="1:88" x14ac:dyDescent="0.25">
      <c r="A39" s="66" t="s">
        <v>46</v>
      </c>
      <c r="B39" s="62">
        <v>70</v>
      </c>
      <c r="C39" s="62">
        <v>69</v>
      </c>
      <c r="D39" s="62">
        <v>70.5</v>
      </c>
      <c r="E39" s="62">
        <v>65</v>
      </c>
      <c r="F39" s="62">
        <v>69.400000000000006</v>
      </c>
      <c r="G39" s="62">
        <v>69.5</v>
      </c>
      <c r="H39" s="62">
        <v>69.8</v>
      </c>
      <c r="I39" s="62">
        <v>70.099999999999994</v>
      </c>
      <c r="J39" s="62">
        <v>69.7</v>
      </c>
      <c r="K39" s="62">
        <v>70</v>
      </c>
      <c r="L39" s="52">
        <v>70</v>
      </c>
      <c r="M39" s="52">
        <v>66.099999999999994</v>
      </c>
      <c r="N39" s="52">
        <v>69.900000000000006</v>
      </c>
      <c r="O39" s="52">
        <v>69.599999999999994</v>
      </c>
      <c r="P39" s="52">
        <v>69.900000000000006</v>
      </c>
      <c r="Q39" s="52">
        <v>69.8</v>
      </c>
      <c r="R39" s="52">
        <v>69.8</v>
      </c>
      <c r="S39" s="52">
        <v>68.5</v>
      </c>
      <c r="T39" s="52">
        <v>68.5</v>
      </c>
      <c r="U39" s="52">
        <v>68.5</v>
      </c>
      <c r="V39" s="52">
        <v>53.2</v>
      </c>
      <c r="W39" s="52">
        <v>70.5</v>
      </c>
      <c r="X39" s="52">
        <v>70.5</v>
      </c>
      <c r="Y39" s="52">
        <v>70.5</v>
      </c>
      <c r="Z39" s="52">
        <v>70.5</v>
      </c>
      <c r="AA39" s="52">
        <v>70</v>
      </c>
      <c r="AB39" s="52">
        <v>70</v>
      </c>
      <c r="AC39" s="52">
        <v>69.599999999999994</v>
      </c>
      <c r="AD39" s="52">
        <v>70.8</v>
      </c>
      <c r="AE39" s="62">
        <v>70.099999999999994</v>
      </c>
      <c r="AF39" s="62">
        <v>70.099999999999994</v>
      </c>
      <c r="AG39" s="67">
        <v>69</v>
      </c>
      <c r="AH39" s="55">
        <f t="shared" si="2"/>
        <v>70.8</v>
      </c>
      <c r="AI39" s="56">
        <f t="shared" si="3"/>
        <v>53.2</v>
      </c>
      <c r="AJ39" s="56"/>
      <c r="AK39" s="56"/>
    </row>
    <row r="40" spans="1:88" x14ac:dyDescent="0.25">
      <c r="A40" s="66" t="s">
        <v>47</v>
      </c>
      <c r="B40" s="62">
        <v>59</v>
      </c>
      <c r="C40" s="62">
        <v>59</v>
      </c>
      <c r="D40" s="62">
        <v>62.3</v>
      </c>
      <c r="E40" s="62">
        <v>50</v>
      </c>
      <c r="F40" s="62">
        <v>61.4</v>
      </c>
      <c r="G40" s="62">
        <v>61.4</v>
      </c>
      <c r="H40" s="62">
        <v>61.4</v>
      </c>
      <c r="I40" s="62">
        <v>61.7</v>
      </c>
      <c r="J40" s="62">
        <v>61.4</v>
      </c>
      <c r="K40" s="62">
        <v>61.4</v>
      </c>
      <c r="L40" s="52">
        <v>61.4</v>
      </c>
      <c r="M40" s="52">
        <v>62</v>
      </c>
      <c r="N40" s="52">
        <v>61.4</v>
      </c>
      <c r="O40" s="52">
        <v>61.4</v>
      </c>
      <c r="P40" s="52">
        <v>61.4</v>
      </c>
      <c r="Q40" s="52">
        <v>61.7</v>
      </c>
      <c r="R40" s="52">
        <v>60.4</v>
      </c>
      <c r="S40" s="52">
        <v>30.7</v>
      </c>
      <c r="T40" s="52">
        <v>34</v>
      </c>
      <c r="U40" s="52">
        <v>50</v>
      </c>
      <c r="V40" s="52">
        <v>49.4</v>
      </c>
      <c r="W40" s="52">
        <v>62</v>
      </c>
      <c r="X40" s="52">
        <v>62</v>
      </c>
      <c r="Y40" s="52">
        <v>62</v>
      </c>
      <c r="Z40" s="52">
        <v>62</v>
      </c>
      <c r="AA40" s="52">
        <v>61.4</v>
      </c>
      <c r="AB40" s="52">
        <v>61.4</v>
      </c>
      <c r="AC40" s="52">
        <v>61.4</v>
      </c>
      <c r="AD40" s="52">
        <v>61.4</v>
      </c>
      <c r="AE40" s="62">
        <v>61.4</v>
      </c>
      <c r="AF40" s="62">
        <v>61.4</v>
      </c>
      <c r="AG40" s="67">
        <v>60</v>
      </c>
      <c r="AH40" s="55">
        <f t="shared" si="2"/>
        <v>62.3</v>
      </c>
      <c r="AI40" s="56">
        <f t="shared" si="3"/>
        <v>30.7</v>
      </c>
      <c r="AJ40" s="56"/>
      <c r="AK40" s="56"/>
    </row>
    <row r="41" spans="1:88" x14ac:dyDescent="0.25">
      <c r="A41" s="66" t="s">
        <v>48</v>
      </c>
      <c r="B41" s="62">
        <v>29.7</v>
      </c>
      <c r="C41" s="62">
        <v>29.7</v>
      </c>
      <c r="D41" s="62">
        <v>28.5</v>
      </c>
      <c r="E41" s="62">
        <v>28</v>
      </c>
      <c r="F41" s="62">
        <v>15</v>
      </c>
      <c r="G41" s="62">
        <v>28</v>
      </c>
      <c r="H41" s="62">
        <v>28</v>
      </c>
      <c r="I41" s="62">
        <v>28</v>
      </c>
      <c r="J41" s="62">
        <v>29.3</v>
      </c>
      <c r="K41" s="62">
        <v>29.3</v>
      </c>
      <c r="L41" s="50">
        <v>29.3</v>
      </c>
      <c r="M41" s="50">
        <v>29.3</v>
      </c>
      <c r="N41" s="50">
        <v>29.3</v>
      </c>
      <c r="O41" s="50">
        <v>29.3</v>
      </c>
      <c r="P41" s="50">
        <v>29.4</v>
      </c>
      <c r="Q41" s="50">
        <v>29.3</v>
      </c>
      <c r="R41" s="50">
        <v>29.5</v>
      </c>
      <c r="S41" s="50">
        <v>29.5</v>
      </c>
      <c r="T41" s="50">
        <v>29.5</v>
      </c>
      <c r="U41" s="50">
        <v>29.5</v>
      </c>
      <c r="V41" s="50">
        <v>29.8</v>
      </c>
      <c r="W41" s="50">
        <v>29.8</v>
      </c>
      <c r="X41" s="50">
        <v>29.8</v>
      </c>
      <c r="Y41" s="50">
        <v>29.8</v>
      </c>
      <c r="Z41" s="50">
        <v>29.8</v>
      </c>
      <c r="AA41" s="52">
        <v>28.9</v>
      </c>
      <c r="AB41" s="52">
        <v>28.9</v>
      </c>
      <c r="AC41" s="52">
        <v>28.9</v>
      </c>
      <c r="AD41" s="52">
        <v>28.9</v>
      </c>
      <c r="AE41" s="52">
        <v>28.9</v>
      </c>
      <c r="AF41" s="52">
        <v>28.9</v>
      </c>
      <c r="AG41" s="67">
        <v>30</v>
      </c>
      <c r="AH41" s="55">
        <f t="shared" si="2"/>
        <v>29.8</v>
      </c>
      <c r="AI41" s="56">
        <f t="shared" si="3"/>
        <v>15</v>
      </c>
      <c r="AJ41" s="56"/>
      <c r="AK41" s="56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J42" s="56"/>
      <c r="AK42" s="56"/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18.2</v>
      </c>
      <c r="AB43" s="50">
        <v>18.2</v>
      </c>
      <c r="AC43" s="50">
        <v>18.2</v>
      </c>
      <c r="AD43" s="50">
        <v>18.2</v>
      </c>
      <c r="AE43" s="50">
        <v>18.2</v>
      </c>
      <c r="AF43" s="50">
        <v>18.2</v>
      </c>
      <c r="AG43" s="67">
        <v>24</v>
      </c>
      <c r="AH43" s="55">
        <f t="shared" si="2"/>
        <v>18.2</v>
      </c>
      <c r="AI43" s="56">
        <f t="shared" si="3"/>
        <v>18</v>
      </c>
      <c r="AJ43" s="56"/>
      <c r="AK43" s="56"/>
    </row>
    <row r="44" spans="1:88" x14ac:dyDescent="0.25">
      <c r="A44" s="66" t="s">
        <v>51</v>
      </c>
      <c r="B44" s="62">
        <v>3</v>
      </c>
      <c r="C44" s="62">
        <v>3</v>
      </c>
      <c r="D44" s="62">
        <v>3</v>
      </c>
      <c r="E44" s="62">
        <v>3</v>
      </c>
      <c r="F44" s="62">
        <v>3</v>
      </c>
      <c r="G44" s="62">
        <v>3</v>
      </c>
      <c r="H44" s="62">
        <v>3</v>
      </c>
      <c r="I44" s="62">
        <v>3</v>
      </c>
      <c r="J44" s="62">
        <v>3</v>
      </c>
      <c r="K44" s="62">
        <v>3</v>
      </c>
      <c r="L44" s="50">
        <v>3</v>
      </c>
      <c r="M44" s="50">
        <v>3</v>
      </c>
      <c r="N44" s="50">
        <v>3</v>
      </c>
      <c r="O44" s="50">
        <v>0</v>
      </c>
      <c r="P44" s="50">
        <v>0</v>
      </c>
      <c r="Q44" s="50">
        <v>0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7">
        <v>15</v>
      </c>
      <c r="AH44" s="55">
        <f t="shared" si="2"/>
        <v>3</v>
      </c>
      <c r="AI44" s="56">
        <f t="shared" si="3"/>
        <v>0</v>
      </c>
      <c r="AJ44" s="56"/>
      <c r="AK44" s="56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12</v>
      </c>
      <c r="S46" s="50">
        <v>14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7</v>
      </c>
      <c r="AB46" s="50">
        <v>7</v>
      </c>
      <c r="AC46" s="50">
        <v>7</v>
      </c>
      <c r="AD46" s="50">
        <v>7</v>
      </c>
      <c r="AE46" s="50">
        <v>7</v>
      </c>
      <c r="AF46" s="50">
        <v>7</v>
      </c>
      <c r="AG46" s="67">
        <v>14</v>
      </c>
      <c r="AH46" s="55">
        <f t="shared" si="2"/>
        <v>14</v>
      </c>
      <c r="AI46" s="56">
        <f t="shared" si="3"/>
        <v>0</v>
      </c>
      <c r="AK46" s="57"/>
    </row>
    <row r="47" spans="1:88" x14ac:dyDescent="0.25">
      <c r="A47" s="66" t="s">
        <v>54</v>
      </c>
      <c r="B47" s="62">
        <v>9.3000000000000007</v>
      </c>
      <c r="C47" s="62">
        <v>9.3000000000000007</v>
      </c>
      <c r="D47" s="62">
        <v>9.3000000000000007</v>
      </c>
      <c r="E47" s="62">
        <v>9.3000000000000007</v>
      </c>
      <c r="F47" s="62">
        <v>9.3000000000000007</v>
      </c>
      <c r="G47" s="62">
        <v>9.3000000000000007</v>
      </c>
      <c r="H47" s="62">
        <v>9.3000000000000007</v>
      </c>
      <c r="I47" s="62">
        <v>9.3000000000000007</v>
      </c>
      <c r="J47" s="62">
        <v>9.3000000000000007</v>
      </c>
      <c r="K47" s="62">
        <v>9.3000000000000007</v>
      </c>
      <c r="L47" s="50">
        <v>9.3000000000000007</v>
      </c>
      <c r="M47" s="50">
        <v>9.3000000000000007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9.6</v>
      </c>
      <c r="AI47" s="56">
        <f t="shared" si="3"/>
        <v>9.3000000000000007</v>
      </c>
      <c r="AK47" s="57"/>
    </row>
    <row r="48" spans="1:88" x14ac:dyDescent="0.25">
      <c r="A48" s="66" t="s">
        <v>55</v>
      </c>
      <c r="B48" s="62">
        <v>3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3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437.34000000000003</v>
      </c>
      <c r="C50" s="72">
        <f t="shared" si="6"/>
        <v>436.54</v>
      </c>
      <c r="D50" s="72">
        <f t="shared" si="6"/>
        <v>439.84000000000003</v>
      </c>
      <c r="E50" s="72">
        <f t="shared" si="6"/>
        <v>403.84000000000003</v>
      </c>
      <c r="F50" s="72">
        <f t="shared" si="6"/>
        <v>418.94000000000005</v>
      </c>
      <c r="G50" s="72">
        <f t="shared" si="6"/>
        <v>431.34000000000003</v>
      </c>
      <c r="H50" s="72">
        <f t="shared" si="6"/>
        <v>431.84000000000003</v>
      </c>
      <c r="I50" s="72">
        <f t="shared" si="6"/>
        <v>432.14000000000004</v>
      </c>
      <c r="J50" s="72">
        <f t="shared" si="6"/>
        <v>439.54</v>
      </c>
      <c r="K50" s="72">
        <f t="shared" si="6"/>
        <v>440.54</v>
      </c>
      <c r="L50" s="72">
        <f t="shared" si="6"/>
        <v>440.54</v>
      </c>
      <c r="M50" s="72">
        <f t="shared" si="6"/>
        <v>433.64000000000004</v>
      </c>
      <c r="N50" s="72">
        <f t="shared" si="6"/>
        <v>440.24</v>
      </c>
      <c r="O50" s="72">
        <f t="shared" si="6"/>
        <v>437.94000000000005</v>
      </c>
      <c r="P50" s="72">
        <f t="shared" si="6"/>
        <v>439.74</v>
      </c>
      <c r="Q50" s="72">
        <f t="shared" si="6"/>
        <v>419.24000000000007</v>
      </c>
      <c r="R50" s="72">
        <f t="shared" si="6"/>
        <v>438.54</v>
      </c>
      <c r="S50" s="72">
        <f t="shared" si="6"/>
        <v>297.34000000000003</v>
      </c>
      <c r="T50" s="72">
        <f t="shared" si="6"/>
        <v>401.24000000000007</v>
      </c>
      <c r="U50" s="72">
        <f t="shared" si="6"/>
        <v>417.24000000000007</v>
      </c>
      <c r="V50" s="72">
        <f t="shared" si="6"/>
        <v>367.14000000000004</v>
      </c>
      <c r="W50" s="72">
        <f t="shared" si="6"/>
        <v>430.44000000000005</v>
      </c>
      <c r="X50" s="72">
        <f t="shared" si="6"/>
        <v>430.44000000000005</v>
      </c>
      <c r="Y50" s="72">
        <f t="shared" si="6"/>
        <v>430.44000000000005</v>
      </c>
      <c r="Z50" s="72">
        <f t="shared" si="6"/>
        <v>430.44000000000005</v>
      </c>
      <c r="AA50" s="72">
        <f t="shared" si="6"/>
        <v>436.14</v>
      </c>
      <c r="AB50" s="72">
        <f t="shared" si="6"/>
        <v>436.14</v>
      </c>
      <c r="AC50" s="72">
        <f t="shared" si="6"/>
        <v>435.84000000000003</v>
      </c>
      <c r="AD50" s="72">
        <f t="shared" si="6"/>
        <v>435.94</v>
      </c>
      <c r="AE50" s="72">
        <f t="shared" si="6"/>
        <v>436.64</v>
      </c>
      <c r="AF50" s="72">
        <f t="shared" si="6"/>
        <v>436.64</v>
      </c>
      <c r="AG50" s="77">
        <f>SUM(AG37:AG49)</f>
        <v>489.91</v>
      </c>
      <c r="AH50" s="55">
        <f t="shared" si="2"/>
        <v>440.54</v>
      </c>
      <c r="AI50" s="56">
        <f t="shared" si="3"/>
        <v>297.34000000000003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15</v>
      </c>
      <c r="N51" s="174">
        <v>20.5</v>
      </c>
      <c r="O51" s="174">
        <v>20.5</v>
      </c>
      <c r="P51" s="174">
        <v>20.2</v>
      </c>
      <c r="Q51" s="50">
        <v>14.3</v>
      </c>
      <c r="R51" s="50">
        <v>14.1</v>
      </c>
      <c r="S51" s="50">
        <v>29.9</v>
      </c>
      <c r="T51" s="50">
        <v>13.8</v>
      </c>
      <c r="U51" s="50">
        <v>9.8000000000000007</v>
      </c>
      <c r="V51" s="50">
        <v>13.7</v>
      </c>
      <c r="W51" s="50">
        <v>41</v>
      </c>
      <c r="X51" s="50">
        <v>60</v>
      </c>
      <c r="Y51" s="50">
        <v>60</v>
      </c>
      <c r="Z51" s="50">
        <v>60</v>
      </c>
      <c r="AA51" s="50">
        <v>50</v>
      </c>
      <c r="AB51" s="50">
        <v>24.8</v>
      </c>
      <c r="AC51" s="50">
        <v>24.8</v>
      </c>
      <c r="AD51" s="50">
        <v>0</v>
      </c>
      <c r="AE51" s="50">
        <v>0</v>
      </c>
      <c r="AF51" s="50">
        <v>10.7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3.8</v>
      </c>
      <c r="N52" s="174">
        <v>9.5</v>
      </c>
      <c r="O52" s="174">
        <v>8.8000000000000007</v>
      </c>
      <c r="P52" s="174">
        <v>9.8000000000000007</v>
      </c>
      <c r="Q52" s="52">
        <v>4.2</v>
      </c>
      <c r="R52" s="52">
        <v>6</v>
      </c>
      <c r="S52" s="50">
        <v>11.1</v>
      </c>
      <c r="T52" s="50">
        <v>8.3000000000000007</v>
      </c>
      <c r="U52" s="52">
        <v>4</v>
      </c>
      <c r="V52" s="52">
        <v>4</v>
      </c>
      <c r="W52" s="52">
        <v>13.2</v>
      </c>
      <c r="X52" s="52">
        <v>27.9</v>
      </c>
      <c r="Y52" s="52">
        <v>27.9</v>
      </c>
      <c r="Z52" s="52">
        <v>27.9</v>
      </c>
      <c r="AA52" s="52">
        <v>18.600000000000001</v>
      </c>
      <c r="AB52" s="52">
        <v>11.3</v>
      </c>
      <c r="AC52" s="52">
        <v>11.3</v>
      </c>
      <c r="AD52" s="50">
        <v>0</v>
      </c>
      <c r="AE52" s="50">
        <v>0</v>
      </c>
      <c r="AF52" s="52">
        <v>5.2</v>
      </c>
      <c r="AG52" s="67">
        <v>32</v>
      </c>
      <c r="AH52" s="55">
        <f t="shared" si="2"/>
        <v>27.9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1.4</v>
      </c>
      <c r="N53" s="175">
        <v>3.5</v>
      </c>
      <c r="O53" s="175">
        <v>3.2</v>
      </c>
      <c r="P53" s="175">
        <v>3.6</v>
      </c>
      <c r="Q53" s="78">
        <v>1.5</v>
      </c>
      <c r="R53" s="78">
        <v>2.2000000000000002</v>
      </c>
      <c r="S53" s="50">
        <v>4.2</v>
      </c>
      <c r="T53" s="50">
        <v>3</v>
      </c>
      <c r="U53" s="78">
        <v>1.5</v>
      </c>
      <c r="V53" s="78">
        <v>1.5</v>
      </c>
      <c r="W53" s="78">
        <v>4.8</v>
      </c>
      <c r="X53" s="78">
        <v>10.199999999999999</v>
      </c>
      <c r="Y53" s="78">
        <v>10.199999999999999</v>
      </c>
      <c r="Z53" s="78">
        <v>10.199999999999999</v>
      </c>
      <c r="AA53" s="78">
        <v>6.9</v>
      </c>
      <c r="AB53" s="78">
        <v>4.0999999999999996</v>
      </c>
      <c r="AC53" s="78">
        <v>4.0999999999999996</v>
      </c>
      <c r="AD53" s="50">
        <v>0</v>
      </c>
      <c r="AE53" s="50">
        <v>0</v>
      </c>
      <c r="AF53" s="78">
        <v>1.9</v>
      </c>
      <c r="AG53" s="79">
        <v>14</v>
      </c>
      <c r="AH53" s="55">
        <f t="shared" si="2"/>
        <v>10.199999999999999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20.2</v>
      </c>
      <c r="N54" s="72">
        <f t="shared" si="7"/>
        <v>33.5</v>
      </c>
      <c r="O54" s="72">
        <f t="shared" si="7"/>
        <v>32.5</v>
      </c>
      <c r="P54" s="72">
        <f t="shared" si="7"/>
        <v>33.6</v>
      </c>
      <c r="Q54" s="72">
        <f t="shared" si="7"/>
        <v>20</v>
      </c>
      <c r="R54" s="72">
        <f t="shared" si="7"/>
        <v>22.3</v>
      </c>
      <c r="S54" s="72">
        <f t="shared" si="7"/>
        <v>45.2</v>
      </c>
      <c r="T54" s="72">
        <f t="shared" si="7"/>
        <v>25.1</v>
      </c>
      <c r="U54" s="72">
        <f t="shared" si="7"/>
        <v>15.3</v>
      </c>
      <c r="V54" s="72">
        <f t="shared" si="7"/>
        <v>19.2</v>
      </c>
      <c r="W54" s="72">
        <f t="shared" si="7"/>
        <v>59</v>
      </c>
      <c r="X54" s="72">
        <f t="shared" si="7"/>
        <v>98.100000000000009</v>
      </c>
      <c r="Y54" s="72">
        <f t="shared" si="7"/>
        <v>98.100000000000009</v>
      </c>
      <c r="Z54" s="72">
        <f t="shared" si="7"/>
        <v>98.100000000000009</v>
      </c>
      <c r="AA54" s="72">
        <f t="shared" si="7"/>
        <v>75.5</v>
      </c>
      <c r="AB54" s="72">
        <f t="shared" si="7"/>
        <v>40.200000000000003</v>
      </c>
      <c r="AC54" s="72">
        <f t="shared" si="7"/>
        <v>40.200000000000003</v>
      </c>
      <c r="AD54" s="72">
        <f t="shared" si="7"/>
        <v>0</v>
      </c>
      <c r="AE54" s="72">
        <f t="shared" si="7"/>
        <v>0</v>
      </c>
      <c r="AF54" s="72">
        <f t="shared" si="7"/>
        <v>17.799999999999997</v>
      </c>
      <c r="AG54" s="77">
        <f>SUM(AG51:AG53)</f>
        <v>106</v>
      </c>
      <c r="AH54" s="55">
        <f t="shared" si="2"/>
        <v>98.100000000000009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56.8</v>
      </c>
      <c r="T55" s="50">
        <v>0</v>
      </c>
      <c r="U55" s="50">
        <v>0</v>
      </c>
      <c r="V55" s="50">
        <v>0</v>
      </c>
      <c r="W55" s="50">
        <v>0</v>
      </c>
      <c r="X55" s="50">
        <v>46.9</v>
      </c>
      <c r="Y55" s="50">
        <v>56.5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56.8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-64.8</v>
      </c>
      <c r="Y56" s="80">
        <v>-71.5</v>
      </c>
      <c r="Z56" s="80">
        <v>-72.400000000000006</v>
      </c>
      <c r="AA56" s="52">
        <v>-74.2</v>
      </c>
      <c r="AB56" s="52">
        <v>-74.2</v>
      </c>
      <c r="AC56" s="52">
        <v>-75.400000000000006</v>
      </c>
      <c r="AD56" s="52">
        <v>-70.8</v>
      </c>
      <c r="AE56" s="52">
        <v>-67.8</v>
      </c>
      <c r="AF56" s="52">
        <v>-14.4</v>
      </c>
      <c r="AG56" s="67"/>
      <c r="AH56" s="55">
        <f t="shared" si="2"/>
        <v>0</v>
      </c>
      <c r="AI56" s="56">
        <f t="shared" si="3"/>
        <v>-75.400000000000006</v>
      </c>
      <c r="AK56" s="57"/>
    </row>
    <row r="57" spans="1:37" x14ac:dyDescent="0.25">
      <c r="A57" s="66" t="s">
        <v>64</v>
      </c>
      <c r="B57" s="52">
        <v>-47</v>
      </c>
      <c r="C57" s="52">
        <v>-30</v>
      </c>
      <c r="D57" s="52">
        <v>-50</v>
      </c>
      <c r="E57" s="52">
        <v>-10</v>
      </c>
      <c r="F57" s="52">
        <v>-31.2</v>
      </c>
      <c r="G57" s="50">
        <v>-26.4</v>
      </c>
      <c r="H57" s="50">
        <v>-22.2</v>
      </c>
      <c r="I57" s="50">
        <v>-5</v>
      </c>
      <c r="J57" s="50">
        <v>-40</v>
      </c>
      <c r="K57" s="50">
        <v>-20</v>
      </c>
      <c r="L57" s="52">
        <v>-28</v>
      </c>
      <c r="M57" s="52">
        <v>-10</v>
      </c>
      <c r="N57" s="52">
        <v>-43.4</v>
      </c>
      <c r="O57" s="52">
        <v>-39.700000000000003</v>
      </c>
      <c r="P57" s="52">
        <v>-56.4</v>
      </c>
      <c r="Q57" s="52">
        <v>-41</v>
      </c>
      <c r="R57" s="52">
        <v>-59.8</v>
      </c>
      <c r="S57" s="52">
        <v>-66.3</v>
      </c>
      <c r="T57" s="52">
        <v>-4.4000000000000004</v>
      </c>
      <c r="U57" s="52">
        <v>-65.599999999999994</v>
      </c>
      <c r="V57" s="52">
        <v>-13.9</v>
      </c>
      <c r="W57" s="81">
        <v>-37.9</v>
      </c>
      <c r="X57" s="81">
        <v>-45</v>
      </c>
      <c r="Y57" s="81">
        <v>-38.700000000000003</v>
      </c>
      <c r="Z57" s="81">
        <v>0</v>
      </c>
      <c r="AA57" s="52">
        <v>-9</v>
      </c>
      <c r="AB57" s="52">
        <v>-9</v>
      </c>
      <c r="AC57" s="52">
        <v>-65</v>
      </c>
      <c r="AD57" s="52">
        <v>-77.8</v>
      </c>
      <c r="AE57" s="52">
        <v>-41.9</v>
      </c>
      <c r="AF57" s="52">
        <v>85</v>
      </c>
      <c r="AG57" s="82"/>
      <c r="AH57" s="55">
        <f t="shared" si="2"/>
        <v>85</v>
      </c>
      <c r="AI57" s="56">
        <f t="shared" si="3"/>
        <v>-77.8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12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12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-47.3</v>
      </c>
      <c r="Y59" s="50">
        <v>-52.6</v>
      </c>
      <c r="Z59" s="50">
        <v>-49.9</v>
      </c>
      <c r="AA59" s="50">
        <v>-55.5</v>
      </c>
      <c r="AB59" s="50">
        <v>-55.5</v>
      </c>
      <c r="AC59" s="50">
        <v>-56</v>
      </c>
      <c r="AD59" s="50">
        <v>-49</v>
      </c>
      <c r="AE59" s="50">
        <v>-50.2</v>
      </c>
      <c r="AF59" s="50">
        <v>-48</v>
      </c>
      <c r="AG59" s="82"/>
      <c r="AH59" s="55">
        <f t="shared" si="2"/>
        <v>0</v>
      </c>
      <c r="AI59" s="56">
        <f t="shared" si="3"/>
        <v>-56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7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9</v>
      </c>
      <c r="AC62" s="59">
        <v>9</v>
      </c>
      <c r="AD62" s="59">
        <v>9</v>
      </c>
      <c r="AE62" s="59">
        <v>9</v>
      </c>
      <c r="AF62" s="59">
        <v>9</v>
      </c>
      <c r="AG62" s="82"/>
      <c r="AH62" s="55">
        <f t="shared" si="2"/>
        <v>9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-40</v>
      </c>
      <c r="C66" s="72">
        <f t="shared" ref="C66:AF66" si="8">SUM(C55:C65)</f>
        <v>-30</v>
      </c>
      <c r="D66" s="72">
        <f t="shared" si="8"/>
        <v>-50</v>
      </c>
      <c r="E66" s="72">
        <f t="shared" si="8"/>
        <v>-10</v>
      </c>
      <c r="F66" s="72">
        <f t="shared" si="8"/>
        <v>-31.2</v>
      </c>
      <c r="G66" s="72">
        <f t="shared" si="8"/>
        <v>-26.4</v>
      </c>
      <c r="H66" s="72">
        <f t="shared" si="8"/>
        <v>-22.2</v>
      </c>
      <c r="I66" s="72">
        <f t="shared" si="8"/>
        <v>-5</v>
      </c>
      <c r="J66" s="72">
        <f t="shared" si="8"/>
        <v>-40</v>
      </c>
      <c r="K66" s="72">
        <f t="shared" si="8"/>
        <v>-20</v>
      </c>
      <c r="L66" s="72">
        <f t="shared" si="8"/>
        <v>-28</v>
      </c>
      <c r="M66" s="72">
        <f t="shared" si="8"/>
        <v>-10</v>
      </c>
      <c r="N66" s="72">
        <f t="shared" si="8"/>
        <v>-43.4</v>
      </c>
      <c r="O66" s="72">
        <f t="shared" si="8"/>
        <v>-39.700000000000003</v>
      </c>
      <c r="P66" s="72">
        <f t="shared" si="8"/>
        <v>-56.4</v>
      </c>
      <c r="Q66" s="72">
        <f t="shared" si="8"/>
        <v>-41</v>
      </c>
      <c r="R66" s="72">
        <f t="shared" si="8"/>
        <v>-59.8</v>
      </c>
      <c r="S66" s="72">
        <f t="shared" si="8"/>
        <v>-9.5</v>
      </c>
      <c r="T66" s="72">
        <f t="shared" si="8"/>
        <v>-4.4000000000000004</v>
      </c>
      <c r="U66" s="72">
        <f t="shared" si="8"/>
        <v>-65.599999999999994</v>
      </c>
      <c r="V66" s="72">
        <f t="shared" si="8"/>
        <v>-1.9000000000000004</v>
      </c>
      <c r="W66" s="72">
        <f t="shared" si="8"/>
        <v>-37.9</v>
      </c>
      <c r="X66" s="72">
        <f t="shared" si="8"/>
        <v>-110.19999999999999</v>
      </c>
      <c r="Y66" s="72">
        <f t="shared" si="8"/>
        <v>-106.30000000000001</v>
      </c>
      <c r="Z66" s="72">
        <f t="shared" si="8"/>
        <v>-122.30000000000001</v>
      </c>
      <c r="AA66" s="72">
        <f t="shared" si="8"/>
        <v>-138.69999999999999</v>
      </c>
      <c r="AB66" s="72">
        <f t="shared" si="8"/>
        <v>-129.69999999999999</v>
      </c>
      <c r="AC66" s="72">
        <f t="shared" si="8"/>
        <v>-187.4</v>
      </c>
      <c r="AD66" s="72">
        <f t="shared" si="8"/>
        <v>-188.6</v>
      </c>
      <c r="AE66" s="72">
        <f t="shared" si="8"/>
        <v>-150.89999999999998</v>
      </c>
      <c r="AF66" s="72">
        <f t="shared" si="8"/>
        <v>31.599999999999994</v>
      </c>
      <c r="AG66" s="77">
        <f>SUM(AG55:AG65)</f>
        <v>0</v>
      </c>
      <c r="AH66" s="55">
        <f t="shared" si="2"/>
        <v>31.599999999999994</v>
      </c>
      <c r="AI66" s="56">
        <f t="shared" si="3"/>
        <v>-188.6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1161.24</v>
      </c>
      <c r="C71" s="87">
        <f t="shared" ref="C71:AG71" si="10">C66+C54+C50+C36+C70</f>
        <v>1154.44</v>
      </c>
      <c r="D71" s="87">
        <f t="shared" si="10"/>
        <v>1104.3400000000001</v>
      </c>
      <c r="E71" s="87">
        <f t="shared" si="10"/>
        <v>1079.44</v>
      </c>
      <c r="F71" s="87">
        <f t="shared" si="10"/>
        <v>1073.3399999999999</v>
      </c>
      <c r="G71" s="87">
        <f t="shared" si="10"/>
        <v>1090.54</v>
      </c>
      <c r="H71" s="87">
        <f t="shared" si="10"/>
        <v>1095.24</v>
      </c>
      <c r="I71" s="87">
        <f t="shared" si="10"/>
        <v>1112.74</v>
      </c>
      <c r="J71" s="87">
        <f t="shared" si="10"/>
        <v>1149.3399999999999</v>
      </c>
      <c r="K71" s="87">
        <f t="shared" si="10"/>
        <v>1209.04</v>
      </c>
      <c r="L71" s="87">
        <f t="shared" si="10"/>
        <v>1270.04</v>
      </c>
      <c r="M71" s="87">
        <f t="shared" si="10"/>
        <v>1293.3399999999999</v>
      </c>
      <c r="N71" s="87">
        <f t="shared" si="10"/>
        <v>1280.94</v>
      </c>
      <c r="O71" s="87">
        <f t="shared" si="10"/>
        <v>1298.44</v>
      </c>
      <c r="P71" s="87">
        <f t="shared" si="10"/>
        <v>1284.54</v>
      </c>
      <c r="Q71" s="87">
        <f t="shared" si="10"/>
        <v>1283.74</v>
      </c>
      <c r="R71" s="87">
        <f t="shared" si="10"/>
        <v>1295.6399999999999</v>
      </c>
      <c r="S71" s="87">
        <f t="shared" si="10"/>
        <v>1189.74</v>
      </c>
      <c r="T71" s="87">
        <f t="shared" si="10"/>
        <v>1254.6399999999999</v>
      </c>
      <c r="U71" s="87">
        <f t="shared" si="10"/>
        <v>1245.6399999999999</v>
      </c>
      <c r="V71" s="87">
        <f t="shared" si="10"/>
        <v>1243.1399999999999</v>
      </c>
      <c r="W71" s="87">
        <f t="shared" si="10"/>
        <v>1355.04</v>
      </c>
      <c r="X71" s="87">
        <f t="shared" si="10"/>
        <v>1485.8400000000001</v>
      </c>
      <c r="Y71" s="87">
        <f t="shared" si="10"/>
        <v>1489.74</v>
      </c>
      <c r="Z71" s="87">
        <f t="shared" si="10"/>
        <v>1473.74</v>
      </c>
      <c r="AA71" s="87">
        <f t="shared" si="10"/>
        <v>1442.2400000000002</v>
      </c>
      <c r="AB71" s="87">
        <f t="shared" si="10"/>
        <v>1415.94</v>
      </c>
      <c r="AC71" s="87">
        <f t="shared" si="10"/>
        <v>1357.9400000000003</v>
      </c>
      <c r="AD71" s="87">
        <f t="shared" si="10"/>
        <v>1254.6400000000001</v>
      </c>
      <c r="AE71" s="87">
        <f t="shared" si="10"/>
        <v>1211.04</v>
      </c>
      <c r="AF71" s="87">
        <f t="shared" si="10"/>
        <v>1175.3399999999999</v>
      </c>
      <c r="AG71" s="87">
        <f t="shared" si="10"/>
        <v>2083.14</v>
      </c>
      <c r="AH71" s="55">
        <f t="shared" si="2"/>
        <v>1489.74</v>
      </c>
      <c r="AI71" s="56">
        <f t="shared" si="3"/>
        <v>1073.3399999999999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1161.24</v>
      </c>
      <c r="C73" s="87">
        <f t="shared" ref="C73:AF73" si="11">C70+C66+C54+C50+C36+C72</f>
        <v>1154.44</v>
      </c>
      <c r="D73" s="87">
        <f t="shared" si="11"/>
        <v>1104.3400000000001</v>
      </c>
      <c r="E73" s="87">
        <f t="shared" si="11"/>
        <v>1079.44</v>
      </c>
      <c r="F73" s="87">
        <f t="shared" si="11"/>
        <v>1073.3399999999999</v>
      </c>
      <c r="G73" s="87">
        <f t="shared" si="11"/>
        <v>1090.54</v>
      </c>
      <c r="H73" s="87">
        <f t="shared" si="11"/>
        <v>1095.24</v>
      </c>
      <c r="I73" s="87">
        <f t="shared" si="11"/>
        <v>1112.74</v>
      </c>
      <c r="J73" s="87">
        <f t="shared" si="11"/>
        <v>1149.3399999999999</v>
      </c>
      <c r="K73" s="87">
        <f t="shared" si="11"/>
        <v>1209.04</v>
      </c>
      <c r="L73" s="87">
        <f t="shared" si="11"/>
        <v>1270.04</v>
      </c>
      <c r="M73" s="87">
        <f t="shared" si="11"/>
        <v>1293.3399999999999</v>
      </c>
      <c r="N73" s="87">
        <f t="shared" si="11"/>
        <v>1280.94</v>
      </c>
      <c r="O73" s="87">
        <f t="shared" si="11"/>
        <v>1298.44</v>
      </c>
      <c r="P73" s="87">
        <f t="shared" si="11"/>
        <v>1284.54</v>
      </c>
      <c r="Q73" s="87">
        <f t="shared" si="11"/>
        <v>1283.74</v>
      </c>
      <c r="R73" s="87">
        <f t="shared" si="11"/>
        <v>1295.6399999999999</v>
      </c>
      <c r="S73" s="87">
        <f t="shared" si="11"/>
        <v>1189.74</v>
      </c>
      <c r="T73" s="87">
        <f t="shared" si="11"/>
        <v>1254.6399999999999</v>
      </c>
      <c r="U73" s="87">
        <f t="shared" si="11"/>
        <v>1245.6399999999999</v>
      </c>
      <c r="V73" s="87">
        <f t="shared" si="11"/>
        <v>1243.1399999999999</v>
      </c>
      <c r="W73" s="87">
        <f t="shared" si="11"/>
        <v>1355.04</v>
      </c>
      <c r="X73" s="87">
        <f t="shared" si="11"/>
        <v>1485.8400000000001</v>
      </c>
      <c r="Y73" s="87">
        <f t="shared" si="11"/>
        <v>1489.74</v>
      </c>
      <c r="Z73" s="87">
        <f t="shared" si="11"/>
        <v>1473.74</v>
      </c>
      <c r="AA73" s="87">
        <f t="shared" si="11"/>
        <v>1442.2400000000002</v>
      </c>
      <c r="AB73" s="87">
        <f t="shared" si="11"/>
        <v>1415.94</v>
      </c>
      <c r="AC73" s="87">
        <f t="shared" si="11"/>
        <v>1357.9400000000003</v>
      </c>
      <c r="AD73" s="87">
        <f t="shared" si="11"/>
        <v>1254.6400000000001</v>
      </c>
      <c r="AE73" s="87">
        <f t="shared" si="11"/>
        <v>1211.04</v>
      </c>
      <c r="AF73" s="87">
        <f t="shared" si="11"/>
        <v>1175.3399999999999</v>
      </c>
      <c r="AG73" s="77">
        <f>AG70+AG66+AG54+AG50+AG36+AG72</f>
        <v>2083.14</v>
      </c>
      <c r="AH73" s="55">
        <f t="shared" si="2"/>
        <v>1489.74</v>
      </c>
      <c r="AI73" s="56">
        <f t="shared" si="3"/>
        <v>1073.3399999999999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64.8</v>
      </c>
      <c r="Y75" s="59">
        <f t="shared" si="13"/>
        <v>71.5</v>
      </c>
      <c r="Z75" s="59">
        <f t="shared" si="13"/>
        <v>72.400000000000006</v>
      </c>
      <c r="AA75" s="59">
        <f t="shared" si="13"/>
        <v>74.2</v>
      </c>
      <c r="AB75" s="59">
        <f t="shared" si="13"/>
        <v>74.2</v>
      </c>
      <c r="AC75" s="59">
        <f t="shared" si="13"/>
        <v>75.400000000000006</v>
      </c>
      <c r="AD75" s="59">
        <f t="shared" si="13"/>
        <v>70.8</v>
      </c>
      <c r="AE75" s="59">
        <f t="shared" si="13"/>
        <v>67.8</v>
      </c>
      <c r="AF75" s="59">
        <f t="shared" si="13"/>
        <v>14.4</v>
      </c>
      <c r="AG75" s="67"/>
      <c r="AH75" s="55">
        <f t="shared" si="2"/>
        <v>75.400000000000006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47.3</v>
      </c>
      <c r="Y76" s="59">
        <f t="shared" si="14"/>
        <v>52.6</v>
      </c>
      <c r="Z76" s="59">
        <f t="shared" si="14"/>
        <v>49.9</v>
      </c>
      <c r="AA76" s="59">
        <f t="shared" si="14"/>
        <v>55.5</v>
      </c>
      <c r="AB76" s="59">
        <f t="shared" si="14"/>
        <v>55.5</v>
      </c>
      <c r="AC76" s="59">
        <f t="shared" si="14"/>
        <v>56</v>
      </c>
      <c r="AD76" s="59">
        <f t="shared" si="14"/>
        <v>49</v>
      </c>
      <c r="AE76" s="59">
        <f t="shared" si="14"/>
        <v>50.2</v>
      </c>
      <c r="AF76" s="59">
        <f t="shared" si="14"/>
        <v>48</v>
      </c>
      <c r="AG76" s="90"/>
      <c r="AH76" s="55">
        <f t="shared" si="2"/>
        <v>56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47</v>
      </c>
      <c r="C77" s="59">
        <f t="shared" ref="C77:AF77" si="15">IF(C57&lt;0,C57*-1,0)</f>
        <v>30</v>
      </c>
      <c r="D77" s="59">
        <f t="shared" si="15"/>
        <v>50</v>
      </c>
      <c r="E77" s="59">
        <f t="shared" si="15"/>
        <v>10</v>
      </c>
      <c r="F77" s="59">
        <f t="shared" si="15"/>
        <v>31.2</v>
      </c>
      <c r="G77" s="59">
        <f t="shared" si="15"/>
        <v>26.4</v>
      </c>
      <c r="H77" s="59">
        <f t="shared" si="15"/>
        <v>22.2</v>
      </c>
      <c r="I77" s="59">
        <f t="shared" si="15"/>
        <v>5</v>
      </c>
      <c r="J77" s="59">
        <f t="shared" si="15"/>
        <v>40</v>
      </c>
      <c r="K77" s="59">
        <f t="shared" si="15"/>
        <v>20</v>
      </c>
      <c r="L77" s="59">
        <f t="shared" si="15"/>
        <v>28</v>
      </c>
      <c r="M77" s="59">
        <f t="shared" si="15"/>
        <v>10</v>
      </c>
      <c r="N77" s="59">
        <f t="shared" si="15"/>
        <v>43.4</v>
      </c>
      <c r="O77" s="59">
        <f t="shared" si="15"/>
        <v>39.700000000000003</v>
      </c>
      <c r="P77" s="59">
        <f t="shared" si="15"/>
        <v>56.4</v>
      </c>
      <c r="Q77" s="59">
        <f t="shared" si="15"/>
        <v>41</v>
      </c>
      <c r="R77" s="59">
        <f t="shared" si="15"/>
        <v>59.8</v>
      </c>
      <c r="S77" s="59">
        <f t="shared" si="15"/>
        <v>66.3</v>
      </c>
      <c r="T77" s="59">
        <f t="shared" si="15"/>
        <v>4.4000000000000004</v>
      </c>
      <c r="U77" s="59">
        <f t="shared" si="15"/>
        <v>65.599999999999994</v>
      </c>
      <c r="V77" s="59">
        <f t="shared" si="15"/>
        <v>13.9</v>
      </c>
      <c r="W77" s="59">
        <f t="shared" si="15"/>
        <v>37.9</v>
      </c>
      <c r="X77" s="59">
        <f t="shared" si="15"/>
        <v>45</v>
      </c>
      <c r="Y77" s="59">
        <f t="shared" si="15"/>
        <v>38.700000000000003</v>
      </c>
      <c r="Z77" s="59">
        <f t="shared" si="15"/>
        <v>0</v>
      </c>
      <c r="AA77" s="59">
        <f t="shared" si="15"/>
        <v>9</v>
      </c>
      <c r="AB77" s="59">
        <f t="shared" si="15"/>
        <v>9</v>
      </c>
      <c r="AC77" s="59">
        <f t="shared" si="15"/>
        <v>65</v>
      </c>
      <c r="AD77" s="59">
        <f t="shared" si="15"/>
        <v>77.8</v>
      </c>
      <c r="AE77" s="59">
        <f t="shared" si="15"/>
        <v>41.9</v>
      </c>
      <c r="AF77" s="59">
        <f t="shared" si="15"/>
        <v>0</v>
      </c>
      <c r="AG77" s="90"/>
      <c r="AH77" s="55">
        <f t="shared" ref="AH77:AH89" si="16">MAX(B77:AF77)</f>
        <v>77.8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47</v>
      </c>
      <c r="C80" s="72">
        <f t="shared" si="19"/>
        <v>30</v>
      </c>
      <c r="D80" s="72">
        <f t="shared" si="19"/>
        <v>50</v>
      </c>
      <c r="E80" s="72">
        <f t="shared" si="19"/>
        <v>10</v>
      </c>
      <c r="F80" s="72">
        <f t="shared" si="19"/>
        <v>31.2</v>
      </c>
      <c r="G80" s="72">
        <f t="shared" si="19"/>
        <v>26.4</v>
      </c>
      <c r="H80" s="72">
        <f t="shared" si="19"/>
        <v>22.2</v>
      </c>
      <c r="I80" s="72">
        <f t="shared" si="19"/>
        <v>5</v>
      </c>
      <c r="J80" s="72">
        <f t="shared" si="19"/>
        <v>40</v>
      </c>
      <c r="K80" s="72">
        <f t="shared" si="19"/>
        <v>20</v>
      </c>
      <c r="L80" s="72">
        <f t="shared" si="19"/>
        <v>28</v>
      </c>
      <c r="M80" s="72">
        <f t="shared" si="19"/>
        <v>10</v>
      </c>
      <c r="N80" s="72">
        <f t="shared" si="19"/>
        <v>43.4</v>
      </c>
      <c r="O80" s="72">
        <f t="shared" si="19"/>
        <v>39.700000000000003</v>
      </c>
      <c r="P80" s="72">
        <f t="shared" si="19"/>
        <v>56.4</v>
      </c>
      <c r="Q80" s="72">
        <f t="shared" si="19"/>
        <v>41</v>
      </c>
      <c r="R80" s="72">
        <f t="shared" si="19"/>
        <v>59.8</v>
      </c>
      <c r="S80" s="72">
        <f t="shared" si="19"/>
        <v>66.3</v>
      </c>
      <c r="T80" s="72">
        <f t="shared" si="19"/>
        <v>4.4000000000000004</v>
      </c>
      <c r="U80" s="72">
        <f t="shared" si="19"/>
        <v>65.599999999999994</v>
      </c>
      <c r="V80" s="72">
        <f t="shared" si="19"/>
        <v>13.9</v>
      </c>
      <c r="W80" s="72">
        <f t="shared" si="19"/>
        <v>37.9</v>
      </c>
      <c r="X80" s="72">
        <f t="shared" si="19"/>
        <v>157.1</v>
      </c>
      <c r="Y80" s="72">
        <f t="shared" si="19"/>
        <v>162.80000000000001</v>
      </c>
      <c r="Z80" s="72">
        <f t="shared" si="19"/>
        <v>122.30000000000001</v>
      </c>
      <c r="AA80" s="72">
        <f t="shared" si="19"/>
        <v>138.69999999999999</v>
      </c>
      <c r="AB80" s="72">
        <f t="shared" si="19"/>
        <v>138.69999999999999</v>
      </c>
      <c r="AC80" s="72">
        <f t="shared" si="19"/>
        <v>196.4</v>
      </c>
      <c r="AD80" s="72">
        <f t="shared" si="19"/>
        <v>197.6</v>
      </c>
      <c r="AE80" s="72">
        <f t="shared" si="19"/>
        <v>159.9</v>
      </c>
      <c r="AF80" s="72">
        <f t="shared" si="19"/>
        <v>62.4</v>
      </c>
      <c r="AG80" s="77">
        <f t="shared" si="19"/>
        <v>0</v>
      </c>
      <c r="AH80" s="55">
        <f t="shared" si="16"/>
        <v>197.6</v>
      </c>
      <c r="AI80" s="56">
        <f t="shared" si="17"/>
        <v>4.4000000000000004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2416.48</v>
      </c>
      <c r="C81" s="72">
        <f t="shared" si="20"/>
        <v>2368.88</v>
      </c>
      <c r="D81" s="72">
        <f t="shared" si="20"/>
        <v>2308.6800000000003</v>
      </c>
      <c r="E81" s="72">
        <f t="shared" si="20"/>
        <v>2178.88</v>
      </c>
      <c r="F81" s="72">
        <f t="shared" si="20"/>
        <v>2209.0799999999995</v>
      </c>
      <c r="G81" s="72">
        <f t="shared" si="20"/>
        <v>2233.88</v>
      </c>
      <c r="H81" s="72">
        <f t="shared" si="20"/>
        <v>2234.8799999999997</v>
      </c>
      <c r="I81" s="72">
        <f t="shared" si="20"/>
        <v>2235.48</v>
      </c>
      <c r="J81" s="72">
        <f t="shared" si="20"/>
        <v>2378.6799999999998</v>
      </c>
      <c r="K81" s="72">
        <f t="shared" si="20"/>
        <v>2458.08</v>
      </c>
      <c r="L81" s="72">
        <f t="shared" si="20"/>
        <v>2596.08</v>
      </c>
      <c r="M81" s="72">
        <f t="shared" si="20"/>
        <v>2606.6799999999998</v>
      </c>
      <c r="N81" s="72">
        <f t="shared" si="20"/>
        <v>2648.6800000000003</v>
      </c>
      <c r="O81" s="72">
        <f t="shared" si="20"/>
        <v>2676.2799999999997</v>
      </c>
      <c r="P81" s="72">
        <f t="shared" si="20"/>
        <v>2681.88</v>
      </c>
      <c r="Q81" s="72">
        <f t="shared" si="20"/>
        <v>2649.48</v>
      </c>
      <c r="R81" s="72">
        <f t="shared" si="20"/>
        <v>2710.88</v>
      </c>
      <c r="S81" s="72">
        <f t="shared" si="20"/>
        <v>2512.0800000000004</v>
      </c>
      <c r="T81" s="72">
        <f t="shared" si="20"/>
        <v>2518.08</v>
      </c>
      <c r="U81" s="72">
        <f t="shared" si="20"/>
        <v>2622.4799999999996</v>
      </c>
      <c r="V81" s="72">
        <f t="shared" si="20"/>
        <v>2514.08</v>
      </c>
      <c r="W81" s="72">
        <f t="shared" si="20"/>
        <v>2785.88</v>
      </c>
      <c r="X81" s="72">
        <f t="shared" si="20"/>
        <v>3285.8800000000006</v>
      </c>
      <c r="Y81" s="72">
        <f t="shared" si="20"/>
        <v>3305.08</v>
      </c>
      <c r="Z81" s="72">
        <f t="shared" si="20"/>
        <v>3192.0800000000004</v>
      </c>
      <c r="AA81" s="72">
        <f t="shared" si="20"/>
        <v>3161.88</v>
      </c>
      <c r="AB81" s="72">
        <f t="shared" si="20"/>
        <v>3109.2799999999997</v>
      </c>
      <c r="AC81" s="72">
        <f t="shared" si="20"/>
        <v>3108.6800000000007</v>
      </c>
      <c r="AD81" s="72">
        <f t="shared" si="20"/>
        <v>2904.4800000000005</v>
      </c>
      <c r="AE81" s="72">
        <f t="shared" si="20"/>
        <v>2741.88</v>
      </c>
      <c r="AF81" s="72">
        <f t="shared" si="20"/>
        <v>2475.48</v>
      </c>
      <c r="AG81" s="77">
        <f t="shared" si="20"/>
        <v>4238.08</v>
      </c>
      <c r="AH81" s="55">
        <f t="shared" si="16"/>
        <v>3305.08</v>
      </c>
      <c r="AI81" s="56">
        <f t="shared" si="17"/>
        <v>2178.88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50.04</v>
      </c>
      <c r="C82" s="93">
        <v>50.04</v>
      </c>
      <c r="D82" s="93">
        <v>49.976999999999997</v>
      </c>
      <c r="E82" s="93">
        <v>50.021000000000001</v>
      </c>
      <c r="F82" s="93">
        <v>49.954000000000001</v>
      </c>
      <c r="G82" s="93">
        <v>50.031999999999996</v>
      </c>
      <c r="H82" s="93">
        <v>50.04</v>
      </c>
      <c r="I82" s="93">
        <v>50.064999999999998</v>
      </c>
      <c r="J82" s="93">
        <v>49.97</v>
      </c>
      <c r="K82" s="93">
        <v>50.01</v>
      </c>
      <c r="L82" s="93">
        <v>50.05</v>
      </c>
      <c r="M82" s="93">
        <v>50.079000000000001</v>
      </c>
      <c r="N82" s="93">
        <v>50.075000000000003</v>
      </c>
      <c r="O82" s="93">
        <v>49.959000000000003</v>
      </c>
      <c r="P82" s="93">
        <v>49.79</v>
      </c>
      <c r="Q82" s="93">
        <v>49.911999999999999</v>
      </c>
      <c r="R82" s="93">
        <v>50.113999999999997</v>
      </c>
      <c r="S82" s="93">
        <v>49.783999999999999</v>
      </c>
      <c r="T82" s="93">
        <v>49.993000000000002</v>
      </c>
      <c r="U82" s="93">
        <v>49.97</v>
      </c>
      <c r="V82" s="93">
        <v>50.029000000000003</v>
      </c>
      <c r="W82" s="93">
        <v>49.841999999999999</v>
      </c>
      <c r="X82" s="93">
        <v>49.689</v>
      </c>
      <c r="Y82" s="93"/>
      <c r="Z82" s="93"/>
      <c r="AA82" s="93">
        <v>50.024000000000001</v>
      </c>
      <c r="AB82" s="93">
        <v>50.024000000000001</v>
      </c>
      <c r="AC82" s="93">
        <v>50.034999999999997</v>
      </c>
      <c r="AD82" s="93">
        <v>50.042000000000002</v>
      </c>
      <c r="AE82" s="93">
        <v>49.854999999999997</v>
      </c>
      <c r="AF82" s="94">
        <v>49.914999999999999</v>
      </c>
      <c r="AG82" s="95"/>
      <c r="AH82" s="55">
        <f t="shared" si="16"/>
        <v>50.113999999999997</v>
      </c>
      <c r="AI82" s="56">
        <f t="shared" si="17"/>
        <v>49.689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</v>
      </c>
      <c r="C83" s="52">
        <v>125</v>
      </c>
      <c r="D83" s="52">
        <v>123.9</v>
      </c>
      <c r="E83" s="52">
        <v>124.9</v>
      </c>
      <c r="F83" s="52">
        <v>124.2</v>
      </c>
      <c r="G83" s="52">
        <v>124.7</v>
      </c>
      <c r="H83" s="52">
        <v>124.2</v>
      </c>
      <c r="I83" s="52">
        <v>123.5</v>
      </c>
      <c r="J83" s="52">
        <v>121.6</v>
      </c>
      <c r="K83" s="52">
        <v>123</v>
      </c>
      <c r="L83" s="52">
        <v>122</v>
      </c>
      <c r="M83" s="52">
        <v>121.8</v>
      </c>
      <c r="N83" s="52">
        <v>123.4</v>
      </c>
      <c r="O83" s="52">
        <v>121.9</v>
      </c>
      <c r="P83" s="52">
        <v>122.8</v>
      </c>
      <c r="Q83" s="52">
        <v>121.7</v>
      </c>
      <c r="R83" s="52">
        <v>122</v>
      </c>
      <c r="S83" s="52">
        <v>120.5</v>
      </c>
      <c r="T83" s="97">
        <v>121.5</v>
      </c>
      <c r="U83" s="97">
        <v>122.6</v>
      </c>
      <c r="V83" s="97">
        <v>123.6</v>
      </c>
      <c r="W83" s="97">
        <v>123</v>
      </c>
      <c r="X83" s="97">
        <v>123.3</v>
      </c>
      <c r="Y83" s="97"/>
      <c r="Z83" s="97"/>
      <c r="AA83" s="52">
        <v>123.6</v>
      </c>
      <c r="AB83" s="52">
        <v>123.6</v>
      </c>
      <c r="AC83" s="52">
        <v>124.6</v>
      </c>
      <c r="AD83" s="52">
        <v>123.4</v>
      </c>
      <c r="AE83" s="52">
        <v>123.4</v>
      </c>
      <c r="AF83" s="98">
        <v>124.6</v>
      </c>
      <c r="AG83" s="99"/>
      <c r="AH83" s="55">
        <f t="shared" si="16"/>
        <v>125</v>
      </c>
      <c r="AI83" s="56">
        <f t="shared" si="17"/>
        <v>120.5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</v>
      </c>
      <c r="C84" s="52">
        <v>129</v>
      </c>
      <c r="D84" s="52">
        <v>128.80000000000001</v>
      </c>
      <c r="E84" s="52">
        <v>129.69999999999999</v>
      </c>
      <c r="F84" s="52">
        <v>128.80000000000001</v>
      </c>
      <c r="G84" s="52">
        <v>128.9</v>
      </c>
      <c r="H84" s="52">
        <v>128.19999999999999</v>
      </c>
      <c r="I84" s="52">
        <v>127.3</v>
      </c>
      <c r="J84" s="52">
        <v>125.5</v>
      </c>
      <c r="K84" s="52">
        <v>126.5</v>
      </c>
      <c r="L84" s="52">
        <v>126</v>
      </c>
      <c r="M84" s="52">
        <v>126.1</v>
      </c>
      <c r="N84" s="52">
        <v>127</v>
      </c>
      <c r="O84" s="52">
        <v>125.8</v>
      </c>
      <c r="P84" s="52">
        <v>126.6</v>
      </c>
      <c r="Q84" s="52">
        <v>125.5</v>
      </c>
      <c r="R84" s="52">
        <v>125.6</v>
      </c>
      <c r="S84" s="52">
        <v>124.2</v>
      </c>
      <c r="T84" s="97">
        <v>125.3</v>
      </c>
      <c r="U84" s="97">
        <v>126.2</v>
      </c>
      <c r="V84" s="97">
        <v>126.5</v>
      </c>
      <c r="W84" s="97">
        <v>126.4</v>
      </c>
      <c r="X84" s="97">
        <v>126.6</v>
      </c>
      <c r="Y84" s="97"/>
      <c r="Z84" s="97"/>
      <c r="AA84" s="52">
        <v>127.8</v>
      </c>
      <c r="AB84" s="52">
        <v>127.8</v>
      </c>
      <c r="AC84" s="52">
        <v>128.80000000000001</v>
      </c>
      <c r="AD84" s="52">
        <v>128.5</v>
      </c>
      <c r="AE84" s="52">
        <v>128.6</v>
      </c>
      <c r="AF84" s="98">
        <v>129</v>
      </c>
      <c r="AG84" s="99"/>
      <c r="AH84" s="55">
        <f t="shared" si="16"/>
        <v>129.69999999999999</v>
      </c>
      <c r="AI84" s="56">
        <f t="shared" si="17"/>
        <v>124.2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128</v>
      </c>
      <c r="C85" s="52">
        <v>130</v>
      </c>
      <c r="D85" s="52">
        <v>130</v>
      </c>
      <c r="E85" s="52">
        <v>131</v>
      </c>
      <c r="F85" s="52">
        <v>127</v>
      </c>
      <c r="G85" s="52">
        <v>128.6</v>
      </c>
      <c r="H85" s="52">
        <v>128.9</v>
      </c>
      <c r="I85" s="52">
        <v>126.8</v>
      </c>
      <c r="J85" s="52">
        <v>126.9</v>
      </c>
      <c r="K85" s="52">
        <v>128</v>
      </c>
      <c r="L85" s="52">
        <v>129</v>
      </c>
      <c r="M85" s="52">
        <v>124.7</v>
      </c>
      <c r="N85" s="52">
        <v>125.3</v>
      </c>
      <c r="O85" s="52">
        <v>123.5</v>
      </c>
      <c r="P85" s="52">
        <v>127.5</v>
      </c>
      <c r="Q85" s="52">
        <v>126.2</v>
      </c>
      <c r="R85" s="52">
        <v>127.8</v>
      </c>
      <c r="S85" s="52">
        <v>127.8</v>
      </c>
      <c r="T85" s="52">
        <v>127.7</v>
      </c>
      <c r="U85" s="52">
        <v>127.1</v>
      </c>
      <c r="V85" s="52">
        <v>128.1</v>
      </c>
      <c r="W85" s="97">
        <v>126.1</v>
      </c>
      <c r="X85" s="97">
        <v>124.7</v>
      </c>
      <c r="Y85" s="97"/>
      <c r="Z85" s="97"/>
      <c r="AA85" s="52">
        <v>124.2</v>
      </c>
      <c r="AB85" s="52">
        <v>124.2</v>
      </c>
      <c r="AC85" s="52">
        <v>128.30000000000001</v>
      </c>
      <c r="AD85" s="52">
        <v>127.2</v>
      </c>
      <c r="AE85" s="52">
        <v>125.8</v>
      </c>
      <c r="AF85" s="98">
        <v>126.4</v>
      </c>
      <c r="AG85" s="99"/>
      <c r="AH85" s="55">
        <f t="shared" si="16"/>
        <v>131</v>
      </c>
      <c r="AI85" s="56">
        <f t="shared" si="17"/>
        <v>123.5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132</v>
      </c>
      <c r="C86" s="52">
        <v>134</v>
      </c>
      <c r="D86" s="52">
        <v>133.80000000000001</v>
      </c>
      <c r="E86" s="52">
        <v>135</v>
      </c>
      <c r="F86" s="52">
        <v>131.69999999999999</v>
      </c>
      <c r="G86" s="52">
        <v>132.6</v>
      </c>
      <c r="H86" s="52">
        <v>132.9</v>
      </c>
      <c r="I86" s="52">
        <v>130.4</v>
      </c>
      <c r="J86" s="52">
        <v>130.30000000000001</v>
      </c>
      <c r="K86" s="52">
        <v>130</v>
      </c>
      <c r="L86" s="52">
        <v>130</v>
      </c>
      <c r="M86" s="52">
        <v>128.80000000000001</v>
      </c>
      <c r="N86" s="52">
        <v>128.80000000000001</v>
      </c>
      <c r="O86" s="52">
        <v>126.6</v>
      </c>
      <c r="P86" s="52">
        <v>130.4</v>
      </c>
      <c r="Q86" s="52">
        <v>129.9</v>
      </c>
      <c r="R86" s="52">
        <v>130.5</v>
      </c>
      <c r="S86" s="52">
        <v>130.80000000000001</v>
      </c>
      <c r="T86" s="52">
        <v>130.6</v>
      </c>
      <c r="U86" s="52">
        <v>129.9</v>
      </c>
      <c r="V86" s="52">
        <v>131.4</v>
      </c>
      <c r="W86" s="97">
        <v>129.1</v>
      </c>
      <c r="X86" s="97">
        <v>127.1</v>
      </c>
      <c r="Y86" s="97"/>
      <c r="Z86" s="97"/>
      <c r="AA86" s="52">
        <v>128.30000000000001</v>
      </c>
      <c r="AB86" s="52">
        <v>128.30000000000001</v>
      </c>
      <c r="AC86" s="52">
        <v>132.19999999999999</v>
      </c>
      <c r="AD86" s="52">
        <v>132</v>
      </c>
      <c r="AE86" s="52">
        <v>131.4</v>
      </c>
      <c r="AF86" s="98">
        <v>130.30000000000001</v>
      </c>
      <c r="AG86" s="99"/>
      <c r="AH86" s="55">
        <f t="shared" si="16"/>
        <v>135</v>
      </c>
      <c r="AI86" s="56">
        <f t="shared" si="17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133.69999999999999</v>
      </c>
      <c r="C87" s="101">
        <v>133</v>
      </c>
      <c r="D87" s="101">
        <v>133.30000000000001</v>
      </c>
      <c r="E87" s="101">
        <v>133</v>
      </c>
      <c r="F87" s="101">
        <v>132.80000000000001</v>
      </c>
      <c r="G87" s="101">
        <v>132.69999999999999</v>
      </c>
      <c r="H87" s="101">
        <v>133.80000000000001</v>
      </c>
      <c r="I87" s="101">
        <v>133.80000000000001</v>
      </c>
      <c r="J87" s="101">
        <v>133.19999999999999</v>
      </c>
      <c r="K87" s="101">
        <v>134</v>
      </c>
      <c r="L87" s="101">
        <v>132</v>
      </c>
      <c r="M87" s="101">
        <v>136</v>
      </c>
      <c r="N87" s="101">
        <v>133.80000000000001</v>
      </c>
      <c r="O87" s="101">
        <v>134.5</v>
      </c>
      <c r="P87" s="101">
        <v>135.6</v>
      </c>
      <c r="Q87" s="101">
        <v>131.9</v>
      </c>
      <c r="R87" s="101">
        <v>134.9</v>
      </c>
      <c r="S87" s="101">
        <v>134.30000000000001</v>
      </c>
      <c r="T87" s="101">
        <v>132.80000000000001</v>
      </c>
      <c r="U87" s="101">
        <v>138.19999999999999</v>
      </c>
      <c r="V87" s="101">
        <v>137.6</v>
      </c>
      <c r="W87" s="97">
        <v>136.9</v>
      </c>
      <c r="X87" s="97">
        <v>134.19999999999999</v>
      </c>
      <c r="Y87" s="97"/>
      <c r="Z87" s="97"/>
      <c r="AA87" s="101">
        <v>131</v>
      </c>
      <c r="AB87" s="101">
        <v>131</v>
      </c>
      <c r="AC87" s="101">
        <v>135</v>
      </c>
      <c r="AD87" s="101">
        <v>134.80000000000001</v>
      </c>
      <c r="AE87" s="101">
        <v>135.30000000000001</v>
      </c>
      <c r="AF87" s="102">
        <v>134.4</v>
      </c>
      <c r="AG87" s="103"/>
      <c r="AH87" s="55">
        <f t="shared" si="16"/>
        <v>138.19999999999999</v>
      </c>
      <c r="AI87" s="56">
        <f t="shared" si="17"/>
        <v>131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</v>
      </c>
      <c r="C88" s="52">
        <v>135</v>
      </c>
      <c r="D88" s="52">
        <v>134.9</v>
      </c>
      <c r="E88" s="52">
        <v>135.5</v>
      </c>
      <c r="F88" s="52">
        <v>132.6</v>
      </c>
      <c r="G88" s="52">
        <v>132.69999999999999</v>
      </c>
      <c r="H88" s="52">
        <v>133.9</v>
      </c>
      <c r="I88" s="52">
        <v>134.1</v>
      </c>
      <c r="J88" s="52">
        <v>133.80000000000001</v>
      </c>
      <c r="K88" s="52">
        <v>132</v>
      </c>
      <c r="L88" s="52">
        <v>130</v>
      </c>
      <c r="M88" s="52">
        <v>132.6</v>
      </c>
      <c r="N88" s="52">
        <v>131.5</v>
      </c>
      <c r="O88" s="52">
        <v>132.4</v>
      </c>
      <c r="P88" s="52">
        <v>134.19999999999999</v>
      </c>
      <c r="Q88" s="52">
        <v>130.30000000000001</v>
      </c>
      <c r="R88" s="52">
        <v>133.1</v>
      </c>
      <c r="S88" s="52">
        <v>133.30000000000001</v>
      </c>
      <c r="T88" s="52">
        <v>130.80000000000001</v>
      </c>
      <c r="U88" s="52">
        <v>136.80000000000001</v>
      </c>
      <c r="V88" s="52">
        <v>134.80000000000001</v>
      </c>
      <c r="W88" s="97">
        <v>134.5</v>
      </c>
      <c r="X88" s="97">
        <v>130.80000000000001</v>
      </c>
      <c r="Y88" s="97"/>
      <c r="Z88" s="97"/>
      <c r="AA88" s="52">
        <v>126.6</v>
      </c>
      <c r="AB88" s="52">
        <v>126.6</v>
      </c>
      <c r="AC88" s="52">
        <v>131.80000000000001</v>
      </c>
      <c r="AD88" s="52">
        <v>130.69999999999999</v>
      </c>
      <c r="AE88" s="52">
        <v>131.5</v>
      </c>
      <c r="AF88" s="98">
        <v>131.1</v>
      </c>
      <c r="AG88" s="99"/>
      <c r="AH88" s="55">
        <f t="shared" si="16"/>
        <v>136.80000000000001</v>
      </c>
      <c r="AI88" s="56">
        <f t="shared" si="17"/>
        <v>126.6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65.900000000000006</v>
      </c>
      <c r="C89" s="104">
        <v>65.599999999999994</v>
      </c>
      <c r="D89" s="104">
        <v>65.400000000000006</v>
      </c>
      <c r="E89" s="104">
        <v>65.8</v>
      </c>
      <c r="F89" s="104">
        <v>65.400000000000006</v>
      </c>
      <c r="G89" s="104">
        <v>65.400000000000006</v>
      </c>
      <c r="H89" s="104">
        <v>65.099999999999994</v>
      </c>
      <c r="I89" s="104">
        <v>64.8</v>
      </c>
      <c r="J89" s="104">
        <v>63.7</v>
      </c>
      <c r="K89" s="104">
        <v>64</v>
      </c>
      <c r="L89" s="104">
        <v>64</v>
      </c>
      <c r="M89" s="104">
        <v>63.8</v>
      </c>
      <c r="N89" s="104">
        <v>64.5</v>
      </c>
      <c r="O89" s="104">
        <v>63.7</v>
      </c>
      <c r="P89" s="104">
        <v>64</v>
      </c>
      <c r="Q89" s="104">
        <v>63.6</v>
      </c>
      <c r="R89" s="104">
        <v>63.5</v>
      </c>
      <c r="S89" s="104">
        <v>63</v>
      </c>
      <c r="T89" s="104">
        <v>63.4</v>
      </c>
      <c r="U89" s="104">
        <v>64.099999999999994</v>
      </c>
      <c r="V89" s="104">
        <v>64.2</v>
      </c>
      <c r="W89" s="104">
        <v>64.3</v>
      </c>
      <c r="X89" s="104">
        <v>64.2</v>
      </c>
      <c r="Y89" s="104"/>
      <c r="Z89" s="104"/>
      <c r="AA89" s="104">
        <v>65.099999999999994</v>
      </c>
      <c r="AB89" s="104">
        <v>65.099999999999994</v>
      </c>
      <c r="AC89" s="104">
        <v>65.5</v>
      </c>
      <c r="AD89" s="104">
        <v>65.099999999999994</v>
      </c>
      <c r="AE89" s="104">
        <v>65.5</v>
      </c>
      <c r="AF89" s="105">
        <v>65.7</v>
      </c>
      <c r="AG89" s="106"/>
      <c r="AH89" s="55">
        <f t="shared" si="16"/>
        <v>65.900000000000006</v>
      </c>
      <c r="AI89" s="56">
        <f t="shared" si="17"/>
        <v>63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265.74</v>
      </c>
      <c r="C91" s="178">
        <f t="shared" ref="C91:AF91" si="21">SUM(C14,C17,C20:C21,C40,C42:C43,C45,C47,C92:C95,C100,C106,C112,C121,C123,C135,C142,C145:C146,C153,C155,C157,C161:C163,C165:C167,C172,C178:C179,C181:C183,C191,C196)</f>
        <v>247.73999999999998</v>
      </c>
      <c r="D91" s="178">
        <f t="shared" si="21"/>
        <v>257.84000000000003</v>
      </c>
      <c r="E91" s="178">
        <f t="shared" si="21"/>
        <v>234.24</v>
      </c>
      <c r="F91" s="111">
        <f t="shared" si="21"/>
        <v>257.24</v>
      </c>
      <c r="G91" s="111">
        <f t="shared" si="21"/>
        <v>266.94000000000005</v>
      </c>
      <c r="H91" s="111">
        <f t="shared" si="21"/>
        <v>160.44</v>
      </c>
      <c r="I91" s="111">
        <f t="shared" si="21"/>
        <v>279.64</v>
      </c>
      <c r="J91" s="111">
        <f t="shared" si="21"/>
        <v>297.74</v>
      </c>
      <c r="K91" s="111">
        <f t="shared" si="21"/>
        <v>239.44</v>
      </c>
      <c r="L91" s="111">
        <f t="shared" si="21"/>
        <v>348.44000000000005</v>
      </c>
      <c r="M91" s="111">
        <f t="shared" si="21"/>
        <v>346.04000000000008</v>
      </c>
      <c r="N91" s="111">
        <f t="shared" si="21"/>
        <v>338.74000000000007</v>
      </c>
      <c r="O91" s="111">
        <f t="shared" si="21"/>
        <v>333.44000000000005</v>
      </c>
      <c r="P91" s="111">
        <f t="shared" si="21"/>
        <v>330.84000000000003</v>
      </c>
      <c r="Q91" s="111">
        <f t="shared" si="21"/>
        <v>336.44000000000005</v>
      </c>
      <c r="R91" s="111">
        <f t="shared" si="21"/>
        <v>340.04</v>
      </c>
      <c r="S91" s="111">
        <f t="shared" si="21"/>
        <v>277.94</v>
      </c>
      <c r="T91" s="111">
        <f t="shared" si="21"/>
        <v>283.34000000000003</v>
      </c>
      <c r="U91" s="111">
        <f t="shared" si="21"/>
        <v>272.84000000000003</v>
      </c>
      <c r="V91" s="111">
        <f t="shared" si="21"/>
        <v>299.74</v>
      </c>
      <c r="W91" s="111">
        <f t="shared" si="21"/>
        <v>327.14000000000004</v>
      </c>
      <c r="X91" s="111">
        <f t="shared" si="21"/>
        <v>352.34000000000003</v>
      </c>
      <c r="Y91" s="111">
        <f t="shared" si="21"/>
        <v>240.23999999999998</v>
      </c>
      <c r="Z91" s="111">
        <f t="shared" si="21"/>
        <v>240.23999999999998</v>
      </c>
      <c r="AA91" s="111">
        <f t="shared" si="21"/>
        <v>297.24</v>
      </c>
      <c r="AB91" s="111">
        <f t="shared" si="21"/>
        <v>297.24</v>
      </c>
      <c r="AC91" s="111">
        <f t="shared" si="21"/>
        <v>263.04000000000002</v>
      </c>
      <c r="AD91" s="111">
        <f t="shared" si="21"/>
        <v>203.73999999999995</v>
      </c>
      <c r="AE91" s="111">
        <f t="shared" si="21"/>
        <v>187.33999999999997</v>
      </c>
      <c r="AF91" s="111">
        <f t="shared" si="21"/>
        <v>159.93999999999997</v>
      </c>
      <c r="AG91" s="112"/>
      <c r="AH91" s="55">
        <f>MAX(B91:AF91)</f>
        <v>352.34000000000003</v>
      </c>
      <c r="AI91" s="56">
        <f>MIN(B91:AF91)</f>
        <v>159.93999999999997</v>
      </c>
    </row>
    <row r="92" spans="1:88" x14ac:dyDescent="0.25">
      <c r="A92" s="113" t="s">
        <v>95</v>
      </c>
      <c r="B92" s="59">
        <v>47</v>
      </c>
      <c r="C92" s="59">
        <v>32</v>
      </c>
      <c r="D92" s="59">
        <v>40.799999999999997</v>
      </c>
      <c r="E92" s="59">
        <v>31.3</v>
      </c>
      <c r="F92" s="114">
        <v>40.700000000000003</v>
      </c>
      <c r="G92" s="114">
        <v>44</v>
      </c>
      <c r="H92" s="114">
        <v>46.9</v>
      </c>
      <c r="I92" s="114">
        <v>47.5</v>
      </c>
      <c r="J92" s="114">
        <v>56.9</v>
      </c>
      <c r="K92" s="114"/>
      <c r="L92" s="115">
        <v>49</v>
      </c>
      <c r="M92" s="114">
        <v>50.1</v>
      </c>
      <c r="N92" s="114">
        <v>43.7</v>
      </c>
      <c r="O92" s="114">
        <v>43.1</v>
      </c>
      <c r="P92" s="114">
        <v>45.3</v>
      </c>
      <c r="Q92" s="114">
        <v>39.4</v>
      </c>
      <c r="R92" s="114">
        <v>46.4</v>
      </c>
      <c r="S92" s="114">
        <v>66.7</v>
      </c>
      <c r="T92" s="115">
        <v>36.700000000000003</v>
      </c>
      <c r="U92" s="115">
        <v>45</v>
      </c>
      <c r="V92" s="115">
        <v>32.1</v>
      </c>
      <c r="W92" s="114">
        <v>46.4</v>
      </c>
      <c r="X92" s="114">
        <v>40.299999999999997</v>
      </c>
      <c r="Y92" s="114"/>
      <c r="Z92" s="114"/>
      <c r="AA92" s="115">
        <v>30</v>
      </c>
      <c r="AB92" s="115">
        <v>30</v>
      </c>
      <c r="AC92" s="115">
        <v>37.299999999999997</v>
      </c>
      <c r="AD92" s="115">
        <v>44.9</v>
      </c>
      <c r="AE92" s="115">
        <v>50.2</v>
      </c>
      <c r="AF92" s="116">
        <v>47.5</v>
      </c>
      <c r="AG92" s="117">
        <v>75</v>
      </c>
      <c r="AH92" s="55">
        <f t="shared" ref="AH92:AH97" si="22">IF(ABS(MAX(B92:AF92))&gt;ABS(MIN(B92:AF92)),MAX(B92:AF92),MIN(B92:AF92))</f>
        <v>66.7</v>
      </c>
      <c r="AI92" s="118">
        <f t="shared" ref="AI92:AI97" si="23">INDEX($B$9:$AF$9,1,MATCH(AH92,B92:AF92,0))</f>
        <v>0.625</v>
      </c>
    </row>
    <row r="93" spans="1:88" x14ac:dyDescent="0.25">
      <c r="A93" s="119" t="s">
        <v>96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>
        <v>-47</v>
      </c>
      <c r="T93" s="61">
        <v>-39</v>
      </c>
      <c r="U93" s="61">
        <v>-50</v>
      </c>
      <c r="V93" s="61">
        <v>-36</v>
      </c>
      <c r="W93" s="61">
        <v>-47</v>
      </c>
      <c r="X93" s="61">
        <v>-44.3</v>
      </c>
      <c r="Y93" s="61"/>
      <c r="Z93" s="61"/>
      <c r="AA93" s="52">
        <v>-66.3</v>
      </c>
      <c r="AB93" s="52">
        <v>-66.3</v>
      </c>
      <c r="AC93" s="52">
        <v>-86</v>
      </c>
      <c r="AD93" s="52">
        <v>-108.9</v>
      </c>
      <c r="AE93" s="52">
        <v>-106</v>
      </c>
      <c r="AF93" s="120">
        <v>-113</v>
      </c>
      <c r="AG93" s="117">
        <v>240</v>
      </c>
      <c r="AH93" s="55">
        <f t="shared" si="22"/>
        <v>-113</v>
      </c>
      <c r="AI93" s="118">
        <f t="shared" si="23"/>
        <v>1</v>
      </c>
    </row>
    <row r="94" spans="1:88" x14ac:dyDescent="0.25">
      <c r="A94" s="119" t="s">
        <v>97</v>
      </c>
      <c r="B94" s="61">
        <v>-18</v>
      </c>
      <c r="C94" s="61">
        <v>-21</v>
      </c>
      <c r="D94" s="61">
        <v>-23.3</v>
      </c>
      <c r="E94" s="61">
        <v>-20.2</v>
      </c>
      <c r="F94" s="61">
        <v>-18</v>
      </c>
      <c r="G94" s="61">
        <v>-11.6</v>
      </c>
      <c r="H94" s="61">
        <v>-121</v>
      </c>
      <c r="I94" s="61">
        <v>-2.7</v>
      </c>
      <c r="J94" s="61">
        <v>1.4</v>
      </c>
      <c r="K94" s="61"/>
      <c r="L94" s="61">
        <v>0</v>
      </c>
      <c r="M94" s="61">
        <v>4</v>
      </c>
      <c r="N94" s="61">
        <v>12.1</v>
      </c>
      <c r="O94" s="61">
        <v>16</v>
      </c>
      <c r="P94" s="61">
        <v>0.4</v>
      </c>
      <c r="Q94" s="61">
        <v>7.8</v>
      </c>
      <c r="R94" s="61">
        <v>7</v>
      </c>
      <c r="S94" s="61">
        <v>15.8</v>
      </c>
      <c r="T94" s="61">
        <v>8.3000000000000007</v>
      </c>
      <c r="U94" s="61">
        <v>3.9</v>
      </c>
      <c r="V94" s="61">
        <v>11.3</v>
      </c>
      <c r="W94" s="61">
        <v>26.3</v>
      </c>
      <c r="X94" s="61">
        <v>33.6</v>
      </c>
      <c r="Y94" s="61"/>
      <c r="Z94" s="61"/>
      <c r="AA94" s="52">
        <v>11.2</v>
      </c>
      <c r="AB94" s="52">
        <v>11.2</v>
      </c>
      <c r="AC94" s="52">
        <v>7.4</v>
      </c>
      <c r="AD94" s="52">
        <v>-15.7</v>
      </c>
      <c r="AE94" s="52">
        <v>-17.899999999999999</v>
      </c>
      <c r="AF94" s="120">
        <v>-14.2</v>
      </c>
      <c r="AG94" s="117">
        <v>60</v>
      </c>
      <c r="AH94" s="55">
        <f t="shared" si="22"/>
        <v>-121</v>
      </c>
      <c r="AI94" s="118">
        <f t="shared" si="23"/>
        <v>0.25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/>
      <c r="L95" s="84">
        <v>60</v>
      </c>
      <c r="M95" s="84">
        <v>52</v>
      </c>
      <c r="N95" s="84">
        <v>43.3</v>
      </c>
      <c r="O95" s="84">
        <v>34.6</v>
      </c>
      <c r="P95" s="84">
        <v>45.5</v>
      </c>
      <c r="Q95" s="84">
        <v>49.3</v>
      </c>
      <c r="R95" s="84">
        <v>47.9</v>
      </c>
      <c r="S95" s="84">
        <v>33.4</v>
      </c>
      <c r="T95" s="84">
        <v>65</v>
      </c>
      <c r="U95" s="84">
        <v>45.6</v>
      </c>
      <c r="V95" s="84">
        <v>64.599999999999994</v>
      </c>
      <c r="W95" s="84">
        <v>61.2</v>
      </c>
      <c r="X95" s="84">
        <v>82.5</v>
      </c>
      <c r="Y95" s="84"/>
      <c r="Z95" s="84"/>
      <c r="AA95" s="122">
        <v>82.7</v>
      </c>
      <c r="AB95" s="122">
        <v>82.7</v>
      </c>
      <c r="AC95" s="122">
        <v>64.7</v>
      </c>
      <c r="AD95" s="122">
        <v>43.8</v>
      </c>
      <c r="AE95" s="122">
        <v>21.4</v>
      </c>
      <c r="AF95" s="123">
        <v>0</v>
      </c>
      <c r="AG95" s="124">
        <v>120</v>
      </c>
      <c r="AH95" s="55">
        <f t="shared" si="22"/>
        <v>82.7</v>
      </c>
      <c r="AI95" s="118">
        <f t="shared" si="23"/>
        <v>0.83333333333333337</v>
      </c>
    </row>
    <row r="96" spans="1:88" x14ac:dyDescent="0.25">
      <c r="A96" s="121" t="s">
        <v>99</v>
      </c>
      <c r="B96" s="84">
        <v>12</v>
      </c>
      <c r="C96" s="84">
        <v>18</v>
      </c>
      <c r="D96" s="84">
        <v>3.1</v>
      </c>
      <c r="E96" s="84">
        <v>20.100000000000001</v>
      </c>
      <c r="F96" s="84">
        <v>15.4</v>
      </c>
      <c r="G96" s="84">
        <v>18.399999999999999</v>
      </c>
      <c r="H96" s="84">
        <v>34.299999999999997</v>
      </c>
      <c r="I96" s="84">
        <v>46.4</v>
      </c>
      <c r="J96" s="84">
        <v>40</v>
      </c>
      <c r="K96" s="84"/>
      <c r="L96" s="84">
        <v>57</v>
      </c>
      <c r="M96" s="84">
        <v>50.1</v>
      </c>
      <c r="N96" s="84">
        <v>39.299999999999997</v>
      </c>
      <c r="O96" s="84">
        <v>33.799999999999997</v>
      </c>
      <c r="P96" s="84">
        <v>47.1</v>
      </c>
      <c r="Q96" s="84">
        <v>50.7</v>
      </c>
      <c r="R96" s="84">
        <v>47.4</v>
      </c>
      <c r="S96" s="84">
        <v>35.4</v>
      </c>
      <c r="T96" s="84">
        <v>63.7</v>
      </c>
      <c r="U96" s="84">
        <v>43.1</v>
      </c>
      <c r="V96" s="84">
        <v>61.7</v>
      </c>
      <c r="W96" s="84">
        <v>56.1</v>
      </c>
      <c r="X96" s="84">
        <v>65.2</v>
      </c>
      <c r="Y96" s="84"/>
      <c r="Z96" s="84"/>
      <c r="AA96" s="122">
        <v>71.2</v>
      </c>
      <c r="AB96" s="122">
        <v>71.2</v>
      </c>
      <c r="AC96" s="122">
        <v>59.8</v>
      </c>
      <c r="AD96" s="122">
        <v>49.2</v>
      </c>
      <c r="AE96" s="122">
        <v>34.799999999999997</v>
      </c>
      <c r="AF96" s="123">
        <v>9</v>
      </c>
      <c r="AG96" s="124"/>
      <c r="AH96" s="55">
        <f t="shared" si="22"/>
        <v>71.2</v>
      </c>
      <c r="AI96" s="118">
        <f t="shared" si="23"/>
        <v>0.83333333333333337</v>
      </c>
    </row>
    <row r="97" spans="1:37" ht="15.75" thickBot="1" x14ac:dyDescent="0.3">
      <c r="A97" s="121" t="s">
        <v>100</v>
      </c>
      <c r="B97" s="84">
        <v>21</v>
      </c>
      <c r="C97" s="84">
        <v>16</v>
      </c>
      <c r="D97" s="84">
        <v>9.3000000000000007</v>
      </c>
      <c r="E97" s="84">
        <v>23.1</v>
      </c>
      <c r="F97" s="84">
        <v>8.3000000000000007</v>
      </c>
      <c r="G97" s="84">
        <v>0</v>
      </c>
      <c r="H97" s="84">
        <v>-2.8</v>
      </c>
      <c r="I97" s="84">
        <v>-2.2999999999999998</v>
      </c>
      <c r="J97" s="84">
        <v>18.5</v>
      </c>
      <c r="K97" s="84"/>
      <c r="L97" s="84">
        <v>39</v>
      </c>
      <c r="M97" s="84">
        <v>41.6</v>
      </c>
      <c r="N97" s="84">
        <v>55.9</v>
      </c>
      <c r="O97" s="84">
        <v>58.5</v>
      </c>
      <c r="P97" s="84">
        <v>45.3</v>
      </c>
      <c r="Q97" s="84">
        <v>41</v>
      </c>
      <c r="R97" s="84">
        <v>45.4</v>
      </c>
      <c r="S97" s="84">
        <v>20.399999999999999</v>
      </c>
      <c r="T97" s="84">
        <v>17.7</v>
      </c>
      <c r="U97" s="84">
        <v>17.5</v>
      </c>
      <c r="V97" s="84">
        <v>17.7</v>
      </c>
      <c r="W97" s="84">
        <v>18.2</v>
      </c>
      <c r="X97" s="84">
        <v>44.9</v>
      </c>
      <c r="Y97" s="84"/>
      <c r="Z97" s="84"/>
      <c r="AA97" s="122">
        <v>69.400000000000006</v>
      </c>
      <c r="AB97" s="122">
        <v>69.400000000000006</v>
      </c>
      <c r="AC97" s="122">
        <v>67.2</v>
      </c>
      <c r="AD97" s="122">
        <v>52.7</v>
      </c>
      <c r="AE97" s="122">
        <v>48.6</v>
      </c>
      <c r="AF97" s="123">
        <v>56.5</v>
      </c>
      <c r="AG97" s="125"/>
      <c r="AH97" s="55">
        <f t="shared" si="22"/>
        <v>69.400000000000006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1293.3399999999999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15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2078/04/15)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2078/04/15)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1161.24</v>
      </c>
      <c r="U211" s="170">
        <f t="shared" si="52"/>
        <v>1154.44</v>
      </c>
      <c r="V211" s="170">
        <f t="shared" si="52"/>
        <v>1104.3400000000001</v>
      </c>
      <c r="W211" s="170">
        <f t="shared" si="52"/>
        <v>1079.44</v>
      </c>
      <c r="X211" s="170">
        <f t="shared" si="52"/>
        <v>1073.3399999999999</v>
      </c>
      <c r="Y211" s="170">
        <f t="shared" si="52"/>
        <v>1090.54</v>
      </c>
      <c r="Z211" s="170">
        <f t="shared" si="52"/>
        <v>1095.24</v>
      </c>
      <c r="AA211" s="170">
        <f t="shared" si="52"/>
        <v>1112.74</v>
      </c>
      <c r="AB211" s="170">
        <f t="shared" si="52"/>
        <v>1149.3399999999999</v>
      </c>
      <c r="AC211" s="170">
        <f t="shared" si="52"/>
        <v>1209.04</v>
      </c>
      <c r="AD211" s="170">
        <f t="shared" si="52"/>
        <v>1270.04</v>
      </c>
      <c r="AE211" s="170">
        <f t="shared" si="52"/>
        <v>1293.3399999999999</v>
      </c>
      <c r="AF211" s="170">
        <f t="shared" si="52"/>
        <v>1280.94</v>
      </c>
      <c r="AG211" s="170">
        <f t="shared" si="52"/>
        <v>1298.44</v>
      </c>
      <c r="AH211" s="170">
        <f t="shared" si="52"/>
        <v>1284.54</v>
      </c>
      <c r="AI211" s="170">
        <f t="shared" si="52"/>
        <v>1283.74</v>
      </c>
      <c r="AJ211" s="170">
        <f t="shared" si="52"/>
        <v>1295.6399999999999</v>
      </c>
      <c r="AK211" s="170">
        <f t="shared" si="52"/>
        <v>1189.74</v>
      </c>
      <c r="AL211" s="170">
        <f t="shared" si="52"/>
        <v>1254.6399999999999</v>
      </c>
      <c r="AM211" s="170">
        <f t="shared" si="52"/>
        <v>1245.6399999999999</v>
      </c>
      <c r="AN211" s="170">
        <f t="shared" si="52"/>
        <v>1243.1399999999999</v>
      </c>
      <c r="AO211" s="170">
        <f t="shared" si="52"/>
        <v>1355.04</v>
      </c>
      <c r="AP211" s="170">
        <f t="shared" si="52"/>
        <v>1485.8400000000001</v>
      </c>
      <c r="AQ211" s="170">
        <f t="shared" si="52"/>
        <v>1489.74</v>
      </c>
      <c r="AR211" s="170">
        <f t="shared" si="52"/>
        <v>1473.74</v>
      </c>
      <c r="AS211" s="170">
        <f t="shared" si="52"/>
        <v>1442.2400000000002</v>
      </c>
      <c r="AT211" s="170">
        <f t="shared" si="52"/>
        <v>1415.94</v>
      </c>
      <c r="AU211" s="170">
        <f t="shared" si="52"/>
        <v>1357.9400000000003</v>
      </c>
      <c r="AV211" s="170">
        <f t="shared" si="52"/>
        <v>1254.6400000000001</v>
      </c>
      <c r="AW211" s="170">
        <f t="shared" si="52"/>
        <v>1211.04</v>
      </c>
      <c r="AX211" s="170">
        <f t="shared" si="52"/>
        <v>1175.3399999999999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398" priority="328">
      <formula>S$9&gt;=20/24</formula>
    </cfRule>
    <cfRule type="expression" dxfId="6397" priority="329">
      <formula>AND(S$9&gt;=14/24,S$9&lt;20/24)</formula>
    </cfRule>
    <cfRule type="expression" dxfId="6396" priority="330">
      <formula>AND(S$9&gt;=8/24,S$9&lt;14/24)</formula>
    </cfRule>
    <cfRule type="expression" dxfId="6395" priority="331">
      <formula>S$9&lt;8/24</formula>
    </cfRule>
  </conditionalFormatting>
  <conditionalFormatting sqref="B8:AF10 AA79:AF79 B79:Q79 B54:AF54 B80:AF80 C191:AF197 AE55:AF58 B66:AF70 B55:K57 M60:M65 T210:AX210 B61:C65 B58:N58 B59:M59 N59:N65 O58:O65 L56:O57 W83:Z89 B72:AF76 B78:AF78 Q17:S17 Q18:Q31 Q15:Q16 Q12:Q13 M35:Q35 M11:P13 M15:P31 M37:R40 M43:R46 S56:V57 P56:R65 R18:S29 S38:U39 S58:U65 V59:W65 X60:Z65 Q11:Z11 T17:Z29 S43:Z45 AA82:AF89 AA11:AD13 V38:AD40 L51:AF53 AA15:AF29 AA41:AF41">
    <cfRule type="expression" dxfId="6394" priority="324">
      <formula>B$9&gt;=20/24</formula>
    </cfRule>
    <cfRule type="expression" dxfId="6393" priority="325">
      <formula>AND(B$9&gt;=14/24,B$9&lt;20/24)</formula>
    </cfRule>
    <cfRule type="expression" dxfId="6392" priority="326">
      <formula>AND(B$9&gt;=8/24,B$9&lt;14/24)</formula>
    </cfRule>
    <cfRule type="expression" dxfId="6391" priority="327">
      <formula>B$9&lt;8/24</formula>
    </cfRule>
  </conditionalFormatting>
  <conditionalFormatting sqref="B189:AF189">
    <cfRule type="expression" dxfId="6390" priority="320">
      <formula>B$9&gt;=20/24</formula>
    </cfRule>
    <cfRule type="expression" dxfId="6389" priority="321">
      <formula>AND(B$9&gt;=14/24,B$9&lt;20/24)</formula>
    </cfRule>
    <cfRule type="expression" dxfId="6388" priority="322">
      <formula>AND(B$9&gt;=8/24,B$9&lt;14/24)</formula>
    </cfRule>
    <cfRule type="expression" dxfId="6387" priority="323">
      <formula>B$9&lt;8/24</formula>
    </cfRule>
  </conditionalFormatting>
  <conditionalFormatting sqref="AL4:AL6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L55:R55">
    <cfRule type="expression" dxfId="6386" priority="315">
      <formula>L$9&gt;=20/24</formula>
    </cfRule>
    <cfRule type="expression" dxfId="6385" priority="316">
      <formula>AND(L$9&gt;=14/24,L$9&lt;20/24)</formula>
    </cfRule>
    <cfRule type="expression" dxfId="6384" priority="317">
      <formula>AND(L$9&gt;=8/24,L$9&lt;14/24)</formula>
    </cfRule>
    <cfRule type="expression" dxfId="6383" priority="318">
      <formula>L$9&lt;8/24</formula>
    </cfRule>
  </conditionalFormatting>
  <conditionalFormatting sqref="M41:U41">
    <cfRule type="expression" dxfId="6382" priority="311">
      <formula>M$9&gt;=20/24</formula>
    </cfRule>
    <cfRule type="expression" dxfId="6381" priority="312">
      <formula>AND(M$9&gt;=14/24,M$9&lt;20/24)</formula>
    </cfRule>
    <cfRule type="expression" dxfId="6380" priority="313">
      <formula>AND(M$9&gt;=8/24,M$9&lt;14/24)</formula>
    </cfRule>
    <cfRule type="expression" dxfId="6379" priority="314">
      <formula>M$9&lt;8/24</formula>
    </cfRule>
  </conditionalFormatting>
  <conditionalFormatting sqref="S37:AD37">
    <cfRule type="expression" dxfId="6378" priority="303">
      <formula>S$9&gt;=20/24</formula>
    </cfRule>
    <cfRule type="expression" dxfId="6377" priority="304">
      <formula>AND(S$9&gt;=14/24,S$9&lt;20/24)</formula>
    </cfRule>
    <cfRule type="expression" dxfId="6376" priority="305">
      <formula>AND(S$9&gt;=8/24,S$9&lt;14/24)</formula>
    </cfRule>
    <cfRule type="expression" dxfId="6375" priority="306">
      <formula>S$9&lt;8/24</formula>
    </cfRule>
  </conditionalFormatting>
  <conditionalFormatting sqref="S55:AD55">
    <cfRule type="expression" dxfId="6374" priority="299">
      <formula>S$9&gt;=20/24</formula>
    </cfRule>
    <cfRule type="expression" dxfId="6373" priority="300">
      <formula>AND(S$9&gt;=14/24,S$9&lt;20/24)</formula>
    </cfRule>
    <cfRule type="expression" dxfId="6372" priority="301">
      <formula>AND(S$9&gt;=8/24,S$9&lt;14/24)</formula>
    </cfRule>
    <cfRule type="expression" dxfId="6371" priority="302">
      <formula>S$9&lt;8/24</formula>
    </cfRule>
  </conditionalFormatting>
  <conditionalFormatting sqref="R79:Z79">
    <cfRule type="expression" dxfId="6370" priority="295">
      <formula>R$9&gt;=20/24</formula>
    </cfRule>
    <cfRule type="expression" dxfId="6369" priority="296">
      <formula>AND(R$9&gt;=14/24,R$9&lt;20/24)</formula>
    </cfRule>
    <cfRule type="expression" dxfId="6368" priority="297">
      <formula>AND(R$9&gt;=8/24,R$9&lt;14/24)</formula>
    </cfRule>
    <cfRule type="expression" dxfId="6367" priority="298">
      <formula>R$9&lt;8/24</formula>
    </cfRule>
  </conditionalFormatting>
  <conditionalFormatting sqref="T82:Z82">
    <cfRule type="expression" dxfId="6366" priority="291">
      <formula>T$9&gt;=20/24</formula>
    </cfRule>
    <cfRule type="expression" dxfId="6365" priority="292">
      <formula>AND(T$9&gt;=14/24,T$9&lt;20/24)</formula>
    </cfRule>
    <cfRule type="expression" dxfId="6364" priority="293">
      <formula>AND(T$9&gt;=8/24,T$9&lt;14/24)</formula>
    </cfRule>
    <cfRule type="expression" dxfId="6363" priority="294">
      <formula>T$9&lt;8/24</formula>
    </cfRule>
  </conditionalFormatting>
  <conditionalFormatting sqref="M33:Q33">
    <cfRule type="expression" dxfId="6362" priority="287">
      <formula>M$9&gt;=20/24</formula>
    </cfRule>
    <cfRule type="expression" dxfId="6361" priority="288">
      <formula>AND(M$9&gt;=14/24,M$9&lt;20/24)</formula>
    </cfRule>
    <cfRule type="expression" dxfId="6360" priority="289">
      <formula>AND(M$9&gt;=8/24,M$9&lt;14/24)</formula>
    </cfRule>
    <cfRule type="expression" dxfId="6359" priority="290">
      <formula>M$9&lt;8/24</formula>
    </cfRule>
  </conditionalFormatting>
  <conditionalFormatting sqref="M47:Z47">
    <cfRule type="expression" dxfId="6358" priority="283">
      <formula>M$9&gt;=20/24</formula>
    </cfRule>
    <cfRule type="expression" dxfId="6357" priority="284">
      <formula>AND(M$9&gt;=14/24,M$9&lt;20/24)</formula>
    </cfRule>
    <cfRule type="expression" dxfId="6356" priority="285">
      <formula>AND(M$9&gt;=8/24,M$9&lt;14/24)</formula>
    </cfRule>
    <cfRule type="expression" dxfId="6355" priority="286">
      <formula>M$9&lt;8/24</formula>
    </cfRule>
  </conditionalFormatting>
  <conditionalFormatting sqref="M48:Z48">
    <cfRule type="expression" dxfId="6354" priority="279">
      <formula>M$9&gt;=20/24</formula>
    </cfRule>
    <cfRule type="expression" dxfId="6353" priority="280">
      <formula>AND(M$9&gt;=14/24,M$9&lt;20/24)</formula>
    </cfRule>
    <cfRule type="expression" dxfId="6352" priority="281">
      <formula>AND(M$9&gt;=8/24,M$9&lt;14/24)</formula>
    </cfRule>
    <cfRule type="expression" dxfId="6351" priority="282">
      <formula>M$9&lt;8/24</formula>
    </cfRule>
  </conditionalFormatting>
  <conditionalFormatting sqref="M43:R46 S43:Z45">
    <cfRule type="expression" dxfId="6350" priority="275">
      <formula>M$9&gt;=20/24</formula>
    </cfRule>
    <cfRule type="expression" dxfId="6349" priority="276">
      <formula>AND(M$9&gt;=14/24,M$9&lt;20/24)</formula>
    </cfRule>
    <cfRule type="expression" dxfId="6348" priority="277">
      <formula>AND(M$9&gt;=8/24,M$9&lt;14/24)</formula>
    </cfRule>
    <cfRule type="expression" dxfId="6347" priority="278">
      <formula>M$9&lt;8/24</formula>
    </cfRule>
  </conditionalFormatting>
  <conditionalFormatting sqref="R35:AD35">
    <cfRule type="expression" dxfId="6346" priority="271">
      <formula>R$9&gt;=20/24</formula>
    </cfRule>
    <cfRule type="expression" dxfId="6345" priority="272">
      <formula>AND(R$9&gt;=14/24,R$9&lt;20/24)</formula>
    </cfRule>
    <cfRule type="expression" dxfId="6344" priority="273">
      <formula>AND(R$9&gt;=8/24,R$9&lt;14/24)</formula>
    </cfRule>
    <cfRule type="expression" dxfId="6343" priority="274">
      <formula>R$9&lt;8/24</formula>
    </cfRule>
  </conditionalFormatting>
  <conditionalFormatting sqref="R30:AF31 R33:AF33">
    <cfRule type="expression" dxfId="6342" priority="267">
      <formula>R$9&gt;=20/24</formula>
    </cfRule>
    <cfRule type="expression" dxfId="6341" priority="268">
      <formula>AND(R$9&gt;=14/24,R$9&lt;20/24)</formula>
    </cfRule>
    <cfRule type="expression" dxfId="6340" priority="269">
      <formula>AND(R$9&gt;=8/24,R$9&lt;14/24)</formula>
    </cfRule>
    <cfRule type="expression" dxfId="6339" priority="270">
      <formula>R$9&lt;8/24</formula>
    </cfRule>
  </conditionalFormatting>
  <conditionalFormatting sqref="S40:U40 V41:Z41 V43:AF46 S46:AF46">
    <cfRule type="expression" dxfId="6338" priority="263">
      <formula>S$9&gt;=20/24</formula>
    </cfRule>
    <cfRule type="expression" dxfId="6337" priority="264">
      <formula>AND(S$9&gt;=14/24,S$9&lt;20/24)</formula>
    </cfRule>
    <cfRule type="expression" dxfId="6336" priority="265">
      <formula>AND(S$9&gt;=8/24,S$9&lt;14/24)</formula>
    </cfRule>
    <cfRule type="expression" dxfId="6335" priority="266">
      <formula>S$9&lt;8/24</formula>
    </cfRule>
  </conditionalFormatting>
  <conditionalFormatting sqref="S47:AF47">
    <cfRule type="expression" dxfId="6334" priority="259">
      <formula>S$9&gt;=20/24</formula>
    </cfRule>
    <cfRule type="expression" dxfId="6333" priority="260">
      <formula>AND(S$9&gt;=14/24,S$9&lt;20/24)</formula>
    </cfRule>
    <cfRule type="expression" dxfId="6332" priority="261">
      <formula>AND(S$9&gt;=8/24,S$9&lt;14/24)</formula>
    </cfRule>
    <cfRule type="expression" dxfId="6331" priority="262">
      <formula>S$9&lt;8/24</formula>
    </cfRule>
  </conditionalFormatting>
  <conditionalFormatting sqref="S48:AF48">
    <cfRule type="expression" dxfId="6330" priority="255">
      <formula>S$9&gt;=20/24</formula>
    </cfRule>
    <cfRule type="expression" dxfId="6329" priority="256">
      <formula>AND(S$9&gt;=14/24,S$9&lt;20/24)</formula>
    </cfRule>
    <cfRule type="expression" dxfId="6328" priority="257">
      <formula>AND(S$9&gt;=8/24,S$9&lt;14/24)</formula>
    </cfRule>
    <cfRule type="expression" dxfId="6327" priority="258">
      <formula>S$9&lt;8/24</formula>
    </cfRule>
  </conditionalFormatting>
  <conditionalFormatting sqref="W58:AA58 X59:AA59 AA60:AA65 AC58:AD58 AB58:AB65 AC59:AF65">
    <cfRule type="expression" dxfId="6326" priority="251">
      <formula>W$9&gt;=20/24</formula>
    </cfRule>
    <cfRule type="expression" dxfId="6325" priority="252">
      <formula>AND(W$9&gt;=14/24,W$9&lt;20/24)</formula>
    </cfRule>
    <cfRule type="expression" dxfId="6324" priority="253">
      <formula>AND(W$9&gt;=8/24,W$9&lt;14/24)</formula>
    </cfRule>
    <cfRule type="expression" dxfId="6323" priority="254">
      <formula>W$9&lt;8/24</formula>
    </cfRule>
  </conditionalFormatting>
  <conditionalFormatting sqref="AA92:AF95">
    <cfRule type="expression" dxfId="6322" priority="247">
      <formula>AA$9&gt;=20/24</formula>
    </cfRule>
    <cfRule type="expression" dxfId="6321" priority="248">
      <formula>AND(AA$9&gt;=14/24,AA$9&lt;20/24)</formula>
    </cfRule>
    <cfRule type="expression" dxfId="6320" priority="249">
      <formula>AND(AA$9&gt;=8/24,AA$9&lt;14/24)</formula>
    </cfRule>
    <cfRule type="expression" dxfId="6319" priority="250">
      <formula>AA$9&lt;8/24</formula>
    </cfRule>
  </conditionalFormatting>
  <conditionalFormatting sqref="B60:H60 H61:H65 I60:L65">
    <cfRule type="expression" dxfId="6318" priority="243">
      <formula>B$9&gt;=20/24</formula>
    </cfRule>
    <cfRule type="expression" dxfId="6317" priority="244">
      <formula>AND(B$9&gt;=14/24,B$9&lt;20/24)</formula>
    </cfRule>
    <cfRule type="expression" dxfId="6316" priority="245">
      <formula>AND(B$9&gt;=8/24,B$9&lt;14/24)</formula>
    </cfRule>
    <cfRule type="expression" dxfId="6315" priority="246">
      <formula>B$9&lt;8/24</formula>
    </cfRule>
  </conditionalFormatting>
  <conditionalFormatting sqref="T92:Z95">
    <cfRule type="expression" dxfId="6314" priority="239">
      <formula>T$9&gt;=20/24</formula>
    </cfRule>
    <cfRule type="expression" dxfId="6313" priority="240">
      <formula>AND(T$9&gt;=14/24,T$9&lt;20/24)</formula>
    </cfRule>
    <cfRule type="expression" dxfId="6312" priority="241">
      <formula>AND(T$9&gt;=8/24,T$9&lt;14/24)</formula>
    </cfRule>
    <cfRule type="expression" dxfId="6311" priority="242">
      <formula>T$9&lt;8/24</formula>
    </cfRule>
  </conditionalFormatting>
  <conditionalFormatting sqref="AG49 B15:K31 B36:AF36 B11:K13 B33:K35 B43:K46 B37:K41 B48:K48 B47:L47 Q12:Q13 Q15:Q16 M15:P31 M11:P13 Q11:Z11 Q17:Z31 AA11:AF13 B49:AF54 AA15:AF31 M33:AF35 M37:AF41 M43:AF48">
    <cfRule type="expression" dxfId="6310" priority="238">
      <formula>B11&gt;$AG11</formula>
    </cfRule>
  </conditionalFormatting>
  <conditionalFormatting sqref="A98:A154 A82:A95 A11:A13 A15:A31 A43:A70 A78:A80 A72:A76 A33:A41 A167:A198">
    <cfRule type="expression" dxfId="6309" priority="237">
      <formula>$AH11=0</formula>
    </cfRule>
  </conditionalFormatting>
  <conditionalFormatting sqref="AA96:AF96">
    <cfRule type="expression" dxfId="6308" priority="233">
      <formula>AA$9&gt;=20/24</formula>
    </cfRule>
    <cfRule type="expression" dxfId="6307" priority="234">
      <formula>AND(AA$9&gt;=14/24,AA$9&lt;20/24)</formula>
    </cfRule>
    <cfRule type="expression" dxfId="6306" priority="235">
      <formula>AND(AA$9&gt;=8/24,AA$9&lt;14/24)</formula>
    </cfRule>
    <cfRule type="expression" dxfId="6305" priority="236">
      <formula>AA$9&lt;8/24</formula>
    </cfRule>
  </conditionalFormatting>
  <conditionalFormatting sqref="T96:Z96">
    <cfRule type="expression" dxfId="6304" priority="229">
      <formula>T$9&gt;=20/24</formula>
    </cfRule>
    <cfRule type="expression" dxfId="6303" priority="230">
      <formula>AND(T$9&gt;=14/24,T$9&lt;20/24)</formula>
    </cfRule>
    <cfRule type="expression" dxfId="6302" priority="231">
      <formula>AND(T$9&gt;=8/24,T$9&lt;14/24)</formula>
    </cfRule>
    <cfRule type="expression" dxfId="6301" priority="232">
      <formula>T$9&lt;8/24</formula>
    </cfRule>
  </conditionalFormatting>
  <conditionalFormatting sqref="A96">
    <cfRule type="expression" dxfId="6300" priority="228">
      <formula>$AH96=0</formula>
    </cfRule>
  </conditionalFormatting>
  <conditionalFormatting sqref="D34:K34 M34:AF34">
    <cfRule type="expression" dxfId="6299" priority="224">
      <formula>D$9&gt;=20/24</formula>
    </cfRule>
    <cfRule type="expression" dxfId="6298" priority="225">
      <formula>AND(D$9&gt;=14/24,D$9&lt;20/24)</formula>
    </cfRule>
    <cfRule type="expression" dxfId="6297" priority="226">
      <formula>AND(D$9&gt;=8/24,D$9&lt;14/24)</formula>
    </cfRule>
    <cfRule type="expression" dxfId="6296" priority="227">
      <formula>D$9&lt;8/24</formula>
    </cfRule>
  </conditionalFormatting>
  <conditionalFormatting sqref="R34:AF34">
    <cfRule type="expression" dxfId="6295" priority="220">
      <formula>R$9&gt;=20/24</formula>
    </cfRule>
    <cfRule type="expression" dxfId="6294" priority="221">
      <formula>AND(R$9&gt;=14/24,R$9&lt;20/24)</formula>
    </cfRule>
    <cfRule type="expression" dxfId="6293" priority="222">
      <formula>AND(R$9&gt;=8/24,R$9&lt;14/24)</formula>
    </cfRule>
    <cfRule type="expression" dxfId="6292" priority="223">
      <formula>R$9&lt;8/24</formula>
    </cfRule>
  </conditionalFormatting>
  <conditionalFormatting sqref="B34:C34">
    <cfRule type="expression" dxfId="6291" priority="216">
      <formula>B$9&gt;=20/24</formula>
    </cfRule>
    <cfRule type="expression" dxfId="6290" priority="217">
      <formula>AND(B$9&gt;=14/24,B$9&lt;20/24)</formula>
    </cfRule>
    <cfRule type="expression" dxfId="6289" priority="218">
      <formula>AND(B$9&gt;=8/24,B$9&lt;14/24)</formula>
    </cfRule>
    <cfRule type="expression" dxfId="6288" priority="219">
      <formula>B$9&lt;8/24</formula>
    </cfRule>
  </conditionalFormatting>
  <conditionalFormatting sqref="D61:G65">
    <cfRule type="expression" dxfId="6287" priority="212">
      <formula>D$9&gt;=20/24</formula>
    </cfRule>
    <cfRule type="expression" dxfId="6286" priority="213">
      <formula>AND(D$9&gt;=14/24,D$9&lt;20/24)</formula>
    </cfRule>
    <cfRule type="expression" dxfId="6285" priority="214">
      <formula>AND(D$9&gt;=8/24,D$9&lt;14/24)</formula>
    </cfRule>
    <cfRule type="expression" dxfId="6284" priority="215">
      <formula>D$9&lt;8/24</formula>
    </cfRule>
  </conditionalFormatting>
  <conditionalFormatting sqref="AL31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M32:Q32">
    <cfRule type="expression" dxfId="6283" priority="199">
      <formula>M$9&gt;=20/24</formula>
    </cfRule>
    <cfRule type="expression" dxfId="6282" priority="200">
      <formula>AND(M$9&gt;=14/24,M$9&lt;20/24)</formula>
    </cfRule>
    <cfRule type="expression" dxfId="6281" priority="201">
      <formula>AND(M$9&gt;=8/24,M$9&lt;14/24)</formula>
    </cfRule>
    <cfRule type="expression" dxfId="6280" priority="202">
      <formula>M$9&lt;8/24</formula>
    </cfRule>
  </conditionalFormatting>
  <conditionalFormatting sqref="R32:AF32">
    <cfRule type="expression" dxfId="6279" priority="195">
      <formula>R$9&gt;=20/24</formula>
    </cfRule>
    <cfRule type="expression" dxfId="6278" priority="196">
      <formula>AND(R$9&gt;=14/24,R$9&lt;20/24)</formula>
    </cfRule>
    <cfRule type="expression" dxfId="6277" priority="197">
      <formula>AND(R$9&gt;=8/24,R$9&lt;14/24)</formula>
    </cfRule>
    <cfRule type="expression" dxfId="6276" priority="198">
      <formula>R$9&lt;8/24</formula>
    </cfRule>
  </conditionalFormatting>
  <conditionalFormatting sqref="B32:K32 M32:AF32">
    <cfRule type="expression" dxfId="6275" priority="194">
      <formula>B32&gt;$AG32</formula>
    </cfRule>
  </conditionalFormatting>
  <conditionalFormatting sqref="A32">
    <cfRule type="expression" dxfId="6274" priority="193">
      <formula>$AH32=0</formula>
    </cfRule>
  </conditionalFormatting>
  <conditionalFormatting sqref="B81:AF81">
    <cfRule type="expression" dxfId="6273" priority="189">
      <formula>B$9&gt;=20/24</formula>
    </cfRule>
    <cfRule type="expression" dxfId="6272" priority="190">
      <formula>AND(B$9&gt;=14/24,B$9&lt;20/24)</formula>
    </cfRule>
    <cfRule type="expression" dxfId="6271" priority="191">
      <formula>AND(B$9&gt;=8/24,B$9&lt;14/24)</formula>
    </cfRule>
    <cfRule type="expression" dxfId="6270" priority="192">
      <formula>B$9&lt;8/24</formula>
    </cfRule>
  </conditionalFormatting>
  <conditionalFormatting sqref="A81">
    <cfRule type="expression" dxfId="6269" priority="188">
      <formula>$AH81=0</formula>
    </cfRule>
  </conditionalFormatting>
  <conditionalFormatting sqref="AA14:AD14">
    <cfRule type="expression" dxfId="6268" priority="184">
      <formula>AA$9&gt;=20/24</formula>
    </cfRule>
    <cfRule type="expression" dxfId="6267" priority="185">
      <formula>AND(AA$9&gt;=14/24,AA$9&lt;20/24)</formula>
    </cfRule>
    <cfRule type="expression" dxfId="6266" priority="186">
      <formula>AND(AA$9&gt;=8/24,AA$9&lt;14/24)</formula>
    </cfRule>
    <cfRule type="expression" dxfId="6265" priority="187">
      <formula>AA$9&lt;8/24</formula>
    </cfRule>
  </conditionalFormatting>
  <conditionalFormatting sqref="M14:Q14">
    <cfRule type="expression" dxfId="6264" priority="180">
      <formula>M$9&gt;=20/24</formula>
    </cfRule>
    <cfRule type="expression" dxfId="6263" priority="181">
      <formula>AND(M$9&gt;=14/24,M$9&lt;20/24)</formula>
    </cfRule>
    <cfRule type="expression" dxfId="6262" priority="182">
      <formula>AND(M$9&gt;=8/24,M$9&lt;14/24)</formula>
    </cfRule>
    <cfRule type="expression" dxfId="6261" priority="183">
      <formula>M$9&lt;8/24</formula>
    </cfRule>
  </conditionalFormatting>
  <conditionalFormatting sqref="B14:K14 M14:Q14 AA14:AF14">
    <cfRule type="expression" dxfId="6260" priority="179">
      <formula>B14&gt;$AG14</formula>
    </cfRule>
  </conditionalFormatting>
  <conditionalFormatting sqref="A14">
    <cfRule type="expression" dxfId="6259" priority="178">
      <formula>$AH14=0</formula>
    </cfRule>
  </conditionalFormatting>
  <conditionalFormatting sqref="A161:A166">
    <cfRule type="expression" dxfId="6258" priority="177">
      <formula>$AH161=0</formula>
    </cfRule>
  </conditionalFormatting>
  <conditionalFormatting sqref="A155:A160">
    <cfRule type="expression" dxfId="6257" priority="176">
      <formula>$AH155=0</formula>
    </cfRule>
  </conditionalFormatting>
  <conditionalFormatting sqref="AA42:AF42">
    <cfRule type="expression" dxfId="6256" priority="172">
      <formula>AA$9&gt;=20/24</formula>
    </cfRule>
    <cfRule type="expression" dxfId="6255" priority="173">
      <formula>AND(AA$9&gt;=14/24,AA$9&lt;20/24)</formula>
    </cfRule>
    <cfRule type="expression" dxfId="6254" priority="174">
      <formula>AND(AA$9&gt;=8/24,AA$9&lt;14/24)</formula>
    </cfRule>
    <cfRule type="expression" dxfId="6253" priority="175">
      <formula>AA$9&lt;8/24</formula>
    </cfRule>
  </conditionalFormatting>
  <conditionalFormatting sqref="M42:U42">
    <cfRule type="expression" dxfId="6252" priority="168">
      <formula>M$9&gt;=20/24</formula>
    </cfRule>
    <cfRule type="expression" dxfId="6251" priority="169">
      <formula>AND(M$9&gt;=14/24,M$9&lt;20/24)</formula>
    </cfRule>
    <cfRule type="expression" dxfId="6250" priority="170">
      <formula>AND(M$9&gt;=8/24,M$9&lt;14/24)</formula>
    </cfRule>
    <cfRule type="expression" dxfId="6249" priority="171">
      <formula>M$9&lt;8/24</formula>
    </cfRule>
  </conditionalFormatting>
  <conditionalFormatting sqref="V42:Z42">
    <cfRule type="expression" dxfId="6248" priority="164">
      <formula>V$9&gt;=20/24</formula>
    </cfRule>
    <cfRule type="expression" dxfId="6247" priority="165">
      <formula>AND(V$9&gt;=14/24,V$9&lt;20/24)</formula>
    </cfRule>
    <cfRule type="expression" dxfId="6246" priority="166">
      <formula>AND(V$9&gt;=8/24,V$9&lt;14/24)</formula>
    </cfRule>
    <cfRule type="expression" dxfId="6245" priority="167">
      <formula>V$9&lt;8/24</formula>
    </cfRule>
  </conditionalFormatting>
  <conditionalFormatting sqref="B42:K42 M42:AF42">
    <cfRule type="expression" dxfId="6244" priority="163">
      <formula>B42&gt;$AG42</formula>
    </cfRule>
  </conditionalFormatting>
  <conditionalFormatting sqref="A42">
    <cfRule type="expression" dxfId="6243" priority="162">
      <formula>$AH42=0</formula>
    </cfRule>
  </conditionalFormatting>
  <conditionalFormatting sqref="B77:AF77">
    <cfRule type="expression" dxfId="6242" priority="158">
      <formula>B$9&gt;=20/24</formula>
    </cfRule>
    <cfRule type="expression" dxfId="6241" priority="159">
      <formula>AND(B$9&gt;=14/24,B$9&lt;20/24)</formula>
    </cfRule>
    <cfRule type="expression" dxfId="6240" priority="160">
      <formula>AND(B$9&gt;=8/24,B$9&lt;14/24)</formula>
    </cfRule>
    <cfRule type="expression" dxfId="6239" priority="161">
      <formula>B$9&lt;8/24</formula>
    </cfRule>
  </conditionalFormatting>
  <conditionalFormatting sqref="A77">
    <cfRule type="expression" dxfId="6238" priority="157">
      <formula>$AH77=0</formula>
    </cfRule>
  </conditionalFormatting>
  <conditionalFormatting sqref="B71:AG71">
    <cfRule type="expression" dxfId="6237" priority="153">
      <formula>B$9&gt;=20/24</formula>
    </cfRule>
    <cfRule type="expression" dxfId="6236" priority="154">
      <formula>AND(B$9&gt;=14/24,B$9&lt;20/24)</formula>
    </cfRule>
    <cfRule type="expression" dxfId="6235" priority="155">
      <formula>AND(B$9&gt;=8/24,B$9&lt;14/24)</formula>
    </cfRule>
    <cfRule type="expression" dxfId="6234" priority="156">
      <formula>B$9&lt;8/24</formula>
    </cfRule>
  </conditionalFormatting>
  <conditionalFormatting sqref="A71">
    <cfRule type="expression" dxfId="6233" priority="152">
      <formula>$AH71=0</formula>
    </cfRule>
  </conditionalFormatting>
  <conditionalFormatting sqref="AL32:AL33 AL7:AL30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V58">
    <cfRule type="expression" dxfId="6232" priority="148">
      <formula>V$9&gt;=20/24</formula>
    </cfRule>
    <cfRule type="expression" dxfId="6231" priority="149">
      <formula>AND(V$9&gt;=14/24,V$9&lt;20/24)</formula>
    </cfRule>
    <cfRule type="expression" dxfId="6230" priority="150">
      <formula>AND(V$9&gt;=8/24,V$9&lt;14/24)</formula>
    </cfRule>
    <cfRule type="expression" dxfId="6229" priority="151">
      <formula>V$9&lt;8/24</formula>
    </cfRule>
  </conditionalFormatting>
  <conditionalFormatting sqref="T83:V89">
    <cfRule type="expression" dxfId="6228" priority="144">
      <formula>T$9&gt;=20/24</formula>
    </cfRule>
    <cfRule type="expression" dxfId="6227" priority="145">
      <formula>AND(T$9&gt;=14/24,T$9&lt;20/24)</formula>
    </cfRule>
    <cfRule type="expression" dxfId="6226" priority="146">
      <formula>AND(T$9&gt;=8/24,T$9&lt;14/24)</formula>
    </cfRule>
    <cfRule type="expression" dxfId="6225" priority="147">
      <formula>T$9&lt;8/24</formula>
    </cfRule>
  </conditionalFormatting>
  <conditionalFormatting sqref="S83:S89 B82:R89">
    <cfRule type="expression" dxfId="6224" priority="140">
      <formula>B$9&gt;=20/24</formula>
    </cfRule>
    <cfRule type="expression" dxfId="6223" priority="141">
      <formula>AND(B$9&gt;=14/24,B$9&lt;20/24)</formula>
    </cfRule>
    <cfRule type="expression" dxfId="6222" priority="142">
      <formula>AND(B$9&gt;=8/24,B$9&lt;14/24)</formula>
    </cfRule>
    <cfRule type="expression" dxfId="6221" priority="143">
      <formula>B$9&lt;8/24</formula>
    </cfRule>
  </conditionalFormatting>
  <conditionalFormatting sqref="S82">
    <cfRule type="expression" dxfId="6220" priority="136">
      <formula>S$9&gt;=20/24</formula>
    </cfRule>
    <cfRule type="expression" dxfId="6219" priority="137">
      <formula>AND(S$9&gt;=14/24,S$9&lt;20/24)</formula>
    </cfRule>
    <cfRule type="expression" dxfId="6218" priority="138">
      <formula>AND(S$9&gt;=8/24,S$9&lt;14/24)</formula>
    </cfRule>
    <cfRule type="expression" dxfId="6217" priority="139">
      <formula>S$9&lt;8/24</formula>
    </cfRule>
  </conditionalFormatting>
  <conditionalFormatting sqref="B93:L95 B92:E92">
    <cfRule type="expression" dxfId="6216" priority="132">
      <formula>B$9&gt;=20/24</formula>
    </cfRule>
    <cfRule type="expression" dxfId="6215" priority="133">
      <formula>AND(B$9&gt;=14/24,B$9&lt;20/24)</formula>
    </cfRule>
    <cfRule type="expression" dxfId="6214" priority="134">
      <formula>AND(B$9&gt;=8/24,B$9&lt;14/24)</formula>
    </cfRule>
    <cfRule type="expression" dxfId="6213" priority="135">
      <formula>B$9&lt;8/24</formula>
    </cfRule>
  </conditionalFormatting>
  <conditionalFormatting sqref="M93:N95 N92 O92:R95">
    <cfRule type="expression" dxfId="6212" priority="128">
      <formula>M$9&gt;=20/24</formula>
    </cfRule>
    <cfRule type="expression" dxfId="6211" priority="129">
      <formula>AND(M$9&gt;=14/24,M$9&lt;20/24)</formula>
    </cfRule>
    <cfRule type="expression" dxfId="6210" priority="130">
      <formula>AND(M$9&gt;=8/24,M$9&lt;14/24)</formula>
    </cfRule>
    <cfRule type="expression" dxfId="6209" priority="131">
      <formula>M$9&lt;8/24</formula>
    </cfRule>
  </conditionalFormatting>
  <conditionalFormatting sqref="S92:S95">
    <cfRule type="expression" dxfId="6208" priority="124">
      <formula>S$9&gt;=20/24</formula>
    </cfRule>
    <cfRule type="expression" dxfId="6207" priority="125">
      <formula>AND(S$9&gt;=14/24,S$9&lt;20/24)</formula>
    </cfRule>
    <cfRule type="expression" dxfId="6206" priority="126">
      <formula>AND(S$9&gt;=8/24,S$9&lt;14/24)</formula>
    </cfRule>
    <cfRule type="expression" dxfId="6205" priority="127">
      <formula>S$9&lt;8/24</formula>
    </cfRule>
  </conditionalFormatting>
  <conditionalFormatting sqref="B96:L96">
    <cfRule type="expression" dxfId="6204" priority="120">
      <formula>B$9&gt;=20/24</formula>
    </cfRule>
    <cfRule type="expression" dxfId="6203" priority="121">
      <formula>AND(B$9&gt;=14/24,B$9&lt;20/24)</formula>
    </cfRule>
    <cfRule type="expression" dxfId="6202" priority="122">
      <formula>AND(B$9&gt;=8/24,B$9&lt;14/24)</formula>
    </cfRule>
    <cfRule type="expression" dxfId="6201" priority="123">
      <formula>B$9&lt;8/24</formula>
    </cfRule>
  </conditionalFormatting>
  <conditionalFormatting sqref="M96:R96">
    <cfRule type="expression" dxfId="6200" priority="116">
      <formula>M$9&gt;=20/24</formula>
    </cfRule>
    <cfRule type="expression" dxfId="6199" priority="117">
      <formula>AND(M$9&gt;=14/24,M$9&lt;20/24)</formula>
    </cfRule>
    <cfRule type="expression" dxfId="6198" priority="118">
      <formula>AND(M$9&gt;=8/24,M$9&lt;14/24)</formula>
    </cfRule>
    <cfRule type="expression" dxfId="6197" priority="119">
      <formula>M$9&lt;8/24</formula>
    </cfRule>
  </conditionalFormatting>
  <conditionalFormatting sqref="S96">
    <cfRule type="expression" dxfId="6196" priority="112">
      <formula>S$9&gt;=20/24</formula>
    </cfRule>
    <cfRule type="expression" dxfId="6195" priority="113">
      <formula>AND(S$9&gt;=14/24,S$9&lt;20/24)</formula>
    </cfRule>
    <cfRule type="expression" dxfId="6194" priority="114">
      <formula>AND(S$9&gt;=8/24,S$9&lt;14/24)</formula>
    </cfRule>
    <cfRule type="expression" dxfId="6193" priority="115">
      <formula>S$9&lt;8/24</formula>
    </cfRule>
  </conditionalFormatting>
  <conditionalFormatting sqref="L92:M92">
    <cfRule type="expression" dxfId="6192" priority="108">
      <formula>L$9&gt;=20/24</formula>
    </cfRule>
    <cfRule type="expression" dxfId="6191" priority="109">
      <formula>AND(L$9&gt;=14/24,L$9&lt;20/24)</formula>
    </cfRule>
    <cfRule type="expression" dxfId="6190" priority="110">
      <formula>AND(L$9&gt;=8/24,L$9&lt;14/24)</formula>
    </cfRule>
    <cfRule type="expression" dxfId="6189" priority="111">
      <formula>L$9&lt;8/24</formula>
    </cfRule>
  </conditionalFormatting>
  <conditionalFormatting sqref="F92:K92">
    <cfRule type="expression" dxfId="6188" priority="104">
      <formula>F$9&gt;=20/24</formula>
    </cfRule>
    <cfRule type="expression" dxfId="6187" priority="105">
      <formula>AND(F$9&gt;=14/24,F$9&lt;20/24)</formula>
    </cfRule>
    <cfRule type="expression" dxfId="6186" priority="106">
      <formula>AND(F$9&gt;=8/24,F$9&lt;14/24)</formula>
    </cfRule>
    <cfRule type="expression" dxfId="6185" priority="107">
      <formula>F$9&lt;8/24</formula>
    </cfRule>
  </conditionalFormatting>
  <conditionalFormatting sqref="T92:V92">
    <cfRule type="expression" dxfId="6184" priority="100">
      <formula>T$9&gt;=20/24</formula>
    </cfRule>
    <cfRule type="expression" dxfId="6183" priority="101">
      <formula>AND(T$9&gt;=14/24,T$9&lt;20/24)</formula>
    </cfRule>
    <cfRule type="expression" dxfId="6182" priority="102">
      <formula>AND(T$9&gt;=8/24,T$9&lt;14/24)</formula>
    </cfRule>
    <cfRule type="expression" dxfId="6181" priority="103">
      <formula>T$9&lt;8/24</formula>
    </cfRule>
  </conditionalFormatting>
  <conditionalFormatting sqref="M92:S92">
    <cfRule type="expression" dxfId="6180" priority="96">
      <formula>M$9&gt;=20/24</formula>
    </cfRule>
    <cfRule type="expression" dxfId="6179" priority="97">
      <formula>AND(M$9&gt;=14/24,M$9&lt;20/24)</formula>
    </cfRule>
    <cfRule type="expression" dxfId="6178" priority="98">
      <formula>AND(M$9&gt;=8/24,M$9&lt;14/24)</formula>
    </cfRule>
    <cfRule type="expression" dxfId="6177" priority="99">
      <formula>M$9&lt;8/24</formula>
    </cfRule>
  </conditionalFormatting>
  <conditionalFormatting sqref="AA97:AF97">
    <cfRule type="expression" dxfId="6176" priority="92">
      <formula>AA$9&gt;=20/24</formula>
    </cfRule>
    <cfRule type="expression" dxfId="6175" priority="93">
      <formula>AND(AA$9&gt;=14/24,AA$9&lt;20/24)</formula>
    </cfRule>
    <cfRule type="expression" dxfId="6174" priority="94">
      <formula>AND(AA$9&gt;=8/24,AA$9&lt;14/24)</formula>
    </cfRule>
    <cfRule type="expression" dxfId="6173" priority="95">
      <formula>AA$9&lt;8/24</formula>
    </cfRule>
  </conditionalFormatting>
  <conditionalFormatting sqref="T97:Z97">
    <cfRule type="expression" dxfId="6172" priority="88">
      <formula>T$9&gt;=20/24</formula>
    </cfRule>
    <cfRule type="expression" dxfId="6171" priority="89">
      <formula>AND(T$9&gt;=14/24,T$9&lt;20/24)</formula>
    </cfRule>
    <cfRule type="expression" dxfId="6170" priority="90">
      <formula>AND(T$9&gt;=8/24,T$9&lt;14/24)</formula>
    </cfRule>
    <cfRule type="expression" dxfId="6169" priority="91">
      <formula>T$9&lt;8/24</formula>
    </cfRule>
  </conditionalFormatting>
  <conditionalFormatting sqref="A97">
    <cfRule type="expression" dxfId="6168" priority="87">
      <formula>$AH97=0</formula>
    </cfRule>
  </conditionalFormatting>
  <conditionalFormatting sqref="B97:L97">
    <cfRule type="expression" dxfId="6167" priority="83">
      <formula>B$9&gt;=20/24</formula>
    </cfRule>
    <cfRule type="expression" dxfId="6166" priority="84">
      <formula>AND(B$9&gt;=14/24,B$9&lt;20/24)</formula>
    </cfRule>
    <cfRule type="expression" dxfId="6165" priority="85">
      <formula>AND(B$9&gt;=8/24,B$9&lt;14/24)</formula>
    </cfRule>
    <cfRule type="expression" dxfId="6164" priority="86">
      <formula>B$9&lt;8/24</formula>
    </cfRule>
  </conditionalFormatting>
  <conditionalFormatting sqref="M97:R97">
    <cfRule type="expression" dxfId="6163" priority="79">
      <formula>M$9&gt;=20/24</formula>
    </cfRule>
    <cfRule type="expression" dxfId="6162" priority="80">
      <formula>AND(M$9&gt;=14/24,M$9&lt;20/24)</formula>
    </cfRule>
    <cfRule type="expression" dxfId="6161" priority="81">
      <formula>AND(M$9&gt;=8/24,M$9&lt;14/24)</formula>
    </cfRule>
    <cfRule type="expression" dxfId="6160" priority="82">
      <formula>M$9&lt;8/24</formula>
    </cfRule>
  </conditionalFormatting>
  <conditionalFormatting sqref="S97">
    <cfRule type="expression" dxfId="6159" priority="75">
      <formula>S$9&gt;=20/24</formula>
    </cfRule>
    <cfRule type="expression" dxfId="6158" priority="76">
      <formula>AND(S$9&gt;=14/24,S$9&lt;20/24)</formula>
    </cfRule>
    <cfRule type="expression" dxfId="6157" priority="77">
      <formula>AND(S$9&gt;=8/24,S$9&lt;14/24)</formula>
    </cfRule>
    <cfRule type="expression" dxfId="6156" priority="78">
      <formula>S$9&lt;8/24</formula>
    </cfRule>
  </conditionalFormatting>
  <conditionalFormatting sqref="R12:Z15">
    <cfRule type="expression" dxfId="6155" priority="71">
      <formula>R$9&gt;=20/24</formula>
    </cfRule>
    <cfRule type="expression" dxfId="6154" priority="72">
      <formula>AND(R$9&gt;=14/24,R$9&lt;20/24)</formula>
    </cfRule>
    <cfRule type="expression" dxfId="6153" priority="73">
      <formula>AND(R$9&gt;=8/24,R$9&lt;14/24)</formula>
    </cfRule>
    <cfRule type="expression" dxfId="6152" priority="74">
      <formula>R$9&lt;8/24</formula>
    </cfRule>
  </conditionalFormatting>
  <conditionalFormatting sqref="R16:Z16">
    <cfRule type="expression" dxfId="6151" priority="67">
      <formula>R$9&gt;=20/24</formula>
    </cfRule>
    <cfRule type="expression" dxfId="6150" priority="68">
      <formula>AND(R$9&gt;=14/24,R$9&lt;20/24)</formula>
    </cfRule>
    <cfRule type="expression" dxfId="6149" priority="69">
      <formula>AND(R$9&gt;=8/24,R$9&lt;14/24)</formula>
    </cfRule>
    <cfRule type="expression" dxfId="6148" priority="70">
      <formula>R$9&lt;8/24</formula>
    </cfRule>
  </conditionalFormatting>
  <conditionalFormatting sqref="R12:Z12">
    <cfRule type="expression" dxfId="6147" priority="63">
      <formula>R$9&gt;=20/24</formula>
    </cfRule>
    <cfRule type="expression" dxfId="6146" priority="64">
      <formula>AND(R$9&gt;=14/24,R$9&lt;20/24)</formula>
    </cfRule>
    <cfRule type="expression" dxfId="6145" priority="65">
      <formula>AND(R$9&gt;=8/24,R$9&lt;14/24)</formula>
    </cfRule>
    <cfRule type="expression" dxfId="6144" priority="66">
      <formula>R$9&lt;8/24</formula>
    </cfRule>
  </conditionalFormatting>
  <conditionalFormatting sqref="AA56:AD57">
    <cfRule type="expression" dxfId="6143" priority="59">
      <formula>AA$9&gt;=20/24</formula>
    </cfRule>
    <cfRule type="expression" dxfId="6142" priority="60">
      <formula>AND(AA$9&gt;=14/24,AA$9&lt;20/24)</formula>
    </cfRule>
    <cfRule type="expression" dxfId="6141" priority="61">
      <formula>AND(AA$9&gt;=8/24,AA$9&lt;14/24)</formula>
    </cfRule>
    <cfRule type="expression" dxfId="6140" priority="62">
      <formula>AA$9&lt;8/24</formula>
    </cfRule>
  </conditionalFormatting>
  <conditionalFormatting sqref="AN23">
    <cfRule type="expression" dxfId="6139" priority="55">
      <formula>AN$9&gt;=20/24</formula>
    </cfRule>
    <cfRule type="expression" dxfId="6138" priority="56">
      <formula>AND(AN$9&gt;=14/24,AN$9&lt;20/24)</formula>
    </cfRule>
    <cfRule type="expression" dxfId="6137" priority="57">
      <formula>AND(AN$9&gt;=8/24,AN$9&lt;14/24)</formula>
    </cfRule>
    <cfRule type="expression" dxfId="6136" priority="58">
      <formula>AN$9&lt;8/24</formula>
    </cfRule>
  </conditionalFormatting>
  <conditionalFormatting sqref="AN23">
    <cfRule type="expression" dxfId="6135" priority="54">
      <formula>AN23&gt;$AG23</formula>
    </cfRule>
  </conditionalFormatting>
  <conditionalFormatting sqref="L35 L11:L13 L15:L31">
    <cfRule type="expression" dxfId="6134" priority="50">
      <formula>L$9&gt;=20/24</formula>
    </cfRule>
    <cfRule type="expression" dxfId="6133" priority="51">
      <formula>AND(L$9&gt;=14/24,L$9&lt;20/24)</formula>
    </cfRule>
    <cfRule type="expression" dxfId="6132" priority="52">
      <formula>AND(L$9&gt;=8/24,L$9&lt;14/24)</formula>
    </cfRule>
    <cfRule type="expression" dxfId="6131" priority="53">
      <formula>L$9&lt;8/24</formula>
    </cfRule>
  </conditionalFormatting>
  <conditionalFormatting sqref="L33">
    <cfRule type="expression" dxfId="6130" priority="46">
      <formula>L$9&gt;=20/24</formula>
    </cfRule>
    <cfRule type="expression" dxfId="6129" priority="47">
      <formula>AND(L$9&gt;=14/24,L$9&lt;20/24)</formula>
    </cfRule>
    <cfRule type="expression" dxfId="6128" priority="48">
      <formula>AND(L$9&gt;=8/24,L$9&lt;14/24)</formula>
    </cfRule>
    <cfRule type="expression" dxfId="6127" priority="49">
      <formula>L$9&lt;8/24</formula>
    </cfRule>
  </conditionalFormatting>
  <conditionalFormatting sqref="L15:L31 L33:L35 L11:L13">
    <cfRule type="expression" dxfId="6126" priority="45">
      <formula>L11&gt;$AG11</formula>
    </cfRule>
  </conditionalFormatting>
  <conditionalFormatting sqref="L34">
    <cfRule type="expression" dxfId="6125" priority="41">
      <formula>L$9&gt;=20/24</formula>
    </cfRule>
    <cfRule type="expression" dxfId="6124" priority="42">
      <formula>AND(L$9&gt;=14/24,L$9&lt;20/24)</formula>
    </cfRule>
    <cfRule type="expression" dxfId="6123" priority="43">
      <formula>AND(L$9&gt;=8/24,L$9&lt;14/24)</formula>
    </cfRule>
    <cfRule type="expression" dxfId="6122" priority="44">
      <formula>L$9&lt;8/24</formula>
    </cfRule>
  </conditionalFormatting>
  <conditionalFormatting sqref="L32">
    <cfRule type="expression" dxfId="6121" priority="37">
      <formula>L$9&gt;=20/24</formula>
    </cfRule>
    <cfRule type="expression" dxfId="6120" priority="38">
      <formula>AND(L$9&gt;=14/24,L$9&lt;20/24)</formula>
    </cfRule>
    <cfRule type="expression" dxfId="6119" priority="39">
      <formula>AND(L$9&gt;=8/24,L$9&lt;14/24)</formula>
    </cfRule>
    <cfRule type="expression" dxfId="6118" priority="40">
      <formula>L$9&lt;8/24</formula>
    </cfRule>
  </conditionalFormatting>
  <conditionalFormatting sqref="L32">
    <cfRule type="expression" dxfId="6117" priority="36">
      <formula>L32&gt;$AG32</formula>
    </cfRule>
  </conditionalFormatting>
  <conditionalFormatting sqref="L14">
    <cfRule type="expression" dxfId="6116" priority="32">
      <formula>L$9&gt;=20/24</formula>
    </cfRule>
    <cfRule type="expression" dxfId="6115" priority="33">
      <formula>AND(L$9&gt;=14/24,L$9&lt;20/24)</formula>
    </cfRule>
    <cfRule type="expression" dxfId="6114" priority="34">
      <formula>AND(L$9&gt;=8/24,L$9&lt;14/24)</formula>
    </cfRule>
    <cfRule type="expression" dxfId="6113" priority="35">
      <formula>L$9&lt;8/24</formula>
    </cfRule>
  </conditionalFormatting>
  <conditionalFormatting sqref="L14">
    <cfRule type="expression" dxfId="6112" priority="31">
      <formula>L14&gt;$AG14</formula>
    </cfRule>
  </conditionalFormatting>
  <conditionalFormatting sqref="L37:L40 L43:L46">
    <cfRule type="expression" dxfId="6111" priority="27">
      <formula>L$9&gt;=20/24</formula>
    </cfRule>
    <cfRule type="expression" dxfId="6110" priority="28">
      <formula>AND(L$9&gt;=14/24,L$9&lt;20/24)</formula>
    </cfRule>
    <cfRule type="expression" dxfId="6109" priority="29">
      <formula>AND(L$9&gt;=8/24,L$9&lt;14/24)</formula>
    </cfRule>
    <cfRule type="expression" dxfId="6108" priority="30">
      <formula>L$9&lt;8/24</formula>
    </cfRule>
  </conditionalFormatting>
  <conditionalFormatting sqref="L41">
    <cfRule type="expression" dxfId="6107" priority="23">
      <formula>L$9&gt;=20/24</formula>
    </cfRule>
    <cfRule type="expression" dxfId="6106" priority="24">
      <formula>AND(L$9&gt;=14/24,L$9&lt;20/24)</formula>
    </cfRule>
    <cfRule type="expression" dxfId="6105" priority="25">
      <formula>AND(L$9&gt;=8/24,L$9&lt;14/24)</formula>
    </cfRule>
    <cfRule type="expression" dxfId="6104" priority="26">
      <formula>L$9&lt;8/24</formula>
    </cfRule>
  </conditionalFormatting>
  <conditionalFormatting sqref="L48">
    <cfRule type="expression" dxfId="6103" priority="15">
      <formula>L$9&gt;=20/24</formula>
    </cfRule>
    <cfRule type="expression" dxfId="6102" priority="16">
      <formula>AND(L$9&gt;=14/24,L$9&lt;20/24)</formula>
    </cfRule>
    <cfRule type="expression" dxfId="6101" priority="17">
      <formula>AND(L$9&gt;=8/24,L$9&lt;14/24)</formula>
    </cfRule>
    <cfRule type="expression" dxfId="6100" priority="18">
      <formula>L$9&lt;8/24</formula>
    </cfRule>
  </conditionalFormatting>
  <conditionalFormatting sqref="L43:L46">
    <cfRule type="expression" dxfId="6099" priority="11">
      <formula>L$9&gt;=20/24</formula>
    </cfRule>
    <cfRule type="expression" dxfId="6098" priority="12">
      <formula>AND(L$9&gt;=14/24,L$9&lt;20/24)</formula>
    </cfRule>
    <cfRule type="expression" dxfId="6097" priority="13">
      <formula>AND(L$9&gt;=8/24,L$9&lt;14/24)</formula>
    </cfRule>
    <cfRule type="expression" dxfId="6096" priority="14">
      <formula>L$9&lt;8/24</formula>
    </cfRule>
  </conditionalFormatting>
  <conditionalFormatting sqref="L43:L46 L37:L41 L48">
    <cfRule type="expression" dxfId="6095" priority="10">
      <formula>L37&gt;$AG37</formula>
    </cfRule>
  </conditionalFormatting>
  <conditionalFormatting sqref="L42">
    <cfRule type="expression" dxfId="6094" priority="6">
      <formula>L$9&gt;=20/24</formula>
    </cfRule>
    <cfRule type="expression" dxfId="6093" priority="7">
      <formula>AND(L$9&gt;=14/24,L$9&lt;20/24)</formula>
    </cfRule>
    <cfRule type="expression" dxfId="6092" priority="8">
      <formula>AND(L$9&gt;=8/24,L$9&lt;14/24)</formula>
    </cfRule>
    <cfRule type="expression" dxfId="6091" priority="9">
      <formula>L$9&lt;8/24</formula>
    </cfRule>
  </conditionalFormatting>
  <conditionalFormatting sqref="L42">
    <cfRule type="expression" dxfId="6090" priority="5">
      <formula>L42&gt;$AG42</formula>
    </cfRule>
  </conditionalFormatting>
  <conditionalFormatting sqref="L47">
    <cfRule type="expression" dxfId="6089" priority="1">
      <formula>L$9&gt;=20/24</formula>
    </cfRule>
    <cfRule type="expression" dxfId="6088" priority="2">
      <formula>AND(L$9&gt;=14/24,L$9&lt;20/24)</formula>
    </cfRule>
    <cfRule type="expression" dxfId="6087" priority="3">
      <formula>AND(L$9&gt;=8/24,L$9&lt;14/24)</formula>
    </cfRule>
    <cfRule type="expression" dxfId="6086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40" sqref="Y4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2078/04/16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-79</v>
      </c>
      <c r="C5" s="32">
        <f t="shared" ref="C5:AF5" si="0">C66</f>
        <v>-60</v>
      </c>
      <c r="D5" s="32">
        <f t="shared" si="0"/>
        <v>-62</v>
      </c>
      <c r="E5" s="32">
        <f t="shared" si="0"/>
        <v>-79</v>
      </c>
      <c r="F5" s="32">
        <f t="shared" si="0"/>
        <v>-38</v>
      </c>
      <c r="G5" s="32">
        <f t="shared" si="0"/>
        <v>-2</v>
      </c>
      <c r="H5" s="32">
        <f t="shared" si="0"/>
        <v>-8</v>
      </c>
      <c r="I5" s="32">
        <f t="shared" si="0"/>
        <v>-7</v>
      </c>
      <c r="J5" s="32">
        <f t="shared" si="0"/>
        <v>-2</v>
      </c>
      <c r="K5" s="32">
        <f t="shared" si="0"/>
        <v>-13</v>
      </c>
      <c r="L5" s="32">
        <f t="shared" si="0"/>
        <v>-11</v>
      </c>
      <c r="M5" s="32">
        <f t="shared" si="0"/>
        <v>-2</v>
      </c>
      <c r="N5" s="32">
        <f t="shared" si="0"/>
        <v>-44.3</v>
      </c>
      <c r="O5" s="32">
        <f t="shared" si="0"/>
        <v>-45.6</v>
      </c>
      <c r="P5" s="32">
        <f t="shared" si="0"/>
        <v>-16.899999999999999</v>
      </c>
      <c r="Q5" s="32">
        <f t="shared" si="0"/>
        <v>-41.8</v>
      </c>
      <c r="R5" s="32">
        <f t="shared" si="0"/>
        <v>7.2</v>
      </c>
      <c r="S5" s="32">
        <f t="shared" si="0"/>
        <v>0.9</v>
      </c>
      <c r="T5" s="32">
        <f t="shared" si="0"/>
        <v>-24</v>
      </c>
      <c r="U5" s="32">
        <f t="shared" si="0"/>
        <v>-47.3</v>
      </c>
      <c r="V5" s="32">
        <f t="shared" si="0"/>
        <v>-43.5</v>
      </c>
      <c r="W5" s="32">
        <f t="shared" si="0"/>
        <v>-30</v>
      </c>
      <c r="X5" s="32">
        <f t="shared" si="0"/>
        <v>-10.6</v>
      </c>
      <c r="Y5" s="32">
        <f t="shared" si="0"/>
        <v>-32</v>
      </c>
      <c r="Z5" s="32">
        <f t="shared" si="0"/>
        <v>-53.8</v>
      </c>
      <c r="AA5" s="32">
        <f t="shared" si="0"/>
        <v>-75.2</v>
      </c>
      <c r="AB5" s="32">
        <f t="shared" si="0"/>
        <v>-45.7</v>
      </c>
      <c r="AC5" s="32">
        <f t="shared" si="0"/>
        <v>-80</v>
      </c>
      <c r="AD5" s="32">
        <f t="shared" si="0"/>
        <v>-86.5</v>
      </c>
      <c r="AE5" s="32">
        <f t="shared" si="0"/>
        <v>-95</v>
      </c>
      <c r="AF5" s="32">
        <f t="shared" si="0"/>
        <v>-62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1077MW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Load=913</v>
      </c>
      <c r="B7" s="37">
        <f t="shared" ref="B7:AF7" si="1">B73</f>
        <v>974.04</v>
      </c>
      <c r="C7" s="37">
        <f t="shared" si="1"/>
        <v>960.83999999999992</v>
      </c>
      <c r="D7" s="37">
        <f t="shared" si="1"/>
        <v>947.53</v>
      </c>
      <c r="E7" s="37">
        <f t="shared" si="1"/>
        <v>913.44</v>
      </c>
      <c r="F7" s="37">
        <f t="shared" si="1"/>
        <v>953.34</v>
      </c>
      <c r="G7" s="37">
        <f t="shared" si="1"/>
        <v>1022.34</v>
      </c>
      <c r="H7" s="37">
        <f t="shared" si="1"/>
        <v>1012.84</v>
      </c>
      <c r="I7" s="37">
        <f t="shared" si="1"/>
        <v>1046.3400000000001</v>
      </c>
      <c r="J7" s="37">
        <f t="shared" si="1"/>
        <v>1052.44</v>
      </c>
      <c r="K7" s="37">
        <f t="shared" si="1"/>
        <v>1076.54</v>
      </c>
      <c r="L7" s="37">
        <f>L73</f>
        <v>1073.6399999999999</v>
      </c>
      <c r="M7" s="37">
        <f t="shared" si="1"/>
        <v>1072.04</v>
      </c>
      <c r="N7" s="37">
        <f t="shared" si="1"/>
        <v>1050.54</v>
      </c>
      <c r="O7" s="37">
        <f t="shared" si="1"/>
        <v>1048.74</v>
      </c>
      <c r="P7" s="37">
        <f t="shared" si="1"/>
        <v>1045.3399999999999</v>
      </c>
      <c r="Q7" s="37">
        <f t="shared" si="1"/>
        <v>1060.24</v>
      </c>
      <c r="R7" s="37">
        <f t="shared" si="1"/>
        <v>1071.04</v>
      </c>
      <c r="S7" s="37">
        <f t="shared" si="1"/>
        <v>1039.74</v>
      </c>
      <c r="T7" s="37">
        <f t="shared" si="1"/>
        <v>1045.6400000000001</v>
      </c>
      <c r="U7" s="37">
        <f t="shared" si="1"/>
        <v>1045.54</v>
      </c>
      <c r="V7" s="37">
        <f t="shared" si="1"/>
        <v>1081.94</v>
      </c>
      <c r="W7" s="37">
        <f t="shared" si="1"/>
        <v>1233.8399999999999</v>
      </c>
      <c r="X7" s="37">
        <f t="shared" si="1"/>
        <v>1296.6399999999999</v>
      </c>
      <c r="Y7" s="37">
        <f t="shared" si="1"/>
        <v>1284.6399999999999</v>
      </c>
      <c r="Z7" s="37">
        <f t="shared" si="1"/>
        <v>1224.4399999999998</v>
      </c>
      <c r="AA7" s="37">
        <f t="shared" si="1"/>
        <v>1172.4399999999998</v>
      </c>
      <c r="AB7" s="37">
        <f t="shared" si="1"/>
        <v>1135.04</v>
      </c>
      <c r="AC7" s="37">
        <f t="shared" si="1"/>
        <v>1085.54</v>
      </c>
      <c r="AD7" s="37">
        <f t="shared" si="1"/>
        <v>985.94</v>
      </c>
      <c r="AE7" s="37">
        <f t="shared" si="1"/>
        <v>946.74</v>
      </c>
      <c r="AF7" s="37">
        <f t="shared" si="1"/>
        <v>936.44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0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2">
        <v>0</v>
      </c>
      <c r="S11" s="52">
        <v>0</v>
      </c>
      <c r="T11" s="52">
        <v>0</v>
      </c>
      <c r="U11" s="52">
        <v>50</v>
      </c>
      <c r="V11" s="52">
        <v>120.6</v>
      </c>
      <c r="W11" s="52">
        <v>250</v>
      </c>
      <c r="X11" s="52">
        <v>281.39999999999998</v>
      </c>
      <c r="Y11" s="53">
        <v>270.5</v>
      </c>
      <c r="Z11" s="53">
        <v>240</v>
      </c>
      <c r="AA11" s="115">
        <v>200</v>
      </c>
      <c r="AB11" s="115">
        <v>160</v>
      </c>
      <c r="AC11" s="115">
        <v>160</v>
      </c>
      <c r="AD11" s="115">
        <v>140</v>
      </c>
      <c r="AE11" s="49">
        <v>140</v>
      </c>
      <c r="AF11" s="49">
        <v>140</v>
      </c>
      <c r="AG11" s="54">
        <v>456</v>
      </c>
      <c r="AH11" s="55">
        <f>MAX(B11:AF11)</f>
        <v>281.39999999999998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48</v>
      </c>
      <c r="U12" s="59">
        <v>48</v>
      </c>
      <c r="V12" s="59">
        <v>48</v>
      </c>
      <c r="W12" s="59">
        <v>48</v>
      </c>
      <c r="X12" s="59">
        <v>60</v>
      </c>
      <c r="Y12" s="50">
        <v>60</v>
      </c>
      <c r="Z12" s="50">
        <v>60</v>
      </c>
      <c r="AA12" s="50">
        <v>60</v>
      </c>
      <c r="AB12" s="50">
        <v>48</v>
      </c>
      <c r="AC12" s="50">
        <v>48</v>
      </c>
      <c r="AD12" s="50">
        <v>48</v>
      </c>
      <c r="AE12" s="49">
        <v>48</v>
      </c>
      <c r="AF12" s="49">
        <v>48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</v>
      </c>
      <c r="C14" s="62">
        <v>45.6</v>
      </c>
      <c r="D14" s="62">
        <v>36</v>
      </c>
      <c r="E14" s="62">
        <v>36</v>
      </c>
      <c r="F14" s="62">
        <v>36</v>
      </c>
      <c r="G14" s="62">
        <v>45</v>
      </c>
      <c r="H14" s="62">
        <v>46</v>
      </c>
      <c r="I14" s="62">
        <v>46</v>
      </c>
      <c r="J14" s="62">
        <v>46</v>
      </c>
      <c r="K14" s="62">
        <v>46</v>
      </c>
      <c r="L14" s="62">
        <v>45.9</v>
      </c>
      <c r="M14" s="62">
        <v>46.3</v>
      </c>
      <c r="N14" s="62">
        <v>46</v>
      </c>
      <c r="O14" s="62">
        <v>46</v>
      </c>
      <c r="P14" s="62">
        <v>45.9</v>
      </c>
      <c r="Q14" s="62">
        <v>45.9</v>
      </c>
      <c r="R14" s="61">
        <v>45.9</v>
      </c>
      <c r="S14" s="61">
        <v>36.9</v>
      </c>
      <c r="T14" s="61">
        <v>36.9</v>
      </c>
      <c r="U14" s="61">
        <v>36.9</v>
      </c>
      <c r="V14" s="61">
        <v>36.9</v>
      </c>
      <c r="W14" s="61">
        <v>36.9</v>
      </c>
      <c r="X14" s="61">
        <v>36.9</v>
      </c>
      <c r="Y14" s="50">
        <v>36.9</v>
      </c>
      <c r="Z14" s="50">
        <v>36.9</v>
      </c>
      <c r="AA14" s="50">
        <v>45.9</v>
      </c>
      <c r="AB14" s="50">
        <v>37</v>
      </c>
      <c r="AC14" s="50">
        <v>36</v>
      </c>
      <c r="AD14" s="50">
        <v>36</v>
      </c>
      <c r="AE14" s="62">
        <v>36</v>
      </c>
      <c r="AF14" s="62">
        <v>36</v>
      </c>
      <c r="AG14" s="63">
        <v>45</v>
      </c>
      <c r="AH14" s="55">
        <f t="shared" si="2"/>
        <v>46.3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84">
        <v>24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49">
        <v>26</v>
      </c>
      <c r="AF15" s="49">
        <v>26</v>
      </c>
      <c r="AG15" s="60">
        <v>45</v>
      </c>
      <c r="AH15" s="55">
        <f t="shared" si="2"/>
        <v>26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49">
        <v>20</v>
      </c>
      <c r="AF16" s="49">
        <v>20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49">
        <v>25</v>
      </c>
      <c r="M17" s="49">
        <v>25</v>
      </c>
      <c r="N17" s="49">
        <v>25</v>
      </c>
      <c r="O17" s="49">
        <v>25</v>
      </c>
      <c r="P17" s="49">
        <v>25</v>
      </c>
      <c r="Q17" s="49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20</v>
      </c>
      <c r="AF17" s="49">
        <v>20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20</v>
      </c>
      <c r="E18" s="49">
        <v>20</v>
      </c>
      <c r="F18" s="49">
        <v>20</v>
      </c>
      <c r="G18" s="49">
        <v>20</v>
      </c>
      <c r="H18" s="49">
        <v>25</v>
      </c>
      <c r="I18" s="49">
        <v>25</v>
      </c>
      <c r="J18" s="49">
        <v>25</v>
      </c>
      <c r="K18" s="49">
        <v>25</v>
      </c>
      <c r="L18" s="49">
        <v>25</v>
      </c>
      <c r="M18" s="49">
        <v>25</v>
      </c>
      <c r="N18" s="49">
        <v>25</v>
      </c>
      <c r="O18" s="49">
        <v>25</v>
      </c>
      <c r="P18" s="49">
        <v>25</v>
      </c>
      <c r="Q18" s="49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20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20</v>
      </c>
      <c r="AD18" s="50">
        <v>20</v>
      </c>
      <c r="AE18" s="49">
        <v>20</v>
      </c>
      <c r="AF18" s="49">
        <v>20</v>
      </c>
      <c r="AG18" s="60">
        <v>30</v>
      </c>
      <c r="AH18" s="55">
        <f t="shared" si="2"/>
        <v>25.2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49">
        <v>6.2</v>
      </c>
      <c r="AF19" s="49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49">
        <v>11</v>
      </c>
      <c r="M20" s="49">
        <v>11</v>
      </c>
      <c r="N20" s="49">
        <v>11</v>
      </c>
      <c r="O20" s="49">
        <v>11</v>
      </c>
      <c r="P20" s="49">
        <v>11</v>
      </c>
      <c r="Q20" s="49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18</v>
      </c>
      <c r="AC21" s="50">
        <v>18</v>
      </c>
      <c r="AD21" s="50">
        <v>18</v>
      </c>
      <c r="AE21" s="49">
        <v>18</v>
      </c>
      <c r="AF21" s="49">
        <v>18</v>
      </c>
      <c r="AG21" s="60">
        <v>25</v>
      </c>
      <c r="AH21" s="55">
        <f t="shared" si="2"/>
        <v>22</v>
      </c>
      <c r="AI21" s="56">
        <f t="shared" si="3"/>
        <v>18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49">
        <v>18</v>
      </c>
      <c r="AF22" s="49">
        <v>18</v>
      </c>
      <c r="AG22" s="60">
        <v>25</v>
      </c>
      <c r="AH22" s="55">
        <f t="shared" si="2"/>
        <v>22</v>
      </c>
      <c r="AI22" s="56">
        <f t="shared" si="3"/>
        <v>18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18</v>
      </c>
      <c r="E23" s="49">
        <v>18</v>
      </c>
      <c r="F23" s="49">
        <v>18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18</v>
      </c>
      <c r="AD23" s="50">
        <v>18</v>
      </c>
      <c r="AE23" s="49">
        <v>18</v>
      </c>
      <c r="AF23" s="49">
        <v>18</v>
      </c>
      <c r="AG23" s="60">
        <v>25</v>
      </c>
      <c r="AH23" s="55">
        <f t="shared" si="2"/>
        <v>22</v>
      </c>
      <c r="AI23" s="56">
        <f t="shared" si="3"/>
        <v>18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18</v>
      </c>
      <c r="AE24" s="49">
        <v>18</v>
      </c>
      <c r="AF24" s="49">
        <v>18</v>
      </c>
      <c r="AG24" s="60">
        <v>24.2</v>
      </c>
      <c r="AH24" s="55">
        <f t="shared" si="2"/>
        <v>22</v>
      </c>
      <c r="AI24" s="56">
        <f t="shared" si="3"/>
        <v>18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49">
        <v>4</v>
      </c>
      <c r="M25" s="49">
        <v>4</v>
      </c>
      <c r="N25" s="49">
        <v>4</v>
      </c>
      <c r="O25" s="49">
        <v>4</v>
      </c>
      <c r="P25" s="49">
        <v>4</v>
      </c>
      <c r="Q25" s="49">
        <v>4</v>
      </c>
      <c r="R25" s="50">
        <v>4</v>
      </c>
      <c r="S25" s="50">
        <v>8</v>
      </c>
      <c r="T25" s="50">
        <v>8</v>
      </c>
      <c r="U25" s="50">
        <v>8</v>
      </c>
      <c r="V25" s="50">
        <v>8</v>
      </c>
      <c r="W25" s="50">
        <v>12</v>
      </c>
      <c r="X25" s="50">
        <v>12</v>
      </c>
      <c r="Y25" s="50">
        <v>12</v>
      </c>
      <c r="Z25" s="50">
        <v>12</v>
      </c>
      <c r="AA25" s="50">
        <v>12</v>
      </c>
      <c r="AB25" s="50">
        <v>12</v>
      </c>
      <c r="AC25" s="50">
        <v>8</v>
      </c>
      <c r="AD25" s="50">
        <v>8</v>
      </c>
      <c r="AE25" s="49">
        <v>8</v>
      </c>
      <c r="AF25" s="49">
        <v>8</v>
      </c>
      <c r="AG25" s="60">
        <v>20</v>
      </c>
      <c r="AH25" s="55">
        <f t="shared" si="2"/>
        <v>12</v>
      </c>
      <c r="AI25" s="56">
        <f t="shared" si="3"/>
        <v>4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49">
        <v>14.9</v>
      </c>
      <c r="M26" s="49">
        <v>14.9</v>
      </c>
      <c r="N26" s="49">
        <v>14.9</v>
      </c>
      <c r="O26" s="49">
        <v>14.9</v>
      </c>
      <c r="P26" s="49">
        <v>14.9</v>
      </c>
      <c r="Q26" s="49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>
        <v>14.9</v>
      </c>
      <c r="AE26" s="49">
        <v>11</v>
      </c>
      <c r="AF26" s="49">
        <v>11</v>
      </c>
      <c r="AG26" s="60">
        <v>23.5</v>
      </c>
      <c r="AH26" s="55">
        <f t="shared" si="2"/>
        <v>14.9</v>
      </c>
      <c r="AI26" s="56">
        <f t="shared" si="3"/>
        <v>11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49">
        <v>10</v>
      </c>
      <c r="M27" s="49">
        <v>10</v>
      </c>
      <c r="N27" s="49">
        <v>10</v>
      </c>
      <c r="O27" s="49">
        <v>10</v>
      </c>
      <c r="P27" s="49">
        <v>10</v>
      </c>
      <c r="Q27" s="49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49">
        <v>10</v>
      </c>
      <c r="AF27" s="49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49">
        <v>12.4</v>
      </c>
      <c r="M28" s="49">
        <v>12.4</v>
      </c>
      <c r="N28" s="49">
        <v>12.4</v>
      </c>
      <c r="O28" s="49">
        <v>12.4</v>
      </c>
      <c r="P28" s="49">
        <v>12.4</v>
      </c>
      <c r="Q28" s="49">
        <v>12.4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49">
        <v>12.4</v>
      </c>
      <c r="AF28" s="49">
        <v>12.4</v>
      </c>
      <c r="AG28" s="60">
        <v>22.1</v>
      </c>
      <c r="AH28" s="55">
        <f t="shared" si="2"/>
        <v>12.4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49">
        <v>12</v>
      </c>
      <c r="M29" s="49">
        <v>12</v>
      </c>
      <c r="N29" s="49">
        <v>12</v>
      </c>
      <c r="O29" s="49">
        <v>12</v>
      </c>
      <c r="P29" s="49">
        <v>12</v>
      </c>
      <c r="Q29" s="49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10.5</v>
      </c>
      <c r="AE29" s="49">
        <v>10.5</v>
      </c>
      <c r="AF29" s="49">
        <v>10.5</v>
      </c>
      <c r="AG29" s="60">
        <v>22.1</v>
      </c>
      <c r="AH29" s="55">
        <f t="shared" si="2"/>
        <v>12</v>
      </c>
      <c r="AI29" s="56">
        <f t="shared" si="3"/>
        <v>10.5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62">
        <v>12</v>
      </c>
      <c r="M30" s="62">
        <v>12</v>
      </c>
      <c r="N30" s="62">
        <v>12</v>
      </c>
      <c r="O30" s="62">
        <v>12</v>
      </c>
      <c r="P30" s="62">
        <v>12</v>
      </c>
      <c r="Q30" s="62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62">
        <v>12</v>
      </c>
      <c r="AF30" s="62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62">
        <v>0</v>
      </c>
      <c r="AF31" s="62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62">
        <v>0</v>
      </c>
      <c r="AF32" s="62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62">
        <v>0</v>
      </c>
      <c r="AF33" s="62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168.39999999999998</v>
      </c>
      <c r="C35" s="62">
        <v>168.39999999999998</v>
      </c>
      <c r="D35" s="62">
        <v>168.39999999999998</v>
      </c>
      <c r="E35" s="62">
        <v>165</v>
      </c>
      <c r="F35" s="62">
        <v>163</v>
      </c>
      <c r="G35" s="62">
        <v>163</v>
      </c>
      <c r="H35" s="62">
        <v>163</v>
      </c>
      <c r="I35" s="62">
        <v>165</v>
      </c>
      <c r="J35" s="62">
        <v>147</v>
      </c>
      <c r="K35" s="62">
        <v>159.6</v>
      </c>
      <c r="L35" s="62">
        <v>161.4</v>
      </c>
      <c r="M35" s="62">
        <v>158.80000000000001</v>
      </c>
      <c r="N35" s="62">
        <v>160.30000000000001</v>
      </c>
      <c r="O35" s="62">
        <v>158.69999999999999</v>
      </c>
      <c r="P35" s="62">
        <v>158.6</v>
      </c>
      <c r="Q35" s="62">
        <v>156.30000000000001</v>
      </c>
      <c r="R35" s="70">
        <v>156.30000000000001</v>
      </c>
      <c r="S35" s="70">
        <v>160.9</v>
      </c>
      <c r="T35" s="70">
        <v>160.9</v>
      </c>
      <c r="U35" s="70">
        <v>160.4</v>
      </c>
      <c r="V35" s="70">
        <v>159.4</v>
      </c>
      <c r="W35" s="70">
        <v>156.9</v>
      </c>
      <c r="X35" s="70">
        <v>154.4</v>
      </c>
      <c r="Y35" s="70">
        <v>159.9</v>
      </c>
      <c r="Z35" s="70">
        <v>161.4</v>
      </c>
      <c r="AA35" s="70">
        <f>72.3+91.1</f>
        <v>163.39999999999998</v>
      </c>
      <c r="AB35" s="70">
        <f>72.4+91.8</f>
        <v>164.2</v>
      </c>
      <c r="AC35" s="70">
        <f>92.2+72.5</f>
        <v>164.7</v>
      </c>
      <c r="AD35" s="70">
        <f>92.2+72.5</f>
        <v>164.7</v>
      </c>
      <c r="AE35" s="62">
        <f>57+90.2</f>
        <v>147.19999999999999</v>
      </c>
      <c r="AF35" s="62">
        <f>55.6+84</f>
        <v>139.6</v>
      </c>
      <c r="AG35" s="67">
        <v>240</v>
      </c>
      <c r="AH35" s="55">
        <f t="shared" si="2"/>
        <v>168.39999999999998</v>
      </c>
      <c r="AI35" s="56">
        <f t="shared" si="3"/>
        <v>139.6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603.29999999999995</v>
      </c>
      <c r="C36" s="72">
        <f t="shared" si="4"/>
        <v>603.29999999999995</v>
      </c>
      <c r="D36" s="72">
        <f t="shared" si="4"/>
        <v>584.5</v>
      </c>
      <c r="E36" s="72">
        <f t="shared" si="4"/>
        <v>584.5</v>
      </c>
      <c r="F36" s="72">
        <f t="shared" si="4"/>
        <v>578.5</v>
      </c>
      <c r="G36" s="72">
        <f t="shared" si="4"/>
        <v>591.5</v>
      </c>
      <c r="H36" s="72">
        <f t="shared" si="4"/>
        <v>597.5</v>
      </c>
      <c r="I36" s="72">
        <f t="shared" si="4"/>
        <v>597.5</v>
      </c>
      <c r="J36" s="72">
        <f t="shared" si="4"/>
        <v>597.5</v>
      </c>
      <c r="K36" s="72">
        <f t="shared" si="4"/>
        <v>571.5</v>
      </c>
      <c r="L36" s="72">
        <f t="shared" si="4"/>
        <v>571.4</v>
      </c>
      <c r="M36" s="72">
        <f t="shared" si="4"/>
        <v>571.79999999999995</v>
      </c>
      <c r="N36" s="72">
        <f t="shared" si="4"/>
        <v>571.5</v>
      </c>
      <c r="O36" s="72">
        <f t="shared" si="4"/>
        <v>571.5</v>
      </c>
      <c r="P36" s="72">
        <f t="shared" si="4"/>
        <v>571.4</v>
      </c>
      <c r="Q36" s="72">
        <f t="shared" si="4"/>
        <v>571.4</v>
      </c>
      <c r="R36" s="72">
        <f t="shared" si="4"/>
        <v>583</v>
      </c>
      <c r="S36" s="72">
        <f t="shared" si="4"/>
        <v>580</v>
      </c>
      <c r="T36" s="72">
        <f t="shared" si="4"/>
        <v>568</v>
      </c>
      <c r="U36" s="72">
        <f t="shared" si="4"/>
        <v>618</v>
      </c>
      <c r="V36" s="72">
        <f t="shared" si="4"/>
        <v>683.59999999999991</v>
      </c>
      <c r="W36" s="72">
        <f t="shared" si="4"/>
        <v>821.99999999999989</v>
      </c>
      <c r="X36" s="72">
        <f t="shared" si="4"/>
        <v>865.4</v>
      </c>
      <c r="Y36" s="72">
        <f t="shared" si="4"/>
        <v>866.89999999999986</v>
      </c>
      <c r="Z36" s="72">
        <f t="shared" si="4"/>
        <v>836.39999999999986</v>
      </c>
      <c r="AA36" s="72">
        <f t="shared" si="4"/>
        <v>805.39999999999986</v>
      </c>
      <c r="AB36" s="72">
        <f t="shared" si="4"/>
        <v>740.5</v>
      </c>
      <c r="AC36" s="72">
        <f t="shared" si="4"/>
        <v>726.5</v>
      </c>
      <c r="AD36" s="72">
        <f t="shared" si="4"/>
        <v>701</v>
      </c>
      <c r="AE36" s="72">
        <f t="shared" si="4"/>
        <v>683.09999999999991</v>
      </c>
      <c r="AF36" s="72">
        <f t="shared" si="4"/>
        <v>683.09999999999991</v>
      </c>
      <c r="AG36" s="67">
        <f>SUM(AG11:AG35)</f>
        <v>1431.83</v>
      </c>
      <c r="AH36" s="55">
        <f t="shared" si="2"/>
        <v>866.89999999999986</v>
      </c>
      <c r="AI36" s="56">
        <f t="shared" si="3"/>
        <v>568</v>
      </c>
      <c r="AK36" s="57"/>
    </row>
    <row r="37" spans="1:88" x14ac:dyDescent="0.25">
      <c r="A37" s="58" t="s">
        <v>44</v>
      </c>
      <c r="B37" s="62">
        <v>139</v>
      </c>
      <c r="C37" s="62">
        <v>120</v>
      </c>
      <c r="D37" s="62">
        <v>121</v>
      </c>
      <c r="E37" s="62">
        <v>129</v>
      </c>
      <c r="F37" s="62">
        <v>128</v>
      </c>
      <c r="G37" s="62">
        <v>142.5</v>
      </c>
      <c r="H37" s="62">
        <v>139</v>
      </c>
      <c r="I37" s="62">
        <v>144.1</v>
      </c>
      <c r="J37" s="62">
        <v>145</v>
      </c>
      <c r="K37" s="62">
        <v>145.19999999999999</v>
      </c>
      <c r="L37" s="62">
        <v>145.19999999999999</v>
      </c>
      <c r="M37" s="62">
        <v>142.80000000000001</v>
      </c>
      <c r="N37" s="62">
        <v>144.9</v>
      </c>
      <c r="O37" s="62">
        <v>144.69999999999999</v>
      </c>
      <c r="P37" s="62">
        <v>132.19999999999999</v>
      </c>
      <c r="Q37" s="62">
        <v>135.19999999999999</v>
      </c>
      <c r="R37" s="50">
        <v>135.19999999999999</v>
      </c>
      <c r="S37" s="50">
        <v>145.1</v>
      </c>
      <c r="T37" s="50">
        <v>144.80000000000001</v>
      </c>
      <c r="U37" s="50">
        <v>144.80000000000001</v>
      </c>
      <c r="V37" s="50">
        <v>144.80000000000001</v>
      </c>
      <c r="W37" s="50">
        <v>144.80000000000001</v>
      </c>
      <c r="X37" s="50">
        <v>144.80000000000001</v>
      </c>
      <c r="Y37" s="50">
        <v>144.80000000000001</v>
      </c>
      <c r="Z37" s="50">
        <v>144.80000000000001</v>
      </c>
      <c r="AA37" s="50">
        <v>145</v>
      </c>
      <c r="AB37" s="50">
        <v>144.80000000000001</v>
      </c>
      <c r="AC37" s="50">
        <v>144.69999999999999</v>
      </c>
      <c r="AD37" s="50">
        <v>126.5</v>
      </c>
      <c r="AE37" s="49">
        <v>116.4</v>
      </c>
      <c r="AF37" s="49">
        <v>120.8</v>
      </c>
      <c r="AG37" s="63">
        <v>144</v>
      </c>
      <c r="AH37" s="55">
        <f t="shared" si="2"/>
        <v>145.19999999999999</v>
      </c>
      <c r="AI37" s="56">
        <f t="shared" si="3"/>
        <v>116.4</v>
      </c>
      <c r="AK37" s="57"/>
    </row>
    <row r="38" spans="1:88" x14ac:dyDescent="0.25">
      <c r="A38" s="66" t="s">
        <v>45</v>
      </c>
      <c r="B38" s="62">
        <v>62.9</v>
      </c>
      <c r="C38" s="62">
        <v>62.9</v>
      </c>
      <c r="D38" s="62">
        <v>62.9</v>
      </c>
      <c r="E38" s="62">
        <v>65.5</v>
      </c>
      <c r="F38" s="62">
        <v>66</v>
      </c>
      <c r="G38" s="62">
        <v>70</v>
      </c>
      <c r="H38" s="62">
        <v>70</v>
      </c>
      <c r="I38" s="62">
        <v>70</v>
      </c>
      <c r="J38" s="62">
        <v>70</v>
      </c>
      <c r="K38" s="62">
        <v>70</v>
      </c>
      <c r="L38" s="62">
        <v>70</v>
      </c>
      <c r="M38" s="62">
        <v>70.3</v>
      </c>
      <c r="N38" s="62">
        <v>69.599999999999994</v>
      </c>
      <c r="O38" s="62">
        <v>69.7</v>
      </c>
      <c r="P38" s="62">
        <v>69.7</v>
      </c>
      <c r="Q38" s="62">
        <v>70.400000000000006</v>
      </c>
      <c r="R38" s="52">
        <v>70.400000000000006</v>
      </c>
      <c r="S38" s="52">
        <v>70.400000000000006</v>
      </c>
      <c r="T38" s="52">
        <v>71.099999999999994</v>
      </c>
      <c r="U38" s="52">
        <v>71.099999999999994</v>
      </c>
      <c r="V38" s="52">
        <v>71.099999999999994</v>
      </c>
      <c r="W38" s="52">
        <v>71.099999999999994</v>
      </c>
      <c r="X38" s="52">
        <v>71.099999999999994</v>
      </c>
      <c r="Y38" s="52">
        <v>71.099999999999994</v>
      </c>
      <c r="Z38" s="52">
        <v>71.099999999999994</v>
      </c>
      <c r="AA38" s="52">
        <v>70</v>
      </c>
      <c r="AB38" s="52">
        <v>70</v>
      </c>
      <c r="AC38" s="52">
        <v>69</v>
      </c>
      <c r="AD38" s="52">
        <v>49.2</v>
      </c>
      <c r="AE38" s="62">
        <v>49.7</v>
      </c>
      <c r="AF38" s="62">
        <v>34</v>
      </c>
      <c r="AG38" s="67">
        <v>70</v>
      </c>
      <c r="AH38" s="55">
        <f t="shared" si="2"/>
        <v>71.099999999999994</v>
      </c>
      <c r="AI38" s="56">
        <f t="shared" si="3"/>
        <v>34</v>
      </c>
      <c r="AK38" s="57"/>
    </row>
    <row r="39" spans="1:88" x14ac:dyDescent="0.25">
      <c r="A39" s="66" t="s">
        <v>46</v>
      </c>
      <c r="B39" s="62">
        <v>63.7</v>
      </c>
      <c r="C39" s="62">
        <v>63.7</v>
      </c>
      <c r="D39" s="62">
        <v>69</v>
      </c>
      <c r="E39" s="62">
        <v>62</v>
      </c>
      <c r="F39" s="62">
        <v>67.400000000000006</v>
      </c>
      <c r="G39" s="62">
        <v>69</v>
      </c>
      <c r="H39" s="62">
        <v>69</v>
      </c>
      <c r="I39" s="62">
        <v>69.7</v>
      </c>
      <c r="J39" s="62">
        <v>70</v>
      </c>
      <c r="K39" s="62">
        <v>69.3</v>
      </c>
      <c r="L39" s="62">
        <v>69.2</v>
      </c>
      <c r="M39" s="62">
        <v>69.3</v>
      </c>
      <c r="N39" s="62">
        <v>69.3</v>
      </c>
      <c r="O39" s="62">
        <v>69.599999999999994</v>
      </c>
      <c r="P39" s="62">
        <v>70</v>
      </c>
      <c r="Q39" s="62">
        <v>69.900000000000006</v>
      </c>
      <c r="R39" s="52">
        <v>69.900000000000006</v>
      </c>
      <c r="S39" s="52">
        <v>69.599999999999994</v>
      </c>
      <c r="T39" s="52">
        <v>69.900000000000006</v>
      </c>
      <c r="U39" s="52">
        <v>69.900000000000006</v>
      </c>
      <c r="V39" s="52">
        <v>69.900000000000006</v>
      </c>
      <c r="W39" s="52">
        <v>69.900000000000006</v>
      </c>
      <c r="X39" s="52">
        <v>69.900000000000006</v>
      </c>
      <c r="Y39" s="52">
        <v>69.900000000000006</v>
      </c>
      <c r="Z39" s="52">
        <v>69.900000000000006</v>
      </c>
      <c r="AA39" s="52">
        <v>71</v>
      </c>
      <c r="AB39" s="52">
        <v>69.8</v>
      </c>
      <c r="AC39" s="52">
        <v>69.599999999999994</v>
      </c>
      <c r="AD39" s="52">
        <v>61.7</v>
      </c>
      <c r="AE39" s="62">
        <v>61.9</v>
      </c>
      <c r="AF39" s="62">
        <v>46.3</v>
      </c>
      <c r="AG39" s="67">
        <v>69</v>
      </c>
      <c r="AH39" s="55">
        <f t="shared" si="2"/>
        <v>71</v>
      </c>
      <c r="AI39" s="56">
        <f t="shared" si="3"/>
        <v>46.3</v>
      </c>
      <c r="AK39" s="57"/>
    </row>
    <row r="40" spans="1:88" x14ac:dyDescent="0.25">
      <c r="A40" s="66" t="s">
        <v>47</v>
      </c>
      <c r="B40" s="62">
        <v>61.4</v>
      </c>
      <c r="C40" s="62">
        <v>61.4</v>
      </c>
      <c r="D40" s="62">
        <v>61.4</v>
      </c>
      <c r="E40" s="62">
        <v>62</v>
      </c>
      <c r="F40" s="62">
        <v>62</v>
      </c>
      <c r="G40" s="62">
        <v>62</v>
      </c>
      <c r="H40" s="62">
        <v>62</v>
      </c>
      <c r="I40" s="62">
        <v>62</v>
      </c>
      <c r="J40" s="62">
        <v>62</v>
      </c>
      <c r="K40" s="62">
        <v>62</v>
      </c>
      <c r="L40" s="62">
        <v>61.4</v>
      </c>
      <c r="M40" s="62">
        <v>61.4</v>
      </c>
      <c r="N40" s="62">
        <v>61.4</v>
      </c>
      <c r="O40" s="62">
        <v>61.7</v>
      </c>
      <c r="P40" s="62">
        <v>61.4</v>
      </c>
      <c r="Q40" s="62">
        <v>61.4</v>
      </c>
      <c r="R40" s="52">
        <v>61.4</v>
      </c>
      <c r="S40" s="52">
        <v>58.7</v>
      </c>
      <c r="T40" s="52">
        <v>58.2</v>
      </c>
      <c r="U40" s="52">
        <v>59.7</v>
      </c>
      <c r="V40" s="52">
        <v>59.7</v>
      </c>
      <c r="W40" s="52">
        <v>59.7</v>
      </c>
      <c r="X40" s="52">
        <v>59.7</v>
      </c>
      <c r="Y40" s="52">
        <v>59.7</v>
      </c>
      <c r="Z40" s="52">
        <v>59.7</v>
      </c>
      <c r="AA40" s="52">
        <v>61.4</v>
      </c>
      <c r="AB40" s="52">
        <v>60.7</v>
      </c>
      <c r="AC40" s="52">
        <v>60.9</v>
      </c>
      <c r="AD40" s="52">
        <v>41.1</v>
      </c>
      <c r="AE40" s="62">
        <v>40.799999999999997</v>
      </c>
      <c r="AF40" s="62">
        <v>40.799999999999997</v>
      </c>
      <c r="AG40" s="67">
        <v>60</v>
      </c>
      <c r="AH40" s="55">
        <f t="shared" si="2"/>
        <v>62</v>
      </c>
      <c r="AI40" s="56">
        <f t="shared" si="3"/>
        <v>40.799999999999997</v>
      </c>
      <c r="AK40" s="57"/>
    </row>
    <row r="41" spans="1:88" x14ac:dyDescent="0.25">
      <c r="A41" s="66" t="s">
        <v>48</v>
      </c>
      <c r="B41" s="62">
        <v>30</v>
      </c>
      <c r="C41" s="62">
        <v>30</v>
      </c>
      <c r="D41" s="62">
        <v>30</v>
      </c>
      <c r="E41" s="62">
        <v>30</v>
      </c>
      <c r="F41" s="62">
        <v>30</v>
      </c>
      <c r="G41" s="62">
        <v>30</v>
      </c>
      <c r="H41" s="62">
        <v>24</v>
      </c>
      <c r="I41" s="62">
        <v>30</v>
      </c>
      <c r="J41" s="62">
        <v>30</v>
      </c>
      <c r="K41" s="62">
        <v>30</v>
      </c>
      <c r="L41" s="62">
        <v>30</v>
      </c>
      <c r="M41" s="62">
        <v>29.6</v>
      </c>
      <c r="N41" s="62">
        <v>29.7</v>
      </c>
      <c r="O41" s="62">
        <v>29.9</v>
      </c>
      <c r="P41" s="62">
        <v>29.9</v>
      </c>
      <c r="Q41" s="62">
        <v>29.9</v>
      </c>
      <c r="R41" s="50">
        <v>29.9</v>
      </c>
      <c r="S41" s="50">
        <v>0</v>
      </c>
      <c r="T41" s="50">
        <v>29.7</v>
      </c>
      <c r="U41" s="50">
        <v>29.7</v>
      </c>
      <c r="V41" s="50">
        <v>29.7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29.8</v>
      </c>
      <c r="AC41" s="52">
        <v>29.7</v>
      </c>
      <c r="AD41" s="52">
        <v>27.8</v>
      </c>
      <c r="AE41" s="62">
        <v>28.7</v>
      </c>
      <c r="AF41" s="62">
        <v>15.1</v>
      </c>
      <c r="AG41" s="67">
        <v>30</v>
      </c>
      <c r="AH41" s="55">
        <f t="shared" si="2"/>
        <v>30</v>
      </c>
      <c r="AI41" s="56">
        <f t="shared" si="3"/>
        <v>0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18.2</v>
      </c>
      <c r="C43" s="73">
        <v>18.2</v>
      </c>
      <c r="D43" s="73">
        <v>18.2</v>
      </c>
      <c r="E43" s="73">
        <v>18.3</v>
      </c>
      <c r="F43" s="73">
        <v>18.3</v>
      </c>
      <c r="G43" s="73">
        <v>18.2</v>
      </c>
      <c r="H43" s="73">
        <v>18.2</v>
      </c>
      <c r="I43" s="73">
        <v>18.2</v>
      </c>
      <c r="J43" s="73">
        <v>18.5</v>
      </c>
      <c r="K43" s="73">
        <v>18.5</v>
      </c>
      <c r="L43" s="73">
        <v>18.5</v>
      </c>
      <c r="M43" s="73">
        <v>18.5</v>
      </c>
      <c r="N43" s="73">
        <v>18.5</v>
      </c>
      <c r="O43" s="73">
        <v>18.5</v>
      </c>
      <c r="P43" s="73">
        <v>18.5</v>
      </c>
      <c r="Q43" s="73">
        <v>18.5</v>
      </c>
      <c r="R43" s="50">
        <v>18.5</v>
      </c>
      <c r="S43" s="50">
        <v>18.5</v>
      </c>
      <c r="T43" s="50">
        <v>18.5</v>
      </c>
      <c r="U43" s="50">
        <v>18.5</v>
      </c>
      <c r="V43" s="50">
        <v>18.5</v>
      </c>
      <c r="W43" s="50">
        <v>18.5</v>
      </c>
      <c r="X43" s="50">
        <v>18.5</v>
      </c>
      <c r="Y43" s="50">
        <v>18.5</v>
      </c>
      <c r="Z43" s="50">
        <v>18.5</v>
      </c>
      <c r="AA43" s="50">
        <v>17</v>
      </c>
      <c r="AB43" s="50">
        <v>17</v>
      </c>
      <c r="AC43" s="50">
        <v>17</v>
      </c>
      <c r="AD43" s="50">
        <v>17</v>
      </c>
      <c r="AE43" s="50">
        <v>17</v>
      </c>
      <c r="AF43" s="50">
        <v>17</v>
      </c>
      <c r="AG43" s="67">
        <v>24</v>
      </c>
      <c r="AH43" s="55">
        <f t="shared" si="2"/>
        <v>18.5</v>
      </c>
      <c r="AI43" s="56">
        <f t="shared" si="3"/>
        <v>17</v>
      </c>
      <c r="AK43" s="57"/>
    </row>
    <row r="44" spans="1:88" x14ac:dyDescent="0.25">
      <c r="A44" s="66" t="s">
        <v>51</v>
      </c>
      <c r="B44" s="62">
        <v>3</v>
      </c>
      <c r="C44" s="62">
        <v>3</v>
      </c>
      <c r="D44" s="62">
        <v>3</v>
      </c>
      <c r="E44" s="62">
        <v>3</v>
      </c>
      <c r="F44" s="62">
        <v>3</v>
      </c>
      <c r="G44" s="62">
        <v>3</v>
      </c>
      <c r="H44" s="62">
        <v>3</v>
      </c>
      <c r="I44" s="62">
        <v>3</v>
      </c>
      <c r="J44" s="62">
        <v>3</v>
      </c>
      <c r="K44" s="62">
        <v>3</v>
      </c>
      <c r="L44" s="62">
        <v>3</v>
      </c>
      <c r="M44" s="62">
        <v>3</v>
      </c>
      <c r="N44" s="62">
        <v>3</v>
      </c>
      <c r="O44" s="62">
        <v>3</v>
      </c>
      <c r="P44" s="62">
        <v>3</v>
      </c>
      <c r="Q44" s="62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62">
        <v>3</v>
      </c>
      <c r="AF44" s="62">
        <v>3</v>
      </c>
      <c r="AG44" s="67">
        <v>15</v>
      </c>
      <c r="AH44" s="55">
        <f t="shared" si="2"/>
        <v>3</v>
      </c>
      <c r="AI44" s="56">
        <f t="shared" si="3"/>
        <v>3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62">
        <v>12</v>
      </c>
      <c r="M45" s="62">
        <v>12</v>
      </c>
      <c r="N45" s="62">
        <v>12</v>
      </c>
      <c r="O45" s="62">
        <v>12</v>
      </c>
      <c r="P45" s="62">
        <v>12</v>
      </c>
      <c r="Q45" s="62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7</v>
      </c>
      <c r="C46" s="73">
        <v>7</v>
      </c>
      <c r="D46" s="73">
        <v>7</v>
      </c>
      <c r="E46" s="73">
        <v>7</v>
      </c>
      <c r="F46" s="73">
        <v>7</v>
      </c>
      <c r="G46" s="73">
        <v>7</v>
      </c>
      <c r="H46" s="73">
        <v>7</v>
      </c>
      <c r="I46" s="73">
        <v>7</v>
      </c>
      <c r="J46" s="73">
        <v>7</v>
      </c>
      <c r="K46" s="73">
        <v>7</v>
      </c>
      <c r="L46" s="73">
        <v>7</v>
      </c>
      <c r="M46" s="73">
        <v>7</v>
      </c>
      <c r="N46" s="73">
        <v>7</v>
      </c>
      <c r="O46" s="73">
        <v>14</v>
      </c>
      <c r="P46" s="73">
        <v>14</v>
      </c>
      <c r="Q46" s="73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2">
        <v>10</v>
      </c>
      <c r="AF46" s="62">
        <v>10</v>
      </c>
      <c r="AG46" s="67">
        <v>14</v>
      </c>
      <c r="AH46" s="55">
        <f t="shared" si="2"/>
        <v>14</v>
      </c>
      <c r="AI46" s="56">
        <f t="shared" si="3"/>
        <v>7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62">
        <v>9.6</v>
      </c>
      <c r="M47" s="62">
        <v>9.6</v>
      </c>
      <c r="N47" s="62">
        <v>9.6</v>
      </c>
      <c r="O47" s="62">
        <v>9.6</v>
      </c>
      <c r="P47" s="62">
        <v>9.6</v>
      </c>
      <c r="Q47" s="62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2">
        <v>9.6</v>
      </c>
      <c r="AF47" s="62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62">
        <v>6</v>
      </c>
      <c r="M48" s="62">
        <v>6</v>
      </c>
      <c r="N48" s="62">
        <v>6</v>
      </c>
      <c r="O48" s="62">
        <v>6</v>
      </c>
      <c r="P48" s="62">
        <v>6</v>
      </c>
      <c r="Q48" s="62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62">
        <v>6</v>
      </c>
      <c r="AF48" s="62">
        <v>3.2</v>
      </c>
      <c r="AG48" s="67">
        <v>6.2</v>
      </c>
      <c r="AH48" s="55">
        <f t="shared" si="2"/>
        <v>6</v>
      </c>
      <c r="AI48" s="56">
        <f t="shared" si="3"/>
        <v>3.2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416.34000000000003</v>
      </c>
      <c r="C50" s="72">
        <f t="shared" si="6"/>
        <v>397.34000000000003</v>
      </c>
      <c r="D50" s="72">
        <f t="shared" si="6"/>
        <v>403.64000000000004</v>
      </c>
      <c r="E50" s="72">
        <f t="shared" si="6"/>
        <v>407.94000000000005</v>
      </c>
      <c r="F50" s="72">
        <f t="shared" si="6"/>
        <v>412.84000000000003</v>
      </c>
      <c r="G50" s="72">
        <f t="shared" si="6"/>
        <v>432.84000000000003</v>
      </c>
      <c r="H50" s="72">
        <f t="shared" si="6"/>
        <v>423.34000000000003</v>
      </c>
      <c r="I50" s="72">
        <f t="shared" si="6"/>
        <v>435.14000000000004</v>
      </c>
      <c r="J50" s="72">
        <f t="shared" si="6"/>
        <v>436.64000000000004</v>
      </c>
      <c r="K50" s="72">
        <f t="shared" si="6"/>
        <v>436.14000000000004</v>
      </c>
      <c r="L50" s="72">
        <f t="shared" si="6"/>
        <v>435.44</v>
      </c>
      <c r="M50" s="72">
        <f t="shared" si="6"/>
        <v>433.04000000000008</v>
      </c>
      <c r="N50" s="72">
        <f t="shared" si="6"/>
        <v>434.54</v>
      </c>
      <c r="O50" s="72">
        <f t="shared" si="6"/>
        <v>442.24</v>
      </c>
      <c r="P50" s="72">
        <f t="shared" si="6"/>
        <v>429.84</v>
      </c>
      <c r="Q50" s="72">
        <f t="shared" si="6"/>
        <v>433.44</v>
      </c>
      <c r="R50" s="72">
        <f t="shared" si="6"/>
        <v>433.44</v>
      </c>
      <c r="S50" s="72">
        <f t="shared" si="6"/>
        <v>410.44000000000005</v>
      </c>
      <c r="T50" s="72">
        <f t="shared" si="6"/>
        <v>440.34000000000003</v>
      </c>
      <c r="U50" s="72">
        <f t="shared" si="6"/>
        <v>441.84000000000003</v>
      </c>
      <c r="V50" s="72">
        <f t="shared" si="6"/>
        <v>441.84000000000003</v>
      </c>
      <c r="W50" s="72">
        <f t="shared" si="6"/>
        <v>441.84000000000003</v>
      </c>
      <c r="X50" s="72">
        <f t="shared" si="6"/>
        <v>441.84000000000003</v>
      </c>
      <c r="Y50" s="72">
        <f t="shared" si="6"/>
        <v>441.84000000000003</v>
      </c>
      <c r="Z50" s="72">
        <f t="shared" si="6"/>
        <v>441.84000000000003</v>
      </c>
      <c r="AA50" s="72">
        <f t="shared" si="6"/>
        <v>442.24</v>
      </c>
      <c r="AB50" s="72">
        <f t="shared" si="6"/>
        <v>440.24000000000007</v>
      </c>
      <c r="AC50" s="72">
        <f t="shared" si="6"/>
        <v>439.03999999999996</v>
      </c>
      <c r="AD50" s="72">
        <f t="shared" si="6"/>
        <v>371.44000000000005</v>
      </c>
      <c r="AE50" s="72">
        <f t="shared" si="6"/>
        <v>358.64000000000004</v>
      </c>
      <c r="AF50" s="72">
        <f t="shared" si="6"/>
        <v>315.34000000000009</v>
      </c>
      <c r="AG50" s="77">
        <f>SUM(AG37:AG49)</f>
        <v>489.91</v>
      </c>
      <c r="AH50" s="55">
        <f t="shared" si="2"/>
        <v>442.24</v>
      </c>
      <c r="AI50" s="56">
        <f t="shared" si="3"/>
        <v>315.34000000000009</v>
      </c>
      <c r="AK50" s="57"/>
    </row>
    <row r="51" spans="1:37" x14ac:dyDescent="0.25">
      <c r="A51" s="58" t="s">
        <v>58</v>
      </c>
      <c r="B51" s="62">
        <v>20.6</v>
      </c>
      <c r="C51" s="62">
        <v>13</v>
      </c>
      <c r="D51" s="62">
        <v>14</v>
      </c>
      <c r="E51" s="62">
        <v>0</v>
      </c>
      <c r="F51" s="62">
        <v>0</v>
      </c>
      <c r="G51" s="62">
        <v>0</v>
      </c>
      <c r="H51" s="62">
        <v>0</v>
      </c>
      <c r="I51" s="62">
        <v>14</v>
      </c>
      <c r="J51" s="62">
        <v>14.1</v>
      </c>
      <c r="K51" s="62">
        <v>50.2</v>
      </c>
      <c r="L51" s="62">
        <v>49.3</v>
      </c>
      <c r="M51" s="62">
        <v>42.7</v>
      </c>
      <c r="N51" s="62">
        <v>50</v>
      </c>
      <c r="O51" s="62">
        <v>50.4</v>
      </c>
      <c r="P51" s="62">
        <v>39.200000000000003</v>
      </c>
      <c r="Q51" s="62">
        <v>59.8</v>
      </c>
      <c r="R51" s="50">
        <v>29.2</v>
      </c>
      <c r="S51" s="50">
        <v>29.3</v>
      </c>
      <c r="T51" s="50">
        <v>34</v>
      </c>
      <c r="U51" s="50">
        <v>14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59.8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9.4</v>
      </c>
      <c r="C52" s="62">
        <v>5.3</v>
      </c>
      <c r="D52" s="62">
        <v>5.4</v>
      </c>
      <c r="E52" s="62">
        <v>0</v>
      </c>
      <c r="F52" s="62">
        <v>0</v>
      </c>
      <c r="G52" s="62">
        <v>0</v>
      </c>
      <c r="H52" s="62">
        <v>0</v>
      </c>
      <c r="I52" s="62">
        <v>4.9000000000000004</v>
      </c>
      <c r="J52" s="62">
        <v>4.3</v>
      </c>
      <c r="K52" s="62">
        <v>23.2</v>
      </c>
      <c r="L52" s="62">
        <v>20.9</v>
      </c>
      <c r="M52" s="62">
        <v>19.399999999999999</v>
      </c>
      <c r="N52" s="62">
        <v>28.4</v>
      </c>
      <c r="O52" s="62">
        <v>22.1</v>
      </c>
      <c r="P52" s="62">
        <v>16</v>
      </c>
      <c r="Q52" s="62">
        <v>27.4</v>
      </c>
      <c r="R52" s="50">
        <v>13.3</v>
      </c>
      <c r="S52" s="50">
        <v>14</v>
      </c>
      <c r="T52" s="50">
        <v>20</v>
      </c>
      <c r="U52" s="52">
        <v>13.9</v>
      </c>
      <c r="V52" s="52">
        <v>0</v>
      </c>
      <c r="W52" s="52">
        <v>0</v>
      </c>
      <c r="X52" s="52">
        <v>0</v>
      </c>
      <c r="Y52" s="52">
        <v>5.8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28.4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3.4</v>
      </c>
      <c r="C53" s="73">
        <v>1.9</v>
      </c>
      <c r="D53" s="73">
        <v>1.99</v>
      </c>
      <c r="E53" s="73">
        <v>0</v>
      </c>
      <c r="F53" s="73">
        <v>0</v>
      </c>
      <c r="G53" s="73">
        <v>0</v>
      </c>
      <c r="H53" s="73">
        <v>0</v>
      </c>
      <c r="I53" s="73">
        <v>1.8</v>
      </c>
      <c r="J53" s="73">
        <v>1.9</v>
      </c>
      <c r="K53" s="73">
        <v>8.5</v>
      </c>
      <c r="L53" s="73">
        <v>7.6</v>
      </c>
      <c r="M53" s="73">
        <v>7.1</v>
      </c>
      <c r="N53" s="73">
        <v>10.4</v>
      </c>
      <c r="O53" s="73">
        <v>8.1</v>
      </c>
      <c r="P53" s="73">
        <v>5.8</v>
      </c>
      <c r="Q53" s="73">
        <v>10</v>
      </c>
      <c r="R53" s="50">
        <v>4.9000000000000004</v>
      </c>
      <c r="S53" s="50">
        <v>5.0999999999999996</v>
      </c>
      <c r="T53" s="50">
        <v>7.3</v>
      </c>
      <c r="U53" s="78">
        <v>5.0999999999999996</v>
      </c>
      <c r="V53" s="78">
        <v>0</v>
      </c>
      <c r="W53" s="78">
        <v>0</v>
      </c>
      <c r="X53" s="78">
        <v>0</v>
      </c>
      <c r="Y53" s="78">
        <v>2.1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33.4</v>
      </c>
      <c r="C54" s="72">
        <f t="shared" ref="C54:AF54" si="7">SUM(C51:C53)</f>
        <v>20.2</v>
      </c>
      <c r="D54" s="72">
        <f t="shared" si="7"/>
        <v>21.389999999999997</v>
      </c>
      <c r="E54" s="72">
        <f t="shared" si="7"/>
        <v>0</v>
      </c>
      <c r="F54" s="72">
        <f>SUM(F51:F53)</f>
        <v>0</v>
      </c>
      <c r="G54" s="72">
        <f t="shared" si="7"/>
        <v>0</v>
      </c>
      <c r="H54" s="72">
        <f t="shared" si="7"/>
        <v>0</v>
      </c>
      <c r="I54" s="72">
        <f t="shared" si="7"/>
        <v>20.7</v>
      </c>
      <c r="J54" s="72">
        <f t="shared" si="7"/>
        <v>20.299999999999997</v>
      </c>
      <c r="K54" s="72">
        <f t="shared" si="7"/>
        <v>81.900000000000006</v>
      </c>
      <c r="L54" s="72">
        <f t="shared" si="7"/>
        <v>77.799999999999983</v>
      </c>
      <c r="M54" s="72">
        <f t="shared" si="7"/>
        <v>69.2</v>
      </c>
      <c r="N54" s="72">
        <f t="shared" si="7"/>
        <v>88.800000000000011</v>
      </c>
      <c r="O54" s="72">
        <f t="shared" si="7"/>
        <v>80.599999999999994</v>
      </c>
      <c r="P54" s="72">
        <f t="shared" si="7"/>
        <v>61</v>
      </c>
      <c r="Q54" s="72">
        <f t="shared" si="7"/>
        <v>97.199999999999989</v>
      </c>
      <c r="R54" s="72">
        <f t="shared" si="7"/>
        <v>47.4</v>
      </c>
      <c r="S54" s="72">
        <f t="shared" si="7"/>
        <v>48.4</v>
      </c>
      <c r="T54" s="72">
        <f t="shared" si="7"/>
        <v>61.3</v>
      </c>
      <c r="U54" s="72">
        <f t="shared" si="7"/>
        <v>33</v>
      </c>
      <c r="V54" s="72">
        <f t="shared" si="7"/>
        <v>0</v>
      </c>
      <c r="W54" s="72">
        <f t="shared" si="7"/>
        <v>0</v>
      </c>
      <c r="X54" s="72">
        <f t="shared" si="7"/>
        <v>0</v>
      </c>
      <c r="Y54" s="72">
        <f t="shared" si="7"/>
        <v>7.9</v>
      </c>
      <c r="Z54" s="72">
        <f t="shared" si="7"/>
        <v>0</v>
      </c>
      <c r="AA54" s="72">
        <f t="shared" si="7"/>
        <v>0</v>
      </c>
      <c r="AB54" s="72">
        <f t="shared" si="7"/>
        <v>0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97.199999999999989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0</v>
      </c>
      <c r="Z56" s="8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66" t="s">
        <v>64</v>
      </c>
      <c r="B57" s="52">
        <v>-89</v>
      </c>
      <c r="C57" s="52">
        <v>-70</v>
      </c>
      <c r="D57" s="52">
        <v>-72</v>
      </c>
      <c r="E57" s="52">
        <v>-79</v>
      </c>
      <c r="F57" s="52">
        <v>-38</v>
      </c>
      <c r="G57" s="50">
        <v>-2</v>
      </c>
      <c r="H57" s="50">
        <v>-8</v>
      </c>
      <c r="I57" s="50">
        <v>-7</v>
      </c>
      <c r="J57" s="50">
        <v>-2</v>
      </c>
      <c r="K57" s="50">
        <v>-13</v>
      </c>
      <c r="L57" s="50">
        <v>-11</v>
      </c>
      <c r="M57" s="50">
        <v>-2</v>
      </c>
      <c r="N57" s="50">
        <v>-44.3</v>
      </c>
      <c r="O57" s="50">
        <v>-45.6</v>
      </c>
      <c r="P57" s="50">
        <v>-16.899999999999999</v>
      </c>
      <c r="Q57" s="50">
        <v>-41.8</v>
      </c>
      <c r="R57" s="52">
        <v>7.2</v>
      </c>
      <c r="S57" s="52">
        <v>0.9</v>
      </c>
      <c r="T57" s="52">
        <v>-24</v>
      </c>
      <c r="U57" s="52">
        <v>-52.3</v>
      </c>
      <c r="V57" s="52">
        <v>-48.5</v>
      </c>
      <c r="W57" s="81">
        <v>-35</v>
      </c>
      <c r="X57" s="81">
        <v>-15.6</v>
      </c>
      <c r="Y57" s="81">
        <v>-37</v>
      </c>
      <c r="Z57" s="81">
        <v>-58.8</v>
      </c>
      <c r="AA57" s="52">
        <v>-75.2</v>
      </c>
      <c r="AB57" s="52">
        <v>-45.7</v>
      </c>
      <c r="AC57" s="52">
        <v>-80</v>
      </c>
      <c r="AD57" s="52">
        <v>-86.5</v>
      </c>
      <c r="AE57" s="52">
        <v>-95</v>
      </c>
      <c r="AF57" s="52">
        <v>-62</v>
      </c>
      <c r="AG57" s="82"/>
      <c r="AH57" s="55">
        <f t="shared" si="2"/>
        <v>7.2</v>
      </c>
      <c r="AI57" s="56">
        <f t="shared" si="3"/>
        <v>-95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67</v>
      </c>
      <c r="B60" s="59">
        <v>0</v>
      </c>
      <c r="C60" s="59">
        <v>0</v>
      </c>
      <c r="D60" s="59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10</v>
      </c>
      <c r="C62" s="59">
        <v>10</v>
      </c>
      <c r="D62" s="59">
        <v>10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5</v>
      </c>
      <c r="V62" s="59">
        <v>5</v>
      </c>
      <c r="W62" s="59">
        <v>5</v>
      </c>
      <c r="X62" s="59">
        <v>5</v>
      </c>
      <c r="Y62" s="59">
        <v>5</v>
      </c>
      <c r="Z62" s="59">
        <v>5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-79</v>
      </c>
      <c r="C66" s="72">
        <f t="shared" ref="C66:AF66" si="8">SUM(C55:C65)</f>
        <v>-60</v>
      </c>
      <c r="D66" s="72">
        <f t="shared" si="8"/>
        <v>-62</v>
      </c>
      <c r="E66" s="72">
        <f t="shared" si="8"/>
        <v>-79</v>
      </c>
      <c r="F66" s="72">
        <f t="shared" si="8"/>
        <v>-38</v>
      </c>
      <c r="G66" s="72">
        <f t="shared" si="8"/>
        <v>-2</v>
      </c>
      <c r="H66" s="72">
        <f t="shared" si="8"/>
        <v>-8</v>
      </c>
      <c r="I66" s="72">
        <f t="shared" si="8"/>
        <v>-7</v>
      </c>
      <c r="J66" s="72">
        <f t="shared" si="8"/>
        <v>-2</v>
      </c>
      <c r="K66" s="72">
        <f t="shared" si="8"/>
        <v>-13</v>
      </c>
      <c r="L66" s="72">
        <f t="shared" si="8"/>
        <v>-11</v>
      </c>
      <c r="M66" s="72">
        <f t="shared" si="8"/>
        <v>-2</v>
      </c>
      <c r="N66" s="72">
        <f t="shared" si="8"/>
        <v>-44.3</v>
      </c>
      <c r="O66" s="72">
        <f t="shared" si="8"/>
        <v>-45.6</v>
      </c>
      <c r="P66" s="72">
        <f t="shared" si="8"/>
        <v>-16.899999999999999</v>
      </c>
      <c r="Q66" s="72">
        <f t="shared" si="8"/>
        <v>-41.8</v>
      </c>
      <c r="R66" s="72">
        <f t="shared" si="8"/>
        <v>7.2</v>
      </c>
      <c r="S66" s="72">
        <f t="shared" si="8"/>
        <v>0.9</v>
      </c>
      <c r="T66" s="72">
        <f t="shared" si="8"/>
        <v>-24</v>
      </c>
      <c r="U66" s="72">
        <f t="shared" si="8"/>
        <v>-47.3</v>
      </c>
      <c r="V66" s="72">
        <f t="shared" si="8"/>
        <v>-43.5</v>
      </c>
      <c r="W66" s="72">
        <f t="shared" si="8"/>
        <v>-30</v>
      </c>
      <c r="X66" s="72">
        <f t="shared" si="8"/>
        <v>-10.6</v>
      </c>
      <c r="Y66" s="72">
        <f t="shared" si="8"/>
        <v>-32</v>
      </c>
      <c r="Z66" s="72">
        <f t="shared" si="8"/>
        <v>-53.8</v>
      </c>
      <c r="AA66" s="72">
        <f t="shared" si="8"/>
        <v>-75.2</v>
      </c>
      <c r="AB66" s="72">
        <f t="shared" si="8"/>
        <v>-45.7</v>
      </c>
      <c r="AC66" s="72">
        <f t="shared" si="8"/>
        <v>-80</v>
      </c>
      <c r="AD66" s="72">
        <f t="shared" si="8"/>
        <v>-86.5</v>
      </c>
      <c r="AE66" s="72">
        <f t="shared" si="8"/>
        <v>-95</v>
      </c>
      <c r="AF66" s="72">
        <f t="shared" si="8"/>
        <v>-62</v>
      </c>
      <c r="AG66" s="77">
        <f>SUM(AG55:AG65)</f>
        <v>0</v>
      </c>
      <c r="AH66" s="55">
        <f t="shared" si="2"/>
        <v>7.2</v>
      </c>
      <c r="AI66" s="56">
        <f t="shared" si="3"/>
        <v>-95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974.04</v>
      </c>
      <c r="C71" s="87">
        <f t="shared" ref="C71:AG71" si="10">C66+C54+C50+C36+C70</f>
        <v>960.83999999999992</v>
      </c>
      <c r="D71" s="87">
        <f t="shared" si="10"/>
        <v>947.53</v>
      </c>
      <c r="E71" s="87">
        <f t="shared" si="10"/>
        <v>913.44</v>
      </c>
      <c r="F71" s="87">
        <f t="shared" si="10"/>
        <v>953.34</v>
      </c>
      <c r="G71" s="87">
        <f t="shared" si="10"/>
        <v>1022.34</v>
      </c>
      <c r="H71" s="87">
        <f t="shared" si="10"/>
        <v>1012.84</v>
      </c>
      <c r="I71" s="87">
        <f t="shared" si="10"/>
        <v>1046.3400000000001</v>
      </c>
      <c r="J71" s="87">
        <f t="shared" si="10"/>
        <v>1052.44</v>
      </c>
      <c r="K71" s="87">
        <f t="shared" si="10"/>
        <v>1076.54</v>
      </c>
      <c r="L71" s="87">
        <f t="shared" si="10"/>
        <v>1073.6399999999999</v>
      </c>
      <c r="M71" s="87">
        <f t="shared" si="10"/>
        <v>1072.04</v>
      </c>
      <c r="N71" s="87">
        <f t="shared" si="10"/>
        <v>1050.54</v>
      </c>
      <c r="O71" s="87">
        <f t="shared" si="10"/>
        <v>1048.74</v>
      </c>
      <c r="P71" s="87">
        <f t="shared" si="10"/>
        <v>1045.3399999999999</v>
      </c>
      <c r="Q71" s="87">
        <f t="shared" si="10"/>
        <v>1060.24</v>
      </c>
      <c r="R71" s="87">
        <f t="shared" si="10"/>
        <v>1071.04</v>
      </c>
      <c r="S71" s="87">
        <f t="shared" si="10"/>
        <v>1039.74</v>
      </c>
      <c r="T71" s="87">
        <f t="shared" si="10"/>
        <v>1045.6400000000001</v>
      </c>
      <c r="U71" s="87">
        <f t="shared" si="10"/>
        <v>1045.54</v>
      </c>
      <c r="V71" s="87">
        <f t="shared" si="10"/>
        <v>1081.94</v>
      </c>
      <c r="W71" s="87">
        <f t="shared" si="10"/>
        <v>1233.8399999999999</v>
      </c>
      <c r="X71" s="87">
        <f t="shared" si="10"/>
        <v>1296.6399999999999</v>
      </c>
      <c r="Y71" s="87">
        <f t="shared" si="10"/>
        <v>1284.6399999999999</v>
      </c>
      <c r="Z71" s="87">
        <f t="shared" si="10"/>
        <v>1224.4399999999998</v>
      </c>
      <c r="AA71" s="87">
        <f t="shared" si="10"/>
        <v>1172.4399999999998</v>
      </c>
      <c r="AB71" s="87">
        <f t="shared" si="10"/>
        <v>1135.04</v>
      </c>
      <c r="AC71" s="87">
        <f t="shared" si="10"/>
        <v>1085.54</v>
      </c>
      <c r="AD71" s="87">
        <f t="shared" si="10"/>
        <v>985.94</v>
      </c>
      <c r="AE71" s="87">
        <f t="shared" si="10"/>
        <v>946.74</v>
      </c>
      <c r="AF71" s="87">
        <f t="shared" si="10"/>
        <v>936.44</v>
      </c>
      <c r="AG71" s="87">
        <f t="shared" si="10"/>
        <v>2083.14</v>
      </c>
      <c r="AH71" s="55">
        <f t="shared" si="2"/>
        <v>1296.6399999999999</v>
      </c>
      <c r="AI71" s="56">
        <f t="shared" si="3"/>
        <v>913.44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974.04</v>
      </c>
      <c r="C73" s="87">
        <f t="shared" ref="C73:AF73" si="11">C70+C66+C54+C50+C36+C72</f>
        <v>960.83999999999992</v>
      </c>
      <c r="D73" s="87">
        <f t="shared" si="11"/>
        <v>947.53</v>
      </c>
      <c r="E73" s="87">
        <f t="shared" si="11"/>
        <v>913.44</v>
      </c>
      <c r="F73" s="87">
        <f t="shared" si="11"/>
        <v>953.34</v>
      </c>
      <c r="G73" s="87">
        <f t="shared" si="11"/>
        <v>1022.34</v>
      </c>
      <c r="H73" s="87">
        <f t="shared" si="11"/>
        <v>1012.84</v>
      </c>
      <c r="I73" s="87">
        <f t="shared" si="11"/>
        <v>1046.3400000000001</v>
      </c>
      <c r="J73" s="87">
        <f t="shared" si="11"/>
        <v>1052.44</v>
      </c>
      <c r="K73" s="87">
        <f t="shared" si="11"/>
        <v>1076.54</v>
      </c>
      <c r="L73" s="87">
        <f t="shared" si="11"/>
        <v>1073.6399999999999</v>
      </c>
      <c r="M73" s="87">
        <f t="shared" si="11"/>
        <v>1072.04</v>
      </c>
      <c r="N73" s="87">
        <f t="shared" si="11"/>
        <v>1050.54</v>
      </c>
      <c r="O73" s="87">
        <f t="shared" si="11"/>
        <v>1048.74</v>
      </c>
      <c r="P73" s="87">
        <f t="shared" si="11"/>
        <v>1045.3399999999999</v>
      </c>
      <c r="Q73" s="87">
        <f t="shared" si="11"/>
        <v>1060.24</v>
      </c>
      <c r="R73" s="87">
        <f t="shared" si="11"/>
        <v>1071.04</v>
      </c>
      <c r="S73" s="87">
        <f t="shared" si="11"/>
        <v>1039.74</v>
      </c>
      <c r="T73" s="87">
        <f t="shared" si="11"/>
        <v>1045.6400000000001</v>
      </c>
      <c r="U73" s="87">
        <f t="shared" si="11"/>
        <v>1045.54</v>
      </c>
      <c r="V73" s="87">
        <f t="shared" si="11"/>
        <v>1081.94</v>
      </c>
      <c r="W73" s="87">
        <f t="shared" si="11"/>
        <v>1233.8399999999999</v>
      </c>
      <c r="X73" s="87">
        <f t="shared" si="11"/>
        <v>1296.6399999999999</v>
      </c>
      <c r="Y73" s="87">
        <f t="shared" si="11"/>
        <v>1284.6399999999999</v>
      </c>
      <c r="Z73" s="87">
        <f t="shared" si="11"/>
        <v>1224.4399999999998</v>
      </c>
      <c r="AA73" s="87">
        <f t="shared" si="11"/>
        <v>1172.4399999999998</v>
      </c>
      <c r="AB73" s="87">
        <f t="shared" si="11"/>
        <v>1135.04</v>
      </c>
      <c r="AC73" s="87">
        <f t="shared" si="11"/>
        <v>1085.54</v>
      </c>
      <c r="AD73" s="87">
        <f t="shared" si="11"/>
        <v>985.94</v>
      </c>
      <c r="AE73" s="87">
        <f t="shared" si="11"/>
        <v>946.74</v>
      </c>
      <c r="AF73" s="87">
        <f t="shared" si="11"/>
        <v>936.44</v>
      </c>
      <c r="AG73" s="77">
        <f>AG70+AG66+AG54+AG50+AG36+AG72</f>
        <v>2083.14</v>
      </c>
      <c r="AH73" s="55">
        <f t="shared" si="2"/>
        <v>1296.6399999999999</v>
      </c>
      <c r="AI73" s="56">
        <f t="shared" si="3"/>
        <v>913.44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0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0</v>
      </c>
      <c r="AB76" s="59">
        <f t="shared" si="14"/>
        <v>0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89</v>
      </c>
      <c r="C77" s="59">
        <f t="shared" ref="C77:AF77" si="15">IF(C57&lt;0,C57*-1,0)</f>
        <v>70</v>
      </c>
      <c r="D77" s="59">
        <f t="shared" si="15"/>
        <v>72</v>
      </c>
      <c r="E77" s="59">
        <f t="shared" si="15"/>
        <v>79</v>
      </c>
      <c r="F77" s="59">
        <f t="shared" si="15"/>
        <v>38</v>
      </c>
      <c r="G77" s="59">
        <f t="shared" si="15"/>
        <v>2</v>
      </c>
      <c r="H77" s="59">
        <f t="shared" si="15"/>
        <v>8</v>
      </c>
      <c r="I77" s="59">
        <f t="shared" si="15"/>
        <v>7</v>
      </c>
      <c r="J77" s="59">
        <f t="shared" si="15"/>
        <v>2</v>
      </c>
      <c r="K77" s="59">
        <f t="shared" si="15"/>
        <v>13</v>
      </c>
      <c r="L77" s="59">
        <f t="shared" si="15"/>
        <v>11</v>
      </c>
      <c r="M77" s="59">
        <f t="shared" si="15"/>
        <v>2</v>
      </c>
      <c r="N77" s="59">
        <f t="shared" si="15"/>
        <v>44.3</v>
      </c>
      <c r="O77" s="59">
        <f t="shared" si="15"/>
        <v>45.6</v>
      </c>
      <c r="P77" s="59">
        <f t="shared" si="15"/>
        <v>16.899999999999999</v>
      </c>
      <c r="Q77" s="59">
        <f t="shared" si="15"/>
        <v>41.8</v>
      </c>
      <c r="R77" s="59">
        <f t="shared" si="15"/>
        <v>0</v>
      </c>
      <c r="S77" s="59">
        <f t="shared" si="15"/>
        <v>0</v>
      </c>
      <c r="T77" s="59">
        <f t="shared" si="15"/>
        <v>24</v>
      </c>
      <c r="U77" s="59">
        <f t="shared" si="15"/>
        <v>52.3</v>
      </c>
      <c r="V77" s="59">
        <f t="shared" si="15"/>
        <v>48.5</v>
      </c>
      <c r="W77" s="59">
        <f t="shared" si="15"/>
        <v>35</v>
      </c>
      <c r="X77" s="59">
        <f t="shared" si="15"/>
        <v>15.6</v>
      </c>
      <c r="Y77" s="59">
        <f t="shared" si="15"/>
        <v>37</v>
      </c>
      <c r="Z77" s="59">
        <f t="shared" si="15"/>
        <v>58.8</v>
      </c>
      <c r="AA77" s="59">
        <f t="shared" si="15"/>
        <v>75.2</v>
      </c>
      <c r="AB77" s="59">
        <f t="shared" si="15"/>
        <v>45.7</v>
      </c>
      <c r="AC77" s="59">
        <f t="shared" si="15"/>
        <v>80</v>
      </c>
      <c r="AD77" s="59">
        <f t="shared" si="15"/>
        <v>86.5</v>
      </c>
      <c r="AE77" s="59">
        <f t="shared" si="15"/>
        <v>95</v>
      </c>
      <c r="AF77" s="59">
        <f t="shared" si="15"/>
        <v>62</v>
      </c>
      <c r="AG77" s="90"/>
      <c r="AH77" s="55">
        <f t="shared" ref="AH77:AH89" si="16">MAX(B77:AF77)</f>
        <v>95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89</v>
      </c>
      <c r="C80" s="72">
        <f t="shared" si="19"/>
        <v>70</v>
      </c>
      <c r="D80" s="72">
        <f t="shared" si="19"/>
        <v>72</v>
      </c>
      <c r="E80" s="72">
        <f t="shared" si="19"/>
        <v>79</v>
      </c>
      <c r="F80" s="72">
        <f t="shared" si="19"/>
        <v>38</v>
      </c>
      <c r="G80" s="72">
        <f t="shared" si="19"/>
        <v>2</v>
      </c>
      <c r="H80" s="72">
        <f t="shared" si="19"/>
        <v>8</v>
      </c>
      <c r="I80" s="72">
        <f t="shared" si="19"/>
        <v>7</v>
      </c>
      <c r="J80" s="72">
        <f t="shared" si="19"/>
        <v>2</v>
      </c>
      <c r="K80" s="72">
        <f t="shared" si="19"/>
        <v>13</v>
      </c>
      <c r="L80" s="72">
        <f t="shared" si="19"/>
        <v>11</v>
      </c>
      <c r="M80" s="72">
        <f t="shared" si="19"/>
        <v>2</v>
      </c>
      <c r="N80" s="72">
        <f t="shared" si="19"/>
        <v>44.3</v>
      </c>
      <c r="O80" s="72">
        <f t="shared" si="19"/>
        <v>45.6</v>
      </c>
      <c r="P80" s="72">
        <f t="shared" si="19"/>
        <v>16.899999999999999</v>
      </c>
      <c r="Q80" s="72">
        <f t="shared" si="19"/>
        <v>41.8</v>
      </c>
      <c r="R80" s="72">
        <f t="shared" si="19"/>
        <v>0</v>
      </c>
      <c r="S80" s="72">
        <f t="shared" si="19"/>
        <v>0</v>
      </c>
      <c r="T80" s="72">
        <f t="shared" si="19"/>
        <v>24</v>
      </c>
      <c r="U80" s="72">
        <f t="shared" si="19"/>
        <v>52.3</v>
      </c>
      <c r="V80" s="72">
        <f t="shared" si="19"/>
        <v>48.5</v>
      </c>
      <c r="W80" s="72">
        <f t="shared" si="19"/>
        <v>35</v>
      </c>
      <c r="X80" s="72">
        <f t="shared" si="19"/>
        <v>15.6</v>
      </c>
      <c r="Y80" s="72">
        <f t="shared" si="19"/>
        <v>37</v>
      </c>
      <c r="Z80" s="72">
        <f t="shared" si="19"/>
        <v>58.8</v>
      </c>
      <c r="AA80" s="72">
        <f t="shared" si="19"/>
        <v>75.2</v>
      </c>
      <c r="AB80" s="72">
        <f t="shared" si="19"/>
        <v>45.7</v>
      </c>
      <c r="AC80" s="72">
        <f t="shared" si="19"/>
        <v>80</v>
      </c>
      <c r="AD80" s="72">
        <f t="shared" si="19"/>
        <v>86.5</v>
      </c>
      <c r="AE80" s="72">
        <f t="shared" si="19"/>
        <v>95</v>
      </c>
      <c r="AF80" s="72">
        <f t="shared" si="19"/>
        <v>62</v>
      </c>
      <c r="AG80" s="77">
        <f t="shared" si="19"/>
        <v>0</v>
      </c>
      <c r="AH80" s="55">
        <f t="shared" si="16"/>
        <v>95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2126.08</v>
      </c>
      <c r="C81" s="72">
        <f t="shared" si="20"/>
        <v>2061.6799999999998</v>
      </c>
      <c r="D81" s="72">
        <f t="shared" si="20"/>
        <v>2039.06</v>
      </c>
      <c r="E81" s="72">
        <f t="shared" si="20"/>
        <v>1984.88</v>
      </c>
      <c r="F81" s="72">
        <f t="shared" si="20"/>
        <v>1982.68</v>
      </c>
      <c r="G81" s="72">
        <f t="shared" si="20"/>
        <v>2048.6800000000003</v>
      </c>
      <c r="H81" s="72">
        <f t="shared" si="20"/>
        <v>2041.68</v>
      </c>
      <c r="I81" s="72">
        <f t="shared" si="20"/>
        <v>2106.6800000000003</v>
      </c>
      <c r="J81" s="72">
        <f t="shared" si="20"/>
        <v>2108.88</v>
      </c>
      <c r="K81" s="72">
        <f t="shared" si="20"/>
        <v>2179.08</v>
      </c>
      <c r="L81" s="72">
        <f t="shared" si="20"/>
        <v>2169.2799999999997</v>
      </c>
      <c r="M81" s="72">
        <f t="shared" si="20"/>
        <v>2148.08</v>
      </c>
      <c r="N81" s="72">
        <f t="shared" si="20"/>
        <v>2189.6800000000003</v>
      </c>
      <c r="O81" s="72">
        <f t="shared" si="20"/>
        <v>2188.6799999999998</v>
      </c>
      <c r="P81" s="72">
        <f t="shared" si="20"/>
        <v>2124.48</v>
      </c>
      <c r="Q81" s="72">
        <f t="shared" si="20"/>
        <v>2204.0800000000004</v>
      </c>
      <c r="R81" s="72">
        <f t="shared" si="20"/>
        <v>2142.08</v>
      </c>
      <c r="S81" s="72">
        <f t="shared" si="20"/>
        <v>2079.48</v>
      </c>
      <c r="T81" s="72">
        <f t="shared" si="20"/>
        <v>2139.2800000000002</v>
      </c>
      <c r="U81" s="72">
        <f t="shared" si="20"/>
        <v>2195.6800000000003</v>
      </c>
      <c r="V81" s="72">
        <f t="shared" si="20"/>
        <v>2260.88</v>
      </c>
      <c r="W81" s="72">
        <f t="shared" si="20"/>
        <v>2537.6799999999998</v>
      </c>
      <c r="X81" s="72">
        <f t="shared" si="20"/>
        <v>2624.4799999999996</v>
      </c>
      <c r="Y81" s="72">
        <f t="shared" si="20"/>
        <v>2643.2799999999997</v>
      </c>
      <c r="Z81" s="72">
        <f t="shared" si="20"/>
        <v>2566.48</v>
      </c>
      <c r="AA81" s="72">
        <f t="shared" si="20"/>
        <v>2495.2799999999993</v>
      </c>
      <c r="AB81" s="72">
        <f t="shared" si="20"/>
        <v>2361.4799999999996</v>
      </c>
      <c r="AC81" s="72">
        <f t="shared" si="20"/>
        <v>2331.08</v>
      </c>
      <c r="AD81" s="72">
        <f t="shared" si="20"/>
        <v>2144.88</v>
      </c>
      <c r="AE81" s="72">
        <f t="shared" si="20"/>
        <v>2083.48</v>
      </c>
      <c r="AF81" s="72">
        <f t="shared" si="20"/>
        <v>1996.88</v>
      </c>
      <c r="AG81" s="77">
        <f t="shared" si="20"/>
        <v>4238.08</v>
      </c>
      <c r="AH81" s="55">
        <f t="shared" si="16"/>
        <v>2643.2799999999997</v>
      </c>
      <c r="AI81" s="56">
        <f t="shared" si="17"/>
        <v>1982.68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49.984999999999999</v>
      </c>
      <c r="C82" s="93">
        <v>49.984999999999999</v>
      </c>
      <c r="D82" s="93">
        <v>49.918999999999997</v>
      </c>
      <c r="E82" s="93">
        <v>50.006</v>
      </c>
      <c r="F82" s="93">
        <v>49.965000000000003</v>
      </c>
      <c r="G82" s="93">
        <v>50.091000000000001</v>
      </c>
      <c r="H82" s="93">
        <v>50.098999999999997</v>
      </c>
      <c r="I82" s="93">
        <v>50.04</v>
      </c>
      <c r="J82" s="93">
        <v>50.064999999999998</v>
      </c>
      <c r="K82" s="93">
        <v>50.069000000000003</v>
      </c>
      <c r="L82" s="93">
        <v>50.08</v>
      </c>
      <c r="M82" s="93">
        <v>50.03</v>
      </c>
      <c r="N82" s="93">
        <v>50.02</v>
      </c>
      <c r="O82" s="93">
        <v>50.01</v>
      </c>
      <c r="P82" s="93">
        <v>50.09</v>
      </c>
      <c r="Q82" s="93">
        <v>50.03</v>
      </c>
      <c r="R82" s="93">
        <v>49.936</v>
      </c>
      <c r="S82" s="93">
        <v>50.033000000000001</v>
      </c>
      <c r="T82" s="93">
        <v>49.972000000000001</v>
      </c>
      <c r="U82" s="93">
        <v>50.003999999999998</v>
      </c>
      <c r="V82" s="93">
        <v>50.031999999999996</v>
      </c>
      <c r="W82" s="93">
        <v>50.005000000000003</v>
      </c>
      <c r="X82" s="93">
        <v>50.033999999999999</v>
      </c>
      <c r="Y82" s="93">
        <v>49.942999999999998</v>
      </c>
      <c r="Z82" s="93">
        <v>50.036999999999999</v>
      </c>
      <c r="AA82" s="93">
        <v>50.075000000000003</v>
      </c>
      <c r="AB82" s="93">
        <v>49.984000000000002</v>
      </c>
      <c r="AC82" s="93">
        <v>50.02</v>
      </c>
      <c r="AD82" s="93">
        <v>50.04</v>
      </c>
      <c r="AE82" s="93">
        <v>50.03</v>
      </c>
      <c r="AF82" s="94">
        <v>50</v>
      </c>
      <c r="AG82" s="95"/>
      <c r="AH82" s="55">
        <f t="shared" si="16"/>
        <v>50.098999999999997</v>
      </c>
      <c r="AI82" s="56">
        <f t="shared" si="17"/>
        <v>49.918999999999997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125.2</v>
      </c>
      <c r="C83" s="52">
        <v>125.2</v>
      </c>
      <c r="D83" s="52">
        <v>126.6</v>
      </c>
      <c r="E83" s="52">
        <v>126</v>
      </c>
      <c r="F83" s="52">
        <v>125</v>
      </c>
      <c r="G83" s="52">
        <v>125</v>
      </c>
      <c r="H83" s="52">
        <v>124.9</v>
      </c>
      <c r="I83" s="52">
        <v>125.1</v>
      </c>
      <c r="J83" s="52">
        <v>126</v>
      </c>
      <c r="K83" s="52">
        <v>126.9</v>
      </c>
      <c r="L83" s="52">
        <v>125.3</v>
      </c>
      <c r="M83" s="52">
        <v>123.4</v>
      </c>
      <c r="N83" s="52">
        <v>123.9</v>
      </c>
      <c r="O83" s="52">
        <v>123.7</v>
      </c>
      <c r="P83" s="52">
        <v>124.1</v>
      </c>
      <c r="Q83" s="52">
        <v>124.1</v>
      </c>
      <c r="R83" s="52">
        <v>123.6</v>
      </c>
      <c r="S83" s="52">
        <v>124.4</v>
      </c>
      <c r="T83" s="97">
        <v>124.9</v>
      </c>
      <c r="U83" s="97">
        <v>124.8</v>
      </c>
      <c r="V83" s="97">
        <v>125.1</v>
      </c>
      <c r="W83" s="97">
        <v>123.6</v>
      </c>
      <c r="X83" s="97">
        <v>123.5</v>
      </c>
      <c r="Y83" s="97">
        <v>124.1</v>
      </c>
      <c r="Z83" s="97">
        <v>125.1</v>
      </c>
      <c r="AA83" s="52">
        <v>125.9</v>
      </c>
      <c r="AB83" s="52">
        <v>125</v>
      </c>
      <c r="AC83" s="52">
        <v>126.1</v>
      </c>
      <c r="AD83" s="52">
        <v>125.8</v>
      </c>
      <c r="AE83" s="52">
        <v>128.69999999999999</v>
      </c>
      <c r="AF83" s="98">
        <v>126</v>
      </c>
      <c r="AG83" s="99"/>
      <c r="AH83" s="55">
        <f t="shared" si="16"/>
        <v>128.69999999999999</v>
      </c>
      <c r="AI83" s="56">
        <f t="shared" si="17"/>
        <v>123.4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129.4</v>
      </c>
      <c r="C84" s="52">
        <v>129.4</v>
      </c>
      <c r="D84" s="52">
        <v>130.6</v>
      </c>
      <c r="E84" s="52">
        <v>129.99</v>
      </c>
      <c r="F84" s="52">
        <v>129.1</v>
      </c>
      <c r="G84" s="52">
        <v>129.1</v>
      </c>
      <c r="H84" s="52">
        <v>128.4</v>
      </c>
      <c r="I84" s="52">
        <v>128</v>
      </c>
      <c r="J84" s="52">
        <v>128.80000000000001</v>
      </c>
      <c r="K84" s="52">
        <v>129.6</v>
      </c>
      <c r="L84" s="52">
        <v>128.5</v>
      </c>
      <c r="M84" s="52">
        <v>127.3</v>
      </c>
      <c r="N84" s="52">
        <v>127.7</v>
      </c>
      <c r="O84" s="52">
        <v>127.7</v>
      </c>
      <c r="P84" s="52">
        <v>128</v>
      </c>
      <c r="Q84" s="52">
        <v>128.30000000000001</v>
      </c>
      <c r="R84" s="52">
        <v>127.9</v>
      </c>
      <c r="S84" s="52">
        <v>128.6</v>
      </c>
      <c r="T84" s="97">
        <v>128.9</v>
      </c>
      <c r="U84" s="97">
        <v>128.80000000000001</v>
      </c>
      <c r="V84" s="97">
        <v>129.30000000000001</v>
      </c>
      <c r="W84" s="97">
        <v>127.4</v>
      </c>
      <c r="X84" s="97">
        <v>126.9</v>
      </c>
      <c r="Y84" s="97">
        <v>127.6</v>
      </c>
      <c r="Z84" s="97">
        <v>128.19999999999999</v>
      </c>
      <c r="AA84" s="52">
        <v>130</v>
      </c>
      <c r="AB84" s="52">
        <v>129.30000000000001</v>
      </c>
      <c r="AC84" s="52">
        <v>130.30000000000001</v>
      </c>
      <c r="AD84" s="52">
        <v>130.30000000000001</v>
      </c>
      <c r="AE84" s="52">
        <v>130.4</v>
      </c>
      <c r="AF84" s="98">
        <v>130.6</v>
      </c>
      <c r="AG84" s="99"/>
      <c r="AH84" s="55">
        <f t="shared" si="16"/>
        <v>130.6</v>
      </c>
      <c r="AI84" s="56">
        <f t="shared" si="17"/>
        <v>126.9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126.6</v>
      </c>
      <c r="C85" s="52">
        <v>126.6</v>
      </c>
      <c r="D85" s="52">
        <v>129.1</v>
      </c>
      <c r="E85" s="52">
        <v>130.1</v>
      </c>
      <c r="F85" s="52">
        <v>125.9</v>
      </c>
      <c r="G85" s="52">
        <v>125.9</v>
      </c>
      <c r="H85" s="52">
        <v>129.999</v>
      </c>
      <c r="I85" s="52">
        <v>129.19999999999999</v>
      </c>
      <c r="J85" s="52">
        <v>130</v>
      </c>
      <c r="K85" s="52">
        <v>128</v>
      </c>
      <c r="L85" s="52">
        <v>130</v>
      </c>
      <c r="M85" s="52">
        <v>128.30000000000001</v>
      </c>
      <c r="N85" s="52">
        <v>126.1</v>
      </c>
      <c r="O85" s="52">
        <v>127.3</v>
      </c>
      <c r="P85" s="52">
        <v>126.9</v>
      </c>
      <c r="Q85" s="52">
        <v>125.7</v>
      </c>
      <c r="R85" s="52">
        <v>128.19999999999999</v>
      </c>
      <c r="S85" s="52">
        <v>128.19999999999999</v>
      </c>
      <c r="T85" s="52">
        <v>128.6</v>
      </c>
      <c r="U85" s="52">
        <v>129.69999999999999</v>
      </c>
      <c r="V85" s="52">
        <v>129.80000000000001</v>
      </c>
      <c r="W85" s="97">
        <v>126.9</v>
      </c>
      <c r="X85" s="97">
        <v>126.4</v>
      </c>
      <c r="Y85" s="97">
        <v>128.1</v>
      </c>
      <c r="Z85" s="97">
        <v>129.9</v>
      </c>
      <c r="AA85" s="52">
        <v>129.30000000000001</v>
      </c>
      <c r="AB85" s="52">
        <v>130.6</v>
      </c>
      <c r="AC85" s="52">
        <v>127.1</v>
      </c>
      <c r="AD85" s="52">
        <v>129.9</v>
      </c>
      <c r="AE85" s="52">
        <v>128.6</v>
      </c>
      <c r="AF85" s="98">
        <v>128.4</v>
      </c>
      <c r="AG85" s="99"/>
      <c r="AH85" s="55">
        <f t="shared" si="16"/>
        <v>130.6</v>
      </c>
      <c r="AI85" s="56">
        <f t="shared" si="17"/>
        <v>125.7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130.9</v>
      </c>
      <c r="C86" s="52">
        <v>130.9</v>
      </c>
      <c r="D86" s="52">
        <v>133.80000000000001</v>
      </c>
      <c r="E86" s="52">
        <v>134.6</v>
      </c>
      <c r="F86" s="52">
        <v>130.6</v>
      </c>
      <c r="G86" s="52">
        <v>130.6</v>
      </c>
      <c r="H86" s="52">
        <v>133.4</v>
      </c>
      <c r="I86" s="52">
        <v>133.1</v>
      </c>
      <c r="J86" s="52">
        <v>132.4</v>
      </c>
      <c r="K86" s="52">
        <v>130.6</v>
      </c>
      <c r="L86" s="52">
        <v>132.1</v>
      </c>
      <c r="M86" s="52">
        <v>131.80000000000001</v>
      </c>
      <c r="N86" s="52">
        <v>130.69999999999999</v>
      </c>
      <c r="O86" s="52">
        <v>131.6</v>
      </c>
      <c r="P86" s="52">
        <v>130</v>
      </c>
      <c r="Q86" s="52">
        <v>128.5</v>
      </c>
      <c r="R86" s="52">
        <v>132.1</v>
      </c>
      <c r="S86" s="52">
        <v>132.19999999999999</v>
      </c>
      <c r="T86" s="52">
        <v>133.30000000000001</v>
      </c>
      <c r="U86" s="52">
        <v>134</v>
      </c>
      <c r="V86" s="52">
        <v>134.1</v>
      </c>
      <c r="W86" s="97">
        <v>131.19999999999999</v>
      </c>
      <c r="X86" s="97">
        <v>131</v>
      </c>
      <c r="Y86" s="97">
        <v>132.6</v>
      </c>
      <c r="Z86" s="97">
        <v>134.4</v>
      </c>
      <c r="AA86" s="52">
        <v>132.1</v>
      </c>
      <c r="AB86" s="52">
        <v>133.5</v>
      </c>
      <c r="AC86" s="52">
        <v>130.6</v>
      </c>
      <c r="AD86" s="52">
        <v>134.30000000000001</v>
      </c>
      <c r="AE86" s="52">
        <v>135.19999999999999</v>
      </c>
      <c r="AF86" s="98">
        <v>134.5</v>
      </c>
      <c r="AG86" s="99"/>
      <c r="AH86" s="55">
        <f t="shared" si="16"/>
        <v>135.19999999999999</v>
      </c>
      <c r="AI86" s="56">
        <f t="shared" si="17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133.80000000000001</v>
      </c>
      <c r="C87" s="101">
        <v>133.80000000000001</v>
      </c>
      <c r="D87" s="101">
        <v>134.69999999999999</v>
      </c>
      <c r="E87" s="101">
        <v>134.6</v>
      </c>
      <c r="F87" s="101">
        <v>135.19999999999999</v>
      </c>
      <c r="G87" s="101">
        <v>135.19999999999999</v>
      </c>
      <c r="H87" s="101">
        <v>131.4</v>
      </c>
      <c r="I87" s="101">
        <v>133.69999999999999</v>
      </c>
      <c r="J87" s="101">
        <v>132.30000000000001</v>
      </c>
      <c r="K87" s="101">
        <v>132.30000000000001</v>
      </c>
      <c r="L87" s="101">
        <v>145.1</v>
      </c>
      <c r="M87" s="101">
        <v>132.5</v>
      </c>
      <c r="N87" s="101">
        <v>132.30000000000001</v>
      </c>
      <c r="O87" s="101">
        <v>134.5</v>
      </c>
      <c r="P87" s="101">
        <v>134.30000000000001</v>
      </c>
      <c r="Q87" s="101">
        <v>135.19999999999999</v>
      </c>
      <c r="R87" s="101">
        <v>133.80000000000001</v>
      </c>
      <c r="S87" s="101">
        <v>132.80000000000001</v>
      </c>
      <c r="T87" s="101">
        <v>133.5</v>
      </c>
      <c r="U87" s="101">
        <v>134.80000000000001</v>
      </c>
      <c r="V87" s="101">
        <v>135.6</v>
      </c>
      <c r="W87" s="97">
        <v>134.80000000000001</v>
      </c>
      <c r="X87" s="97">
        <v>132.6</v>
      </c>
      <c r="Y87" s="97">
        <v>133.80000000000001</v>
      </c>
      <c r="Z87" s="97">
        <v>134</v>
      </c>
      <c r="AA87" s="101">
        <v>134.80000000000001</v>
      </c>
      <c r="AB87" s="101">
        <v>133.19999999999999</v>
      </c>
      <c r="AC87" s="101">
        <v>132.5</v>
      </c>
      <c r="AD87" s="101">
        <v>134</v>
      </c>
      <c r="AE87" s="101">
        <v>133.69999999999999</v>
      </c>
      <c r="AF87" s="102">
        <v>132.1</v>
      </c>
      <c r="AG87" s="103"/>
      <c r="AH87" s="55">
        <f t="shared" si="16"/>
        <v>145.1</v>
      </c>
      <c r="AI87" s="56">
        <f t="shared" si="17"/>
        <v>131.4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131.69999999999999</v>
      </c>
      <c r="C88" s="52">
        <v>131.69999999999999</v>
      </c>
      <c r="D88" s="52">
        <v>135.5</v>
      </c>
      <c r="E88" s="52">
        <v>132.6</v>
      </c>
      <c r="F88" s="52">
        <v>133.1</v>
      </c>
      <c r="G88" s="52">
        <v>133.1</v>
      </c>
      <c r="H88" s="52">
        <v>130.1</v>
      </c>
      <c r="I88" s="52">
        <v>131.4</v>
      </c>
      <c r="J88" s="52">
        <v>129</v>
      </c>
      <c r="K88" s="52">
        <v>129.6</v>
      </c>
      <c r="L88" s="52">
        <v>131.4</v>
      </c>
      <c r="M88" s="52">
        <v>129.30000000000001</v>
      </c>
      <c r="N88" s="52">
        <v>127.3</v>
      </c>
      <c r="O88" s="52">
        <v>129.9</v>
      </c>
      <c r="P88" s="52">
        <v>130.5</v>
      </c>
      <c r="Q88" s="52">
        <v>130.4</v>
      </c>
      <c r="R88" s="52">
        <v>133.6</v>
      </c>
      <c r="S88" s="52">
        <v>129.19999999999999</v>
      </c>
      <c r="T88" s="52">
        <v>132.30000000000001</v>
      </c>
      <c r="U88" s="52">
        <v>133.19999999999999</v>
      </c>
      <c r="V88" s="52">
        <v>133.1</v>
      </c>
      <c r="W88" s="97">
        <v>131.9</v>
      </c>
      <c r="X88" s="97">
        <v>128.19999999999999</v>
      </c>
      <c r="Y88" s="97">
        <v>129.69999999999999</v>
      </c>
      <c r="Z88" s="97">
        <v>130.69999999999999</v>
      </c>
      <c r="AA88" s="52">
        <v>133.4</v>
      </c>
      <c r="AB88" s="52">
        <v>132.4</v>
      </c>
      <c r="AC88" s="52">
        <v>131.19999999999999</v>
      </c>
      <c r="AD88" s="52">
        <v>135.1</v>
      </c>
      <c r="AE88" s="52">
        <v>134.80000000000001</v>
      </c>
      <c r="AF88" s="98">
        <v>134</v>
      </c>
      <c r="AG88" s="99"/>
      <c r="AH88" s="55">
        <f t="shared" si="16"/>
        <v>135.5</v>
      </c>
      <c r="AI88" s="56">
        <f t="shared" si="17"/>
        <v>127.3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65.8</v>
      </c>
      <c r="C89" s="104">
        <v>65.8</v>
      </c>
      <c r="D89" s="104">
        <v>66.599999999999994</v>
      </c>
      <c r="E89" s="104">
        <v>66</v>
      </c>
      <c r="F89" s="104">
        <v>65.5</v>
      </c>
      <c r="G89" s="104">
        <v>65.5</v>
      </c>
      <c r="H89" s="104">
        <v>65.3</v>
      </c>
      <c r="I89" s="104">
        <v>64.900000000000006</v>
      </c>
      <c r="J89" s="104">
        <v>65.400000000000006</v>
      </c>
      <c r="K89" s="104">
        <v>65.8</v>
      </c>
      <c r="L89" s="104">
        <v>65.099999999999994</v>
      </c>
      <c r="M89" s="104">
        <v>64.5</v>
      </c>
      <c r="N89" s="104">
        <v>64.8</v>
      </c>
      <c r="O89" s="104">
        <v>64.7</v>
      </c>
      <c r="P89" s="104">
        <v>64.900000000000006</v>
      </c>
      <c r="Q89" s="104">
        <v>65.2</v>
      </c>
      <c r="R89" s="104">
        <v>64.900000000000006</v>
      </c>
      <c r="S89" s="104">
        <v>65.3</v>
      </c>
      <c r="T89" s="104">
        <v>65.5</v>
      </c>
      <c r="U89" s="104">
        <v>65.400000000000006</v>
      </c>
      <c r="V89" s="104">
        <v>65.5</v>
      </c>
      <c r="W89" s="104">
        <v>64.599999999999994</v>
      </c>
      <c r="X89" s="104">
        <v>64.5</v>
      </c>
      <c r="Y89" s="104">
        <v>64.599999999999994</v>
      </c>
      <c r="Z89" s="104">
        <v>65.099999999999994</v>
      </c>
      <c r="AA89" s="104">
        <v>65.900000000000006</v>
      </c>
      <c r="AB89" s="104">
        <v>65.7</v>
      </c>
      <c r="AC89" s="104">
        <v>66.3</v>
      </c>
      <c r="AD89" s="104">
        <v>66.3</v>
      </c>
      <c r="AE89" s="104">
        <v>66.599999999999994</v>
      </c>
      <c r="AF89" s="105">
        <v>66.5</v>
      </c>
      <c r="AG89" s="106"/>
      <c r="AH89" s="55">
        <f t="shared" si="16"/>
        <v>66.599999999999994</v>
      </c>
      <c r="AI89" s="56">
        <f t="shared" si="17"/>
        <v>64.5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160.73999999999998</v>
      </c>
      <c r="C91" s="178">
        <f t="shared" ref="C91:AF91" si="21">SUM(C14,C17,C20:C21,C40,C42:C43,C45,C47,C92:C95,C100,C106,C112,C121,C123,C135,C142,C145:C146,C153,C155,C157,C161:C163,C165:C167,C172,C178:C179,C181:C183,C191,C196)</f>
        <v>155.33999999999997</v>
      </c>
      <c r="D91" s="178">
        <f t="shared" si="21"/>
        <v>149.23999999999998</v>
      </c>
      <c r="E91" s="178">
        <f t="shared" si="21"/>
        <v>142.73999999999998</v>
      </c>
      <c r="F91" s="111">
        <f t="shared" si="21"/>
        <v>173.24</v>
      </c>
      <c r="G91" s="111">
        <f t="shared" si="21"/>
        <v>217.43999999999994</v>
      </c>
      <c r="H91" s="111">
        <f t="shared" si="21"/>
        <v>214.93999999999994</v>
      </c>
      <c r="I91" s="111">
        <f t="shared" si="21"/>
        <v>243.73999999999998</v>
      </c>
      <c r="J91" s="111">
        <f t="shared" si="21"/>
        <v>253.53999999999996</v>
      </c>
      <c r="K91" s="111">
        <f t="shared" si="21"/>
        <v>270.84000000000003</v>
      </c>
      <c r="L91" s="111">
        <f t="shared" si="21"/>
        <v>280.54000000000002</v>
      </c>
      <c r="M91" s="111">
        <f t="shared" si="21"/>
        <v>283.23999999999995</v>
      </c>
      <c r="N91" s="111">
        <f t="shared" si="21"/>
        <v>269.34000000000003</v>
      </c>
      <c r="O91" s="111">
        <f t="shared" si="21"/>
        <v>249.44</v>
      </c>
      <c r="P91" s="111">
        <f t="shared" si="21"/>
        <v>276.14</v>
      </c>
      <c r="Q91" s="111">
        <f t="shared" si="21"/>
        <v>229.84</v>
      </c>
      <c r="R91" s="111">
        <f t="shared" si="21"/>
        <v>244.33999999999997</v>
      </c>
      <c r="S91" s="111">
        <f t="shared" si="21"/>
        <v>231.74</v>
      </c>
      <c r="T91" s="111">
        <f t="shared" si="21"/>
        <v>235.23999999999998</v>
      </c>
      <c r="U91" s="111">
        <f t="shared" si="21"/>
        <v>239.64000000000001</v>
      </c>
      <c r="V91" s="111">
        <f t="shared" si="21"/>
        <v>263.04000000000008</v>
      </c>
      <c r="W91" s="111">
        <f t="shared" si="21"/>
        <v>318.54000000000008</v>
      </c>
      <c r="X91" s="111">
        <f t="shared" si="21"/>
        <v>325.54000000000002</v>
      </c>
      <c r="Y91" s="111">
        <f t="shared" si="21"/>
        <v>293.24000000000007</v>
      </c>
      <c r="Z91" s="111">
        <f t="shared" si="21"/>
        <v>276.14000000000004</v>
      </c>
      <c r="AA91" s="111">
        <f t="shared" si="21"/>
        <v>254.34</v>
      </c>
      <c r="AB91" s="111">
        <f t="shared" si="21"/>
        <v>237.03999999999996</v>
      </c>
      <c r="AC91" s="111">
        <f t="shared" si="21"/>
        <v>221.54</v>
      </c>
      <c r="AD91" s="111">
        <f t="shared" si="21"/>
        <v>167.33999999999995</v>
      </c>
      <c r="AE91" s="111">
        <f t="shared" si="21"/>
        <v>147.63999999999999</v>
      </c>
      <c r="AF91" s="111">
        <f t="shared" si="21"/>
        <v>141.84</v>
      </c>
      <c r="AG91" s="112"/>
      <c r="AH91" s="55">
        <f>MAX(B91:AF91)</f>
        <v>325.54000000000002</v>
      </c>
      <c r="AI91" s="56">
        <f>MIN(B91:AF91)</f>
        <v>141.84</v>
      </c>
    </row>
    <row r="92" spans="1:88" x14ac:dyDescent="0.25">
      <c r="A92" s="113" t="s">
        <v>95</v>
      </c>
      <c r="B92" s="59">
        <v>42.7</v>
      </c>
      <c r="C92" s="59">
        <v>42.7</v>
      </c>
      <c r="D92" s="59">
        <v>39.4</v>
      </c>
      <c r="E92" s="59">
        <v>43</v>
      </c>
      <c r="F92" s="114">
        <v>62.9</v>
      </c>
      <c r="G92" s="114">
        <v>64.099999999999994</v>
      </c>
      <c r="H92" s="114">
        <v>63.3</v>
      </c>
      <c r="I92" s="114">
        <v>68.599999999999994</v>
      </c>
      <c r="J92" s="114">
        <v>60.9</v>
      </c>
      <c r="K92" s="114">
        <v>51</v>
      </c>
      <c r="L92" s="114">
        <v>65.900000000000006</v>
      </c>
      <c r="M92" s="114">
        <v>68.5</v>
      </c>
      <c r="N92" s="114">
        <v>68.599999999999994</v>
      </c>
      <c r="O92" s="114">
        <v>71.7</v>
      </c>
      <c r="P92" s="114">
        <v>67.599999999999994</v>
      </c>
      <c r="Q92" s="114">
        <v>68.7</v>
      </c>
      <c r="R92" s="114">
        <v>67.599999999999994</v>
      </c>
      <c r="S92" s="114">
        <v>62.9</v>
      </c>
      <c r="T92" s="115">
        <v>70.3</v>
      </c>
      <c r="U92" s="115">
        <v>72.900000000000006</v>
      </c>
      <c r="V92" s="115">
        <v>65</v>
      </c>
      <c r="W92" s="114">
        <v>51</v>
      </c>
      <c r="X92" s="114">
        <v>34.1</v>
      </c>
      <c r="Y92" s="114">
        <v>35.4</v>
      </c>
      <c r="Z92" s="114">
        <v>43.2</v>
      </c>
      <c r="AA92" s="115">
        <v>52.4</v>
      </c>
      <c r="AB92" s="115">
        <v>53.9</v>
      </c>
      <c r="AC92" s="115">
        <v>50.3</v>
      </c>
      <c r="AD92" s="115">
        <v>48.2</v>
      </c>
      <c r="AE92" s="115">
        <v>46.6</v>
      </c>
      <c r="AF92" s="116">
        <v>28.9</v>
      </c>
      <c r="AG92" s="117">
        <v>75</v>
      </c>
      <c r="AH92" s="55">
        <f t="shared" ref="AH92:AH97" si="22">IF(ABS(MAX(B92:AF92))&gt;ABS(MIN(B92:AF92)),MAX(B92:AF92),MIN(B92:AF92))</f>
        <v>72.900000000000006</v>
      </c>
      <c r="AI92" s="118">
        <f t="shared" ref="AI92:AI97" si="23">INDEX($B$9:$AF$9,1,MATCH(AH92,B92:AF92,0))</f>
        <v>0.70833333333333304</v>
      </c>
    </row>
    <row r="93" spans="1:88" x14ac:dyDescent="0.25">
      <c r="A93" s="119" t="s">
        <v>96</v>
      </c>
      <c r="B93" s="61">
        <v>-110</v>
      </c>
      <c r="C93" s="61">
        <v>-115</v>
      </c>
      <c r="D93" s="61">
        <v>-108</v>
      </c>
      <c r="E93" s="61">
        <v>-112</v>
      </c>
      <c r="F93" s="61">
        <v>-101.2</v>
      </c>
      <c r="G93" s="61">
        <v>-80.3</v>
      </c>
      <c r="H93" s="61">
        <v>-70.3</v>
      </c>
      <c r="I93" s="61">
        <v>-58.6</v>
      </c>
      <c r="J93" s="61">
        <v>-51.3</v>
      </c>
      <c r="K93" s="61">
        <v>-40.200000000000003</v>
      </c>
      <c r="L93" s="61">
        <f>-16-26.5</f>
        <v>-42.5</v>
      </c>
      <c r="M93" s="61">
        <f>-17.1-26.8</f>
        <v>-43.900000000000006</v>
      </c>
      <c r="N93" s="61">
        <f>-17.1-30.2</f>
        <v>-47.3</v>
      </c>
      <c r="O93" s="61">
        <f>-24-35.5</f>
        <v>-59.5</v>
      </c>
      <c r="P93" s="61">
        <f>-25.2-53.7</f>
        <v>-78.900000000000006</v>
      </c>
      <c r="Q93" s="61">
        <f>-26.2-40.3</f>
        <v>-66.5</v>
      </c>
      <c r="R93" s="61">
        <v>-61</v>
      </c>
      <c r="S93" s="61">
        <v>-60.1</v>
      </c>
      <c r="T93" s="61">
        <v>-53</v>
      </c>
      <c r="U93" s="61">
        <v>-56.7</v>
      </c>
      <c r="V93" s="61">
        <v>-50.1</v>
      </c>
      <c r="W93" s="61">
        <v>-33.5</v>
      </c>
      <c r="X93" s="61">
        <v>-30</v>
      </c>
      <c r="Y93" s="61">
        <v>-35.700000000000003</v>
      </c>
      <c r="Z93" s="61">
        <v>-48.4</v>
      </c>
      <c r="AA93" s="52">
        <v>-59.1</v>
      </c>
      <c r="AB93" s="52">
        <v>-58</v>
      </c>
      <c r="AC93" s="52">
        <f>-27.6-33.7</f>
        <v>-61.300000000000004</v>
      </c>
      <c r="AD93" s="52">
        <f>-33.1-39.9</f>
        <v>-73</v>
      </c>
      <c r="AE93" s="52">
        <f>-36.2-43.2</f>
        <v>-79.400000000000006</v>
      </c>
      <c r="AF93" s="120">
        <f>-35.2-42.2</f>
        <v>-77.400000000000006</v>
      </c>
      <c r="AG93" s="117">
        <v>240</v>
      </c>
      <c r="AH93" s="55">
        <f t="shared" si="22"/>
        <v>-115</v>
      </c>
      <c r="AI93" s="118">
        <f t="shared" si="23"/>
        <v>8.3333333333333301E-2</v>
      </c>
    </row>
    <row r="94" spans="1:88" x14ac:dyDescent="0.25">
      <c r="A94" s="119" t="s">
        <v>97</v>
      </c>
      <c r="B94" s="61">
        <v>-11.6</v>
      </c>
      <c r="C94" s="61">
        <v>-12</v>
      </c>
      <c r="D94" s="61">
        <v>-12.2</v>
      </c>
      <c r="E94" s="61">
        <v>-19</v>
      </c>
      <c r="F94" s="61">
        <v>-19.2</v>
      </c>
      <c r="G94" s="61">
        <v>-6</v>
      </c>
      <c r="H94" s="61">
        <v>-6.7</v>
      </c>
      <c r="I94" s="61">
        <v>5.3</v>
      </c>
      <c r="J94" s="61">
        <v>12.5</v>
      </c>
      <c r="K94" s="61">
        <v>28.4</v>
      </c>
      <c r="L94" s="61">
        <v>28.8</v>
      </c>
      <c r="M94" s="61">
        <v>27.9</v>
      </c>
      <c r="N94" s="61">
        <v>29.5</v>
      </c>
      <c r="O94" s="61">
        <v>24.3</v>
      </c>
      <c r="P94" s="61">
        <v>20.100000000000001</v>
      </c>
      <c r="Q94" s="61">
        <v>29.4</v>
      </c>
      <c r="R94" s="61">
        <v>15.5</v>
      </c>
      <c r="S94" s="61">
        <v>15</v>
      </c>
      <c r="T94" s="61">
        <v>19</v>
      </c>
      <c r="U94" s="61">
        <v>12.5</v>
      </c>
      <c r="V94" s="61">
        <v>2.6</v>
      </c>
      <c r="W94" s="61">
        <v>8.5</v>
      </c>
      <c r="X94" s="61">
        <v>13.7</v>
      </c>
      <c r="Y94" s="61">
        <v>4</v>
      </c>
      <c r="Z94" s="61">
        <v>4.5</v>
      </c>
      <c r="AA94" s="52">
        <v>0</v>
      </c>
      <c r="AB94" s="52">
        <v>-0.8</v>
      </c>
      <c r="AC94" s="52">
        <v>2.2999999999999998</v>
      </c>
      <c r="AD94" s="52">
        <v>-10.3</v>
      </c>
      <c r="AE94" s="52">
        <v>-13</v>
      </c>
      <c r="AF94" s="120">
        <v>-14.1</v>
      </c>
      <c r="AG94" s="117">
        <v>60</v>
      </c>
      <c r="AH94" s="55">
        <f t="shared" si="22"/>
        <v>29.5</v>
      </c>
      <c r="AI94" s="118">
        <f t="shared" si="23"/>
        <v>0.41666666666666702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-12</v>
      </c>
      <c r="I95" s="84">
        <v>-12.2</v>
      </c>
      <c r="J95" s="84">
        <v>-9.5</v>
      </c>
      <c r="K95" s="84">
        <v>-9.3000000000000007</v>
      </c>
      <c r="L95" s="84">
        <v>-11.9</v>
      </c>
      <c r="M95" s="84">
        <v>-9.9</v>
      </c>
      <c r="N95" s="84">
        <v>-21.8</v>
      </c>
      <c r="O95" s="84">
        <v>-27.7</v>
      </c>
      <c r="P95" s="84">
        <v>27.1</v>
      </c>
      <c r="Q95" s="84">
        <v>-42</v>
      </c>
      <c r="R95" s="84">
        <v>-18</v>
      </c>
      <c r="S95" s="84">
        <v>-14.6</v>
      </c>
      <c r="T95" s="84">
        <v>-29.1</v>
      </c>
      <c r="U95" s="84">
        <v>-18.600000000000001</v>
      </c>
      <c r="V95" s="84">
        <v>16</v>
      </c>
      <c r="W95" s="84">
        <v>63</v>
      </c>
      <c r="X95" s="84">
        <v>78.2</v>
      </c>
      <c r="Y95" s="84">
        <v>60</v>
      </c>
      <c r="Z95" s="84">
        <v>47.3</v>
      </c>
      <c r="AA95" s="122">
        <v>22.3</v>
      </c>
      <c r="AB95" s="122">
        <v>16.8</v>
      </c>
      <c r="AC95" s="122">
        <v>5.9</v>
      </c>
      <c r="AD95" s="122">
        <v>-2.1</v>
      </c>
      <c r="AE95" s="122">
        <v>-5.8</v>
      </c>
      <c r="AF95" s="123">
        <v>5.2</v>
      </c>
      <c r="AG95" s="124">
        <v>120</v>
      </c>
      <c r="AH95" s="55">
        <f t="shared" si="22"/>
        <v>78.2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-2.6</v>
      </c>
      <c r="C96" s="84">
        <v>-3.6</v>
      </c>
      <c r="D96" s="84">
        <v>-4.0999999999999996</v>
      </c>
      <c r="E96" s="84">
        <v>-4.5999999999999996</v>
      </c>
      <c r="F96" s="84">
        <v>-1.1000000000000001</v>
      </c>
      <c r="G96" s="84">
        <v>9</v>
      </c>
      <c r="H96" s="84">
        <v>8.9</v>
      </c>
      <c r="I96" s="84">
        <v>-5</v>
      </c>
      <c r="J96" s="84">
        <v>-4.0999999999999996</v>
      </c>
      <c r="K96" s="84">
        <v>-3</v>
      </c>
      <c r="L96" s="84">
        <v>0.8</v>
      </c>
      <c r="M96" s="84">
        <v>0</v>
      </c>
      <c r="N96" s="84">
        <v>-8.1999999999999993</v>
      </c>
      <c r="O96" s="84">
        <v>-4.8</v>
      </c>
      <c r="P96" s="84">
        <v>-8.1999999999999993</v>
      </c>
      <c r="Q96" s="84">
        <v>-18.600000000000001</v>
      </c>
      <c r="R96" s="84">
        <v>0.8</v>
      </c>
      <c r="S96" s="84">
        <v>0</v>
      </c>
      <c r="T96" s="84">
        <v>-7.8</v>
      </c>
      <c r="U96" s="84">
        <v>-1.2</v>
      </c>
      <c r="V96" s="84">
        <v>20.399999999999999</v>
      </c>
      <c r="W96" s="84">
        <v>51.3</v>
      </c>
      <c r="X96" s="84">
        <v>60.5</v>
      </c>
      <c r="Y96" s="84">
        <v>50.4</v>
      </c>
      <c r="Z96" s="84">
        <v>43.6</v>
      </c>
      <c r="AA96" s="122">
        <v>23.2</v>
      </c>
      <c r="AB96" s="122">
        <v>24.2</v>
      </c>
      <c r="AC96" s="122">
        <v>14.1</v>
      </c>
      <c r="AD96" s="122">
        <v>13.8</v>
      </c>
      <c r="AE96" s="122">
        <v>10.8</v>
      </c>
      <c r="AF96" s="123">
        <v>19.899999999999999</v>
      </c>
      <c r="AG96" s="124"/>
      <c r="AH96" s="55">
        <f t="shared" si="22"/>
        <v>60.5</v>
      </c>
      <c r="AI96" s="118">
        <f t="shared" si="23"/>
        <v>0.77083333333333337</v>
      </c>
    </row>
    <row r="97" spans="1:37" ht="15.75" thickBot="1" x14ac:dyDescent="0.3">
      <c r="A97" s="121" t="s">
        <v>100</v>
      </c>
      <c r="B97" s="84">
        <v>42.5</v>
      </c>
      <c r="C97" s="84">
        <v>44</v>
      </c>
      <c r="D97" s="84">
        <v>43.8</v>
      </c>
      <c r="E97" s="84">
        <v>35.6</v>
      </c>
      <c r="F97" s="84">
        <v>22.2</v>
      </c>
      <c r="G97" s="84">
        <v>-42</v>
      </c>
      <c r="H97" s="84">
        <v>-39</v>
      </c>
      <c r="I97" s="84">
        <v>-39.4</v>
      </c>
      <c r="J97" s="84">
        <v>-26.3</v>
      </c>
      <c r="K97" s="84">
        <v>-1.5</v>
      </c>
      <c r="L97" s="84">
        <v>20.7</v>
      </c>
      <c r="M97" s="84">
        <v>12.5</v>
      </c>
      <c r="N97" s="84">
        <v>15.9</v>
      </c>
      <c r="O97" s="84">
        <v>10.8</v>
      </c>
      <c r="P97" s="84">
        <v>13</v>
      </c>
      <c r="Q97" s="84">
        <v>17</v>
      </c>
      <c r="R97" s="84">
        <v>17.399999999999999</v>
      </c>
      <c r="S97" s="84">
        <v>27.7</v>
      </c>
      <c r="T97" s="84">
        <v>13.1</v>
      </c>
      <c r="U97" s="84">
        <v>7.5</v>
      </c>
      <c r="V97" s="84">
        <v>20.100000000000001</v>
      </c>
      <c r="W97" s="84">
        <v>35.700000000000003</v>
      </c>
      <c r="X97" s="84">
        <v>51.2</v>
      </c>
      <c r="Y97" s="84">
        <v>51.8</v>
      </c>
      <c r="Z97" s="84">
        <v>53.8</v>
      </c>
      <c r="AA97" s="122">
        <v>37.700000000000003</v>
      </c>
      <c r="AB97" s="122">
        <v>34.4</v>
      </c>
      <c r="AC97" s="122">
        <v>39.700000000000003</v>
      </c>
      <c r="AD97" s="122">
        <v>33.200000000000003</v>
      </c>
      <c r="AE97" s="122">
        <v>37.299999999999997</v>
      </c>
      <c r="AF97" s="123">
        <v>43.9</v>
      </c>
      <c r="AG97" s="125"/>
      <c r="AH97" s="55">
        <f t="shared" si="22"/>
        <v>53.8</v>
      </c>
      <c r="AI97" s="118">
        <f t="shared" si="23"/>
        <v>0.8125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1076.54</v>
      </c>
      <c r="C206" s="161">
        <f>INDEX(F9:M9,1,MATCH(MAX(F73:M73),F73:M73,0))</f>
        <v>0.3125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16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2078/04/16)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2078/04/16)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974.04</v>
      </c>
      <c r="U211" s="170">
        <f t="shared" si="52"/>
        <v>960.83999999999992</v>
      </c>
      <c r="V211" s="170">
        <f t="shared" si="52"/>
        <v>947.53</v>
      </c>
      <c r="W211" s="170">
        <f t="shared" si="52"/>
        <v>913.44</v>
      </c>
      <c r="X211" s="170">
        <f t="shared" si="52"/>
        <v>953.34</v>
      </c>
      <c r="Y211" s="170">
        <f t="shared" si="52"/>
        <v>1022.34</v>
      </c>
      <c r="Z211" s="170">
        <f t="shared" si="52"/>
        <v>1012.84</v>
      </c>
      <c r="AA211" s="170">
        <f t="shared" si="52"/>
        <v>1046.3400000000001</v>
      </c>
      <c r="AB211" s="170">
        <f t="shared" si="52"/>
        <v>1052.44</v>
      </c>
      <c r="AC211" s="170">
        <f t="shared" si="52"/>
        <v>1076.54</v>
      </c>
      <c r="AD211" s="170">
        <f t="shared" si="52"/>
        <v>1073.6399999999999</v>
      </c>
      <c r="AE211" s="170">
        <f t="shared" si="52"/>
        <v>1072.04</v>
      </c>
      <c r="AF211" s="170">
        <f t="shared" si="52"/>
        <v>1050.54</v>
      </c>
      <c r="AG211" s="170">
        <f t="shared" si="52"/>
        <v>1048.74</v>
      </c>
      <c r="AH211" s="170">
        <f t="shared" si="52"/>
        <v>1045.3399999999999</v>
      </c>
      <c r="AI211" s="170">
        <f t="shared" si="52"/>
        <v>1060.24</v>
      </c>
      <c r="AJ211" s="170">
        <f t="shared" si="52"/>
        <v>1071.04</v>
      </c>
      <c r="AK211" s="170">
        <f t="shared" si="52"/>
        <v>1039.74</v>
      </c>
      <c r="AL211" s="170">
        <f t="shared" si="52"/>
        <v>1045.6400000000001</v>
      </c>
      <c r="AM211" s="170">
        <f t="shared" si="52"/>
        <v>1045.54</v>
      </c>
      <c r="AN211" s="170">
        <f t="shared" si="52"/>
        <v>1081.94</v>
      </c>
      <c r="AO211" s="170">
        <f t="shared" si="52"/>
        <v>1233.8399999999999</v>
      </c>
      <c r="AP211" s="170">
        <f t="shared" si="52"/>
        <v>1296.6399999999999</v>
      </c>
      <c r="AQ211" s="170">
        <f t="shared" si="52"/>
        <v>1284.6399999999999</v>
      </c>
      <c r="AR211" s="170">
        <f t="shared" si="52"/>
        <v>1224.4399999999998</v>
      </c>
      <c r="AS211" s="170">
        <f t="shared" si="52"/>
        <v>1172.4399999999998</v>
      </c>
      <c r="AT211" s="170">
        <f t="shared" si="52"/>
        <v>1135.04</v>
      </c>
      <c r="AU211" s="170">
        <f t="shared" si="52"/>
        <v>1085.54</v>
      </c>
      <c r="AV211" s="170">
        <f t="shared" si="52"/>
        <v>985.94</v>
      </c>
      <c r="AW211" s="170">
        <f t="shared" si="52"/>
        <v>946.74</v>
      </c>
      <c r="AX211" s="170">
        <f t="shared" si="52"/>
        <v>936.44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085" priority="444">
      <formula>S$9&gt;=20/24</formula>
    </cfRule>
    <cfRule type="expression" dxfId="6084" priority="445">
      <formula>AND(S$9&gt;=14/24,S$9&lt;20/24)</formula>
    </cfRule>
    <cfRule type="expression" dxfId="6083" priority="446">
      <formula>AND(S$9&gt;=8/24,S$9&lt;14/24)</formula>
    </cfRule>
    <cfRule type="expression" dxfId="6082" priority="447">
      <formula>S$9&lt;8/24</formula>
    </cfRule>
  </conditionalFormatting>
  <conditionalFormatting sqref="B8:AF10 AA79:AF79 B79:Q79 B80:AF80 C191:AF197 AE55:AF58 B66:AF70 T210:AX210 V11:Y11 R56:V57 Y12:Y13 W83:Z89 AA82:AF89 B72:AF76 B78:AF78 B54:AF54 B55:D65 L51:AF53 E55:Q59 Y15:AC24 Y38:AD41 Y26:Z30 AB25:AC25 AA27:AD30 Z11:AD13 AD15:AD25">
    <cfRule type="expression" dxfId="6081" priority="440">
      <formula>B$9&gt;=20/24</formula>
    </cfRule>
    <cfRule type="expression" dxfId="6080" priority="441">
      <formula>AND(B$9&gt;=14/24,B$9&lt;20/24)</formula>
    </cfRule>
    <cfRule type="expression" dxfId="6079" priority="442">
      <formula>AND(B$9&gt;=8/24,B$9&lt;14/24)</formula>
    </cfRule>
    <cfRule type="expression" dxfId="6078" priority="443">
      <formula>B$9&lt;8/24</formula>
    </cfRule>
  </conditionalFormatting>
  <conditionalFormatting sqref="B189:AF189">
    <cfRule type="expression" dxfId="6077" priority="436">
      <formula>B$9&gt;=20/24</formula>
    </cfRule>
    <cfRule type="expression" dxfId="6076" priority="437">
      <formula>AND(B$9&gt;=14/24,B$9&lt;20/24)</formula>
    </cfRule>
    <cfRule type="expression" dxfId="6075" priority="438">
      <formula>AND(B$9&gt;=8/24,B$9&lt;14/24)</formula>
    </cfRule>
    <cfRule type="expression" dxfId="6074" priority="439">
      <formula>B$9&lt;8/24</formula>
    </cfRule>
  </conditionalFormatting>
  <conditionalFormatting sqref="AL4:AL6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Y31:AD31">
    <cfRule type="expression" dxfId="6073" priority="423">
      <formula>Y$9&gt;=20/24</formula>
    </cfRule>
    <cfRule type="expression" dxfId="6072" priority="424">
      <formula>AND(Y$9&gt;=14/24,Y$9&lt;20/24)</formula>
    </cfRule>
    <cfRule type="expression" dxfId="6071" priority="425">
      <formula>AND(Y$9&gt;=8/24,Y$9&lt;14/24)</formula>
    </cfRule>
    <cfRule type="expression" dxfId="6070" priority="426">
      <formula>Y$9&lt;8/24</formula>
    </cfRule>
  </conditionalFormatting>
  <conditionalFormatting sqref="Y37:AD37">
    <cfRule type="expression" dxfId="6069" priority="419">
      <formula>Y$9&gt;=20/24</formula>
    </cfRule>
    <cfRule type="expression" dxfId="6068" priority="420">
      <formula>AND(Y$9&gt;=14/24,Y$9&lt;20/24)</formula>
    </cfRule>
    <cfRule type="expression" dxfId="6067" priority="421">
      <formula>AND(Y$9&gt;=8/24,Y$9&lt;14/24)</formula>
    </cfRule>
    <cfRule type="expression" dxfId="6066" priority="422">
      <formula>Y$9&lt;8/24</formula>
    </cfRule>
  </conditionalFormatting>
  <conditionalFormatting sqref="R55:AD55">
    <cfRule type="expression" dxfId="6065" priority="415">
      <formula>R$9&gt;=20/24</formula>
    </cfRule>
    <cfRule type="expression" dxfId="6064" priority="416">
      <formula>AND(R$9&gt;=14/24,R$9&lt;20/24)</formula>
    </cfRule>
    <cfRule type="expression" dxfId="6063" priority="417">
      <formula>AND(R$9&gt;=8/24,R$9&lt;14/24)</formula>
    </cfRule>
    <cfRule type="expression" dxfId="6062" priority="418">
      <formula>R$9&lt;8/24</formula>
    </cfRule>
  </conditionalFormatting>
  <conditionalFormatting sqref="R79:Z79">
    <cfRule type="expression" dxfId="6061" priority="411">
      <formula>R$9&gt;=20/24</formula>
    </cfRule>
    <cfRule type="expression" dxfId="6060" priority="412">
      <formula>AND(R$9&gt;=14/24,R$9&lt;20/24)</formula>
    </cfRule>
    <cfRule type="expression" dxfId="6059" priority="413">
      <formula>AND(R$9&gt;=8/24,R$9&lt;14/24)</formula>
    </cfRule>
    <cfRule type="expression" dxfId="6058" priority="414">
      <formula>R$9&lt;8/24</formula>
    </cfRule>
  </conditionalFormatting>
  <conditionalFormatting sqref="T82:Z82">
    <cfRule type="expression" dxfId="6057" priority="407">
      <formula>T$9&gt;=20/24</formula>
    </cfRule>
    <cfRule type="expression" dxfId="6056" priority="408">
      <formula>AND(T$9&gt;=14/24,T$9&lt;20/24)</formula>
    </cfRule>
    <cfRule type="expression" dxfId="6055" priority="409">
      <formula>AND(T$9&gt;=8/24,T$9&lt;14/24)</formula>
    </cfRule>
    <cfRule type="expression" dxfId="6054" priority="410">
      <formula>T$9&lt;8/24</formula>
    </cfRule>
  </conditionalFormatting>
  <conditionalFormatting sqref="U35:AD35">
    <cfRule type="expression" dxfId="6053" priority="387">
      <formula>U$9&gt;=20/24</formula>
    </cfRule>
    <cfRule type="expression" dxfId="6052" priority="388">
      <formula>AND(U$9&gt;=14/24,U$9&lt;20/24)</formula>
    </cfRule>
    <cfRule type="expression" dxfId="6051" priority="389">
      <formula>AND(U$9&gt;=8/24,U$9&lt;14/24)</formula>
    </cfRule>
    <cfRule type="expression" dxfId="6050" priority="390">
      <formula>U$9&lt;8/24</formula>
    </cfRule>
  </conditionalFormatting>
  <conditionalFormatting sqref="Y33:AD33">
    <cfRule type="expression" dxfId="6049" priority="383">
      <formula>Y$9&gt;=20/24</formula>
    </cfRule>
    <cfRule type="expression" dxfId="6048" priority="384">
      <formula>AND(Y$9&gt;=14/24,Y$9&lt;20/24)</formula>
    </cfRule>
    <cfRule type="expression" dxfId="6047" priority="385">
      <formula>AND(Y$9&gt;=8/24,Y$9&lt;14/24)</formula>
    </cfRule>
    <cfRule type="expression" dxfId="6046" priority="386">
      <formula>Y$9&lt;8/24</formula>
    </cfRule>
  </conditionalFormatting>
  <conditionalFormatting sqref="Y43:AD45 AB46:AD46 AC43:AF43">
    <cfRule type="expression" dxfId="6045" priority="379">
      <formula>Y$9&gt;=20/24</formula>
    </cfRule>
    <cfRule type="expression" dxfId="6044" priority="380">
      <formula>AND(Y$9&gt;=14/24,Y$9&lt;20/24)</formula>
    </cfRule>
    <cfRule type="expression" dxfId="6043" priority="381">
      <formula>AND(Y$9&gt;=8/24,Y$9&lt;14/24)</formula>
    </cfRule>
    <cfRule type="expression" dxfId="6042" priority="382">
      <formula>Y$9&lt;8/24</formula>
    </cfRule>
  </conditionalFormatting>
  <conditionalFormatting sqref="Y47:AD47">
    <cfRule type="expression" dxfId="6041" priority="375">
      <formula>Y$9&gt;=20/24</formula>
    </cfRule>
    <cfRule type="expression" dxfId="6040" priority="376">
      <formula>AND(Y$9&gt;=14/24,Y$9&lt;20/24)</formula>
    </cfRule>
    <cfRule type="expression" dxfId="6039" priority="377">
      <formula>AND(Y$9&gt;=8/24,Y$9&lt;14/24)</formula>
    </cfRule>
    <cfRule type="expression" dxfId="6038" priority="378">
      <formula>Y$9&lt;8/24</formula>
    </cfRule>
  </conditionalFormatting>
  <conditionalFormatting sqref="Y48:AD48">
    <cfRule type="expression" dxfId="6037" priority="371">
      <formula>Y$9&gt;=20/24</formula>
    </cfRule>
    <cfRule type="expression" dxfId="6036" priority="372">
      <formula>AND(Y$9&gt;=14/24,Y$9&lt;20/24)</formula>
    </cfRule>
    <cfRule type="expression" dxfId="6035" priority="373">
      <formula>AND(Y$9&gt;=8/24,Y$9&lt;14/24)</formula>
    </cfRule>
    <cfRule type="expression" dxfId="6034" priority="374">
      <formula>Y$9&lt;8/24</formula>
    </cfRule>
  </conditionalFormatting>
  <conditionalFormatting sqref="AE59:AF65 R58:S60 S61:S65 T58:T65 Y58:AD65">
    <cfRule type="expression" dxfId="6033" priority="367">
      <formula>R$9&gt;=20/24</formula>
    </cfRule>
    <cfRule type="expression" dxfId="6032" priority="368">
      <formula>AND(R$9&gt;=14/24,R$9&lt;20/24)</formula>
    </cfRule>
    <cfRule type="expression" dxfId="6031" priority="369">
      <formula>AND(R$9&gt;=8/24,R$9&lt;14/24)</formula>
    </cfRule>
    <cfRule type="expression" dxfId="6030" priority="370">
      <formula>R$9&lt;8/24</formula>
    </cfRule>
  </conditionalFormatting>
  <conditionalFormatting sqref="AA92:AF95">
    <cfRule type="expression" dxfId="6029" priority="363">
      <formula>AA$9&gt;=20/24</formula>
    </cfRule>
    <cfRule type="expression" dxfId="6028" priority="364">
      <formula>AND(AA$9&gt;=14/24,AA$9&lt;20/24)</formula>
    </cfRule>
    <cfRule type="expression" dxfId="6027" priority="365">
      <formula>AND(AA$9&gt;=8/24,AA$9&lt;14/24)</formula>
    </cfRule>
    <cfRule type="expression" dxfId="6026" priority="366">
      <formula>AA$9&lt;8/24</formula>
    </cfRule>
  </conditionalFormatting>
  <conditionalFormatting sqref="E60:H60 H61:H65 I60:Q65 R61:R65">
    <cfRule type="expression" dxfId="6025" priority="359">
      <formula>E$9&gt;=20/24</formula>
    </cfRule>
    <cfRule type="expression" dxfId="6024" priority="360">
      <formula>AND(E$9&gt;=14/24,E$9&lt;20/24)</formula>
    </cfRule>
    <cfRule type="expression" dxfId="6023" priority="361">
      <formula>AND(E$9&gt;=8/24,E$9&lt;14/24)</formula>
    </cfRule>
    <cfRule type="expression" dxfId="6022" priority="362">
      <formula>E$9&lt;8/24</formula>
    </cfRule>
  </conditionalFormatting>
  <conditionalFormatting sqref="T92:Z95">
    <cfRule type="expression" dxfId="6021" priority="355">
      <formula>T$9&gt;=20/24</formula>
    </cfRule>
    <cfRule type="expression" dxfId="6020" priority="356">
      <formula>AND(T$9&gt;=14/24,T$9&lt;20/24)</formula>
    </cfRule>
    <cfRule type="expression" dxfId="6019" priority="357">
      <formula>AND(T$9&gt;=8/24,T$9&lt;14/24)</formula>
    </cfRule>
    <cfRule type="expression" dxfId="6018" priority="358">
      <formula>T$9&lt;8/24</formula>
    </cfRule>
  </conditionalFormatting>
  <conditionalFormatting sqref="AG49 Y12:Y13 V11:Y11 B15:Q31 B11:Q13 B33:Q35 U35:AC35 B36:AF36 B49:AF54 B37:Q41 Y15:AC24 Y33:AC34 Y37:AF41 Y47:AF48 AB46:AF46 B43:Q48 Y26:AC31 AB25:AC25 Z11:AF13 AD33:AF35 AD15:AF31 Y43:AF45">
    <cfRule type="expression" dxfId="6017" priority="354">
      <formula>B11&gt;$AG11</formula>
    </cfRule>
  </conditionalFormatting>
  <conditionalFormatting sqref="A98:A154 A82:A95 A11:A13 A15:A31 A43:A70 A78:A80 A72:A76 A33:A41 A167:A198">
    <cfRule type="expression" dxfId="6016" priority="353">
      <formula>$AH11=0</formula>
    </cfRule>
  </conditionalFormatting>
  <conditionalFormatting sqref="AA96:AF96">
    <cfRule type="expression" dxfId="6015" priority="349">
      <formula>AA$9&gt;=20/24</formula>
    </cfRule>
    <cfRule type="expression" dxfId="6014" priority="350">
      <formula>AND(AA$9&gt;=14/24,AA$9&lt;20/24)</formula>
    </cfRule>
    <cfRule type="expression" dxfId="6013" priority="351">
      <formula>AND(AA$9&gt;=8/24,AA$9&lt;14/24)</formula>
    </cfRule>
    <cfRule type="expression" dxfId="6012" priority="352">
      <formula>AA$9&lt;8/24</formula>
    </cfRule>
  </conditionalFormatting>
  <conditionalFormatting sqref="T96:Z96">
    <cfRule type="expression" dxfId="6011" priority="345">
      <formula>T$9&gt;=20/24</formula>
    </cfRule>
    <cfRule type="expression" dxfId="6010" priority="346">
      <formula>AND(T$9&gt;=14/24,T$9&lt;20/24)</formula>
    </cfRule>
    <cfRule type="expression" dxfId="6009" priority="347">
      <formula>AND(T$9&gt;=8/24,T$9&lt;14/24)</formula>
    </cfRule>
    <cfRule type="expression" dxfId="6008" priority="348">
      <formula>T$9&lt;8/24</formula>
    </cfRule>
  </conditionalFormatting>
  <conditionalFormatting sqref="A96">
    <cfRule type="expression" dxfId="6007" priority="344">
      <formula>$AH96=0</formula>
    </cfRule>
  </conditionalFormatting>
  <conditionalFormatting sqref="Y34:AF34">
    <cfRule type="expression" dxfId="6006" priority="340">
      <formula>Y$9&gt;=20/24</formula>
    </cfRule>
    <cfRule type="expression" dxfId="6005" priority="341">
      <formula>AND(Y$9&gt;=14/24,Y$9&lt;20/24)</formula>
    </cfRule>
    <cfRule type="expression" dxfId="6004" priority="342">
      <formula>AND(Y$9&gt;=8/24,Y$9&lt;14/24)</formula>
    </cfRule>
    <cfRule type="expression" dxfId="6003" priority="343">
      <formula>Y$9&lt;8/24</formula>
    </cfRule>
  </conditionalFormatting>
  <conditionalFormatting sqref="Y34:AF34">
    <cfRule type="expression" dxfId="6002" priority="336">
      <formula>Y$9&gt;=20/24</formula>
    </cfRule>
    <cfRule type="expression" dxfId="6001" priority="337">
      <formula>AND(Y$9&gt;=14/24,Y$9&lt;20/24)</formula>
    </cfRule>
    <cfRule type="expression" dxfId="6000" priority="338">
      <formula>AND(Y$9&gt;=8/24,Y$9&lt;14/24)</formula>
    </cfRule>
    <cfRule type="expression" dxfId="5999" priority="339">
      <formula>Y$9&lt;8/24</formula>
    </cfRule>
  </conditionalFormatting>
  <conditionalFormatting sqref="B34:Q34">
    <cfRule type="expression" dxfId="5998" priority="332">
      <formula>B$9&gt;=20/24</formula>
    </cfRule>
    <cfRule type="expression" dxfId="5997" priority="333">
      <formula>AND(B$9&gt;=14/24,B$9&lt;20/24)</formula>
    </cfRule>
    <cfRule type="expression" dxfId="5996" priority="334">
      <formula>AND(B$9&gt;=8/24,B$9&lt;14/24)</formula>
    </cfRule>
    <cfRule type="expression" dxfId="5995" priority="335">
      <formula>B$9&lt;8/24</formula>
    </cfRule>
  </conditionalFormatting>
  <conditionalFormatting sqref="E61:G65">
    <cfRule type="expression" dxfId="5994" priority="328">
      <formula>E$9&gt;=20/24</formula>
    </cfRule>
    <cfRule type="expression" dxfId="5993" priority="329">
      <formula>AND(E$9&gt;=14/24,E$9&lt;20/24)</formula>
    </cfRule>
    <cfRule type="expression" dxfId="5992" priority="330">
      <formula>AND(E$9&gt;=8/24,E$9&lt;14/24)</formula>
    </cfRule>
    <cfRule type="expression" dxfId="5991" priority="331">
      <formula>E$9&lt;8/24</formula>
    </cfRule>
  </conditionalFormatting>
  <conditionalFormatting sqref="AL31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Y32:AD32">
    <cfRule type="expression" dxfId="5990" priority="319">
      <formula>Y$9&gt;=20/24</formula>
    </cfRule>
    <cfRule type="expression" dxfId="5989" priority="320">
      <formula>AND(Y$9&gt;=14/24,Y$9&lt;20/24)</formula>
    </cfRule>
    <cfRule type="expression" dxfId="5988" priority="321">
      <formula>AND(Y$9&gt;=8/24,Y$9&lt;14/24)</formula>
    </cfRule>
    <cfRule type="expression" dxfId="5987" priority="322">
      <formula>Y$9&lt;8/24</formula>
    </cfRule>
  </conditionalFormatting>
  <conditionalFormatting sqref="B32:Q32 Y32:AF32">
    <cfRule type="expression" dxfId="5986" priority="310">
      <formula>B32&gt;$AG32</formula>
    </cfRule>
  </conditionalFormatting>
  <conditionalFormatting sqref="A32">
    <cfRule type="expression" dxfId="5985" priority="309">
      <formula>$AH32=0</formula>
    </cfRule>
  </conditionalFormatting>
  <conditionalFormatting sqref="B81:AF81">
    <cfRule type="expression" dxfId="5984" priority="305">
      <formula>B$9&gt;=20/24</formula>
    </cfRule>
    <cfRule type="expression" dxfId="5983" priority="306">
      <formula>AND(B$9&gt;=14/24,B$9&lt;20/24)</formula>
    </cfRule>
    <cfRule type="expression" dxfId="5982" priority="307">
      <formula>AND(B$9&gt;=8/24,B$9&lt;14/24)</formula>
    </cfRule>
    <cfRule type="expression" dxfId="5981" priority="308">
      <formula>B$9&lt;8/24</formula>
    </cfRule>
  </conditionalFormatting>
  <conditionalFormatting sqref="A81">
    <cfRule type="expression" dxfId="5980" priority="304">
      <formula>$AH81=0</formula>
    </cfRule>
  </conditionalFormatting>
  <conditionalFormatting sqref="Y14:AD14">
    <cfRule type="expression" dxfId="5979" priority="300">
      <formula>Y$9&gt;=20/24</formula>
    </cfRule>
    <cfRule type="expression" dxfId="5978" priority="301">
      <formula>AND(Y$9&gt;=14/24,Y$9&lt;20/24)</formula>
    </cfRule>
    <cfRule type="expression" dxfId="5977" priority="302">
      <formula>AND(Y$9&gt;=8/24,Y$9&lt;14/24)</formula>
    </cfRule>
    <cfRule type="expression" dxfId="5976" priority="303">
      <formula>Y$9&lt;8/24</formula>
    </cfRule>
  </conditionalFormatting>
  <conditionalFormatting sqref="B14:Q14 Y14:AF14">
    <cfRule type="expression" dxfId="5975" priority="295">
      <formula>B14&gt;$AG14</formula>
    </cfRule>
  </conditionalFormatting>
  <conditionalFormatting sqref="A14">
    <cfRule type="expression" dxfId="5974" priority="294">
      <formula>$AH14=0</formula>
    </cfRule>
  </conditionalFormatting>
  <conditionalFormatting sqref="A161:A166">
    <cfRule type="expression" dxfId="5973" priority="293">
      <formula>$AH161=0</formula>
    </cfRule>
  </conditionalFormatting>
  <conditionalFormatting sqref="A155:A160">
    <cfRule type="expression" dxfId="5972" priority="292">
      <formula>$AH155=0</formula>
    </cfRule>
  </conditionalFormatting>
  <conditionalFormatting sqref="Y42:AD42">
    <cfRule type="expression" dxfId="5971" priority="288">
      <formula>Y$9&gt;=20/24</formula>
    </cfRule>
    <cfRule type="expression" dxfId="5970" priority="289">
      <formula>AND(Y$9&gt;=14/24,Y$9&lt;20/24)</formula>
    </cfRule>
    <cfRule type="expression" dxfId="5969" priority="290">
      <formula>AND(Y$9&gt;=8/24,Y$9&lt;14/24)</formula>
    </cfRule>
    <cfRule type="expression" dxfId="5968" priority="291">
      <formula>Y$9&lt;8/24</formula>
    </cfRule>
  </conditionalFormatting>
  <conditionalFormatting sqref="B42:Q42 Y42:AF42">
    <cfRule type="expression" dxfId="5967" priority="279">
      <formula>B42&gt;$AG42</formula>
    </cfRule>
  </conditionalFormatting>
  <conditionalFormatting sqref="A42">
    <cfRule type="expression" dxfId="5966" priority="278">
      <formula>$AH42=0</formula>
    </cfRule>
  </conditionalFormatting>
  <conditionalFormatting sqref="B77:AF77">
    <cfRule type="expression" dxfId="5965" priority="274">
      <formula>B$9&gt;=20/24</formula>
    </cfRule>
    <cfRule type="expression" dxfId="5964" priority="275">
      <formula>AND(B$9&gt;=14/24,B$9&lt;20/24)</formula>
    </cfRule>
    <cfRule type="expression" dxfId="5963" priority="276">
      <formula>AND(B$9&gt;=8/24,B$9&lt;14/24)</formula>
    </cfRule>
    <cfRule type="expression" dxfId="5962" priority="277">
      <formula>B$9&lt;8/24</formula>
    </cfRule>
  </conditionalFormatting>
  <conditionalFormatting sqref="A77">
    <cfRule type="expression" dxfId="5961" priority="273">
      <formula>$AH77=0</formula>
    </cfRule>
  </conditionalFormatting>
  <conditionalFormatting sqref="B71:AG71">
    <cfRule type="expression" dxfId="5960" priority="269">
      <formula>B$9&gt;=20/24</formula>
    </cfRule>
    <cfRule type="expression" dxfId="5959" priority="270">
      <formula>AND(B$9&gt;=14/24,B$9&lt;20/24)</formula>
    </cfRule>
    <cfRule type="expression" dxfId="5958" priority="271">
      <formula>AND(B$9&gt;=8/24,B$9&lt;14/24)</formula>
    </cfRule>
    <cfRule type="expression" dxfId="5957" priority="272">
      <formula>B$9&lt;8/24</formula>
    </cfRule>
  </conditionalFormatting>
  <conditionalFormatting sqref="A71">
    <cfRule type="expression" dxfId="5956" priority="268">
      <formula>$AH71=0</formula>
    </cfRule>
  </conditionalFormatting>
  <conditionalFormatting sqref="AL32:AL33 AL7:AL30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U58:X65">
    <cfRule type="expression" dxfId="5955" priority="264">
      <formula>U$9&gt;=20/24</formula>
    </cfRule>
    <cfRule type="expression" dxfId="5954" priority="265">
      <formula>AND(U$9&gt;=14/24,U$9&lt;20/24)</formula>
    </cfRule>
    <cfRule type="expression" dxfId="5953" priority="266">
      <formula>AND(U$9&gt;=8/24,U$9&lt;14/24)</formula>
    </cfRule>
    <cfRule type="expression" dxfId="5952" priority="267">
      <formula>U$9&lt;8/24</formula>
    </cfRule>
  </conditionalFormatting>
  <conditionalFormatting sqref="T83:V89">
    <cfRule type="expression" dxfId="5951" priority="260">
      <formula>T$9&gt;=20/24</formula>
    </cfRule>
    <cfRule type="expression" dxfId="5950" priority="261">
      <formula>AND(T$9&gt;=14/24,T$9&lt;20/24)</formula>
    </cfRule>
    <cfRule type="expression" dxfId="5949" priority="262">
      <formula>AND(T$9&gt;=8/24,T$9&lt;14/24)</formula>
    </cfRule>
    <cfRule type="expression" dxfId="5948" priority="263">
      <formula>T$9&lt;8/24</formula>
    </cfRule>
  </conditionalFormatting>
  <conditionalFormatting sqref="R83:S89 B82:Q89">
    <cfRule type="expression" dxfId="5947" priority="256">
      <formula>B$9&gt;=20/24</formula>
    </cfRule>
    <cfRule type="expression" dxfId="5946" priority="257">
      <formula>AND(B$9&gt;=14/24,B$9&lt;20/24)</formula>
    </cfRule>
    <cfRule type="expression" dxfId="5945" priority="258">
      <formula>AND(B$9&gt;=8/24,B$9&lt;14/24)</formula>
    </cfRule>
    <cfRule type="expression" dxfId="5944" priority="259">
      <formula>B$9&lt;8/24</formula>
    </cfRule>
  </conditionalFormatting>
  <conditionalFormatting sqref="R82:S82">
    <cfRule type="expression" dxfId="5943" priority="252">
      <formula>R$9&gt;=20/24</formula>
    </cfRule>
    <cfRule type="expression" dxfId="5942" priority="253">
      <formula>AND(R$9&gt;=14/24,R$9&lt;20/24)</formula>
    </cfRule>
    <cfRule type="expression" dxfId="5941" priority="254">
      <formula>AND(R$9&gt;=8/24,R$9&lt;14/24)</formula>
    </cfRule>
    <cfRule type="expression" dxfId="5940" priority="255">
      <formula>R$9&lt;8/24</formula>
    </cfRule>
  </conditionalFormatting>
  <conditionalFormatting sqref="D92:E92 B92:C95 D93:Q95">
    <cfRule type="expression" dxfId="5939" priority="248">
      <formula>B$9&gt;=20/24</formula>
    </cfRule>
    <cfRule type="expression" dxfId="5938" priority="249">
      <formula>AND(B$9&gt;=14/24,B$9&lt;20/24)</formula>
    </cfRule>
    <cfRule type="expression" dxfId="5937" priority="250">
      <formula>AND(B$9&gt;=8/24,B$9&lt;14/24)</formula>
    </cfRule>
    <cfRule type="expression" dxfId="5936" priority="251">
      <formula>B$9&lt;8/24</formula>
    </cfRule>
  </conditionalFormatting>
  <conditionalFormatting sqref="R92:S95">
    <cfRule type="expression" dxfId="5935" priority="240">
      <formula>R$9&gt;=20/24</formula>
    </cfRule>
    <cfRule type="expression" dxfId="5934" priority="241">
      <formula>AND(R$9&gt;=14/24,R$9&lt;20/24)</formula>
    </cfRule>
    <cfRule type="expression" dxfId="5933" priority="242">
      <formula>AND(R$9&gt;=8/24,R$9&lt;14/24)</formula>
    </cfRule>
    <cfRule type="expression" dxfId="5932" priority="243">
      <formula>R$9&lt;8/24</formula>
    </cfRule>
  </conditionalFormatting>
  <conditionalFormatting sqref="B96:Q96">
    <cfRule type="expression" dxfId="5931" priority="236">
      <formula>B$9&gt;=20/24</formula>
    </cfRule>
    <cfRule type="expression" dxfId="5930" priority="237">
      <formula>AND(B$9&gt;=14/24,B$9&lt;20/24)</formula>
    </cfRule>
    <cfRule type="expression" dxfId="5929" priority="238">
      <formula>AND(B$9&gt;=8/24,B$9&lt;14/24)</formula>
    </cfRule>
    <cfRule type="expression" dxfId="5928" priority="239">
      <formula>B$9&lt;8/24</formula>
    </cfRule>
  </conditionalFormatting>
  <conditionalFormatting sqref="R96:S96">
    <cfRule type="expression" dxfId="5927" priority="228">
      <formula>R$9&gt;=20/24</formula>
    </cfRule>
    <cfRule type="expression" dxfId="5926" priority="229">
      <formula>AND(R$9&gt;=14/24,R$9&lt;20/24)</formula>
    </cfRule>
    <cfRule type="expression" dxfId="5925" priority="230">
      <formula>AND(R$9&gt;=8/24,R$9&lt;14/24)</formula>
    </cfRule>
    <cfRule type="expression" dxfId="5924" priority="231">
      <formula>R$9&lt;8/24</formula>
    </cfRule>
  </conditionalFormatting>
  <conditionalFormatting sqref="F92:Q92">
    <cfRule type="expression" dxfId="5923" priority="220">
      <formula>F$9&gt;=20/24</formula>
    </cfRule>
    <cfRule type="expression" dxfId="5922" priority="221">
      <formula>AND(F$9&gt;=14/24,F$9&lt;20/24)</formula>
    </cfRule>
    <cfRule type="expression" dxfId="5921" priority="222">
      <formula>AND(F$9&gt;=8/24,F$9&lt;14/24)</formula>
    </cfRule>
    <cfRule type="expression" dxfId="5920" priority="223">
      <formula>F$9&lt;8/24</formula>
    </cfRule>
  </conditionalFormatting>
  <conditionalFormatting sqref="T92:V92">
    <cfRule type="expression" dxfId="5919" priority="216">
      <formula>T$9&gt;=20/24</formula>
    </cfRule>
    <cfRule type="expression" dxfId="5918" priority="217">
      <formula>AND(T$9&gt;=14/24,T$9&lt;20/24)</formula>
    </cfRule>
    <cfRule type="expression" dxfId="5917" priority="218">
      <formula>AND(T$9&gt;=8/24,T$9&lt;14/24)</formula>
    </cfRule>
    <cfRule type="expression" dxfId="5916" priority="219">
      <formula>T$9&lt;8/24</formula>
    </cfRule>
  </conditionalFormatting>
  <conditionalFormatting sqref="R92:S92">
    <cfRule type="expression" dxfId="5915" priority="212">
      <formula>R$9&gt;=20/24</formula>
    </cfRule>
    <cfRule type="expression" dxfId="5914" priority="213">
      <formula>AND(R$9&gt;=14/24,R$9&lt;20/24)</formula>
    </cfRule>
    <cfRule type="expression" dxfId="5913" priority="214">
      <formula>AND(R$9&gt;=8/24,R$9&lt;14/24)</formula>
    </cfRule>
    <cfRule type="expression" dxfId="5912" priority="215">
      <formula>R$9&lt;8/24</formula>
    </cfRule>
  </conditionalFormatting>
  <conditionalFormatting sqref="AA97:AF97">
    <cfRule type="expression" dxfId="5911" priority="208">
      <formula>AA$9&gt;=20/24</formula>
    </cfRule>
    <cfRule type="expression" dxfId="5910" priority="209">
      <formula>AND(AA$9&gt;=14/24,AA$9&lt;20/24)</formula>
    </cfRule>
    <cfRule type="expression" dxfId="5909" priority="210">
      <formula>AND(AA$9&gt;=8/24,AA$9&lt;14/24)</formula>
    </cfRule>
    <cfRule type="expression" dxfId="5908" priority="211">
      <formula>AA$9&lt;8/24</formula>
    </cfRule>
  </conditionalFormatting>
  <conditionalFormatting sqref="T97:Z97">
    <cfRule type="expression" dxfId="5907" priority="204">
      <formula>T$9&gt;=20/24</formula>
    </cfRule>
    <cfRule type="expression" dxfId="5906" priority="205">
      <formula>AND(T$9&gt;=14/24,T$9&lt;20/24)</formula>
    </cfRule>
    <cfRule type="expression" dxfId="5905" priority="206">
      <formula>AND(T$9&gt;=8/24,T$9&lt;14/24)</formula>
    </cfRule>
    <cfRule type="expression" dxfId="5904" priority="207">
      <formula>T$9&lt;8/24</formula>
    </cfRule>
  </conditionalFormatting>
  <conditionalFormatting sqref="A97">
    <cfRule type="expression" dxfId="5903" priority="203">
      <formula>$AH97=0</formula>
    </cfRule>
  </conditionalFormatting>
  <conditionalFormatting sqref="B97:Q97">
    <cfRule type="expression" dxfId="5902" priority="199">
      <formula>B$9&gt;=20/24</formula>
    </cfRule>
    <cfRule type="expression" dxfId="5901" priority="200">
      <formula>AND(B$9&gt;=14/24,B$9&lt;20/24)</formula>
    </cfRule>
    <cfRule type="expression" dxfId="5900" priority="201">
      <formula>AND(B$9&gt;=8/24,B$9&lt;14/24)</formula>
    </cfRule>
    <cfRule type="expression" dxfId="5899" priority="202">
      <formula>B$9&lt;8/24</formula>
    </cfRule>
  </conditionalFormatting>
  <conditionalFormatting sqref="R97:S97">
    <cfRule type="expression" dxfId="5898" priority="191">
      <formula>R$9&gt;=20/24</formula>
    </cfRule>
    <cfRule type="expression" dxfId="5897" priority="192">
      <formula>AND(R$9&gt;=14/24,R$9&lt;20/24)</formula>
    </cfRule>
    <cfRule type="expression" dxfId="5896" priority="193">
      <formula>AND(R$9&gt;=8/24,R$9&lt;14/24)</formula>
    </cfRule>
    <cfRule type="expression" dxfId="5895" priority="194">
      <formula>R$9&lt;8/24</formula>
    </cfRule>
  </conditionalFormatting>
  <conditionalFormatting sqref="W12:X14">
    <cfRule type="expression" dxfId="5894" priority="187">
      <formula>W$9&gt;=20/24</formula>
    </cfRule>
    <cfRule type="expression" dxfId="5893" priority="188">
      <formula>AND(W$9&gt;=14/24,W$9&lt;20/24)</formula>
    </cfRule>
    <cfRule type="expression" dxfId="5892" priority="189">
      <formula>AND(W$9&gt;=8/24,W$9&lt;14/24)</formula>
    </cfRule>
    <cfRule type="expression" dxfId="5891" priority="190">
      <formula>W$9&lt;8/24</formula>
    </cfRule>
  </conditionalFormatting>
  <conditionalFormatting sqref="W12:X12">
    <cfRule type="expression" dxfId="5890" priority="179">
      <formula>W$9&gt;=20/24</formula>
    </cfRule>
    <cfRule type="expression" dxfId="5889" priority="180">
      <formula>AND(W$9&gt;=14/24,W$9&lt;20/24)</formula>
    </cfRule>
    <cfRule type="expression" dxfId="5888" priority="181">
      <formula>AND(W$9&gt;=8/24,W$9&lt;14/24)</formula>
    </cfRule>
    <cfRule type="expression" dxfId="5887" priority="182">
      <formula>W$9&lt;8/24</formula>
    </cfRule>
  </conditionalFormatting>
  <conditionalFormatting sqref="AA56:AD57">
    <cfRule type="expression" dxfId="5886" priority="175">
      <formula>AA$9&gt;=20/24</formula>
    </cfRule>
    <cfRule type="expression" dxfId="5885" priority="176">
      <formula>AND(AA$9&gt;=14/24,AA$9&lt;20/24)</formula>
    </cfRule>
    <cfRule type="expression" dxfId="5884" priority="177">
      <formula>AND(AA$9&gt;=8/24,AA$9&lt;14/24)</formula>
    </cfRule>
    <cfRule type="expression" dxfId="5883" priority="178">
      <formula>AA$9&lt;8/24</formula>
    </cfRule>
  </conditionalFormatting>
  <conditionalFormatting sqref="S11:U11 S17:X24 S26:X29 S25:AA25">
    <cfRule type="expression" dxfId="5882" priority="171">
      <formula>S$9&gt;=20/24</formula>
    </cfRule>
    <cfRule type="expression" dxfId="5881" priority="172">
      <formula>AND(S$9&gt;=14/24,S$9&lt;20/24)</formula>
    </cfRule>
    <cfRule type="expression" dxfId="5880" priority="173">
      <formula>AND(S$9&gt;=8/24,S$9&lt;14/24)</formula>
    </cfRule>
    <cfRule type="expression" dxfId="5879" priority="174">
      <formula>S$9&lt;8/24</formula>
    </cfRule>
  </conditionalFormatting>
  <conditionalFormatting sqref="S35:T35">
    <cfRule type="expression" dxfId="5878" priority="167">
      <formula>S$9&gt;=20/24</formula>
    </cfRule>
    <cfRule type="expression" dxfId="5877" priority="168">
      <formula>AND(S$9&gt;=14/24,S$9&lt;20/24)</formula>
    </cfRule>
    <cfRule type="expression" dxfId="5876" priority="169">
      <formula>AND(S$9&gt;=8/24,S$9&lt;14/24)</formula>
    </cfRule>
    <cfRule type="expression" dxfId="5875" priority="170">
      <formula>S$9&lt;8/24</formula>
    </cfRule>
  </conditionalFormatting>
  <conditionalFormatting sqref="S30:X31 S33:X33">
    <cfRule type="expression" dxfId="5874" priority="163">
      <formula>S$9&gt;=20/24</formula>
    </cfRule>
    <cfRule type="expression" dxfId="5873" priority="164">
      <formula>AND(S$9&gt;=14/24,S$9&lt;20/24)</formula>
    </cfRule>
    <cfRule type="expression" dxfId="5872" priority="165">
      <formula>AND(S$9&gt;=8/24,S$9&lt;14/24)</formula>
    </cfRule>
    <cfRule type="expression" dxfId="5871" priority="166">
      <formula>S$9&lt;8/24</formula>
    </cfRule>
  </conditionalFormatting>
  <conditionalFormatting sqref="S33:T35 S11:U11 S17:X24 U33:X34 S26:X31 S25:AA25">
    <cfRule type="expression" dxfId="5870" priority="162">
      <formula>S11&gt;$AG11</formula>
    </cfRule>
  </conditionalFormatting>
  <conditionalFormatting sqref="S34:X34">
    <cfRule type="expression" dxfId="5869" priority="158">
      <formula>S$9&gt;=20/24</formula>
    </cfRule>
    <cfRule type="expression" dxfId="5868" priority="159">
      <formula>AND(S$9&gt;=14/24,S$9&lt;20/24)</formula>
    </cfRule>
    <cfRule type="expression" dxfId="5867" priority="160">
      <formula>AND(S$9&gt;=8/24,S$9&lt;14/24)</formula>
    </cfRule>
    <cfRule type="expression" dxfId="5866" priority="161">
      <formula>S$9&lt;8/24</formula>
    </cfRule>
  </conditionalFormatting>
  <conditionalFormatting sqref="S34:X34">
    <cfRule type="expression" dxfId="5865" priority="154">
      <formula>S$9&gt;=20/24</formula>
    </cfRule>
    <cfRule type="expression" dxfId="5864" priority="155">
      <formula>AND(S$9&gt;=14/24,S$9&lt;20/24)</formula>
    </cfRule>
    <cfRule type="expression" dxfId="5863" priority="156">
      <formula>AND(S$9&gt;=8/24,S$9&lt;14/24)</formula>
    </cfRule>
    <cfRule type="expression" dxfId="5862" priority="157">
      <formula>S$9&lt;8/24</formula>
    </cfRule>
  </conditionalFormatting>
  <conditionalFormatting sqref="S32:X32">
    <cfRule type="expression" dxfId="5861" priority="150">
      <formula>S$9&gt;=20/24</formula>
    </cfRule>
    <cfRule type="expression" dxfId="5860" priority="151">
      <formula>AND(S$9&gt;=14/24,S$9&lt;20/24)</formula>
    </cfRule>
    <cfRule type="expression" dxfId="5859" priority="152">
      <formula>AND(S$9&gt;=8/24,S$9&lt;14/24)</formula>
    </cfRule>
    <cfRule type="expression" dxfId="5858" priority="153">
      <formula>S$9&lt;8/24</formula>
    </cfRule>
  </conditionalFormatting>
  <conditionalFormatting sqref="S32:X32">
    <cfRule type="expression" dxfId="5857" priority="149">
      <formula>S32&gt;$AG32</formula>
    </cfRule>
  </conditionalFormatting>
  <conditionalFormatting sqref="S12:V15 W15:X15">
    <cfRule type="expression" dxfId="5856" priority="145">
      <formula>S$9&gt;=20/24</formula>
    </cfRule>
    <cfRule type="expression" dxfId="5855" priority="146">
      <formula>AND(S$9&gt;=14/24,S$9&lt;20/24)</formula>
    </cfRule>
    <cfRule type="expression" dxfId="5854" priority="147">
      <formula>AND(S$9&gt;=8/24,S$9&lt;14/24)</formula>
    </cfRule>
    <cfRule type="expression" dxfId="5853" priority="148">
      <formula>S$9&lt;8/24</formula>
    </cfRule>
  </conditionalFormatting>
  <conditionalFormatting sqref="S16:X16">
    <cfRule type="expression" dxfId="5852" priority="141">
      <formula>S$9&gt;=20/24</formula>
    </cfRule>
    <cfRule type="expression" dxfId="5851" priority="142">
      <formula>AND(S$9&gt;=14/24,S$9&lt;20/24)</formula>
    </cfRule>
    <cfRule type="expression" dxfId="5850" priority="143">
      <formula>AND(S$9&gt;=8/24,S$9&lt;14/24)</formula>
    </cfRule>
    <cfRule type="expression" dxfId="5849" priority="144">
      <formula>S$9&lt;8/24</formula>
    </cfRule>
  </conditionalFormatting>
  <conditionalFormatting sqref="S12:V12">
    <cfRule type="expression" dxfId="5848" priority="137">
      <formula>S$9&gt;=20/24</formula>
    </cfRule>
    <cfRule type="expression" dxfId="5847" priority="138">
      <formula>AND(S$9&gt;=14/24,S$9&lt;20/24)</formula>
    </cfRule>
    <cfRule type="expression" dxfId="5846" priority="139">
      <formula>AND(S$9&gt;=8/24,S$9&lt;14/24)</formula>
    </cfRule>
    <cfRule type="expression" dxfId="5845" priority="140">
      <formula>S$9&lt;8/24</formula>
    </cfRule>
  </conditionalFormatting>
  <conditionalFormatting sqref="R11 R17:R29">
    <cfRule type="expression" dxfId="5844" priority="133">
      <formula>R$9&gt;=20/24</formula>
    </cfRule>
    <cfRule type="expression" dxfId="5843" priority="134">
      <formula>AND(R$9&gt;=14/24,R$9&lt;20/24)</formula>
    </cfRule>
    <cfRule type="expression" dxfId="5842" priority="135">
      <formula>AND(R$9&gt;=8/24,R$9&lt;14/24)</formula>
    </cfRule>
    <cfRule type="expression" dxfId="5841" priority="136">
      <formula>R$9&lt;8/24</formula>
    </cfRule>
  </conditionalFormatting>
  <conditionalFormatting sqref="R35">
    <cfRule type="expression" dxfId="5840" priority="129">
      <formula>R$9&gt;=20/24</formula>
    </cfRule>
    <cfRule type="expression" dxfId="5839" priority="130">
      <formula>AND(R$9&gt;=14/24,R$9&lt;20/24)</formula>
    </cfRule>
    <cfRule type="expression" dxfId="5838" priority="131">
      <formula>AND(R$9&gt;=8/24,R$9&lt;14/24)</formula>
    </cfRule>
    <cfRule type="expression" dxfId="5837" priority="132">
      <formula>R$9&lt;8/24</formula>
    </cfRule>
  </conditionalFormatting>
  <conditionalFormatting sqref="R30:R31 R33">
    <cfRule type="expression" dxfId="5836" priority="125">
      <formula>R$9&gt;=20/24</formula>
    </cfRule>
    <cfRule type="expression" dxfId="5835" priority="126">
      <formula>AND(R$9&gt;=14/24,R$9&lt;20/24)</formula>
    </cfRule>
    <cfRule type="expression" dxfId="5834" priority="127">
      <formula>AND(R$9&gt;=8/24,R$9&lt;14/24)</formula>
    </cfRule>
    <cfRule type="expression" dxfId="5833" priority="128">
      <formula>R$9&lt;8/24</formula>
    </cfRule>
  </conditionalFormatting>
  <conditionalFormatting sqref="R17:R31 R11 R33:R35">
    <cfRule type="expression" dxfId="5832" priority="124">
      <formula>R11&gt;$AG11</formula>
    </cfRule>
  </conditionalFormatting>
  <conditionalFormatting sqref="R34">
    <cfRule type="expression" dxfId="5831" priority="120">
      <formula>R$9&gt;=20/24</formula>
    </cfRule>
    <cfRule type="expression" dxfId="5830" priority="121">
      <formula>AND(R$9&gt;=14/24,R$9&lt;20/24)</formula>
    </cfRule>
    <cfRule type="expression" dxfId="5829" priority="122">
      <formula>AND(R$9&gt;=8/24,R$9&lt;14/24)</formula>
    </cfRule>
    <cfRule type="expression" dxfId="5828" priority="123">
      <formula>R$9&lt;8/24</formula>
    </cfRule>
  </conditionalFormatting>
  <conditionalFormatting sqref="R34">
    <cfRule type="expression" dxfId="5827" priority="116">
      <formula>R$9&gt;=20/24</formula>
    </cfRule>
    <cfRule type="expression" dxfId="5826" priority="117">
      <formula>AND(R$9&gt;=14/24,R$9&lt;20/24)</formula>
    </cfRule>
    <cfRule type="expression" dxfId="5825" priority="118">
      <formula>AND(R$9&gt;=8/24,R$9&lt;14/24)</formula>
    </cfRule>
    <cfRule type="expression" dxfId="5824" priority="119">
      <formula>R$9&lt;8/24</formula>
    </cfRule>
  </conditionalFormatting>
  <conditionalFormatting sqref="R32">
    <cfRule type="expression" dxfId="5823" priority="112">
      <formula>R$9&gt;=20/24</formula>
    </cfRule>
    <cfRule type="expression" dxfId="5822" priority="113">
      <formula>AND(R$9&gt;=14/24,R$9&lt;20/24)</formula>
    </cfRule>
    <cfRule type="expression" dxfId="5821" priority="114">
      <formula>AND(R$9&gt;=8/24,R$9&lt;14/24)</formula>
    </cfRule>
    <cfRule type="expression" dxfId="5820" priority="115">
      <formula>R$9&lt;8/24</formula>
    </cfRule>
  </conditionalFormatting>
  <conditionalFormatting sqref="R32">
    <cfRule type="expression" dxfId="5819" priority="111">
      <formula>R32&gt;$AG32</formula>
    </cfRule>
  </conditionalFormatting>
  <conditionalFormatting sqref="R12:R15">
    <cfRule type="expression" dxfId="5818" priority="107">
      <formula>R$9&gt;=20/24</formula>
    </cfRule>
    <cfRule type="expression" dxfId="5817" priority="108">
      <formula>AND(R$9&gt;=14/24,R$9&lt;20/24)</formula>
    </cfRule>
    <cfRule type="expression" dxfId="5816" priority="109">
      <formula>AND(R$9&gt;=8/24,R$9&lt;14/24)</formula>
    </cfRule>
    <cfRule type="expression" dxfId="5815" priority="110">
      <formula>R$9&lt;8/24</formula>
    </cfRule>
  </conditionalFormatting>
  <conditionalFormatting sqref="R16">
    <cfRule type="expression" dxfId="5814" priority="103">
      <formula>R$9&gt;=20/24</formula>
    </cfRule>
    <cfRule type="expression" dxfId="5813" priority="104">
      <formula>AND(R$9&gt;=14/24,R$9&lt;20/24)</formula>
    </cfRule>
    <cfRule type="expression" dxfId="5812" priority="105">
      <formula>AND(R$9&gt;=8/24,R$9&lt;14/24)</formula>
    </cfRule>
    <cfRule type="expression" dxfId="5811" priority="106">
      <formula>R$9&lt;8/24</formula>
    </cfRule>
  </conditionalFormatting>
  <conditionalFormatting sqref="R12">
    <cfRule type="expression" dxfId="5810" priority="99">
      <formula>R$9&gt;=20/24</formula>
    </cfRule>
    <cfRule type="expression" dxfId="5809" priority="100">
      <formula>AND(R$9&gt;=14/24,R$9&lt;20/24)</formula>
    </cfRule>
    <cfRule type="expression" dxfId="5808" priority="101">
      <formula>AND(R$9&gt;=8/24,R$9&lt;14/24)</formula>
    </cfRule>
    <cfRule type="expression" dxfId="5807" priority="102">
      <formula>R$9&lt;8/24</formula>
    </cfRule>
  </conditionalFormatting>
  <conditionalFormatting sqref="T38:X40">
    <cfRule type="expression" dxfId="5806" priority="95">
      <formula>T$9&gt;=20/24</formula>
    </cfRule>
    <cfRule type="expression" dxfId="5805" priority="96">
      <formula>AND(T$9&gt;=14/24,T$9&lt;20/24)</formula>
    </cfRule>
    <cfRule type="expression" dxfId="5804" priority="97">
      <formula>AND(T$9&gt;=8/24,T$9&lt;14/24)</formula>
    </cfRule>
    <cfRule type="expression" dxfId="5803" priority="98">
      <formula>T$9&lt;8/24</formula>
    </cfRule>
  </conditionalFormatting>
  <conditionalFormatting sqref="T37:X37">
    <cfRule type="expression" dxfId="5802" priority="91">
      <formula>T$9&gt;=20/24</formula>
    </cfRule>
    <cfRule type="expression" dxfId="5801" priority="92">
      <formula>AND(T$9&gt;=14/24,T$9&lt;20/24)</formula>
    </cfRule>
    <cfRule type="expression" dxfId="5800" priority="93">
      <formula>AND(T$9&gt;=8/24,T$9&lt;14/24)</formula>
    </cfRule>
    <cfRule type="expression" dxfId="5799" priority="94">
      <formula>T$9&lt;8/24</formula>
    </cfRule>
  </conditionalFormatting>
  <conditionalFormatting sqref="T41:X41 T43:X45">
    <cfRule type="expression" dxfId="5798" priority="87">
      <formula>T$9&gt;=20/24</formula>
    </cfRule>
    <cfRule type="expression" dxfId="5797" priority="88">
      <formula>AND(T$9&gt;=14/24,T$9&lt;20/24)</formula>
    </cfRule>
    <cfRule type="expression" dxfId="5796" priority="89">
      <formula>AND(T$9&gt;=8/24,T$9&lt;14/24)</formula>
    </cfRule>
    <cfRule type="expression" dxfId="5795" priority="90">
      <formula>T$9&lt;8/24</formula>
    </cfRule>
  </conditionalFormatting>
  <conditionalFormatting sqref="T47:X47">
    <cfRule type="expression" dxfId="5794" priority="83">
      <formula>T$9&gt;=20/24</formula>
    </cfRule>
    <cfRule type="expression" dxfId="5793" priority="84">
      <formula>AND(T$9&gt;=14/24,T$9&lt;20/24)</formula>
    </cfRule>
    <cfRule type="expression" dxfId="5792" priority="85">
      <formula>AND(T$9&gt;=8/24,T$9&lt;14/24)</formula>
    </cfRule>
    <cfRule type="expression" dxfId="5791" priority="86">
      <formula>T$9&lt;8/24</formula>
    </cfRule>
  </conditionalFormatting>
  <conditionalFormatting sqref="T48:X48">
    <cfRule type="expression" dxfId="5790" priority="79">
      <formula>T$9&gt;=20/24</formula>
    </cfRule>
    <cfRule type="expression" dxfId="5789" priority="80">
      <formula>AND(T$9&gt;=14/24,T$9&lt;20/24)</formula>
    </cfRule>
    <cfRule type="expression" dxfId="5788" priority="81">
      <formula>AND(T$9&gt;=8/24,T$9&lt;14/24)</formula>
    </cfRule>
    <cfRule type="expression" dxfId="5787" priority="82">
      <formula>T$9&lt;8/24</formula>
    </cfRule>
  </conditionalFormatting>
  <conditionalFormatting sqref="T43:X45 T37:X41 T47:X48">
    <cfRule type="expression" dxfId="5786" priority="78">
      <formula>T37&gt;$AG37</formula>
    </cfRule>
  </conditionalFormatting>
  <conditionalFormatting sqref="T42:X42">
    <cfRule type="expression" dxfId="5785" priority="74">
      <formula>T$9&gt;=20/24</formula>
    </cfRule>
    <cfRule type="expression" dxfId="5784" priority="75">
      <formula>AND(T$9&gt;=14/24,T$9&lt;20/24)</formula>
    </cfRule>
    <cfRule type="expression" dxfId="5783" priority="76">
      <formula>AND(T$9&gt;=8/24,T$9&lt;14/24)</formula>
    </cfRule>
    <cfRule type="expression" dxfId="5782" priority="77">
      <formula>T$9&lt;8/24</formula>
    </cfRule>
  </conditionalFormatting>
  <conditionalFormatting sqref="T42:X42">
    <cfRule type="expression" dxfId="5781" priority="73">
      <formula>T42&gt;$AG42</formula>
    </cfRule>
  </conditionalFormatting>
  <conditionalFormatting sqref="S38:S40">
    <cfRule type="expression" dxfId="5780" priority="69">
      <formula>S$9&gt;=20/24</formula>
    </cfRule>
    <cfRule type="expression" dxfId="5779" priority="70">
      <formula>AND(S$9&gt;=14/24,S$9&lt;20/24)</formula>
    </cfRule>
    <cfRule type="expression" dxfId="5778" priority="71">
      <formula>AND(S$9&gt;=8/24,S$9&lt;14/24)</formula>
    </cfRule>
    <cfRule type="expression" dxfId="5777" priority="72">
      <formula>S$9&lt;8/24</formula>
    </cfRule>
  </conditionalFormatting>
  <conditionalFormatting sqref="S37">
    <cfRule type="expression" dxfId="5776" priority="65">
      <formula>S$9&gt;=20/24</formula>
    </cfRule>
    <cfRule type="expression" dxfId="5775" priority="66">
      <formula>AND(S$9&gt;=14/24,S$9&lt;20/24)</formula>
    </cfRule>
    <cfRule type="expression" dxfId="5774" priority="67">
      <formula>AND(S$9&gt;=8/24,S$9&lt;14/24)</formula>
    </cfRule>
    <cfRule type="expression" dxfId="5773" priority="68">
      <formula>S$9&lt;8/24</formula>
    </cfRule>
  </conditionalFormatting>
  <conditionalFormatting sqref="S41 S43:S45">
    <cfRule type="expression" dxfId="5772" priority="61">
      <formula>S$9&gt;=20/24</formula>
    </cfRule>
    <cfRule type="expression" dxfId="5771" priority="62">
      <formula>AND(S$9&gt;=14/24,S$9&lt;20/24)</formula>
    </cfRule>
    <cfRule type="expression" dxfId="5770" priority="63">
      <formula>AND(S$9&gt;=8/24,S$9&lt;14/24)</formula>
    </cfRule>
    <cfRule type="expression" dxfId="5769" priority="64">
      <formula>S$9&lt;8/24</formula>
    </cfRule>
  </conditionalFormatting>
  <conditionalFormatting sqref="S47">
    <cfRule type="expression" dxfId="5768" priority="57">
      <formula>S$9&gt;=20/24</formula>
    </cfRule>
    <cfRule type="expression" dxfId="5767" priority="58">
      <formula>AND(S$9&gt;=14/24,S$9&lt;20/24)</formula>
    </cfRule>
    <cfRule type="expression" dxfId="5766" priority="59">
      <formula>AND(S$9&gt;=8/24,S$9&lt;14/24)</formula>
    </cfRule>
    <cfRule type="expression" dxfId="5765" priority="60">
      <formula>S$9&lt;8/24</formula>
    </cfRule>
  </conditionalFormatting>
  <conditionalFormatting sqref="S48">
    <cfRule type="expression" dxfId="5764" priority="53">
      <formula>S$9&gt;=20/24</formula>
    </cfRule>
    <cfRule type="expression" dxfId="5763" priority="54">
      <formula>AND(S$9&gt;=14/24,S$9&lt;20/24)</formula>
    </cfRule>
    <cfRule type="expression" dxfId="5762" priority="55">
      <formula>AND(S$9&gt;=8/24,S$9&lt;14/24)</formula>
    </cfRule>
    <cfRule type="expression" dxfId="5761" priority="56">
      <formula>S$9&lt;8/24</formula>
    </cfRule>
  </conditionalFormatting>
  <conditionalFormatting sqref="S43:S45 S37:S41 S47:S48">
    <cfRule type="expression" dxfId="5760" priority="52">
      <formula>S37&gt;$AG37</formula>
    </cfRule>
  </conditionalFormatting>
  <conditionalFormatting sqref="S42">
    <cfRule type="expression" dxfId="5759" priority="48">
      <formula>S$9&gt;=20/24</formula>
    </cfRule>
    <cfRule type="expression" dxfId="5758" priority="49">
      <formula>AND(S$9&gt;=14/24,S$9&lt;20/24)</formula>
    </cfRule>
    <cfRule type="expression" dxfId="5757" priority="50">
      <formula>AND(S$9&gt;=8/24,S$9&lt;14/24)</formula>
    </cfRule>
    <cfRule type="expression" dxfId="5756" priority="51">
      <formula>S$9&lt;8/24</formula>
    </cfRule>
  </conditionalFormatting>
  <conditionalFormatting sqref="S42">
    <cfRule type="expression" dxfId="5755" priority="47">
      <formula>S42&gt;$AG42</formula>
    </cfRule>
  </conditionalFormatting>
  <conditionalFormatting sqref="R38:R40">
    <cfRule type="expression" dxfId="5754" priority="43">
      <formula>R$9&gt;=20/24</formula>
    </cfRule>
    <cfRule type="expression" dxfId="5753" priority="44">
      <formula>AND(R$9&gt;=14/24,R$9&lt;20/24)</formula>
    </cfRule>
    <cfRule type="expression" dxfId="5752" priority="45">
      <formula>AND(R$9&gt;=8/24,R$9&lt;14/24)</formula>
    </cfRule>
    <cfRule type="expression" dxfId="5751" priority="46">
      <formula>R$9&lt;8/24</formula>
    </cfRule>
  </conditionalFormatting>
  <conditionalFormatting sqref="R37">
    <cfRule type="expression" dxfId="5750" priority="39">
      <formula>R$9&gt;=20/24</formula>
    </cfRule>
    <cfRule type="expression" dxfId="5749" priority="40">
      <formula>AND(R$9&gt;=14/24,R$9&lt;20/24)</formula>
    </cfRule>
    <cfRule type="expression" dxfId="5748" priority="41">
      <formula>AND(R$9&gt;=8/24,R$9&lt;14/24)</formula>
    </cfRule>
    <cfRule type="expression" dxfId="5747" priority="42">
      <formula>R$9&lt;8/24</formula>
    </cfRule>
  </conditionalFormatting>
  <conditionalFormatting sqref="R41 R43:R45">
    <cfRule type="expression" dxfId="5746" priority="35">
      <formula>R$9&gt;=20/24</formula>
    </cfRule>
    <cfRule type="expression" dxfId="5745" priority="36">
      <formula>AND(R$9&gt;=14/24,R$9&lt;20/24)</formula>
    </cfRule>
    <cfRule type="expression" dxfId="5744" priority="37">
      <formula>AND(R$9&gt;=8/24,R$9&lt;14/24)</formula>
    </cfRule>
    <cfRule type="expression" dxfId="5743" priority="38">
      <formula>R$9&lt;8/24</formula>
    </cfRule>
  </conditionalFormatting>
  <conditionalFormatting sqref="R47">
    <cfRule type="expression" dxfId="5742" priority="31">
      <formula>R$9&gt;=20/24</formula>
    </cfRule>
    <cfRule type="expression" dxfId="5741" priority="32">
      <formula>AND(R$9&gt;=14/24,R$9&lt;20/24)</formula>
    </cfRule>
    <cfRule type="expression" dxfId="5740" priority="33">
      <formula>AND(R$9&gt;=8/24,R$9&lt;14/24)</formula>
    </cfRule>
    <cfRule type="expression" dxfId="5739" priority="34">
      <formula>R$9&lt;8/24</formula>
    </cfRule>
  </conditionalFormatting>
  <conditionalFormatting sqref="R48">
    <cfRule type="expression" dxfId="5738" priority="27">
      <formula>R$9&gt;=20/24</formula>
    </cfRule>
    <cfRule type="expression" dxfId="5737" priority="28">
      <formula>AND(R$9&gt;=14/24,R$9&lt;20/24)</formula>
    </cfRule>
    <cfRule type="expression" dxfId="5736" priority="29">
      <formula>AND(R$9&gt;=8/24,R$9&lt;14/24)</formula>
    </cfRule>
    <cfRule type="expression" dxfId="5735" priority="30">
      <formula>R$9&lt;8/24</formula>
    </cfRule>
  </conditionalFormatting>
  <conditionalFormatting sqref="R43:R45 R37:R41 R47:R48">
    <cfRule type="expression" dxfId="5734" priority="26">
      <formula>R37&gt;$AG37</formula>
    </cfRule>
  </conditionalFormatting>
  <conditionalFormatting sqref="R42">
    <cfRule type="expression" dxfId="5733" priority="22">
      <formula>R$9&gt;=20/24</formula>
    </cfRule>
    <cfRule type="expression" dxfId="5732" priority="23">
      <formula>AND(R$9&gt;=14/24,R$9&lt;20/24)</formula>
    </cfRule>
    <cfRule type="expression" dxfId="5731" priority="24">
      <formula>AND(R$9&gt;=8/24,R$9&lt;14/24)</formula>
    </cfRule>
    <cfRule type="expression" dxfId="5730" priority="25">
      <formula>R$9&lt;8/24</formula>
    </cfRule>
  </conditionalFormatting>
  <conditionalFormatting sqref="R42">
    <cfRule type="expression" dxfId="5729" priority="21">
      <formula>R42&gt;$AG42</formula>
    </cfRule>
  </conditionalFormatting>
  <conditionalFormatting sqref="R46:AA46">
    <cfRule type="expression" dxfId="5728" priority="2">
      <formula>R$9&gt;=20/24</formula>
    </cfRule>
    <cfRule type="expression" dxfId="5727" priority="3">
      <formula>AND(R$9&gt;=14/24,R$9&lt;20/24)</formula>
    </cfRule>
    <cfRule type="expression" dxfId="5726" priority="4">
      <formula>AND(R$9&gt;=8/24,R$9&lt;14/24)</formula>
    </cfRule>
    <cfRule type="expression" dxfId="5725" priority="5">
      <formula>R$9&lt;8/24</formula>
    </cfRule>
  </conditionalFormatting>
  <conditionalFormatting sqref="R46:AA46">
    <cfRule type="expression" dxfId="5724" priority="1">
      <formula>R46&gt;$AG46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C97" sqref="AC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>
        <v>130</v>
      </c>
      <c r="AM2" s="15">
        <f>130*30*12</f>
        <v>46800</v>
      </c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2078/04/17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-87</v>
      </c>
      <c r="C5" s="32">
        <f t="shared" ref="C5:AF5" si="0">C66</f>
        <v>-89.1</v>
      </c>
      <c r="D5" s="32">
        <f t="shared" si="0"/>
        <v>-91</v>
      </c>
      <c r="E5" s="32">
        <f t="shared" si="0"/>
        <v>-84.7</v>
      </c>
      <c r="F5" s="32">
        <f t="shared" si="0"/>
        <v>-70.400000000000006</v>
      </c>
      <c r="G5" s="32">
        <f t="shared" si="0"/>
        <v>-41.2</v>
      </c>
      <c r="H5" s="32">
        <f t="shared" si="0"/>
        <v>-24.2</v>
      </c>
      <c r="I5" s="32">
        <f t="shared" si="0"/>
        <v>-57.2</v>
      </c>
      <c r="J5" s="32">
        <f t="shared" si="0"/>
        <v>-24.5</v>
      </c>
      <c r="K5" s="32">
        <f t="shared" si="0"/>
        <v>-31.3</v>
      </c>
      <c r="L5" s="32">
        <f t="shared" si="0"/>
        <v>-58.9</v>
      </c>
      <c r="M5" s="32">
        <f t="shared" si="0"/>
        <v>-60</v>
      </c>
      <c r="N5" s="32">
        <f t="shared" si="0"/>
        <v>-26</v>
      </c>
      <c r="O5" s="32">
        <f t="shared" si="0"/>
        <v>-49.6</v>
      </c>
      <c r="P5" s="32">
        <f t="shared" si="0"/>
        <v>-90</v>
      </c>
      <c r="Q5" s="32">
        <f t="shared" si="0"/>
        <v>-53.8</v>
      </c>
      <c r="R5" s="32">
        <f t="shared" si="0"/>
        <v>-46.1</v>
      </c>
      <c r="S5" s="32">
        <f t="shared" si="0"/>
        <v>-33.700000000000003</v>
      </c>
      <c r="T5" s="32">
        <f t="shared" si="0"/>
        <v>-59.3</v>
      </c>
      <c r="U5" s="32">
        <f t="shared" si="0"/>
        <v>-35.6</v>
      </c>
      <c r="V5" s="32">
        <f t="shared" si="0"/>
        <v>-38.4</v>
      </c>
      <c r="W5" s="32">
        <f t="shared" si="0"/>
        <v>20</v>
      </c>
      <c r="X5" s="32">
        <f t="shared" si="0"/>
        <v>-16.399999999999999</v>
      </c>
      <c r="Y5" s="32">
        <f t="shared" si="0"/>
        <v>-40.799999999999997</v>
      </c>
      <c r="Z5" s="32">
        <f t="shared" si="0"/>
        <v>-35</v>
      </c>
      <c r="AA5" s="32">
        <f t="shared" si="0"/>
        <v>-49.2</v>
      </c>
      <c r="AB5" s="32">
        <f t="shared" si="0"/>
        <v>-51.4</v>
      </c>
      <c r="AC5" s="32">
        <f t="shared" si="0"/>
        <v>-55.9</v>
      </c>
      <c r="AD5" s="32">
        <f t="shared" si="0"/>
        <v>-20.8</v>
      </c>
      <c r="AE5" s="32">
        <f t="shared" si="0"/>
        <v>-40.799999999999997</v>
      </c>
      <c r="AF5" s="32">
        <f t="shared" si="0"/>
        <v>-42.8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1179MW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Load=880</v>
      </c>
      <c r="B7" s="37">
        <f t="shared" ref="B7:AF7" si="1">B73</f>
        <v>912.44</v>
      </c>
      <c r="C7" s="37">
        <f t="shared" si="1"/>
        <v>884.2399999999999</v>
      </c>
      <c r="D7" s="37">
        <f t="shared" si="1"/>
        <v>879.83999999999992</v>
      </c>
      <c r="E7" s="37">
        <f t="shared" si="1"/>
        <v>886.33999999999992</v>
      </c>
      <c r="F7" s="37">
        <f t="shared" si="1"/>
        <v>901.14</v>
      </c>
      <c r="G7" s="37">
        <f t="shared" si="1"/>
        <v>931.6400000000001</v>
      </c>
      <c r="H7" s="37">
        <f t="shared" si="1"/>
        <v>965.1400000000001</v>
      </c>
      <c r="I7" s="37">
        <f t="shared" si="1"/>
        <v>1032.94</v>
      </c>
      <c r="J7" s="37">
        <f t="shared" si="1"/>
        <v>1073.24</v>
      </c>
      <c r="K7" s="37">
        <f t="shared" si="1"/>
        <v>1108.54</v>
      </c>
      <c r="L7" s="37">
        <f>L73</f>
        <v>1156.04</v>
      </c>
      <c r="M7" s="37">
        <f t="shared" si="1"/>
        <v>1179.24</v>
      </c>
      <c r="N7" s="37">
        <f t="shared" si="1"/>
        <v>1223.54</v>
      </c>
      <c r="O7" s="37">
        <f t="shared" si="1"/>
        <v>1197.7399999999998</v>
      </c>
      <c r="P7" s="37">
        <f t="shared" si="1"/>
        <v>1189.2399999999998</v>
      </c>
      <c r="Q7" s="37">
        <f t="shared" si="1"/>
        <v>1197.8399999999999</v>
      </c>
      <c r="R7" s="37">
        <f t="shared" si="1"/>
        <v>1201.1399999999999</v>
      </c>
      <c r="S7" s="37">
        <f t="shared" si="1"/>
        <v>1215.04</v>
      </c>
      <c r="T7" s="37">
        <f t="shared" si="1"/>
        <v>1243.24</v>
      </c>
      <c r="U7" s="37">
        <f t="shared" si="1"/>
        <v>1226.44</v>
      </c>
      <c r="V7" s="37">
        <f t="shared" si="1"/>
        <v>1224.24</v>
      </c>
      <c r="W7" s="37">
        <f t="shared" si="1"/>
        <v>1340.34</v>
      </c>
      <c r="X7" s="37">
        <f t="shared" si="1"/>
        <v>1372.3400000000001</v>
      </c>
      <c r="Y7" s="37">
        <f t="shared" si="1"/>
        <v>1416.44</v>
      </c>
      <c r="Z7" s="37">
        <f t="shared" si="1"/>
        <v>1364.54</v>
      </c>
      <c r="AA7" s="37">
        <f t="shared" si="1"/>
        <v>1309.04</v>
      </c>
      <c r="AB7" s="37">
        <f t="shared" si="1"/>
        <v>1277.04</v>
      </c>
      <c r="AC7" s="37">
        <f t="shared" si="1"/>
        <v>1205.94</v>
      </c>
      <c r="AD7" s="37">
        <f t="shared" si="1"/>
        <v>1148.6399999999999</v>
      </c>
      <c r="AE7" s="37">
        <f t="shared" si="1"/>
        <v>1100.44</v>
      </c>
      <c r="AF7" s="37">
        <f t="shared" si="1"/>
        <v>1044.94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140</v>
      </c>
      <c r="C11" s="49">
        <v>140</v>
      </c>
      <c r="D11" s="49">
        <v>140</v>
      </c>
      <c r="E11" s="49">
        <v>140</v>
      </c>
      <c r="F11" s="49">
        <v>140</v>
      </c>
      <c r="G11" s="49">
        <v>140</v>
      </c>
      <c r="H11" s="49">
        <v>140</v>
      </c>
      <c r="I11" s="49">
        <v>150</v>
      </c>
      <c r="J11" s="49">
        <v>150</v>
      </c>
      <c r="K11" s="49">
        <v>160</v>
      </c>
      <c r="L11" s="50">
        <v>200</v>
      </c>
      <c r="M11" s="50">
        <v>200</v>
      </c>
      <c r="N11" s="50">
        <v>200</v>
      </c>
      <c r="O11" s="50">
        <v>200</v>
      </c>
      <c r="P11" s="50">
        <v>230</v>
      </c>
      <c r="Q11" s="51">
        <v>205</v>
      </c>
      <c r="R11" s="52">
        <v>200</v>
      </c>
      <c r="S11" s="52">
        <v>200</v>
      </c>
      <c r="T11" s="52">
        <v>231</v>
      </c>
      <c r="U11" s="52">
        <v>215</v>
      </c>
      <c r="V11" s="52">
        <v>215.8</v>
      </c>
      <c r="W11" s="52">
        <v>280</v>
      </c>
      <c r="X11" s="52">
        <v>348</v>
      </c>
      <c r="Y11" s="53">
        <v>358.3</v>
      </c>
      <c r="Z11" s="53">
        <v>358.3</v>
      </c>
      <c r="AA11" s="115">
        <v>320</v>
      </c>
      <c r="AB11" s="115">
        <v>280</v>
      </c>
      <c r="AC11" s="115">
        <v>220</v>
      </c>
      <c r="AD11" s="115">
        <v>180</v>
      </c>
      <c r="AE11" s="49">
        <v>170</v>
      </c>
      <c r="AF11" s="49">
        <v>140</v>
      </c>
      <c r="AG11" s="54">
        <v>456</v>
      </c>
      <c r="AH11" s="55">
        <f>MAX(B11:AF11)</f>
        <v>358.3</v>
      </c>
      <c r="AI11" s="56">
        <f>MIN(B11:AF11)</f>
        <v>140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48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48</v>
      </c>
      <c r="AE12" s="50">
        <v>48</v>
      </c>
      <c r="AF12" s="49">
        <v>48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36</v>
      </c>
      <c r="C14" s="62">
        <v>36</v>
      </c>
      <c r="D14" s="62">
        <v>36</v>
      </c>
      <c r="E14" s="62">
        <v>37</v>
      </c>
      <c r="F14" s="62">
        <v>37.200000000000003</v>
      </c>
      <c r="G14" s="62">
        <v>36.9</v>
      </c>
      <c r="H14" s="62">
        <v>36.9</v>
      </c>
      <c r="I14" s="62">
        <v>37</v>
      </c>
      <c r="J14" s="62">
        <v>37</v>
      </c>
      <c r="K14" s="62">
        <v>37</v>
      </c>
      <c r="L14" s="50">
        <v>45.8</v>
      </c>
      <c r="M14" s="50">
        <v>45.8</v>
      </c>
      <c r="N14" s="50">
        <v>45.8</v>
      </c>
      <c r="O14" s="50">
        <v>45.9</v>
      </c>
      <c r="P14" s="50">
        <v>45.9</v>
      </c>
      <c r="Q14" s="50">
        <v>45.8</v>
      </c>
      <c r="R14" s="50">
        <v>45.8</v>
      </c>
      <c r="S14" s="61">
        <v>45.9</v>
      </c>
      <c r="T14" s="61">
        <v>45.3</v>
      </c>
      <c r="U14" s="61">
        <v>45.3</v>
      </c>
      <c r="V14" s="61">
        <v>45.3</v>
      </c>
      <c r="W14" s="61">
        <v>45.3</v>
      </c>
      <c r="X14" s="61">
        <v>45.3</v>
      </c>
      <c r="Y14" s="50">
        <v>45.8</v>
      </c>
      <c r="Z14" s="50">
        <v>45.8</v>
      </c>
      <c r="AA14" s="50">
        <v>45.9</v>
      </c>
      <c r="AB14" s="50">
        <v>45.9</v>
      </c>
      <c r="AC14" s="50">
        <v>45.9</v>
      </c>
      <c r="AD14" s="50">
        <v>37.200000000000003</v>
      </c>
      <c r="AE14" s="50">
        <v>37.200000000000003</v>
      </c>
      <c r="AF14" s="50">
        <v>37.200000000000003</v>
      </c>
      <c r="AG14" s="63">
        <v>45</v>
      </c>
      <c r="AH14" s="55">
        <f t="shared" si="2"/>
        <v>45.9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20</v>
      </c>
      <c r="J16" s="49">
        <v>20</v>
      </c>
      <c r="K16" s="49">
        <v>20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20</v>
      </c>
      <c r="AE16" s="50">
        <v>20</v>
      </c>
      <c r="AF16" s="50">
        <v>20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24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20</v>
      </c>
      <c r="AE18" s="50">
        <v>20</v>
      </c>
      <c r="AF18" s="50">
        <v>20</v>
      </c>
      <c r="AG18" s="60">
        <v>30</v>
      </c>
      <c r="AH18" s="55">
        <f t="shared" si="2"/>
        <v>25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18</v>
      </c>
      <c r="C21" s="49">
        <v>18</v>
      </c>
      <c r="D21" s="49">
        <v>18</v>
      </c>
      <c r="E21" s="49">
        <v>18</v>
      </c>
      <c r="F21" s="49">
        <v>18</v>
      </c>
      <c r="G21" s="49">
        <v>18</v>
      </c>
      <c r="H21" s="49">
        <v>18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20</v>
      </c>
      <c r="AE21" s="50">
        <v>20</v>
      </c>
      <c r="AF21" s="50">
        <v>20</v>
      </c>
      <c r="AG21" s="60">
        <v>25</v>
      </c>
      <c r="AH21" s="55">
        <f t="shared" si="2"/>
        <v>22</v>
      </c>
      <c r="AI21" s="56">
        <f t="shared" si="3"/>
        <v>18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18</v>
      </c>
      <c r="C22" s="49">
        <v>18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18</v>
      </c>
      <c r="K22" s="49">
        <v>18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18</v>
      </c>
      <c r="AE22" s="50">
        <v>18</v>
      </c>
      <c r="AF22" s="50">
        <v>18</v>
      </c>
      <c r="AG22" s="60">
        <v>25</v>
      </c>
      <c r="AH22" s="55">
        <f t="shared" si="2"/>
        <v>22</v>
      </c>
      <c r="AI22" s="56">
        <f t="shared" si="3"/>
        <v>18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18</v>
      </c>
      <c r="C23" s="49">
        <v>18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18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18</v>
      </c>
      <c r="AE23" s="50">
        <v>18</v>
      </c>
      <c r="AF23" s="50">
        <v>18</v>
      </c>
      <c r="AG23" s="60">
        <v>25</v>
      </c>
      <c r="AH23" s="55">
        <f t="shared" si="2"/>
        <v>22</v>
      </c>
      <c r="AI23" s="56">
        <f t="shared" si="3"/>
        <v>18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18</v>
      </c>
      <c r="C24" s="49">
        <v>18</v>
      </c>
      <c r="D24" s="49">
        <v>15</v>
      </c>
      <c r="E24" s="49">
        <v>15</v>
      </c>
      <c r="F24" s="49">
        <v>15</v>
      </c>
      <c r="G24" s="49">
        <v>15</v>
      </c>
      <c r="H24" s="49">
        <v>15</v>
      </c>
      <c r="I24" s="49">
        <v>15</v>
      </c>
      <c r="J24" s="49">
        <v>15</v>
      </c>
      <c r="K24" s="49">
        <v>18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18</v>
      </c>
      <c r="AE24" s="50">
        <v>18</v>
      </c>
      <c r="AF24" s="50">
        <v>18</v>
      </c>
      <c r="AG24" s="60">
        <v>24.2</v>
      </c>
      <c r="AH24" s="55">
        <f t="shared" si="2"/>
        <v>22</v>
      </c>
      <c r="AI24" s="56">
        <f t="shared" si="3"/>
        <v>15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50">
        <v>14</v>
      </c>
      <c r="M25" s="50">
        <v>14</v>
      </c>
      <c r="N25" s="50">
        <v>14</v>
      </c>
      <c r="O25" s="50">
        <v>14</v>
      </c>
      <c r="P25" s="50">
        <v>14</v>
      </c>
      <c r="Q25" s="50">
        <v>14</v>
      </c>
      <c r="R25" s="50">
        <v>14</v>
      </c>
      <c r="S25" s="50">
        <v>14</v>
      </c>
      <c r="T25" s="50">
        <v>14</v>
      </c>
      <c r="U25" s="50">
        <v>14</v>
      </c>
      <c r="V25" s="50">
        <v>14</v>
      </c>
      <c r="W25" s="50">
        <v>14</v>
      </c>
      <c r="X25" s="50">
        <v>14</v>
      </c>
      <c r="Y25" s="50">
        <v>14</v>
      </c>
      <c r="Z25" s="50">
        <v>14</v>
      </c>
      <c r="AA25" s="50">
        <v>14</v>
      </c>
      <c r="AB25" s="50">
        <v>14</v>
      </c>
      <c r="AC25" s="50">
        <v>8</v>
      </c>
      <c r="AD25" s="50">
        <v>8</v>
      </c>
      <c r="AE25" s="50">
        <v>8</v>
      </c>
      <c r="AF25" s="50">
        <v>8</v>
      </c>
      <c r="AG25" s="60">
        <v>20</v>
      </c>
      <c r="AH25" s="55">
        <f t="shared" si="2"/>
        <v>14</v>
      </c>
      <c r="AI25" s="56">
        <f t="shared" si="3"/>
        <v>8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11</v>
      </c>
      <c r="C26" s="49">
        <v>11</v>
      </c>
      <c r="D26" s="49">
        <v>11</v>
      </c>
      <c r="E26" s="49">
        <v>11</v>
      </c>
      <c r="F26" s="49">
        <v>11</v>
      </c>
      <c r="G26" s="49">
        <v>11</v>
      </c>
      <c r="H26" s="49">
        <v>11</v>
      </c>
      <c r="I26" s="49">
        <v>11</v>
      </c>
      <c r="J26" s="49">
        <v>11</v>
      </c>
      <c r="K26" s="49">
        <v>11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>
        <v>11</v>
      </c>
      <c r="AE26" s="49">
        <v>11</v>
      </c>
      <c r="AF26" s="49">
        <v>11</v>
      </c>
      <c r="AG26" s="60">
        <v>23.5</v>
      </c>
      <c r="AH26" s="55">
        <f t="shared" si="2"/>
        <v>14.9</v>
      </c>
      <c r="AI26" s="56">
        <f t="shared" si="3"/>
        <v>11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6</v>
      </c>
      <c r="X28" s="50">
        <v>6</v>
      </c>
      <c r="Y28" s="50">
        <v>6</v>
      </c>
      <c r="Z28" s="50">
        <v>6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12.4</v>
      </c>
      <c r="AI28" s="56">
        <f t="shared" si="3"/>
        <v>6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10.5</v>
      </c>
      <c r="C29" s="49">
        <v>10.5</v>
      </c>
      <c r="D29" s="49">
        <v>10.5</v>
      </c>
      <c r="E29" s="49">
        <v>10.5</v>
      </c>
      <c r="F29" s="49">
        <v>10.5</v>
      </c>
      <c r="G29" s="49">
        <v>10.5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10.5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200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62">
        <f>61.2+85.9</f>
        <v>147.10000000000002</v>
      </c>
      <c r="C35" s="62">
        <f>61.4+88.3</f>
        <v>149.69999999999999</v>
      </c>
      <c r="D35" s="62">
        <f>62.6+84.8</f>
        <v>147.4</v>
      </c>
      <c r="E35" s="62">
        <f>63.3+84.9</f>
        <v>148.19999999999999</v>
      </c>
      <c r="F35" s="62">
        <f>63.2+85.4</f>
        <v>148.60000000000002</v>
      </c>
      <c r="G35" s="62">
        <f>63.2+85.5</f>
        <v>148.69999999999999</v>
      </c>
      <c r="H35" s="62">
        <f>63.2+85.5</f>
        <v>148.69999999999999</v>
      </c>
      <c r="I35" s="62">
        <f>62.9+89.8</f>
        <v>152.69999999999999</v>
      </c>
      <c r="J35" s="62">
        <f>63+91.1</f>
        <v>154.1</v>
      </c>
      <c r="K35" s="62">
        <f>62.7+91.4</f>
        <v>154.10000000000002</v>
      </c>
      <c r="L35" s="70">
        <f>70+77.3</f>
        <v>147.30000000000001</v>
      </c>
      <c r="M35" s="70">
        <v>160</v>
      </c>
      <c r="N35" s="70">
        <v>160</v>
      </c>
      <c r="O35" s="70">
        <f>84+73.5</f>
        <v>157.5</v>
      </c>
      <c r="P35" s="70">
        <f>84+73.5</f>
        <v>157.5</v>
      </c>
      <c r="Q35" s="70">
        <f>87.3+73.5</f>
        <v>160.80000000000001</v>
      </c>
      <c r="R35" s="70">
        <f>72.9+87.2</f>
        <v>160.10000000000002</v>
      </c>
      <c r="S35" s="70">
        <f>87.2+71.9</f>
        <v>159.10000000000002</v>
      </c>
      <c r="T35" s="70">
        <f>71.7+88</f>
        <v>159.69999999999999</v>
      </c>
      <c r="U35" s="70">
        <v>162.6</v>
      </c>
      <c r="V35" s="70">
        <v>163.9</v>
      </c>
      <c r="W35" s="70">
        <v>162</v>
      </c>
      <c r="X35" s="70">
        <v>162</v>
      </c>
      <c r="Y35" s="70">
        <v>164.5</v>
      </c>
      <c r="Z35" s="70">
        <v>164.5</v>
      </c>
      <c r="AA35" s="70">
        <f>72.9+91.2</f>
        <v>164.10000000000002</v>
      </c>
      <c r="AB35" s="70">
        <f>73+91.3</f>
        <v>164.3</v>
      </c>
      <c r="AC35" s="70">
        <f>70.3+92</f>
        <v>162.30000000000001</v>
      </c>
      <c r="AD35" s="70">
        <f>58.3+87.1</f>
        <v>145.39999999999998</v>
      </c>
      <c r="AE35" s="70">
        <f>59.5+87.7</f>
        <v>147.19999999999999</v>
      </c>
      <c r="AF35" s="62">
        <f>60.6+87.7</f>
        <v>148.30000000000001</v>
      </c>
      <c r="AG35" s="67">
        <v>240</v>
      </c>
      <c r="AH35" s="55">
        <f t="shared" si="2"/>
        <v>164.5</v>
      </c>
      <c r="AI35" s="56">
        <f t="shared" si="3"/>
        <v>145.39999999999998</v>
      </c>
      <c r="AK35" s="57"/>
    </row>
    <row r="36" spans="1:88" ht="15.75" thickBot="1" x14ac:dyDescent="0.3">
      <c r="A36" s="71" t="s">
        <v>43</v>
      </c>
      <c r="B36" s="72">
        <f>SUM(B11:B34)</f>
        <v>683.09999999999991</v>
      </c>
      <c r="C36" s="72">
        <f t="shared" ref="C36:AF36" si="4">SUM(C11:C34)</f>
        <v>683.09999999999991</v>
      </c>
      <c r="D36" s="72">
        <f t="shared" si="4"/>
        <v>680.09999999999991</v>
      </c>
      <c r="E36" s="72">
        <f t="shared" si="4"/>
        <v>681.09999999999991</v>
      </c>
      <c r="F36" s="72">
        <f t="shared" si="4"/>
        <v>681.3</v>
      </c>
      <c r="G36" s="72">
        <f t="shared" si="4"/>
        <v>681</v>
      </c>
      <c r="H36" s="72">
        <f t="shared" si="4"/>
        <v>694.5</v>
      </c>
      <c r="I36" s="72">
        <f t="shared" si="4"/>
        <v>708.59999999999991</v>
      </c>
      <c r="J36" s="72">
        <f t="shared" si="4"/>
        <v>712.59999999999991</v>
      </c>
      <c r="K36" s="72">
        <f t="shared" si="4"/>
        <v>730.59999999999991</v>
      </c>
      <c r="L36" s="72">
        <f t="shared" si="4"/>
        <v>786.3</v>
      </c>
      <c r="M36" s="72">
        <f t="shared" si="4"/>
        <v>807.3</v>
      </c>
      <c r="N36" s="72">
        <f t="shared" si="4"/>
        <v>807.3</v>
      </c>
      <c r="O36" s="72">
        <f t="shared" si="4"/>
        <v>807.39999999999986</v>
      </c>
      <c r="P36" s="72">
        <f t="shared" si="4"/>
        <v>837.39999999999986</v>
      </c>
      <c r="Q36" s="72">
        <f t="shared" si="4"/>
        <v>812.3</v>
      </c>
      <c r="R36" s="72">
        <f t="shared" si="4"/>
        <v>807.3</v>
      </c>
      <c r="S36" s="72">
        <f t="shared" si="4"/>
        <v>807.39999999999986</v>
      </c>
      <c r="T36" s="72">
        <f t="shared" si="4"/>
        <v>837.8</v>
      </c>
      <c r="U36" s="72">
        <f t="shared" si="4"/>
        <v>821.8</v>
      </c>
      <c r="V36" s="72">
        <f t="shared" si="4"/>
        <v>822.59999999999991</v>
      </c>
      <c r="W36" s="72">
        <f t="shared" si="4"/>
        <v>880.4</v>
      </c>
      <c r="X36" s="72">
        <f t="shared" si="4"/>
        <v>948.4</v>
      </c>
      <c r="Y36" s="72">
        <f t="shared" si="4"/>
        <v>959.2</v>
      </c>
      <c r="Z36" s="72">
        <f t="shared" si="4"/>
        <v>959.2</v>
      </c>
      <c r="AA36" s="72">
        <f t="shared" si="4"/>
        <v>927.4</v>
      </c>
      <c r="AB36" s="72">
        <f t="shared" si="4"/>
        <v>887.39999999999986</v>
      </c>
      <c r="AC36" s="72">
        <f t="shared" si="4"/>
        <v>821.39999999999986</v>
      </c>
      <c r="AD36" s="72">
        <f t="shared" si="4"/>
        <v>732.8</v>
      </c>
      <c r="AE36" s="72">
        <f t="shared" si="4"/>
        <v>722.8</v>
      </c>
      <c r="AF36" s="72">
        <f t="shared" si="4"/>
        <v>692.8</v>
      </c>
      <c r="AG36" s="67">
        <f>SUM(AG11:AG35)</f>
        <v>1431.83</v>
      </c>
      <c r="AH36" s="55">
        <f t="shared" si="2"/>
        <v>959.2</v>
      </c>
      <c r="AI36" s="56">
        <f t="shared" si="3"/>
        <v>680.09999999999991</v>
      </c>
      <c r="AK36">
        <f>AVERAGE(B36:L36)</f>
        <v>702.0272727272727</v>
      </c>
      <c r="AL36">
        <v>1000</v>
      </c>
      <c r="AM36">
        <f>(AL36-AK36)*8</f>
        <v>2383.7818181818184</v>
      </c>
    </row>
    <row r="37" spans="1:88" x14ac:dyDescent="0.25">
      <c r="A37" s="58" t="s">
        <v>44</v>
      </c>
      <c r="B37" s="49">
        <v>121.4</v>
      </c>
      <c r="C37" s="62">
        <v>110.9</v>
      </c>
      <c r="D37" s="62">
        <v>111.7</v>
      </c>
      <c r="E37" s="62">
        <v>111.4</v>
      </c>
      <c r="F37" s="62">
        <v>111.3</v>
      </c>
      <c r="G37" s="62">
        <v>111.3</v>
      </c>
      <c r="H37" s="62">
        <v>111.3</v>
      </c>
      <c r="I37" s="62">
        <v>111.2</v>
      </c>
      <c r="J37" s="62">
        <v>111.1</v>
      </c>
      <c r="K37" s="62">
        <v>111.4</v>
      </c>
      <c r="L37" s="50">
        <v>131.5</v>
      </c>
      <c r="M37" s="50">
        <v>131.6</v>
      </c>
      <c r="N37" s="50">
        <v>145</v>
      </c>
      <c r="O37" s="50">
        <v>144.5</v>
      </c>
      <c r="P37" s="50">
        <v>145</v>
      </c>
      <c r="Q37" s="50">
        <v>144.5</v>
      </c>
      <c r="R37" s="50">
        <v>143.6</v>
      </c>
      <c r="S37" s="50">
        <v>144</v>
      </c>
      <c r="T37" s="50">
        <v>143.69999999999999</v>
      </c>
      <c r="U37" s="50">
        <v>143.9</v>
      </c>
      <c r="V37" s="50">
        <v>143.80000000000001</v>
      </c>
      <c r="W37" s="50">
        <v>143.69999999999999</v>
      </c>
      <c r="X37" s="50">
        <v>143.69999999999999</v>
      </c>
      <c r="Y37" s="50">
        <v>143.80000000000001</v>
      </c>
      <c r="Z37" s="50">
        <v>143.80000000000001</v>
      </c>
      <c r="AA37" s="50">
        <v>143.9</v>
      </c>
      <c r="AB37" s="50">
        <v>143.80000000000001</v>
      </c>
      <c r="AC37" s="50">
        <v>143.9</v>
      </c>
      <c r="AD37" s="50">
        <v>144.1</v>
      </c>
      <c r="AE37" s="49">
        <v>121.4</v>
      </c>
      <c r="AF37" s="49">
        <v>124.4</v>
      </c>
      <c r="AG37" s="63">
        <v>144</v>
      </c>
      <c r="AH37" s="55">
        <f t="shared" si="2"/>
        <v>145</v>
      </c>
      <c r="AI37" s="56">
        <f t="shared" si="3"/>
        <v>110.9</v>
      </c>
      <c r="AK37" s="57"/>
    </row>
    <row r="38" spans="1:88" x14ac:dyDescent="0.25">
      <c r="A38" s="66" t="s">
        <v>45</v>
      </c>
      <c r="B38" s="62">
        <v>34.700000000000003</v>
      </c>
      <c r="C38" s="62">
        <v>35</v>
      </c>
      <c r="D38" s="62">
        <v>34.6</v>
      </c>
      <c r="E38" s="62">
        <v>35</v>
      </c>
      <c r="F38" s="62">
        <v>34.799999999999997</v>
      </c>
      <c r="G38" s="62">
        <v>36</v>
      </c>
      <c r="H38" s="62">
        <v>36</v>
      </c>
      <c r="I38" s="62">
        <v>62.5</v>
      </c>
      <c r="J38" s="62">
        <v>62.6</v>
      </c>
      <c r="K38" s="62">
        <v>70.2</v>
      </c>
      <c r="L38" s="52">
        <v>69.3</v>
      </c>
      <c r="M38" s="52">
        <v>71</v>
      </c>
      <c r="N38" s="52">
        <v>70</v>
      </c>
      <c r="O38" s="52">
        <v>71.099999999999994</v>
      </c>
      <c r="P38" s="52">
        <v>71.8</v>
      </c>
      <c r="Q38" s="52">
        <v>67.900000000000006</v>
      </c>
      <c r="R38" s="52">
        <v>69.099999999999994</v>
      </c>
      <c r="S38" s="52">
        <v>69.5</v>
      </c>
      <c r="T38" s="52">
        <v>69.2</v>
      </c>
      <c r="U38" s="52">
        <v>70.400000000000006</v>
      </c>
      <c r="V38" s="52">
        <v>70.3</v>
      </c>
      <c r="W38" s="52">
        <v>70.2</v>
      </c>
      <c r="X38" s="52">
        <v>70.2</v>
      </c>
      <c r="Y38" s="52">
        <v>70.599999999999994</v>
      </c>
      <c r="Z38" s="52">
        <v>70.599999999999994</v>
      </c>
      <c r="AA38" s="52">
        <v>69.3</v>
      </c>
      <c r="AB38" s="52">
        <v>70.099999999999994</v>
      </c>
      <c r="AC38" s="52">
        <v>69.400000000000006</v>
      </c>
      <c r="AD38" s="52">
        <v>69.8</v>
      </c>
      <c r="AE38" s="62">
        <v>69.900000000000006</v>
      </c>
      <c r="AF38" s="62">
        <v>60</v>
      </c>
      <c r="AG38" s="67">
        <v>70</v>
      </c>
      <c r="AH38" s="55">
        <f t="shared" si="2"/>
        <v>71.8</v>
      </c>
      <c r="AI38" s="56">
        <f t="shared" si="3"/>
        <v>34.6</v>
      </c>
      <c r="AK38" s="57"/>
    </row>
    <row r="39" spans="1:88" x14ac:dyDescent="0.25">
      <c r="A39" s="66" t="s">
        <v>46</v>
      </c>
      <c r="B39" s="62">
        <v>46</v>
      </c>
      <c r="C39" s="62">
        <v>40</v>
      </c>
      <c r="D39" s="62">
        <v>39.9</v>
      </c>
      <c r="E39" s="62">
        <v>39.700000000000003</v>
      </c>
      <c r="F39" s="62">
        <v>40</v>
      </c>
      <c r="G39" s="62">
        <v>40.1</v>
      </c>
      <c r="H39" s="62">
        <v>40.1</v>
      </c>
      <c r="I39" s="62">
        <v>64.599999999999994</v>
      </c>
      <c r="J39" s="62">
        <v>67.599999999999994</v>
      </c>
      <c r="K39" s="62">
        <v>69.5</v>
      </c>
      <c r="L39" s="52">
        <v>69.5</v>
      </c>
      <c r="M39" s="52">
        <v>71</v>
      </c>
      <c r="N39" s="52">
        <v>70</v>
      </c>
      <c r="O39" s="52">
        <v>68.8</v>
      </c>
      <c r="P39" s="52">
        <v>69.5</v>
      </c>
      <c r="Q39" s="52">
        <v>69.599999999999994</v>
      </c>
      <c r="R39" s="52">
        <v>70</v>
      </c>
      <c r="S39" s="52">
        <v>70.599999999999994</v>
      </c>
      <c r="T39" s="52">
        <v>69.7</v>
      </c>
      <c r="U39" s="52">
        <v>69.3</v>
      </c>
      <c r="V39" s="52">
        <v>69.3</v>
      </c>
      <c r="W39" s="52">
        <v>69.400000000000006</v>
      </c>
      <c r="X39" s="52">
        <v>69.8</v>
      </c>
      <c r="Y39" s="52">
        <v>69.599999999999994</v>
      </c>
      <c r="Z39" s="52">
        <v>69.599999999999994</v>
      </c>
      <c r="AA39" s="52">
        <v>61.2</v>
      </c>
      <c r="AB39" s="52">
        <v>69.8</v>
      </c>
      <c r="AC39" s="52">
        <v>69.8</v>
      </c>
      <c r="AD39" s="52">
        <v>64.2</v>
      </c>
      <c r="AE39" s="62">
        <v>69.8</v>
      </c>
      <c r="AF39" s="62">
        <v>61.2</v>
      </c>
      <c r="AG39" s="67">
        <v>69</v>
      </c>
      <c r="AH39" s="55">
        <f t="shared" si="2"/>
        <v>71</v>
      </c>
      <c r="AI39" s="56">
        <f t="shared" si="3"/>
        <v>39.700000000000003</v>
      </c>
      <c r="AK39" s="57"/>
    </row>
    <row r="40" spans="1:88" x14ac:dyDescent="0.25">
      <c r="A40" s="66" t="s">
        <v>47</v>
      </c>
      <c r="B40" s="62">
        <v>40.799999999999997</v>
      </c>
      <c r="C40" s="62">
        <v>40.799999999999997</v>
      </c>
      <c r="D40" s="62">
        <v>40.799999999999997</v>
      </c>
      <c r="E40" s="62">
        <v>40.799999999999997</v>
      </c>
      <c r="F40" s="62">
        <v>40.799999999999997</v>
      </c>
      <c r="G40" s="62">
        <v>41.1</v>
      </c>
      <c r="H40" s="62">
        <v>41.1</v>
      </c>
      <c r="I40" s="62">
        <v>47.1</v>
      </c>
      <c r="J40" s="62">
        <v>47.9</v>
      </c>
      <c r="K40" s="62">
        <v>62.3</v>
      </c>
      <c r="L40" s="52">
        <v>62.5</v>
      </c>
      <c r="M40" s="52">
        <v>62.5</v>
      </c>
      <c r="N40" s="52">
        <v>61.4</v>
      </c>
      <c r="O40" s="52">
        <v>61.2</v>
      </c>
      <c r="P40" s="52">
        <v>61.2</v>
      </c>
      <c r="Q40" s="52">
        <v>61.2</v>
      </c>
      <c r="R40" s="52">
        <v>61.2</v>
      </c>
      <c r="S40" s="52">
        <v>61.2</v>
      </c>
      <c r="T40" s="52">
        <v>54.9</v>
      </c>
      <c r="U40" s="52">
        <v>60.7</v>
      </c>
      <c r="V40" s="52">
        <v>60.7</v>
      </c>
      <c r="W40" s="52">
        <v>60.7</v>
      </c>
      <c r="X40" s="52">
        <v>60.7</v>
      </c>
      <c r="Y40" s="52">
        <v>60.4</v>
      </c>
      <c r="Z40" s="52">
        <v>60.4</v>
      </c>
      <c r="AA40" s="52">
        <v>60.4</v>
      </c>
      <c r="AB40" s="52">
        <v>61.4</v>
      </c>
      <c r="AC40" s="52">
        <v>61.4</v>
      </c>
      <c r="AD40" s="52">
        <v>62.5</v>
      </c>
      <c r="AE40" s="62">
        <v>61.4</v>
      </c>
      <c r="AF40" s="62">
        <v>53.2</v>
      </c>
      <c r="AG40" s="67">
        <v>60</v>
      </c>
      <c r="AH40" s="55">
        <f t="shared" si="2"/>
        <v>62.5</v>
      </c>
      <c r="AI40" s="56">
        <f t="shared" si="3"/>
        <v>40.799999999999997</v>
      </c>
      <c r="AK40" s="57"/>
    </row>
    <row r="41" spans="1:88" x14ac:dyDescent="0.25">
      <c r="A41" s="66" t="s">
        <v>48</v>
      </c>
      <c r="B41" s="62">
        <v>15.1</v>
      </c>
      <c r="C41" s="62">
        <v>10.199999999999999</v>
      </c>
      <c r="D41" s="62">
        <v>10.4</v>
      </c>
      <c r="E41" s="62">
        <v>9.6999999999999993</v>
      </c>
      <c r="F41" s="62">
        <v>10</v>
      </c>
      <c r="G41" s="62">
        <v>10</v>
      </c>
      <c r="H41" s="62">
        <v>10</v>
      </c>
      <c r="I41" s="62">
        <v>29.8</v>
      </c>
      <c r="J41" s="62">
        <v>29.6</v>
      </c>
      <c r="K41" s="62">
        <v>29.5</v>
      </c>
      <c r="L41" s="50">
        <v>29.5</v>
      </c>
      <c r="M41" s="50">
        <v>29.5</v>
      </c>
      <c r="N41" s="50">
        <v>29.5</v>
      </c>
      <c r="O41" s="50">
        <v>28</v>
      </c>
      <c r="P41" s="50">
        <v>28</v>
      </c>
      <c r="Q41" s="50">
        <v>29.8</v>
      </c>
      <c r="R41" s="50">
        <v>29.7</v>
      </c>
      <c r="S41" s="50">
        <v>29.7</v>
      </c>
      <c r="T41" s="50">
        <v>29.6</v>
      </c>
      <c r="U41" s="50">
        <v>29.6</v>
      </c>
      <c r="V41" s="50">
        <v>29.6</v>
      </c>
      <c r="W41" s="50">
        <v>29.6</v>
      </c>
      <c r="X41" s="50">
        <v>29.6</v>
      </c>
      <c r="Y41" s="52">
        <v>29.6</v>
      </c>
      <c r="Z41" s="52">
        <v>29.6</v>
      </c>
      <c r="AA41" s="52">
        <v>29.7</v>
      </c>
      <c r="AB41" s="52">
        <v>29.6</v>
      </c>
      <c r="AC41" s="52">
        <v>29.6</v>
      </c>
      <c r="AD41" s="52">
        <v>29.7</v>
      </c>
      <c r="AE41" s="62">
        <v>29.6</v>
      </c>
      <c r="AF41" s="62">
        <v>29.8</v>
      </c>
      <c r="AG41" s="67">
        <v>30</v>
      </c>
      <c r="AH41" s="55">
        <f t="shared" si="2"/>
        <v>29.8</v>
      </c>
      <c r="AI41" s="56">
        <f t="shared" si="3"/>
        <v>9.6999999999999993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62">
        <v>17</v>
      </c>
      <c r="C43" s="73">
        <v>12</v>
      </c>
      <c r="D43" s="73">
        <v>12</v>
      </c>
      <c r="E43" s="73">
        <v>12</v>
      </c>
      <c r="F43" s="73">
        <v>12</v>
      </c>
      <c r="G43" s="73">
        <v>12</v>
      </c>
      <c r="H43" s="73">
        <v>12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62">
        <v>18</v>
      </c>
      <c r="AF43" s="62">
        <v>18</v>
      </c>
      <c r="AG43" s="67">
        <v>24</v>
      </c>
      <c r="AH43" s="55">
        <f t="shared" si="2"/>
        <v>18</v>
      </c>
      <c r="AI43" s="56">
        <f t="shared" si="3"/>
        <v>12</v>
      </c>
      <c r="AK43" s="57"/>
    </row>
    <row r="44" spans="1:88" x14ac:dyDescent="0.25">
      <c r="A44" s="66" t="s">
        <v>51</v>
      </c>
      <c r="B44" s="62">
        <v>3</v>
      </c>
      <c r="C44" s="62">
        <v>3</v>
      </c>
      <c r="D44" s="62">
        <v>3</v>
      </c>
      <c r="E44" s="62">
        <v>3</v>
      </c>
      <c r="F44" s="62">
        <v>3</v>
      </c>
      <c r="G44" s="62">
        <v>3</v>
      </c>
      <c r="H44" s="62">
        <v>3</v>
      </c>
      <c r="I44" s="62">
        <v>3</v>
      </c>
      <c r="J44" s="62">
        <v>3</v>
      </c>
      <c r="K44" s="62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62">
        <v>3</v>
      </c>
      <c r="AF44" s="62">
        <v>3</v>
      </c>
      <c r="AG44" s="67">
        <v>15</v>
      </c>
      <c r="AH44" s="55">
        <f t="shared" si="2"/>
        <v>3</v>
      </c>
      <c r="AI44" s="56">
        <f t="shared" si="3"/>
        <v>3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62">
        <v>10</v>
      </c>
      <c r="C46" s="73">
        <v>10</v>
      </c>
      <c r="D46" s="73">
        <v>10</v>
      </c>
      <c r="E46" s="73">
        <v>10</v>
      </c>
      <c r="F46" s="73">
        <v>10</v>
      </c>
      <c r="G46" s="73">
        <v>10</v>
      </c>
      <c r="H46" s="73">
        <v>10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10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2">
        <v>14</v>
      </c>
      <c r="AF46" s="62">
        <v>14</v>
      </c>
      <c r="AG46" s="67">
        <v>14</v>
      </c>
      <c r="AH46" s="55">
        <f t="shared" si="2"/>
        <v>14</v>
      </c>
      <c r="AI46" s="56">
        <f t="shared" si="3"/>
        <v>10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2">
        <v>9.6</v>
      </c>
      <c r="AF47" s="62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3.2</v>
      </c>
      <c r="C48" s="62">
        <v>3.2</v>
      </c>
      <c r="D48" s="62">
        <v>3.2</v>
      </c>
      <c r="E48" s="62">
        <v>3.2</v>
      </c>
      <c r="F48" s="62">
        <v>3.2</v>
      </c>
      <c r="G48" s="62">
        <v>3.2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3.2</v>
      </c>
      <c r="AK48" s="57"/>
    </row>
    <row r="49" spans="1:39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9" ht="15.75" thickBot="1" x14ac:dyDescent="0.3">
      <c r="A50" s="71" t="s">
        <v>57</v>
      </c>
      <c r="B50" s="72">
        <f>SUM(B37:B49)</f>
        <v>316.34000000000009</v>
      </c>
      <c r="C50" s="72">
        <f t="shared" ref="C50:AF50" si="6">SUM(C37:C49)</f>
        <v>290.24</v>
      </c>
      <c r="D50" s="72">
        <f t="shared" si="6"/>
        <v>290.74</v>
      </c>
      <c r="E50" s="72">
        <f t="shared" si="6"/>
        <v>289.94000000000005</v>
      </c>
      <c r="F50" s="72">
        <f t="shared" si="6"/>
        <v>290.24</v>
      </c>
      <c r="G50" s="72">
        <f t="shared" si="6"/>
        <v>291.84000000000003</v>
      </c>
      <c r="H50" s="72">
        <f t="shared" si="6"/>
        <v>294.84000000000003</v>
      </c>
      <c r="I50" s="72">
        <f t="shared" si="6"/>
        <v>381.54</v>
      </c>
      <c r="J50" s="72">
        <f t="shared" si="6"/>
        <v>385.14000000000004</v>
      </c>
      <c r="K50" s="72">
        <f t="shared" si="6"/>
        <v>409.24000000000007</v>
      </c>
      <c r="L50" s="72">
        <f t="shared" si="6"/>
        <v>428.64000000000004</v>
      </c>
      <c r="M50" s="72">
        <f t="shared" si="6"/>
        <v>431.94000000000005</v>
      </c>
      <c r="N50" s="72">
        <f t="shared" si="6"/>
        <v>442.24</v>
      </c>
      <c r="O50" s="72">
        <f t="shared" si="6"/>
        <v>439.94</v>
      </c>
      <c r="P50" s="72">
        <f t="shared" si="6"/>
        <v>441.84000000000003</v>
      </c>
      <c r="Q50" s="72">
        <f t="shared" si="6"/>
        <v>439.34000000000003</v>
      </c>
      <c r="R50" s="72">
        <f t="shared" si="6"/>
        <v>439.94</v>
      </c>
      <c r="S50" s="72">
        <f t="shared" si="6"/>
        <v>441.34000000000003</v>
      </c>
      <c r="T50" s="72">
        <f t="shared" si="6"/>
        <v>429.44</v>
      </c>
      <c r="U50" s="72">
        <f t="shared" si="6"/>
        <v>440.24000000000007</v>
      </c>
      <c r="V50" s="72">
        <f t="shared" si="6"/>
        <v>440.04000000000008</v>
      </c>
      <c r="W50" s="72">
        <f t="shared" si="6"/>
        <v>439.94</v>
      </c>
      <c r="X50" s="72">
        <f t="shared" si="6"/>
        <v>440.34000000000003</v>
      </c>
      <c r="Y50" s="72">
        <f t="shared" si="6"/>
        <v>440.34000000000003</v>
      </c>
      <c r="Z50" s="72">
        <f t="shared" si="6"/>
        <v>440.34000000000003</v>
      </c>
      <c r="AA50" s="72">
        <f t="shared" si="6"/>
        <v>430.84</v>
      </c>
      <c r="AB50" s="72">
        <f t="shared" si="6"/>
        <v>441.04</v>
      </c>
      <c r="AC50" s="72">
        <f t="shared" si="6"/>
        <v>440.44000000000005</v>
      </c>
      <c r="AD50" s="72">
        <f t="shared" si="6"/>
        <v>436.64</v>
      </c>
      <c r="AE50" s="72">
        <f t="shared" si="6"/>
        <v>418.44000000000005</v>
      </c>
      <c r="AF50" s="72">
        <f t="shared" si="6"/>
        <v>394.94000000000005</v>
      </c>
      <c r="AG50" s="77">
        <f>SUM(AG37:AG49)</f>
        <v>489.91</v>
      </c>
      <c r="AH50" s="55">
        <f t="shared" si="2"/>
        <v>442.24</v>
      </c>
      <c r="AI50" s="56">
        <f t="shared" si="3"/>
        <v>289.94000000000005</v>
      </c>
      <c r="AK50">
        <f>AVERAGE(B50:L50)</f>
        <v>333.52181818181822</v>
      </c>
      <c r="AL50">
        <v>440</v>
      </c>
      <c r="AM50">
        <f>(AL50-AK50)*8</f>
        <v>851.82545454545425</v>
      </c>
    </row>
    <row r="51" spans="1:39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50">
        <v>0</v>
      </c>
      <c r="R51" s="50">
        <v>0</v>
      </c>
      <c r="S51" s="50">
        <v>0</v>
      </c>
      <c r="T51" s="50">
        <v>13.7</v>
      </c>
      <c r="U51" s="50">
        <v>0</v>
      </c>
      <c r="V51" s="50">
        <v>0</v>
      </c>
      <c r="W51" s="50">
        <v>0</v>
      </c>
      <c r="X51" s="50">
        <v>0</v>
      </c>
      <c r="Y51" s="50">
        <v>36.5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36.5</v>
      </c>
      <c r="AI51" s="56">
        <f t="shared" si="3"/>
        <v>0</v>
      </c>
      <c r="AK51" s="57"/>
    </row>
    <row r="52" spans="1:39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52">
        <v>0</v>
      </c>
      <c r="R52" s="50">
        <v>0</v>
      </c>
      <c r="S52" s="50">
        <v>0</v>
      </c>
      <c r="T52" s="50">
        <v>15.8</v>
      </c>
      <c r="U52" s="50">
        <v>0</v>
      </c>
      <c r="V52" s="50">
        <v>0</v>
      </c>
      <c r="W52" s="50">
        <v>0</v>
      </c>
      <c r="X52" s="50">
        <v>0</v>
      </c>
      <c r="Y52" s="50">
        <v>15.5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15.8</v>
      </c>
      <c r="AI52" s="56">
        <f t="shared" si="3"/>
        <v>0</v>
      </c>
      <c r="AK52" s="57"/>
    </row>
    <row r="53" spans="1:39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175">
        <v>0</v>
      </c>
      <c r="Q53" s="78">
        <v>0</v>
      </c>
      <c r="R53" s="50">
        <v>0</v>
      </c>
      <c r="S53" s="50">
        <v>0</v>
      </c>
      <c r="T53" s="50">
        <v>5.8</v>
      </c>
      <c r="U53" s="50">
        <v>0</v>
      </c>
      <c r="V53" s="50">
        <v>0</v>
      </c>
      <c r="W53" s="50">
        <v>0</v>
      </c>
      <c r="X53" s="50">
        <v>0</v>
      </c>
      <c r="Y53" s="50">
        <v>5.7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5.8</v>
      </c>
      <c r="AI53" s="56">
        <f t="shared" si="3"/>
        <v>0</v>
      </c>
      <c r="AK53" s="57"/>
    </row>
    <row r="54" spans="1:39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>SUM(L51:L53)</f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35.299999999999997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0</v>
      </c>
      <c r="Y54" s="72">
        <f t="shared" si="7"/>
        <v>57.7</v>
      </c>
      <c r="Z54" s="72">
        <f t="shared" si="7"/>
        <v>0</v>
      </c>
      <c r="AA54" s="72">
        <f t="shared" si="7"/>
        <v>0</v>
      </c>
      <c r="AB54" s="72">
        <f t="shared" si="7"/>
        <v>0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57.7</v>
      </c>
      <c r="AI54" s="56">
        <f t="shared" si="3"/>
        <v>0</v>
      </c>
      <c r="AK54" s="57"/>
    </row>
    <row r="55" spans="1:39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0</v>
      </c>
      <c r="AI55" s="56">
        <f t="shared" si="3"/>
        <v>0</v>
      </c>
      <c r="AK55" s="57"/>
    </row>
    <row r="56" spans="1:39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0</v>
      </c>
      <c r="Z56" s="8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0</v>
      </c>
      <c r="AK56" s="57"/>
    </row>
    <row r="57" spans="1:39" x14ac:dyDescent="0.25">
      <c r="A57" s="66" t="s">
        <v>64</v>
      </c>
      <c r="B57" s="52">
        <v>-87</v>
      </c>
      <c r="C57" s="52">
        <v>-89.1</v>
      </c>
      <c r="D57" s="52">
        <v>-91</v>
      </c>
      <c r="E57" s="52">
        <v>-84.7</v>
      </c>
      <c r="F57" s="52">
        <v>-70.400000000000006</v>
      </c>
      <c r="G57" s="50">
        <v>-41.2</v>
      </c>
      <c r="H57" s="50">
        <v>-24.2</v>
      </c>
      <c r="I57" s="50">
        <v>-57.2</v>
      </c>
      <c r="J57" s="50">
        <v>-24.5</v>
      </c>
      <c r="K57" s="50">
        <v>-31.3</v>
      </c>
      <c r="L57" s="52">
        <v>-58.9</v>
      </c>
      <c r="M57" s="52">
        <v>-60</v>
      </c>
      <c r="N57" s="52">
        <v>-26</v>
      </c>
      <c r="O57" s="52">
        <v>-49.6</v>
      </c>
      <c r="P57" s="52">
        <v>-90</v>
      </c>
      <c r="Q57" s="52">
        <v>-53.8</v>
      </c>
      <c r="R57" s="52">
        <v>-46.1</v>
      </c>
      <c r="S57" s="52">
        <v>-33.700000000000003</v>
      </c>
      <c r="T57" s="52">
        <v>-59.3</v>
      </c>
      <c r="U57" s="52">
        <v>-35.6</v>
      </c>
      <c r="V57" s="52">
        <v>-38.4</v>
      </c>
      <c r="W57" s="81">
        <v>20</v>
      </c>
      <c r="X57" s="81">
        <v>-16.399999999999999</v>
      </c>
      <c r="Y57" s="81">
        <v>-40.799999999999997</v>
      </c>
      <c r="Z57" s="81">
        <v>-35</v>
      </c>
      <c r="AA57" s="52">
        <v>-49.2</v>
      </c>
      <c r="AB57" s="52">
        <v>-51.4</v>
      </c>
      <c r="AC57" s="52">
        <v>-55.9</v>
      </c>
      <c r="AD57" s="52">
        <v>-20.8</v>
      </c>
      <c r="AE57" s="52">
        <v>-40.799999999999997</v>
      </c>
      <c r="AF57" s="52">
        <v>-42.8</v>
      </c>
      <c r="AG57" s="82"/>
      <c r="AH57" s="55">
        <f t="shared" si="2"/>
        <v>20</v>
      </c>
      <c r="AI57" s="56">
        <f t="shared" si="3"/>
        <v>-91</v>
      </c>
      <c r="AK57" s="57"/>
    </row>
    <row r="58" spans="1:39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9" x14ac:dyDescent="0.25">
      <c r="A59" s="66" t="s">
        <v>66</v>
      </c>
      <c r="B59" s="50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0</v>
      </c>
      <c r="AK59" s="57"/>
    </row>
    <row r="60" spans="1:39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9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9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9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9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-87</v>
      </c>
      <c r="C66" s="72">
        <f t="shared" ref="C66:AF66" si="8">SUM(C55:C65)</f>
        <v>-89.1</v>
      </c>
      <c r="D66" s="72">
        <f t="shared" si="8"/>
        <v>-91</v>
      </c>
      <c r="E66" s="72">
        <f t="shared" si="8"/>
        <v>-84.7</v>
      </c>
      <c r="F66" s="72">
        <f t="shared" si="8"/>
        <v>-70.400000000000006</v>
      </c>
      <c r="G66" s="72">
        <f t="shared" si="8"/>
        <v>-41.2</v>
      </c>
      <c r="H66" s="72">
        <f t="shared" si="8"/>
        <v>-24.2</v>
      </c>
      <c r="I66" s="72">
        <f t="shared" si="8"/>
        <v>-57.2</v>
      </c>
      <c r="J66" s="72">
        <f t="shared" si="8"/>
        <v>-24.5</v>
      </c>
      <c r="K66" s="72">
        <f t="shared" si="8"/>
        <v>-31.3</v>
      </c>
      <c r="L66" s="72">
        <f t="shared" si="8"/>
        <v>-58.9</v>
      </c>
      <c r="M66" s="72">
        <f t="shared" si="8"/>
        <v>-60</v>
      </c>
      <c r="N66" s="72">
        <f t="shared" si="8"/>
        <v>-26</v>
      </c>
      <c r="O66" s="72">
        <f t="shared" si="8"/>
        <v>-49.6</v>
      </c>
      <c r="P66" s="72">
        <f t="shared" si="8"/>
        <v>-90</v>
      </c>
      <c r="Q66" s="72">
        <f t="shared" si="8"/>
        <v>-53.8</v>
      </c>
      <c r="R66" s="72">
        <f t="shared" si="8"/>
        <v>-46.1</v>
      </c>
      <c r="S66" s="72">
        <f t="shared" si="8"/>
        <v>-33.700000000000003</v>
      </c>
      <c r="T66" s="72">
        <f t="shared" si="8"/>
        <v>-59.3</v>
      </c>
      <c r="U66" s="72">
        <f t="shared" si="8"/>
        <v>-35.6</v>
      </c>
      <c r="V66" s="72">
        <f t="shared" si="8"/>
        <v>-38.4</v>
      </c>
      <c r="W66" s="72">
        <f t="shared" si="8"/>
        <v>20</v>
      </c>
      <c r="X66" s="72">
        <f t="shared" si="8"/>
        <v>-16.399999999999999</v>
      </c>
      <c r="Y66" s="72">
        <f t="shared" si="8"/>
        <v>-40.799999999999997</v>
      </c>
      <c r="Z66" s="72">
        <f t="shared" si="8"/>
        <v>-35</v>
      </c>
      <c r="AA66" s="72">
        <f t="shared" si="8"/>
        <v>-49.2</v>
      </c>
      <c r="AB66" s="72">
        <f t="shared" si="8"/>
        <v>-51.4</v>
      </c>
      <c r="AC66" s="72">
        <f t="shared" si="8"/>
        <v>-55.9</v>
      </c>
      <c r="AD66" s="72">
        <f t="shared" si="8"/>
        <v>-20.8</v>
      </c>
      <c r="AE66" s="72">
        <f t="shared" si="8"/>
        <v>-40.799999999999997</v>
      </c>
      <c r="AF66" s="72">
        <f t="shared" si="8"/>
        <v>-42.8</v>
      </c>
      <c r="AG66" s="77">
        <f>SUM(AG55:AG65)</f>
        <v>0</v>
      </c>
      <c r="AH66" s="55">
        <f t="shared" si="2"/>
        <v>20</v>
      </c>
      <c r="AI66" s="56">
        <f t="shared" si="3"/>
        <v>-91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912.44</v>
      </c>
      <c r="C71" s="87">
        <f t="shared" ref="C71:AG71" si="10">C66+C54+C50+C36+C70</f>
        <v>884.2399999999999</v>
      </c>
      <c r="D71" s="87">
        <f t="shared" si="10"/>
        <v>879.83999999999992</v>
      </c>
      <c r="E71" s="87">
        <f t="shared" si="10"/>
        <v>886.33999999999992</v>
      </c>
      <c r="F71" s="87">
        <f t="shared" si="10"/>
        <v>901.14</v>
      </c>
      <c r="G71" s="87">
        <f t="shared" si="10"/>
        <v>931.6400000000001</v>
      </c>
      <c r="H71" s="87">
        <f t="shared" si="10"/>
        <v>965.1400000000001</v>
      </c>
      <c r="I71" s="87">
        <f t="shared" si="10"/>
        <v>1032.94</v>
      </c>
      <c r="J71" s="87">
        <f t="shared" si="10"/>
        <v>1073.24</v>
      </c>
      <c r="K71" s="87">
        <f t="shared" si="10"/>
        <v>1108.54</v>
      </c>
      <c r="L71" s="87">
        <f t="shared" si="10"/>
        <v>1156.04</v>
      </c>
      <c r="M71" s="87">
        <f t="shared" si="10"/>
        <v>1179.24</v>
      </c>
      <c r="N71" s="87">
        <f t="shared" si="10"/>
        <v>1223.54</v>
      </c>
      <c r="O71" s="87">
        <f t="shared" si="10"/>
        <v>1197.7399999999998</v>
      </c>
      <c r="P71" s="87">
        <f t="shared" si="10"/>
        <v>1189.2399999999998</v>
      </c>
      <c r="Q71" s="87">
        <f t="shared" si="10"/>
        <v>1197.8399999999999</v>
      </c>
      <c r="R71" s="87">
        <f t="shared" si="10"/>
        <v>1201.1399999999999</v>
      </c>
      <c r="S71" s="87">
        <f t="shared" si="10"/>
        <v>1215.04</v>
      </c>
      <c r="T71" s="87">
        <f t="shared" si="10"/>
        <v>1243.24</v>
      </c>
      <c r="U71" s="87">
        <f t="shared" si="10"/>
        <v>1226.44</v>
      </c>
      <c r="V71" s="87">
        <f t="shared" si="10"/>
        <v>1224.24</v>
      </c>
      <c r="W71" s="87">
        <f t="shared" si="10"/>
        <v>1340.34</v>
      </c>
      <c r="X71" s="87">
        <f t="shared" si="10"/>
        <v>1372.3400000000001</v>
      </c>
      <c r="Y71" s="87">
        <f t="shared" si="10"/>
        <v>1416.44</v>
      </c>
      <c r="Z71" s="87">
        <f t="shared" si="10"/>
        <v>1364.54</v>
      </c>
      <c r="AA71" s="87">
        <f t="shared" si="10"/>
        <v>1309.04</v>
      </c>
      <c r="AB71" s="87">
        <f t="shared" si="10"/>
        <v>1277.04</v>
      </c>
      <c r="AC71" s="87">
        <f t="shared" si="10"/>
        <v>1205.94</v>
      </c>
      <c r="AD71" s="87">
        <f t="shared" si="10"/>
        <v>1148.6399999999999</v>
      </c>
      <c r="AE71" s="87">
        <f t="shared" si="10"/>
        <v>1100.44</v>
      </c>
      <c r="AF71" s="87">
        <f t="shared" si="10"/>
        <v>1044.94</v>
      </c>
      <c r="AG71" s="87">
        <f t="shared" si="10"/>
        <v>2083.14</v>
      </c>
      <c r="AH71" s="55">
        <f t="shared" si="2"/>
        <v>1416.44</v>
      </c>
      <c r="AI71" s="56">
        <f t="shared" si="3"/>
        <v>879.83999999999992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912.44</v>
      </c>
      <c r="C73" s="87">
        <f t="shared" ref="C73:AF73" si="11">C70+C66+C54+C50+C36+C72</f>
        <v>884.2399999999999</v>
      </c>
      <c r="D73" s="87">
        <f t="shared" si="11"/>
        <v>879.83999999999992</v>
      </c>
      <c r="E73" s="87">
        <f t="shared" si="11"/>
        <v>886.33999999999992</v>
      </c>
      <c r="F73" s="87">
        <f t="shared" si="11"/>
        <v>901.14</v>
      </c>
      <c r="G73" s="87">
        <f t="shared" si="11"/>
        <v>931.6400000000001</v>
      </c>
      <c r="H73" s="87">
        <f t="shared" si="11"/>
        <v>965.1400000000001</v>
      </c>
      <c r="I73" s="87">
        <f t="shared" si="11"/>
        <v>1032.94</v>
      </c>
      <c r="J73" s="87">
        <f t="shared" si="11"/>
        <v>1073.24</v>
      </c>
      <c r="K73" s="87">
        <f t="shared" si="11"/>
        <v>1108.54</v>
      </c>
      <c r="L73" s="87">
        <f t="shared" si="11"/>
        <v>1156.04</v>
      </c>
      <c r="M73" s="87">
        <f t="shared" si="11"/>
        <v>1179.24</v>
      </c>
      <c r="N73" s="87">
        <f t="shared" si="11"/>
        <v>1223.54</v>
      </c>
      <c r="O73" s="87">
        <f t="shared" si="11"/>
        <v>1197.7399999999998</v>
      </c>
      <c r="P73" s="87">
        <f t="shared" si="11"/>
        <v>1189.2399999999998</v>
      </c>
      <c r="Q73" s="87">
        <f t="shared" si="11"/>
        <v>1197.8399999999999</v>
      </c>
      <c r="R73" s="87">
        <f t="shared" si="11"/>
        <v>1201.1399999999999</v>
      </c>
      <c r="S73" s="87">
        <f t="shared" si="11"/>
        <v>1215.04</v>
      </c>
      <c r="T73" s="87">
        <f t="shared" si="11"/>
        <v>1243.24</v>
      </c>
      <c r="U73" s="87">
        <f t="shared" si="11"/>
        <v>1226.44</v>
      </c>
      <c r="V73" s="87">
        <f t="shared" si="11"/>
        <v>1224.24</v>
      </c>
      <c r="W73" s="87">
        <f t="shared" si="11"/>
        <v>1340.34</v>
      </c>
      <c r="X73" s="87">
        <f t="shared" si="11"/>
        <v>1372.3400000000001</v>
      </c>
      <c r="Y73" s="87">
        <f t="shared" si="11"/>
        <v>1416.44</v>
      </c>
      <c r="Z73" s="87">
        <f t="shared" si="11"/>
        <v>1364.54</v>
      </c>
      <c r="AA73" s="87">
        <f t="shared" si="11"/>
        <v>1309.04</v>
      </c>
      <c r="AB73" s="87">
        <f t="shared" si="11"/>
        <v>1277.04</v>
      </c>
      <c r="AC73" s="87">
        <f t="shared" si="11"/>
        <v>1205.94</v>
      </c>
      <c r="AD73" s="87">
        <f t="shared" si="11"/>
        <v>1148.6399999999999</v>
      </c>
      <c r="AE73" s="87">
        <f t="shared" si="11"/>
        <v>1100.44</v>
      </c>
      <c r="AF73" s="87">
        <f t="shared" si="11"/>
        <v>1044.94</v>
      </c>
      <c r="AG73" s="77">
        <f>AG70+AG66+AG54+AG50+AG36+AG72</f>
        <v>2083.14</v>
      </c>
      <c r="AH73" s="55">
        <f t="shared" si="2"/>
        <v>1416.44</v>
      </c>
      <c r="AI73" s="56">
        <f t="shared" si="3"/>
        <v>879.83999999999992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3">IF(C56&lt;0,C56*-1,0)</f>
        <v>0</v>
      </c>
      <c r="D75" s="59">
        <f t="shared" si="13"/>
        <v>0</v>
      </c>
      <c r="E75" s="59">
        <f t="shared" si="13"/>
        <v>0</v>
      </c>
      <c r="F75" s="59">
        <f t="shared" si="13"/>
        <v>0</v>
      </c>
      <c r="G75" s="59">
        <f t="shared" si="13"/>
        <v>0</v>
      </c>
      <c r="H75" s="59">
        <f t="shared" si="13"/>
        <v>0</v>
      </c>
      <c r="I75" s="59">
        <f t="shared" si="13"/>
        <v>0</v>
      </c>
      <c r="J75" s="59">
        <f t="shared" si="13"/>
        <v>0</v>
      </c>
      <c r="K75" s="59">
        <f t="shared" si="13"/>
        <v>0</v>
      </c>
      <c r="L75" s="59">
        <f t="shared" si="13"/>
        <v>0</v>
      </c>
      <c r="M75" s="59">
        <f t="shared" si="13"/>
        <v>0</v>
      </c>
      <c r="N75" s="59">
        <f t="shared" si="13"/>
        <v>0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0</v>
      </c>
      <c r="AB75" s="59">
        <f t="shared" si="13"/>
        <v>0</v>
      </c>
      <c r="AC75" s="59">
        <f t="shared" si="13"/>
        <v>0</v>
      </c>
      <c r="AD75" s="59">
        <f t="shared" si="13"/>
        <v>0</v>
      </c>
      <c r="AE75" s="59">
        <f t="shared" si="13"/>
        <v>0</v>
      </c>
      <c r="AF75" s="59">
        <f t="shared" si="13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4">IF(C59&lt;0,C59*-1,0)</f>
        <v>0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0</v>
      </c>
      <c r="J76" s="59">
        <f t="shared" si="14"/>
        <v>0</v>
      </c>
      <c r="K76" s="59">
        <f t="shared" si="14"/>
        <v>0</v>
      </c>
      <c r="L76" s="59">
        <f t="shared" si="14"/>
        <v>0</v>
      </c>
      <c r="M76" s="59">
        <f t="shared" si="14"/>
        <v>0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0</v>
      </c>
      <c r="AA76" s="59">
        <f t="shared" si="14"/>
        <v>0</v>
      </c>
      <c r="AB76" s="59">
        <f t="shared" si="14"/>
        <v>0</v>
      </c>
      <c r="AC76" s="59">
        <f t="shared" si="14"/>
        <v>0</v>
      </c>
      <c r="AD76" s="59">
        <f t="shared" si="14"/>
        <v>0</v>
      </c>
      <c r="AE76" s="59">
        <f t="shared" si="14"/>
        <v>0</v>
      </c>
      <c r="AF76" s="59">
        <f t="shared" si="14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87</v>
      </c>
      <c r="C77" s="59">
        <f t="shared" ref="C77:AF77" si="15">IF(C57&lt;0,C57*-1,0)</f>
        <v>89.1</v>
      </c>
      <c r="D77" s="59">
        <f t="shared" si="15"/>
        <v>91</v>
      </c>
      <c r="E77" s="59">
        <f t="shared" si="15"/>
        <v>84.7</v>
      </c>
      <c r="F77" s="59">
        <f t="shared" si="15"/>
        <v>70.400000000000006</v>
      </c>
      <c r="G77" s="59">
        <f t="shared" si="15"/>
        <v>41.2</v>
      </c>
      <c r="H77" s="59">
        <f t="shared" si="15"/>
        <v>24.2</v>
      </c>
      <c r="I77" s="59">
        <f t="shared" si="15"/>
        <v>57.2</v>
      </c>
      <c r="J77" s="59">
        <f t="shared" si="15"/>
        <v>24.5</v>
      </c>
      <c r="K77" s="59">
        <f t="shared" si="15"/>
        <v>31.3</v>
      </c>
      <c r="L77" s="59">
        <f t="shared" si="15"/>
        <v>58.9</v>
      </c>
      <c r="M77" s="59">
        <f t="shared" si="15"/>
        <v>60</v>
      </c>
      <c r="N77" s="59">
        <f t="shared" si="15"/>
        <v>26</v>
      </c>
      <c r="O77" s="59">
        <f t="shared" si="15"/>
        <v>49.6</v>
      </c>
      <c r="P77" s="59">
        <f t="shared" si="15"/>
        <v>90</v>
      </c>
      <c r="Q77" s="59">
        <f t="shared" si="15"/>
        <v>53.8</v>
      </c>
      <c r="R77" s="59">
        <f t="shared" si="15"/>
        <v>46.1</v>
      </c>
      <c r="S77" s="59">
        <f t="shared" si="15"/>
        <v>33.700000000000003</v>
      </c>
      <c r="T77" s="59">
        <f t="shared" si="15"/>
        <v>59.3</v>
      </c>
      <c r="U77" s="59">
        <f t="shared" si="15"/>
        <v>35.6</v>
      </c>
      <c r="V77" s="59">
        <f t="shared" si="15"/>
        <v>38.4</v>
      </c>
      <c r="W77" s="59">
        <f t="shared" si="15"/>
        <v>0</v>
      </c>
      <c r="X77" s="59">
        <f t="shared" si="15"/>
        <v>16.399999999999999</v>
      </c>
      <c r="Y77" s="59">
        <f t="shared" si="15"/>
        <v>40.799999999999997</v>
      </c>
      <c r="Z77" s="59">
        <f t="shared" si="15"/>
        <v>35</v>
      </c>
      <c r="AA77" s="59">
        <f t="shared" si="15"/>
        <v>49.2</v>
      </c>
      <c r="AB77" s="59">
        <f t="shared" si="15"/>
        <v>51.4</v>
      </c>
      <c r="AC77" s="59">
        <f t="shared" si="15"/>
        <v>55.9</v>
      </c>
      <c r="AD77" s="59">
        <f t="shared" si="15"/>
        <v>20.8</v>
      </c>
      <c r="AE77" s="59">
        <f t="shared" si="15"/>
        <v>40.799999999999997</v>
      </c>
      <c r="AF77" s="59">
        <f t="shared" si="15"/>
        <v>42.8</v>
      </c>
      <c r="AG77" s="90"/>
      <c r="AH77" s="55">
        <f t="shared" ref="AH77:AH89" si="16">MAX(B77:AF77)</f>
        <v>91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87</v>
      </c>
      <c r="C80" s="72">
        <f t="shared" ref="C80:AG80" si="19">SUM(C74:C79)</f>
        <v>89.1</v>
      </c>
      <c r="D80" s="72">
        <f t="shared" si="19"/>
        <v>91</v>
      </c>
      <c r="E80" s="72">
        <f t="shared" si="19"/>
        <v>84.7</v>
      </c>
      <c r="F80" s="72">
        <f t="shared" si="19"/>
        <v>70.400000000000006</v>
      </c>
      <c r="G80" s="72">
        <f t="shared" si="19"/>
        <v>41.2</v>
      </c>
      <c r="H80" s="72">
        <f t="shared" si="19"/>
        <v>24.2</v>
      </c>
      <c r="I80" s="72">
        <f t="shared" si="19"/>
        <v>57.2</v>
      </c>
      <c r="J80" s="72">
        <f t="shared" si="19"/>
        <v>24.5</v>
      </c>
      <c r="K80" s="72">
        <f t="shared" si="19"/>
        <v>31.3</v>
      </c>
      <c r="L80" s="72">
        <f t="shared" si="19"/>
        <v>58.9</v>
      </c>
      <c r="M80" s="72">
        <f t="shared" si="19"/>
        <v>60</v>
      </c>
      <c r="N80" s="72">
        <f t="shared" si="19"/>
        <v>26</v>
      </c>
      <c r="O80" s="72">
        <f t="shared" si="19"/>
        <v>49.6</v>
      </c>
      <c r="P80" s="72">
        <f t="shared" si="19"/>
        <v>90</v>
      </c>
      <c r="Q80" s="72">
        <f t="shared" si="19"/>
        <v>53.8</v>
      </c>
      <c r="R80" s="72">
        <f t="shared" si="19"/>
        <v>46.1</v>
      </c>
      <c r="S80" s="72">
        <f t="shared" si="19"/>
        <v>33.700000000000003</v>
      </c>
      <c r="T80" s="72">
        <f t="shared" si="19"/>
        <v>59.3</v>
      </c>
      <c r="U80" s="72">
        <f t="shared" si="19"/>
        <v>35.6</v>
      </c>
      <c r="V80" s="72">
        <f t="shared" si="19"/>
        <v>38.4</v>
      </c>
      <c r="W80" s="72">
        <f t="shared" si="19"/>
        <v>0</v>
      </c>
      <c r="X80" s="72">
        <f t="shared" si="19"/>
        <v>16.399999999999999</v>
      </c>
      <c r="Y80" s="72">
        <f t="shared" si="19"/>
        <v>40.799999999999997</v>
      </c>
      <c r="Z80" s="72">
        <f t="shared" si="19"/>
        <v>35</v>
      </c>
      <c r="AA80" s="72">
        <f t="shared" si="19"/>
        <v>49.2</v>
      </c>
      <c r="AB80" s="72">
        <f t="shared" si="19"/>
        <v>51.4</v>
      </c>
      <c r="AC80" s="72">
        <f t="shared" si="19"/>
        <v>55.9</v>
      </c>
      <c r="AD80" s="72">
        <f t="shared" si="19"/>
        <v>20.8</v>
      </c>
      <c r="AE80" s="72">
        <f t="shared" si="19"/>
        <v>40.799999999999997</v>
      </c>
      <c r="AF80" s="72">
        <f t="shared" si="19"/>
        <v>42.8</v>
      </c>
      <c r="AG80" s="77">
        <f t="shared" si="19"/>
        <v>0</v>
      </c>
      <c r="AH80" s="55">
        <f t="shared" si="16"/>
        <v>91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1998.88</v>
      </c>
      <c r="C81" s="72">
        <f t="shared" ref="C81:AG81" si="20">SUM(C68:C80)</f>
        <v>1946.6799999999996</v>
      </c>
      <c r="D81" s="72">
        <f t="shared" si="20"/>
        <v>1941.6799999999998</v>
      </c>
      <c r="E81" s="72">
        <f t="shared" si="20"/>
        <v>1942.08</v>
      </c>
      <c r="F81" s="72">
        <f t="shared" si="20"/>
        <v>1943.0800000000002</v>
      </c>
      <c r="G81" s="72">
        <f t="shared" si="20"/>
        <v>1945.6800000000003</v>
      </c>
      <c r="H81" s="72">
        <f t="shared" si="20"/>
        <v>1978.6800000000003</v>
      </c>
      <c r="I81" s="72">
        <f t="shared" si="20"/>
        <v>2180.2799999999997</v>
      </c>
      <c r="J81" s="72">
        <f t="shared" si="20"/>
        <v>2195.48</v>
      </c>
      <c r="K81" s="72">
        <f t="shared" si="20"/>
        <v>2279.6800000000003</v>
      </c>
      <c r="L81" s="72">
        <f t="shared" si="20"/>
        <v>2429.88</v>
      </c>
      <c r="M81" s="72">
        <f t="shared" si="20"/>
        <v>2478.48</v>
      </c>
      <c r="N81" s="72">
        <f t="shared" si="20"/>
        <v>2499.08</v>
      </c>
      <c r="O81" s="72">
        <f t="shared" si="20"/>
        <v>2494.6799999999994</v>
      </c>
      <c r="P81" s="72">
        <f t="shared" si="20"/>
        <v>2558.4799999999996</v>
      </c>
      <c r="Q81" s="72">
        <f t="shared" si="20"/>
        <v>2503.2800000000002</v>
      </c>
      <c r="R81" s="72">
        <f t="shared" si="20"/>
        <v>2494.4799999999996</v>
      </c>
      <c r="S81" s="72">
        <f t="shared" si="20"/>
        <v>2497.4799999999996</v>
      </c>
      <c r="T81" s="72">
        <f t="shared" si="20"/>
        <v>2605.0800000000004</v>
      </c>
      <c r="U81" s="72">
        <f t="shared" si="20"/>
        <v>2524.08</v>
      </c>
      <c r="V81" s="72">
        <f t="shared" si="20"/>
        <v>2525.2800000000002</v>
      </c>
      <c r="W81" s="72">
        <f t="shared" si="20"/>
        <v>2680.68</v>
      </c>
      <c r="X81" s="72">
        <f t="shared" si="20"/>
        <v>2777.4800000000005</v>
      </c>
      <c r="Y81" s="72">
        <f t="shared" si="20"/>
        <v>2914.4800000000005</v>
      </c>
      <c r="Z81" s="72">
        <f t="shared" si="20"/>
        <v>2799.08</v>
      </c>
      <c r="AA81" s="72">
        <f t="shared" si="20"/>
        <v>2716.4799999999996</v>
      </c>
      <c r="AB81" s="72">
        <f t="shared" si="20"/>
        <v>2656.88</v>
      </c>
      <c r="AC81" s="72">
        <f t="shared" si="20"/>
        <v>2523.6800000000003</v>
      </c>
      <c r="AD81" s="72">
        <f t="shared" si="20"/>
        <v>2338.88</v>
      </c>
      <c r="AE81" s="72">
        <f t="shared" si="20"/>
        <v>2282.4800000000005</v>
      </c>
      <c r="AF81" s="72">
        <f t="shared" si="20"/>
        <v>2175.4800000000005</v>
      </c>
      <c r="AG81" s="77">
        <f t="shared" si="20"/>
        <v>4238.08</v>
      </c>
      <c r="AH81" s="55">
        <f t="shared" si="16"/>
        <v>2914.4800000000005</v>
      </c>
      <c r="AI81" s="56">
        <f t="shared" si="17"/>
        <v>1941.6799999999998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4">
        <v>50.01</v>
      </c>
      <c r="C82" s="93">
        <v>50</v>
      </c>
      <c r="D82" s="93">
        <v>50.055</v>
      </c>
      <c r="E82" s="93">
        <v>49.987000000000002</v>
      </c>
      <c r="F82" s="93">
        <v>50.026000000000003</v>
      </c>
      <c r="G82" s="93">
        <v>49.954999999999998</v>
      </c>
      <c r="H82" s="93">
        <v>50.017000000000003</v>
      </c>
      <c r="I82" s="93">
        <v>50.048999999999999</v>
      </c>
      <c r="J82" s="93">
        <v>50.03</v>
      </c>
      <c r="K82" s="93">
        <v>50.01</v>
      </c>
      <c r="L82" s="93">
        <v>50.079000000000001</v>
      </c>
      <c r="M82" s="93">
        <v>50.04</v>
      </c>
      <c r="N82" s="93">
        <v>50.04</v>
      </c>
      <c r="O82" s="93">
        <v>50.006999999999998</v>
      </c>
      <c r="P82" s="93">
        <v>49.77</v>
      </c>
      <c r="Q82" s="93">
        <v>50.011000000000003</v>
      </c>
      <c r="R82" s="93">
        <v>50.048000000000002</v>
      </c>
      <c r="S82" s="93">
        <v>49.963000000000001</v>
      </c>
      <c r="T82" s="93">
        <v>50.06</v>
      </c>
      <c r="U82" s="93">
        <v>50.06</v>
      </c>
      <c r="V82" s="93">
        <v>50.01</v>
      </c>
      <c r="W82" s="93">
        <v>50.054000000000002</v>
      </c>
      <c r="X82" s="93">
        <v>50.054000000000002</v>
      </c>
      <c r="Y82" s="93">
        <v>49.92</v>
      </c>
      <c r="Z82" s="93">
        <v>49.92</v>
      </c>
      <c r="AA82" s="93">
        <v>50.024000000000001</v>
      </c>
      <c r="AB82" s="93">
        <v>50.057000000000002</v>
      </c>
      <c r="AC82" s="93">
        <v>50.03</v>
      </c>
      <c r="AD82" s="93">
        <v>50.030999999999999</v>
      </c>
      <c r="AE82" s="93">
        <v>49.981000000000002</v>
      </c>
      <c r="AF82" s="94">
        <v>49.972999999999999</v>
      </c>
      <c r="AG82" s="95"/>
      <c r="AH82" s="55">
        <f t="shared" si="16"/>
        <v>50.079000000000001</v>
      </c>
      <c r="AI82" s="56">
        <f t="shared" si="17"/>
        <v>49.77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8">
        <v>126.6</v>
      </c>
      <c r="C83" s="52">
        <v>125.7</v>
      </c>
      <c r="D83" s="52">
        <v>126.4</v>
      </c>
      <c r="E83" s="52">
        <v>126.7</v>
      </c>
      <c r="F83" s="52">
        <v>125.8</v>
      </c>
      <c r="G83" s="52">
        <v>124.8</v>
      </c>
      <c r="H83" s="52">
        <v>125.1</v>
      </c>
      <c r="I83" s="52">
        <v>124.1</v>
      </c>
      <c r="J83" s="52">
        <v>123.8</v>
      </c>
      <c r="K83" s="52">
        <v>122.8</v>
      </c>
      <c r="L83" s="52">
        <v>121.6</v>
      </c>
      <c r="M83" s="52">
        <v>120</v>
      </c>
      <c r="N83" s="52">
        <v>121</v>
      </c>
      <c r="O83" s="52">
        <v>121.5</v>
      </c>
      <c r="P83" s="52">
        <v>121</v>
      </c>
      <c r="Q83" s="52">
        <v>120.5</v>
      </c>
      <c r="R83" s="52">
        <v>121.3</v>
      </c>
      <c r="S83" s="52">
        <v>121</v>
      </c>
      <c r="T83" s="97">
        <v>123.3</v>
      </c>
      <c r="U83" s="97">
        <v>122.8</v>
      </c>
      <c r="V83" s="97">
        <v>123.7</v>
      </c>
      <c r="W83" s="97">
        <v>122.7</v>
      </c>
      <c r="X83" s="97">
        <v>122.7</v>
      </c>
      <c r="Y83" s="97">
        <v>124.1</v>
      </c>
      <c r="Z83" s="97">
        <v>124.1</v>
      </c>
      <c r="AA83" s="52">
        <v>124.9</v>
      </c>
      <c r="AB83" s="52">
        <v>124.9</v>
      </c>
      <c r="AC83" s="52">
        <v>125.4</v>
      </c>
      <c r="AD83" s="52">
        <v>124.4</v>
      </c>
      <c r="AE83" s="52">
        <v>124.2</v>
      </c>
      <c r="AF83" s="98">
        <v>124.9</v>
      </c>
      <c r="AG83" s="99"/>
      <c r="AH83" s="55">
        <f t="shared" si="16"/>
        <v>126.7</v>
      </c>
      <c r="AI83" s="56">
        <f t="shared" si="17"/>
        <v>120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8">
        <v>131.1</v>
      </c>
      <c r="C84" s="52">
        <v>130.4</v>
      </c>
      <c r="D84" s="52">
        <v>130.9</v>
      </c>
      <c r="E84" s="52">
        <v>131.19999999999999</v>
      </c>
      <c r="F84" s="52">
        <v>130.4</v>
      </c>
      <c r="G84" s="52">
        <v>129.4</v>
      </c>
      <c r="H84" s="52">
        <v>129.30000000000001</v>
      </c>
      <c r="I84" s="52">
        <v>128.30000000000001</v>
      </c>
      <c r="J84" s="52">
        <v>127.9</v>
      </c>
      <c r="K84" s="52">
        <v>126.9</v>
      </c>
      <c r="L84" s="52">
        <v>125.5</v>
      </c>
      <c r="M84" s="52">
        <v>125</v>
      </c>
      <c r="N84" s="52">
        <v>125</v>
      </c>
      <c r="O84" s="52">
        <v>125.5</v>
      </c>
      <c r="P84" s="52">
        <v>125.4</v>
      </c>
      <c r="Q84" s="52">
        <v>124.7</v>
      </c>
      <c r="R84" s="52">
        <v>125.5</v>
      </c>
      <c r="S84" s="52">
        <v>125.3</v>
      </c>
      <c r="T84" s="97">
        <v>126.6</v>
      </c>
      <c r="U84" s="97">
        <v>127</v>
      </c>
      <c r="V84" s="97">
        <v>127.1</v>
      </c>
      <c r="W84" s="97">
        <v>126.3</v>
      </c>
      <c r="X84" s="97">
        <v>126.3</v>
      </c>
      <c r="Y84" s="97">
        <v>128</v>
      </c>
      <c r="Z84" s="97">
        <v>128</v>
      </c>
      <c r="AA84" s="52">
        <v>128.5</v>
      </c>
      <c r="AB84" s="52">
        <v>129</v>
      </c>
      <c r="AC84" s="52">
        <v>129.4</v>
      </c>
      <c r="AD84" s="52">
        <v>129.19999999999999</v>
      </c>
      <c r="AE84" s="52">
        <v>129.4</v>
      </c>
      <c r="AF84" s="98">
        <v>130</v>
      </c>
      <c r="AG84" s="99"/>
      <c r="AH84" s="55">
        <f t="shared" si="16"/>
        <v>131.19999999999999</v>
      </c>
      <c r="AI84" s="56">
        <f t="shared" si="17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8">
        <v>129.19999999999999</v>
      </c>
      <c r="C85" s="52">
        <v>129</v>
      </c>
      <c r="D85" s="52">
        <v>130.69999999999999</v>
      </c>
      <c r="E85" s="52">
        <v>130.30000000000001</v>
      </c>
      <c r="F85" s="52">
        <v>128.6</v>
      </c>
      <c r="G85" s="52">
        <v>129.69999999999999</v>
      </c>
      <c r="H85" s="52">
        <v>128.80000000000001</v>
      </c>
      <c r="I85" s="52">
        <v>127.5</v>
      </c>
      <c r="J85" s="52">
        <v>126.6</v>
      </c>
      <c r="K85" s="52">
        <v>128.4</v>
      </c>
      <c r="L85" s="52">
        <v>129.5</v>
      </c>
      <c r="M85" s="52">
        <v>129.4</v>
      </c>
      <c r="N85" s="52">
        <v>128</v>
      </c>
      <c r="O85" s="52">
        <v>129.5</v>
      </c>
      <c r="P85" s="52">
        <v>129.4</v>
      </c>
      <c r="Q85" s="52">
        <v>129.19999999999999</v>
      </c>
      <c r="R85" s="52">
        <v>127.7</v>
      </c>
      <c r="S85" s="52">
        <v>126.6</v>
      </c>
      <c r="T85" s="52">
        <v>126.3</v>
      </c>
      <c r="U85" s="52">
        <v>128.30000000000001</v>
      </c>
      <c r="V85" s="52">
        <v>128.1</v>
      </c>
      <c r="W85" s="97">
        <v>128.69999999999999</v>
      </c>
      <c r="X85" s="97">
        <v>128.69999999999999</v>
      </c>
      <c r="Y85" s="97">
        <v>127.2</v>
      </c>
      <c r="Z85" s="97">
        <v>127.2</v>
      </c>
      <c r="AA85" s="52">
        <v>130.5</v>
      </c>
      <c r="AB85" s="52">
        <v>127.7</v>
      </c>
      <c r="AC85" s="52">
        <v>128.30000000000001</v>
      </c>
      <c r="AD85" s="52">
        <v>128.6</v>
      </c>
      <c r="AE85" s="52">
        <v>126.7</v>
      </c>
      <c r="AF85" s="98">
        <v>126.8</v>
      </c>
      <c r="AG85" s="99"/>
      <c r="AH85" s="55">
        <f t="shared" si="16"/>
        <v>130.69999999999999</v>
      </c>
      <c r="AI85" s="56">
        <f t="shared" si="17"/>
        <v>126.3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8">
        <v>135.19999999999999</v>
      </c>
      <c r="C86" s="52">
        <v>135.30000000000001</v>
      </c>
      <c r="D86" s="52">
        <v>136.5</v>
      </c>
      <c r="E86" s="52">
        <v>136.19999999999999</v>
      </c>
      <c r="F86" s="52">
        <v>134.9</v>
      </c>
      <c r="G86" s="52">
        <v>135.6</v>
      </c>
      <c r="H86" s="52">
        <v>134.69999999999999</v>
      </c>
      <c r="I86" s="52">
        <v>132.6</v>
      </c>
      <c r="J86" s="52">
        <v>131.80000000000001</v>
      </c>
      <c r="K86" s="52">
        <v>132.6</v>
      </c>
      <c r="L86" s="52">
        <v>132.9</v>
      </c>
      <c r="M86" s="52">
        <v>132</v>
      </c>
      <c r="N86" s="52">
        <v>131</v>
      </c>
      <c r="O86" s="52">
        <v>132.4</v>
      </c>
      <c r="P86" s="52">
        <v>131.80000000000001</v>
      </c>
      <c r="Q86" s="52">
        <v>132.5</v>
      </c>
      <c r="R86" s="52">
        <v>131.1</v>
      </c>
      <c r="S86" s="52">
        <v>129.5</v>
      </c>
      <c r="T86" s="52">
        <v>128.69999999999999</v>
      </c>
      <c r="U86" s="52">
        <v>133.30000000000001</v>
      </c>
      <c r="V86" s="52">
        <v>133.19999999999999</v>
      </c>
      <c r="W86" s="97">
        <v>133.6</v>
      </c>
      <c r="X86" s="97">
        <v>133.6</v>
      </c>
      <c r="Y86" s="97">
        <v>132.5</v>
      </c>
      <c r="Z86" s="97">
        <v>132.5</v>
      </c>
      <c r="AA86" s="52">
        <v>135.4</v>
      </c>
      <c r="AB86" s="52">
        <v>132</v>
      </c>
      <c r="AC86" s="52">
        <v>132.9</v>
      </c>
      <c r="AD86" s="52">
        <v>133.80000000000001</v>
      </c>
      <c r="AE86" s="52">
        <v>132.30000000000001</v>
      </c>
      <c r="AF86" s="98">
        <v>132.1</v>
      </c>
      <c r="AG86" s="99"/>
      <c r="AH86" s="55">
        <f t="shared" si="16"/>
        <v>136.5</v>
      </c>
      <c r="AI86" s="56">
        <f t="shared" si="17"/>
        <v>128.69999999999999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2">
        <v>133.4</v>
      </c>
      <c r="C87" s="101">
        <v>131.4</v>
      </c>
      <c r="D87" s="101">
        <v>131.6</v>
      </c>
      <c r="E87" s="101">
        <v>134.30000000000001</v>
      </c>
      <c r="F87" s="101">
        <v>134.9</v>
      </c>
      <c r="G87" s="101">
        <v>134.30000000000001</v>
      </c>
      <c r="H87" s="101">
        <v>133.4</v>
      </c>
      <c r="I87" s="101">
        <v>131.9</v>
      </c>
      <c r="J87" s="101">
        <v>131.19999999999999</v>
      </c>
      <c r="K87" s="101">
        <v>132.4</v>
      </c>
      <c r="L87" s="101">
        <v>132.4</v>
      </c>
      <c r="M87" s="101">
        <v>131</v>
      </c>
      <c r="N87" s="101">
        <v>130</v>
      </c>
      <c r="O87" s="101">
        <v>130.19999999999999</v>
      </c>
      <c r="P87" s="101">
        <v>133.6</v>
      </c>
      <c r="Q87" s="101">
        <v>132.5</v>
      </c>
      <c r="R87" s="101">
        <v>131.9</v>
      </c>
      <c r="S87" s="101">
        <v>131.4</v>
      </c>
      <c r="T87" s="101">
        <v>134.30000000000001</v>
      </c>
      <c r="U87" s="101">
        <v>135.30000000000001</v>
      </c>
      <c r="V87" s="101">
        <v>133.19999999999999</v>
      </c>
      <c r="W87" s="97">
        <v>134.69999999999999</v>
      </c>
      <c r="X87" s="97">
        <v>134.69999999999999</v>
      </c>
      <c r="Y87" s="97">
        <v>132.19999999999999</v>
      </c>
      <c r="Z87" s="97">
        <v>132.19999999999999</v>
      </c>
      <c r="AA87" s="101">
        <v>132.69999999999999</v>
      </c>
      <c r="AB87" s="101">
        <v>132.80000000000001</v>
      </c>
      <c r="AC87" s="101">
        <v>134.30000000000001</v>
      </c>
      <c r="AD87" s="101">
        <v>133</v>
      </c>
      <c r="AE87" s="101">
        <v>133</v>
      </c>
      <c r="AF87" s="102">
        <v>133.4</v>
      </c>
      <c r="AG87" s="103"/>
      <c r="AH87" s="55">
        <f t="shared" si="16"/>
        <v>135.30000000000001</v>
      </c>
      <c r="AI87" s="56">
        <f t="shared" si="17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8">
        <v>136</v>
      </c>
      <c r="C88" s="52">
        <v>132.30000000000001</v>
      </c>
      <c r="D88" s="52">
        <v>132.6</v>
      </c>
      <c r="E88" s="52">
        <v>135.4</v>
      </c>
      <c r="F88" s="52">
        <v>134.5</v>
      </c>
      <c r="G88" s="52">
        <v>134</v>
      </c>
      <c r="H88" s="52">
        <v>132.80000000000001</v>
      </c>
      <c r="I88" s="52">
        <v>130.6</v>
      </c>
      <c r="J88" s="52">
        <v>128.9</v>
      </c>
      <c r="K88" s="52">
        <v>128.19999999999999</v>
      </c>
      <c r="L88" s="52">
        <v>130.9</v>
      </c>
      <c r="M88" s="52">
        <v>128.5</v>
      </c>
      <c r="N88" s="52">
        <v>128</v>
      </c>
      <c r="O88" s="52">
        <v>128.30000000000001</v>
      </c>
      <c r="P88" s="52">
        <v>132.80000000000001</v>
      </c>
      <c r="Q88" s="52">
        <v>130.9</v>
      </c>
      <c r="R88" s="52">
        <v>131.1</v>
      </c>
      <c r="S88" s="52">
        <v>126.8</v>
      </c>
      <c r="T88" s="52">
        <v>133.80000000000001</v>
      </c>
      <c r="U88" s="52">
        <v>135.5</v>
      </c>
      <c r="V88" s="52">
        <v>134.80000000000001</v>
      </c>
      <c r="W88" s="97">
        <v>133.30000000000001</v>
      </c>
      <c r="X88" s="97">
        <v>133.30000000000001</v>
      </c>
      <c r="Y88" s="97">
        <v>133.4</v>
      </c>
      <c r="Z88" s="97">
        <v>133.4</v>
      </c>
      <c r="AA88" s="52">
        <v>128.80000000000001</v>
      </c>
      <c r="AB88" s="52">
        <v>131</v>
      </c>
      <c r="AC88" s="52">
        <v>131.19999999999999</v>
      </c>
      <c r="AD88" s="52">
        <v>132.19999999999999</v>
      </c>
      <c r="AE88" s="52">
        <v>132.69999999999999</v>
      </c>
      <c r="AF88" s="98">
        <v>132.30000000000001</v>
      </c>
      <c r="AG88" s="99"/>
      <c r="AH88" s="55">
        <f t="shared" si="16"/>
        <v>136</v>
      </c>
      <c r="AI88" s="56">
        <f t="shared" si="17"/>
        <v>126.8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5">
        <v>66.599999999999994</v>
      </c>
      <c r="C89" s="104">
        <v>66.599999999999994</v>
      </c>
      <c r="D89" s="104">
        <v>66.7</v>
      </c>
      <c r="E89" s="104">
        <v>66.8</v>
      </c>
      <c r="F89" s="104">
        <v>66.099999999999994</v>
      </c>
      <c r="G89" s="104">
        <v>65.7</v>
      </c>
      <c r="H89" s="104">
        <v>65.400000000000006</v>
      </c>
      <c r="I89" s="104">
        <v>65.2</v>
      </c>
      <c r="J89" s="104">
        <v>64.7</v>
      </c>
      <c r="K89" s="104">
        <v>64.2</v>
      </c>
      <c r="L89" s="104">
        <v>63.4</v>
      </c>
      <c r="M89" s="104">
        <v>63.4</v>
      </c>
      <c r="N89" s="104">
        <v>63.2</v>
      </c>
      <c r="O89" s="104">
        <v>63.4</v>
      </c>
      <c r="P89" s="104">
        <v>63.4</v>
      </c>
      <c r="Q89" s="104">
        <v>62.9</v>
      </c>
      <c r="R89" s="104">
        <v>63.4</v>
      </c>
      <c r="S89" s="104">
        <v>63.3</v>
      </c>
      <c r="T89" s="104">
        <v>64.099999999999994</v>
      </c>
      <c r="U89" s="104">
        <v>64.099999999999994</v>
      </c>
      <c r="V89" s="104">
        <v>64.3</v>
      </c>
      <c r="W89" s="104">
        <v>64.099999999999994</v>
      </c>
      <c r="X89" s="104">
        <v>64.099999999999994</v>
      </c>
      <c r="Y89" s="104">
        <v>64.900000000000006</v>
      </c>
      <c r="Z89" s="104">
        <v>64.900000000000006</v>
      </c>
      <c r="AA89" s="104">
        <v>65.3</v>
      </c>
      <c r="AB89" s="104">
        <v>65.599999999999994</v>
      </c>
      <c r="AC89" s="104">
        <v>65.900000000000006</v>
      </c>
      <c r="AD89" s="104">
        <v>65.599999999999994</v>
      </c>
      <c r="AE89" s="104">
        <v>65.900000000000006</v>
      </c>
      <c r="AF89" s="105">
        <v>66.400000000000006</v>
      </c>
      <c r="AG89" s="106"/>
      <c r="AH89" s="55">
        <f t="shared" si="16"/>
        <v>66.8</v>
      </c>
      <c r="AI89" s="56">
        <f t="shared" si="17"/>
        <v>62.9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125.14</v>
      </c>
      <c r="C91" s="178">
        <f t="shared" ref="C91:AF91" si="21">SUM(C14,C17,C20:C21,C40,C42:C43,C45,C47,C92:C95,C100,C106,C112,C121,C123,C135,C142,C145:C146,C153,C155,C157,C161:C163,C165:C167,C172,C178:C179,C181:C183,C191,C196)</f>
        <v>119.93999999999998</v>
      </c>
      <c r="D91" s="178">
        <f t="shared" si="21"/>
        <v>128.23999999999998</v>
      </c>
      <c r="E91" s="178">
        <f t="shared" si="21"/>
        <v>135.44</v>
      </c>
      <c r="F91" s="111">
        <f t="shared" si="21"/>
        <v>149.93999999999997</v>
      </c>
      <c r="G91" s="111">
        <f t="shared" si="21"/>
        <v>166.53999999999996</v>
      </c>
      <c r="H91" s="111">
        <f t="shared" si="21"/>
        <v>191.33999999999997</v>
      </c>
      <c r="I91" s="111">
        <f t="shared" si="21"/>
        <v>242.64</v>
      </c>
      <c r="J91" s="111">
        <f t="shared" si="21"/>
        <v>243.33999999999997</v>
      </c>
      <c r="K91" s="111">
        <f t="shared" si="21"/>
        <v>269.94000000000005</v>
      </c>
      <c r="L91" s="111">
        <f t="shared" si="21"/>
        <v>296.34000000000003</v>
      </c>
      <c r="M91" s="111">
        <f t="shared" si="21"/>
        <v>278.74</v>
      </c>
      <c r="N91" s="111">
        <f t="shared" si="21"/>
        <v>292.64</v>
      </c>
      <c r="O91" s="111">
        <f t="shared" si="21"/>
        <v>286.84000000000009</v>
      </c>
      <c r="P91" s="111">
        <f t="shared" si="21"/>
        <v>283.04000000000008</v>
      </c>
      <c r="Q91" s="111">
        <f t="shared" si="21"/>
        <v>278.34000000000003</v>
      </c>
      <c r="R91" s="111">
        <f t="shared" si="21"/>
        <v>274.84000000000003</v>
      </c>
      <c r="S91" s="111">
        <f t="shared" si="21"/>
        <v>275.94000000000005</v>
      </c>
      <c r="T91" s="111">
        <f t="shared" si="21"/>
        <v>323.74</v>
      </c>
      <c r="U91" s="111">
        <f t="shared" si="21"/>
        <v>281.87</v>
      </c>
      <c r="V91" s="111">
        <f t="shared" si="21"/>
        <v>287.84000000000003</v>
      </c>
      <c r="W91" s="111">
        <f t="shared" si="21"/>
        <v>347.74</v>
      </c>
      <c r="X91" s="111">
        <f t="shared" si="21"/>
        <v>353.14000000000004</v>
      </c>
      <c r="Y91" s="111">
        <f t="shared" si="21"/>
        <v>334.03999999999996</v>
      </c>
      <c r="Z91" s="111">
        <f t="shared" si="21"/>
        <v>334.03999999999996</v>
      </c>
      <c r="AA91" s="111">
        <f t="shared" si="21"/>
        <v>292.24</v>
      </c>
      <c r="AB91" s="111">
        <f t="shared" si="21"/>
        <v>261.64000000000004</v>
      </c>
      <c r="AC91" s="111">
        <f t="shared" si="21"/>
        <v>233.83999999999997</v>
      </c>
      <c r="AD91" s="111">
        <f t="shared" si="21"/>
        <v>192.43999999999997</v>
      </c>
      <c r="AE91" s="111">
        <f t="shared" si="21"/>
        <v>161.64000000000001</v>
      </c>
      <c r="AF91" s="111">
        <f t="shared" si="21"/>
        <v>144.13999999999999</v>
      </c>
      <c r="AG91" s="112"/>
      <c r="AH91" s="55">
        <f>MAX(B91:AF91)</f>
        <v>353.14000000000004</v>
      </c>
      <c r="AI91" s="56">
        <f>MIN(B91:AF91)</f>
        <v>119.93999999999998</v>
      </c>
    </row>
    <row r="92" spans="1:88" x14ac:dyDescent="0.25">
      <c r="A92" s="113" t="s">
        <v>95</v>
      </c>
      <c r="B92" s="116">
        <v>26.9</v>
      </c>
      <c r="C92" s="59">
        <v>25.6</v>
      </c>
      <c r="D92" s="59">
        <v>27.9</v>
      </c>
      <c r="E92" s="59">
        <v>26.5</v>
      </c>
      <c r="F92" s="114">
        <v>26.6</v>
      </c>
      <c r="G92" s="114">
        <v>23.5</v>
      </c>
      <c r="H92" s="114">
        <v>21.4</v>
      </c>
      <c r="I92" s="114">
        <v>49.8</v>
      </c>
      <c r="J92" s="114">
        <v>41.2</v>
      </c>
      <c r="K92" s="114">
        <v>54.2</v>
      </c>
      <c r="L92" s="115">
        <v>58.8</v>
      </c>
      <c r="M92" s="114">
        <v>56</v>
      </c>
      <c r="N92" s="114">
        <v>51</v>
      </c>
      <c r="O92" s="114">
        <v>52.5</v>
      </c>
      <c r="P92" s="114">
        <v>60</v>
      </c>
      <c r="Q92" s="114">
        <v>45.5</v>
      </c>
      <c r="R92" s="114">
        <v>47.1</v>
      </c>
      <c r="S92" s="114">
        <v>51.2</v>
      </c>
      <c r="T92" s="115">
        <v>54.7</v>
      </c>
      <c r="U92" s="115">
        <v>46.93</v>
      </c>
      <c r="V92" s="115">
        <v>49.4</v>
      </c>
      <c r="W92" s="114">
        <v>36.5</v>
      </c>
      <c r="X92" s="114">
        <v>24.9</v>
      </c>
      <c r="Y92" s="114">
        <v>23.2</v>
      </c>
      <c r="Z92" s="114">
        <v>23.2</v>
      </c>
      <c r="AA92" s="115">
        <v>18.899999999999999</v>
      </c>
      <c r="AB92" s="115">
        <v>39.6</v>
      </c>
      <c r="AC92" s="115">
        <v>46.2</v>
      </c>
      <c r="AD92" s="115">
        <v>41.5</v>
      </c>
      <c r="AE92" s="115">
        <v>45.9</v>
      </c>
      <c r="AF92" s="116">
        <v>39.299999999999997</v>
      </c>
      <c r="AG92" s="117">
        <v>75</v>
      </c>
      <c r="AH92" s="55">
        <f t="shared" ref="AH92:AH97" si="22">IF(ABS(MAX(B92:AF92))&gt;ABS(MIN(B92:AF92)),MAX(B92:AF92),MIN(B92:AF92))</f>
        <v>60</v>
      </c>
      <c r="AI92" s="118">
        <f t="shared" ref="AI92:AI97" si="23">INDEX($B$9:$AF$9,1,MATCH(AH92,B92:AF92,0))</f>
        <v>0.5</v>
      </c>
    </row>
    <row r="93" spans="1:88" x14ac:dyDescent="0.25">
      <c r="A93" s="119" t="s">
        <v>96</v>
      </c>
      <c r="B93" s="120">
        <f>-38.8-46.1</f>
        <v>-84.9</v>
      </c>
      <c r="C93" s="61">
        <v>-83.9</v>
      </c>
      <c r="D93" s="61">
        <v>-80</v>
      </c>
      <c r="E93" s="61">
        <v>-77.2</v>
      </c>
      <c r="F93" s="61">
        <v>-73.599999999999994</v>
      </c>
      <c r="G93" s="61">
        <v>-66.2</v>
      </c>
      <c r="H93" s="61">
        <v>-58.7</v>
      </c>
      <c r="I93" s="61">
        <v>-51</v>
      </c>
      <c r="J93" s="61">
        <v>-52.3</v>
      </c>
      <c r="K93" s="61">
        <v>-50.7</v>
      </c>
      <c r="L93" s="61">
        <v>-46</v>
      </c>
      <c r="M93" s="61">
        <v>-55</v>
      </c>
      <c r="N93" s="61">
        <v>-50</v>
      </c>
      <c r="O93" s="61">
        <v>-51</v>
      </c>
      <c r="P93" s="61">
        <v>-50</v>
      </c>
      <c r="Q93" s="61">
        <v>-51.1</v>
      </c>
      <c r="R93" s="61">
        <v>-53.4</v>
      </c>
      <c r="S93" s="61">
        <v>-59.6</v>
      </c>
      <c r="T93" s="61">
        <v>-33.9</v>
      </c>
      <c r="U93" s="61">
        <f>-23.1-28.5</f>
        <v>-51.6</v>
      </c>
      <c r="V93" s="61">
        <f>-23.3-27.9</f>
        <v>-51.2</v>
      </c>
      <c r="W93" s="61">
        <v>-32</v>
      </c>
      <c r="X93" s="61">
        <f>-10-17.6</f>
        <v>-27.6</v>
      </c>
      <c r="Y93" s="61">
        <v>-34.200000000000003</v>
      </c>
      <c r="Z93" s="61">
        <v>-34.200000000000003</v>
      </c>
      <c r="AA93" s="52">
        <v>-49</v>
      </c>
      <c r="AB93" s="52">
        <v>-65.099999999999994</v>
      </c>
      <c r="AC93" s="52">
        <v>-76</v>
      </c>
      <c r="AD93" s="52">
        <v>-83</v>
      </c>
      <c r="AE93" s="52">
        <v>-95.8</v>
      </c>
      <c r="AF93" s="120">
        <v>-95.9</v>
      </c>
      <c r="AG93" s="117">
        <v>240</v>
      </c>
      <c r="AH93" s="55">
        <f t="shared" si="22"/>
        <v>-95.9</v>
      </c>
      <c r="AI93" s="118">
        <f t="shared" si="23"/>
        <v>1</v>
      </c>
    </row>
    <row r="94" spans="1:88" x14ac:dyDescent="0.25">
      <c r="A94" s="119" t="s">
        <v>97</v>
      </c>
      <c r="B94" s="120">
        <v>-11.6</v>
      </c>
      <c r="C94" s="61">
        <v>-10.4</v>
      </c>
      <c r="D94" s="61">
        <v>-10.5</v>
      </c>
      <c r="E94" s="61">
        <v>-11.1</v>
      </c>
      <c r="F94" s="61">
        <v>-12.5</v>
      </c>
      <c r="G94" s="61">
        <v>-12.3</v>
      </c>
      <c r="H94" s="61">
        <v>-2.2999999999999998</v>
      </c>
      <c r="I94" s="61">
        <v>3.4</v>
      </c>
      <c r="J94" s="61">
        <v>1.9</v>
      </c>
      <c r="K94" s="61">
        <v>1</v>
      </c>
      <c r="L94" s="61">
        <v>1.1000000000000001</v>
      </c>
      <c r="M94" s="61">
        <v>2</v>
      </c>
      <c r="N94" s="61">
        <v>0</v>
      </c>
      <c r="O94" s="61">
        <v>0</v>
      </c>
      <c r="P94" s="61">
        <v>-2</v>
      </c>
      <c r="Q94" s="61">
        <v>-1.6</v>
      </c>
      <c r="R94" s="61">
        <v>-3.1</v>
      </c>
      <c r="S94" s="61">
        <v>-1</v>
      </c>
      <c r="T94" s="61">
        <v>11.5</v>
      </c>
      <c r="U94" s="61">
        <v>0</v>
      </c>
      <c r="V94" s="61">
        <v>5.3</v>
      </c>
      <c r="W94" s="61">
        <v>17.899999999999999</v>
      </c>
      <c r="X94" s="61">
        <v>32.6</v>
      </c>
      <c r="Y94" s="61">
        <v>21.5</v>
      </c>
      <c r="Z94" s="61">
        <v>21.5</v>
      </c>
      <c r="AA94" s="52">
        <v>10.199999999999999</v>
      </c>
      <c r="AB94" s="52">
        <v>4.8</v>
      </c>
      <c r="AC94" s="52">
        <v>3.2</v>
      </c>
      <c r="AD94" s="52">
        <v>-6.7</v>
      </c>
      <c r="AE94" s="52">
        <v>-11.2</v>
      </c>
      <c r="AF94" s="120">
        <v>-18.2</v>
      </c>
      <c r="AG94" s="117">
        <v>60</v>
      </c>
      <c r="AH94" s="55">
        <f t="shared" si="22"/>
        <v>32.6</v>
      </c>
      <c r="AI94" s="118">
        <f t="shared" si="23"/>
        <v>0.77083333333333337</v>
      </c>
    </row>
    <row r="95" spans="1:88" x14ac:dyDescent="0.25">
      <c r="A95" s="121" t="s">
        <v>98</v>
      </c>
      <c r="B95" s="123">
        <v>-4.5</v>
      </c>
      <c r="C95" s="84">
        <v>-5.6</v>
      </c>
      <c r="D95" s="84">
        <v>-3.4</v>
      </c>
      <c r="E95" s="84">
        <v>2</v>
      </c>
      <c r="F95" s="84">
        <v>14</v>
      </c>
      <c r="G95" s="84">
        <v>26.1</v>
      </c>
      <c r="H95" s="84">
        <v>35.5</v>
      </c>
      <c r="I95" s="84">
        <v>28.9</v>
      </c>
      <c r="J95" s="84">
        <v>40.200000000000003</v>
      </c>
      <c r="K95" s="84">
        <v>33.700000000000003</v>
      </c>
      <c r="L95" s="84">
        <v>41.7</v>
      </c>
      <c r="M95" s="84">
        <v>35</v>
      </c>
      <c r="N95" s="84">
        <v>52</v>
      </c>
      <c r="O95" s="84">
        <v>45.8</v>
      </c>
      <c r="P95" s="84">
        <v>35.5</v>
      </c>
      <c r="Q95" s="84">
        <v>46.1</v>
      </c>
      <c r="R95" s="84">
        <v>44.8</v>
      </c>
      <c r="S95" s="84">
        <v>45.8</v>
      </c>
      <c r="T95" s="84">
        <v>58.8</v>
      </c>
      <c r="U95" s="84">
        <v>48.1</v>
      </c>
      <c r="V95" s="84">
        <v>45.9</v>
      </c>
      <c r="W95" s="84">
        <v>86.9</v>
      </c>
      <c r="X95" s="84">
        <v>84.8</v>
      </c>
      <c r="Y95" s="84">
        <v>84.9</v>
      </c>
      <c r="Z95" s="84">
        <v>84.9</v>
      </c>
      <c r="AA95" s="122">
        <v>73.400000000000006</v>
      </c>
      <c r="AB95" s="122">
        <v>42.6</v>
      </c>
      <c r="AC95" s="122">
        <v>20.7</v>
      </c>
      <c r="AD95" s="122">
        <v>10.5</v>
      </c>
      <c r="AE95" s="122">
        <v>-6.3</v>
      </c>
      <c r="AF95" s="123">
        <v>-1.9</v>
      </c>
      <c r="AG95" s="124">
        <v>120</v>
      </c>
      <c r="AH95" s="55">
        <f t="shared" si="22"/>
        <v>86.9</v>
      </c>
      <c r="AI95" s="118">
        <f t="shared" si="23"/>
        <v>0.75</v>
      </c>
    </row>
    <row r="96" spans="1:88" x14ac:dyDescent="0.25">
      <c r="A96" s="121" t="s">
        <v>99</v>
      </c>
      <c r="B96" s="123">
        <v>14.2</v>
      </c>
      <c r="C96" s="84">
        <v>12.1</v>
      </c>
      <c r="D96" s="84">
        <v>14.7</v>
      </c>
      <c r="E96" s="84">
        <v>15.2</v>
      </c>
      <c r="F96" s="84">
        <v>29.1</v>
      </c>
      <c r="G96" s="84">
        <v>41</v>
      </c>
      <c r="H96" s="84">
        <v>45.8</v>
      </c>
      <c r="I96" s="84">
        <v>32.5</v>
      </c>
      <c r="J96" s="84">
        <v>44.7</v>
      </c>
      <c r="K96" s="84">
        <v>38.200000000000003</v>
      </c>
      <c r="L96" s="84">
        <v>43.2</v>
      </c>
      <c r="M96" s="84">
        <v>39</v>
      </c>
      <c r="N96" s="84">
        <v>53</v>
      </c>
      <c r="O96" s="84">
        <v>50.6</v>
      </c>
      <c r="P96" s="84">
        <v>45</v>
      </c>
      <c r="Q96" s="84">
        <v>59.8</v>
      </c>
      <c r="R96" s="84">
        <v>47.5</v>
      </c>
      <c r="S96" s="84">
        <v>51.1</v>
      </c>
      <c r="T96" s="84">
        <v>41.9</v>
      </c>
      <c r="U96" s="84">
        <v>47.7</v>
      </c>
      <c r="V96" s="84">
        <v>49.4</v>
      </c>
      <c r="W96" s="84">
        <v>75.8</v>
      </c>
      <c r="X96" s="84">
        <v>72.900000000000006</v>
      </c>
      <c r="Y96" s="84">
        <v>74.5</v>
      </c>
      <c r="Z96" s="84">
        <v>74.5</v>
      </c>
      <c r="AA96" s="122">
        <v>66.599999999999994</v>
      </c>
      <c r="AB96" s="122">
        <v>45</v>
      </c>
      <c r="AC96" s="122">
        <v>29.1</v>
      </c>
      <c r="AD96" s="122">
        <v>26.4</v>
      </c>
      <c r="AE96" s="122">
        <v>14.9</v>
      </c>
      <c r="AF96" s="123">
        <v>17.3</v>
      </c>
      <c r="AG96" s="124"/>
      <c r="AH96" s="55">
        <f t="shared" si="22"/>
        <v>75.8</v>
      </c>
      <c r="AI96" s="118">
        <f t="shared" si="23"/>
        <v>0.75</v>
      </c>
    </row>
    <row r="97" spans="1:37" ht="15.75" thickBot="1" x14ac:dyDescent="0.3">
      <c r="A97" s="121" t="s">
        <v>100</v>
      </c>
      <c r="B97" s="123">
        <v>45.1</v>
      </c>
      <c r="C97" s="84">
        <v>43.8</v>
      </c>
      <c r="D97" s="84">
        <v>42.8</v>
      </c>
      <c r="E97" s="84">
        <v>41.8</v>
      </c>
      <c r="F97" s="84">
        <v>41</v>
      </c>
      <c r="G97" s="84">
        <v>43.8</v>
      </c>
      <c r="H97" s="84">
        <v>45.6</v>
      </c>
      <c r="I97" s="84">
        <v>35.799999999999997</v>
      </c>
      <c r="J97" s="84">
        <v>41.7</v>
      </c>
      <c r="K97" s="84">
        <v>26.3</v>
      </c>
      <c r="L97" s="84">
        <v>27.5</v>
      </c>
      <c r="M97" s="84">
        <v>23</v>
      </c>
      <c r="N97" s="84">
        <v>16</v>
      </c>
      <c r="O97" s="84">
        <v>10.3</v>
      </c>
      <c r="P97" s="84">
        <v>28</v>
      </c>
      <c r="Q97" s="84">
        <v>7</v>
      </c>
      <c r="R97" s="84">
        <v>7</v>
      </c>
      <c r="S97" s="84">
        <v>45.3</v>
      </c>
      <c r="T97" s="84">
        <v>37.700000000000003</v>
      </c>
      <c r="U97" s="84">
        <v>38.799999999999997</v>
      </c>
      <c r="V97" s="84">
        <v>37.4</v>
      </c>
      <c r="W97" s="84">
        <v>49.8</v>
      </c>
      <c r="X97" s="84">
        <v>69.8</v>
      </c>
      <c r="Y97" s="84">
        <v>71.900000000000006</v>
      </c>
      <c r="Z97" s="84">
        <v>71.900000000000006</v>
      </c>
      <c r="AA97" s="122">
        <v>77.7</v>
      </c>
      <c r="AB97" s="122">
        <v>57.6</v>
      </c>
      <c r="AC97" s="122">
        <v>46.8</v>
      </c>
      <c r="AD97" s="122">
        <v>44</v>
      </c>
      <c r="AE97" s="122">
        <v>49.6</v>
      </c>
      <c r="AF97" s="123">
        <v>50.8</v>
      </c>
      <c r="AG97" s="125"/>
      <c r="AH97" s="55">
        <f t="shared" si="22"/>
        <v>77.7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 t="s">
        <v>230</v>
      </c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1179.24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17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2078/04/17)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2078/04/17)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912.44</v>
      </c>
      <c r="U211" s="170">
        <f t="shared" si="52"/>
        <v>884.2399999999999</v>
      </c>
      <c r="V211" s="170">
        <f t="shared" si="52"/>
        <v>879.83999999999992</v>
      </c>
      <c r="W211" s="170">
        <f t="shared" si="52"/>
        <v>886.33999999999992</v>
      </c>
      <c r="X211" s="170">
        <f t="shared" si="52"/>
        <v>901.14</v>
      </c>
      <c r="Y211" s="170">
        <f t="shared" si="52"/>
        <v>931.6400000000001</v>
      </c>
      <c r="Z211" s="170">
        <f t="shared" si="52"/>
        <v>965.1400000000001</v>
      </c>
      <c r="AA211" s="170">
        <f t="shared" si="52"/>
        <v>1032.94</v>
      </c>
      <c r="AB211" s="170">
        <f t="shared" si="52"/>
        <v>1073.24</v>
      </c>
      <c r="AC211" s="170">
        <f t="shared" si="52"/>
        <v>1108.54</v>
      </c>
      <c r="AD211" s="170">
        <f t="shared" si="52"/>
        <v>1156.04</v>
      </c>
      <c r="AE211" s="170">
        <f t="shared" si="52"/>
        <v>1179.24</v>
      </c>
      <c r="AF211" s="170">
        <f t="shared" si="52"/>
        <v>1223.54</v>
      </c>
      <c r="AG211" s="170">
        <f t="shared" si="52"/>
        <v>1197.7399999999998</v>
      </c>
      <c r="AH211" s="170">
        <f t="shared" si="52"/>
        <v>1189.2399999999998</v>
      </c>
      <c r="AI211" s="170">
        <f t="shared" si="52"/>
        <v>1197.8399999999999</v>
      </c>
      <c r="AJ211" s="170">
        <f t="shared" si="52"/>
        <v>1201.1399999999999</v>
      </c>
      <c r="AK211" s="170">
        <f t="shared" si="52"/>
        <v>1215.04</v>
      </c>
      <c r="AL211" s="170">
        <f t="shared" si="52"/>
        <v>1243.24</v>
      </c>
      <c r="AM211" s="170">
        <f t="shared" si="52"/>
        <v>1226.44</v>
      </c>
      <c r="AN211" s="170">
        <f t="shared" si="52"/>
        <v>1224.24</v>
      </c>
      <c r="AO211" s="170">
        <f t="shared" si="52"/>
        <v>1340.34</v>
      </c>
      <c r="AP211" s="170">
        <f t="shared" si="52"/>
        <v>1372.3400000000001</v>
      </c>
      <c r="AQ211" s="170">
        <f t="shared" si="52"/>
        <v>1416.44</v>
      </c>
      <c r="AR211" s="170">
        <f t="shared" si="52"/>
        <v>1364.54</v>
      </c>
      <c r="AS211" s="170">
        <f t="shared" si="52"/>
        <v>1309.04</v>
      </c>
      <c r="AT211" s="170">
        <f t="shared" si="52"/>
        <v>1277.04</v>
      </c>
      <c r="AU211" s="170">
        <f t="shared" si="52"/>
        <v>1205.94</v>
      </c>
      <c r="AV211" s="170">
        <f t="shared" si="52"/>
        <v>1148.6399999999999</v>
      </c>
      <c r="AW211" s="170">
        <f t="shared" si="52"/>
        <v>1100.44</v>
      </c>
      <c r="AX211" s="170">
        <f t="shared" si="52"/>
        <v>1044.94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6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6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723" priority="460">
      <formula>S$9&gt;=20/24</formula>
    </cfRule>
    <cfRule type="expression" dxfId="5722" priority="461">
      <formula>AND(S$9&gt;=14/24,S$9&lt;20/24)</formula>
    </cfRule>
    <cfRule type="expression" dxfId="5721" priority="462">
      <formula>AND(S$9&gt;=8/24,S$9&lt;14/24)</formula>
    </cfRule>
    <cfRule type="expression" dxfId="5720" priority="463">
      <formula>S$9&lt;8/24</formula>
    </cfRule>
  </conditionalFormatting>
  <conditionalFormatting sqref="B8:AF10 AA79:AF79 C79:Q79 C54:AF54 C80:AF80 C191:AF197 AE55:AF58 C66:AF70 M60:M65 T210:AX210 C61:C65 O37:Q37 O38:S39 AA82:AF89 C72:AF76 C78:AF78 F58:M59 F55:K57 C55:E59 L37:N40 L11:N13 L15:Q31 O12:Q13 L35:Q35 O43:Q46 O40:Q40 N58:Q65 L56:V57 O11:X11 T38:X40 L51:X53 Z51:AF53 Y15:Z30 Y38:AD41 W83:Z89 Y11:AD13 AE12:AE13 AA27:AF30 AF13 AA15:AF25">
    <cfRule type="expression" dxfId="5719" priority="456">
      <formula>B$9&gt;=20/24</formula>
    </cfRule>
    <cfRule type="expression" dxfId="5718" priority="457">
      <formula>AND(B$9&gt;=14/24,B$9&lt;20/24)</formula>
    </cfRule>
    <cfRule type="expression" dxfId="5717" priority="458">
      <formula>AND(B$9&gt;=8/24,B$9&lt;14/24)</formula>
    </cfRule>
    <cfRule type="expression" dxfId="5716" priority="459">
      <formula>B$9&lt;8/24</formula>
    </cfRule>
  </conditionalFormatting>
  <conditionalFormatting sqref="B189:AF189">
    <cfRule type="expression" dxfId="5715" priority="452">
      <formula>B$9&gt;=20/24</formula>
    </cfRule>
    <cfRule type="expression" dxfId="5714" priority="453">
      <formula>AND(B$9&gt;=14/24,B$9&lt;20/24)</formula>
    </cfRule>
    <cfRule type="expression" dxfId="5713" priority="454">
      <formula>AND(B$9&gt;=8/24,B$9&lt;14/24)</formula>
    </cfRule>
    <cfRule type="expression" dxfId="5712" priority="455">
      <formula>B$9&lt;8/24</formula>
    </cfRule>
  </conditionalFormatting>
  <conditionalFormatting sqref="AL4:AL6">
    <cfRule type="iconSet" priority="45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5711" priority="447">
      <formula>L$9&gt;=20/24</formula>
    </cfRule>
    <cfRule type="expression" dxfId="5710" priority="448">
      <formula>AND(L$9&gt;=14/24,L$9&lt;20/24)</formula>
    </cfRule>
    <cfRule type="expression" dxfId="5709" priority="449">
      <formula>AND(L$9&gt;=8/24,L$9&lt;14/24)</formula>
    </cfRule>
    <cfRule type="expression" dxfId="5708" priority="450">
      <formula>L$9&lt;8/24</formula>
    </cfRule>
  </conditionalFormatting>
  <conditionalFormatting sqref="L41:Q41">
    <cfRule type="expression" dxfId="5707" priority="443">
      <formula>L$9&gt;=20/24</formula>
    </cfRule>
    <cfRule type="expression" dxfId="5706" priority="444">
      <formula>AND(L$9&gt;=14/24,L$9&lt;20/24)</formula>
    </cfRule>
    <cfRule type="expression" dxfId="5705" priority="445">
      <formula>AND(L$9&gt;=8/24,L$9&lt;14/24)</formula>
    </cfRule>
    <cfRule type="expression" dxfId="5704" priority="446">
      <formula>L$9&lt;8/24</formula>
    </cfRule>
  </conditionalFormatting>
  <conditionalFormatting sqref="Y31:AF31">
    <cfRule type="expression" dxfId="5703" priority="439">
      <formula>Y$9&gt;=20/24</formula>
    </cfRule>
    <cfRule type="expression" dxfId="5702" priority="440">
      <formula>AND(Y$9&gt;=14/24,Y$9&lt;20/24)</formula>
    </cfRule>
    <cfRule type="expression" dxfId="5701" priority="441">
      <formula>AND(Y$9&gt;=8/24,Y$9&lt;14/24)</formula>
    </cfRule>
    <cfRule type="expression" dxfId="5700" priority="442">
      <formula>Y$9&lt;8/24</formula>
    </cfRule>
  </conditionalFormatting>
  <conditionalFormatting sqref="R37:AD37">
    <cfRule type="expression" dxfId="5699" priority="435">
      <formula>R$9&gt;=20/24</formula>
    </cfRule>
    <cfRule type="expression" dxfId="5698" priority="436">
      <formula>AND(R$9&gt;=14/24,R$9&lt;20/24)</formula>
    </cfRule>
    <cfRule type="expression" dxfId="5697" priority="437">
      <formula>AND(R$9&gt;=8/24,R$9&lt;14/24)</formula>
    </cfRule>
    <cfRule type="expression" dxfId="5696" priority="438">
      <formula>R$9&lt;8/24</formula>
    </cfRule>
  </conditionalFormatting>
  <conditionalFormatting sqref="R55:AD55">
    <cfRule type="expression" dxfId="5695" priority="431">
      <formula>R$9&gt;=20/24</formula>
    </cfRule>
    <cfRule type="expression" dxfId="5694" priority="432">
      <formula>AND(R$9&gt;=14/24,R$9&lt;20/24)</formula>
    </cfRule>
    <cfRule type="expression" dxfId="5693" priority="433">
      <formula>AND(R$9&gt;=8/24,R$9&lt;14/24)</formula>
    </cfRule>
    <cfRule type="expression" dxfId="5692" priority="434">
      <formula>R$9&lt;8/24</formula>
    </cfRule>
  </conditionalFormatting>
  <conditionalFormatting sqref="R79:Z79">
    <cfRule type="expression" dxfId="5691" priority="427">
      <formula>R$9&gt;=20/24</formula>
    </cfRule>
    <cfRule type="expression" dxfId="5690" priority="428">
      <formula>AND(R$9&gt;=14/24,R$9&lt;20/24)</formula>
    </cfRule>
    <cfRule type="expression" dxfId="5689" priority="429">
      <formula>AND(R$9&gt;=8/24,R$9&lt;14/24)</formula>
    </cfRule>
    <cfRule type="expression" dxfId="5688" priority="430">
      <formula>R$9&lt;8/24</formula>
    </cfRule>
  </conditionalFormatting>
  <conditionalFormatting sqref="T82:Z82">
    <cfRule type="expression" dxfId="5687" priority="423">
      <formula>T$9&gt;=20/24</formula>
    </cfRule>
    <cfRule type="expression" dxfId="5686" priority="424">
      <formula>AND(T$9&gt;=14/24,T$9&lt;20/24)</formula>
    </cfRule>
    <cfRule type="expression" dxfId="5685" priority="425">
      <formula>AND(T$9&gt;=8/24,T$9&lt;14/24)</formula>
    </cfRule>
    <cfRule type="expression" dxfId="5684" priority="426">
      <formula>T$9&lt;8/24</formula>
    </cfRule>
  </conditionalFormatting>
  <conditionalFormatting sqref="L33:Q33">
    <cfRule type="expression" dxfId="5683" priority="419">
      <formula>L$9&gt;=20/24</formula>
    </cfRule>
    <cfRule type="expression" dxfId="5682" priority="420">
      <formula>AND(L$9&gt;=14/24,L$9&lt;20/24)</formula>
    </cfRule>
    <cfRule type="expression" dxfId="5681" priority="421">
      <formula>AND(L$9&gt;=8/24,L$9&lt;14/24)</formula>
    </cfRule>
    <cfRule type="expression" dxfId="5680" priority="422">
      <formula>L$9&lt;8/24</formula>
    </cfRule>
  </conditionalFormatting>
  <conditionalFormatting sqref="L47:R47">
    <cfRule type="expression" dxfId="5679" priority="415">
      <formula>L$9&gt;=20/24</formula>
    </cfRule>
    <cfRule type="expression" dxfId="5678" priority="416">
      <formula>AND(L$9&gt;=14/24,L$9&lt;20/24)</formula>
    </cfRule>
    <cfRule type="expression" dxfId="5677" priority="417">
      <formula>AND(L$9&gt;=8/24,L$9&lt;14/24)</formula>
    </cfRule>
    <cfRule type="expression" dxfId="5676" priority="418">
      <formula>L$9&lt;8/24</formula>
    </cfRule>
  </conditionalFormatting>
  <conditionalFormatting sqref="L48:Q48">
    <cfRule type="expression" dxfId="5675" priority="411">
      <formula>L$9&gt;=20/24</formula>
    </cfRule>
    <cfRule type="expression" dxfId="5674" priority="412">
      <formula>AND(L$9&gt;=14/24,L$9&lt;20/24)</formula>
    </cfRule>
    <cfRule type="expression" dxfId="5673" priority="413">
      <formula>AND(L$9&gt;=8/24,L$9&lt;14/24)</formula>
    </cfRule>
    <cfRule type="expression" dxfId="5672" priority="414">
      <formula>L$9&lt;8/24</formula>
    </cfRule>
  </conditionalFormatting>
  <conditionalFormatting sqref="L43:Q46">
    <cfRule type="expression" dxfId="5671" priority="407">
      <formula>L$9&gt;=20/24</formula>
    </cfRule>
    <cfRule type="expression" dxfId="5670" priority="408">
      <formula>AND(L$9&gt;=14/24,L$9&lt;20/24)</formula>
    </cfRule>
    <cfRule type="expression" dxfId="5669" priority="409">
      <formula>AND(L$9&gt;=8/24,L$9&lt;14/24)</formula>
    </cfRule>
    <cfRule type="expression" dxfId="5668" priority="410">
      <formula>L$9&lt;8/24</formula>
    </cfRule>
  </conditionalFormatting>
  <conditionalFormatting sqref="R35:AE35">
    <cfRule type="expression" dxfId="5667" priority="403">
      <formula>R$9&gt;=20/24</formula>
    </cfRule>
    <cfRule type="expression" dxfId="5666" priority="404">
      <formula>AND(R$9&gt;=14/24,R$9&lt;20/24)</formula>
    </cfRule>
    <cfRule type="expression" dxfId="5665" priority="405">
      <formula>AND(R$9&gt;=8/24,R$9&lt;14/24)</formula>
    </cfRule>
    <cfRule type="expression" dxfId="5664" priority="406">
      <formula>R$9&lt;8/24</formula>
    </cfRule>
  </conditionalFormatting>
  <conditionalFormatting sqref="Y33:AF33">
    <cfRule type="expression" dxfId="5663" priority="399">
      <formula>Y$9&gt;=20/24</formula>
    </cfRule>
    <cfRule type="expression" dxfId="5662" priority="400">
      <formula>AND(Y$9&gt;=14/24,Y$9&lt;20/24)</formula>
    </cfRule>
    <cfRule type="expression" dxfId="5661" priority="401">
      <formula>AND(Y$9&gt;=8/24,Y$9&lt;14/24)</formula>
    </cfRule>
    <cfRule type="expression" dxfId="5660" priority="402">
      <formula>Y$9&lt;8/24</formula>
    </cfRule>
  </conditionalFormatting>
  <conditionalFormatting sqref="R40:R41 R43:R46 U46:X46 T41:X41 Y43:AD46">
    <cfRule type="expression" dxfId="5659" priority="395">
      <formula>R$9&gt;=20/24</formula>
    </cfRule>
    <cfRule type="expression" dxfId="5658" priority="396">
      <formula>AND(R$9&gt;=14/24,R$9&lt;20/24)</formula>
    </cfRule>
    <cfRule type="expression" dxfId="5657" priority="397">
      <formula>AND(R$9&gt;=8/24,R$9&lt;14/24)</formula>
    </cfRule>
    <cfRule type="expression" dxfId="5656" priority="398">
      <formula>R$9&lt;8/24</formula>
    </cfRule>
  </conditionalFormatting>
  <conditionalFormatting sqref="R47 Y47:AD47">
    <cfRule type="expression" dxfId="5655" priority="391">
      <formula>R$9&gt;=20/24</formula>
    </cfRule>
    <cfRule type="expression" dxfId="5654" priority="392">
      <formula>AND(R$9&gt;=14/24,R$9&lt;20/24)</formula>
    </cfRule>
    <cfRule type="expression" dxfId="5653" priority="393">
      <formula>AND(R$9&gt;=8/24,R$9&lt;14/24)</formula>
    </cfRule>
    <cfRule type="expression" dxfId="5652" priority="394">
      <formula>R$9&lt;8/24</formula>
    </cfRule>
  </conditionalFormatting>
  <conditionalFormatting sqref="R48 Y48:AD48">
    <cfRule type="expression" dxfId="5651" priority="387">
      <formula>R$9&gt;=20/24</formula>
    </cfRule>
    <cfRule type="expression" dxfId="5650" priority="388">
      <formula>AND(R$9&gt;=14/24,R$9&lt;20/24)</formula>
    </cfRule>
    <cfRule type="expression" dxfId="5649" priority="389">
      <formula>AND(R$9&gt;=8/24,R$9&lt;14/24)</formula>
    </cfRule>
    <cfRule type="expression" dxfId="5648" priority="390">
      <formula>R$9&lt;8/24</formula>
    </cfRule>
  </conditionalFormatting>
  <conditionalFormatting sqref="AE59:AF65 R58:S65 W58:AD65">
    <cfRule type="expression" dxfId="5647" priority="383">
      <formula>R$9&gt;=20/24</formula>
    </cfRule>
    <cfRule type="expression" dxfId="5646" priority="384">
      <formula>AND(R$9&gt;=14/24,R$9&lt;20/24)</formula>
    </cfRule>
    <cfRule type="expression" dxfId="5645" priority="385">
      <formula>AND(R$9&gt;=8/24,R$9&lt;14/24)</formula>
    </cfRule>
    <cfRule type="expression" dxfId="5644" priority="386">
      <formula>R$9&lt;8/24</formula>
    </cfRule>
  </conditionalFormatting>
  <conditionalFormatting sqref="AA92:AF95">
    <cfRule type="expression" dxfId="5643" priority="379">
      <formula>AA$9&gt;=20/24</formula>
    </cfRule>
    <cfRule type="expression" dxfId="5642" priority="380">
      <formula>AND(AA$9&gt;=14/24,AA$9&lt;20/24)</formula>
    </cfRule>
    <cfRule type="expression" dxfId="5641" priority="381">
      <formula>AND(AA$9&gt;=8/24,AA$9&lt;14/24)</formula>
    </cfRule>
    <cfRule type="expression" dxfId="5640" priority="382">
      <formula>AA$9&lt;8/24</formula>
    </cfRule>
  </conditionalFormatting>
  <conditionalFormatting sqref="H61:H65 I60:K65 C60:H60">
    <cfRule type="expression" dxfId="5639" priority="375">
      <formula>C$9&gt;=20/24</formula>
    </cfRule>
    <cfRule type="expression" dxfId="5638" priority="376">
      <formula>AND(C$9&gt;=14/24,C$9&lt;20/24)</formula>
    </cfRule>
    <cfRule type="expression" dxfId="5637" priority="377">
      <formula>AND(C$9&gt;=8/24,C$9&lt;14/24)</formula>
    </cfRule>
    <cfRule type="expression" dxfId="5636" priority="378">
      <formula>C$9&lt;8/24</formula>
    </cfRule>
  </conditionalFormatting>
  <conditionalFormatting sqref="T92:Z95">
    <cfRule type="expression" dxfId="5635" priority="371">
      <formula>T$9&gt;=20/24</formula>
    </cfRule>
    <cfRule type="expression" dxfId="5634" priority="372">
      <formula>AND(T$9&gt;=14/24,T$9&lt;20/24)</formula>
    </cfRule>
    <cfRule type="expression" dxfId="5633" priority="373">
      <formula>AND(T$9&gt;=8/24,T$9&lt;14/24)</formula>
    </cfRule>
    <cfRule type="expression" dxfId="5632" priority="374">
      <formula>T$9&lt;8/24</formula>
    </cfRule>
  </conditionalFormatting>
  <conditionalFormatting sqref="AG49 J22:L31 C15:I31 J15:J21 K15:M18 K19:L21 M19:M31 C11:N13 N15:Q31 O12:Q13 C33:Q34 S34 C43:R48 C40:R41 T40:T41 C37:T39 U46:X46 C49:AF50 C54:AF54 C51:X53 Z51:AF53 Y43:AF48 U37:AF41 O11:AF11 C35:AF36 Y15:AF31 Y12:AF13 Y33:AF34">
    <cfRule type="expression" dxfId="5631" priority="370">
      <formula>C11&gt;$AG11</formula>
    </cfRule>
  </conditionalFormatting>
  <conditionalFormatting sqref="A98:A154 A82:A95 A11:A13 A15:A31 A43:A70 A78:A80 A72:A76 A33:A41 A167:A198">
    <cfRule type="expression" dxfId="5630" priority="369">
      <formula>$AH11=0</formula>
    </cfRule>
  </conditionalFormatting>
  <conditionalFormatting sqref="AA96:AF96">
    <cfRule type="expression" dxfId="5629" priority="365">
      <formula>AA$9&gt;=20/24</formula>
    </cfRule>
    <cfRule type="expression" dxfId="5628" priority="366">
      <formula>AND(AA$9&gt;=14/24,AA$9&lt;20/24)</formula>
    </cfRule>
    <cfRule type="expression" dxfId="5627" priority="367">
      <formula>AND(AA$9&gt;=8/24,AA$9&lt;14/24)</formula>
    </cfRule>
    <cfRule type="expression" dxfId="5626" priority="368">
      <formula>AA$9&lt;8/24</formula>
    </cfRule>
  </conditionalFormatting>
  <conditionalFormatting sqref="T96:Z96">
    <cfRule type="expression" dxfId="5625" priority="361">
      <formula>T$9&gt;=20/24</formula>
    </cfRule>
    <cfRule type="expression" dxfId="5624" priority="362">
      <formula>AND(T$9&gt;=14/24,T$9&lt;20/24)</formula>
    </cfRule>
    <cfRule type="expression" dxfId="5623" priority="363">
      <formula>AND(T$9&gt;=8/24,T$9&lt;14/24)</formula>
    </cfRule>
    <cfRule type="expression" dxfId="5622" priority="364">
      <formula>T$9&lt;8/24</formula>
    </cfRule>
  </conditionalFormatting>
  <conditionalFormatting sqref="A96">
    <cfRule type="expression" dxfId="5621" priority="360">
      <formula>$AH96=0</formula>
    </cfRule>
  </conditionalFormatting>
  <conditionalFormatting sqref="C34:Q34 S34 Y34:AF34">
    <cfRule type="expression" dxfId="5620" priority="356">
      <formula>C$9&gt;=20/24</formula>
    </cfRule>
    <cfRule type="expression" dxfId="5619" priority="357">
      <formula>AND(C$9&gt;=14/24,C$9&lt;20/24)</formula>
    </cfRule>
    <cfRule type="expression" dxfId="5618" priority="358">
      <formula>AND(C$9&gt;=8/24,C$9&lt;14/24)</formula>
    </cfRule>
    <cfRule type="expression" dxfId="5617" priority="359">
      <formula>C$9&lt;8/24</formula>
    </cfRule>
  </conditionalFormatting>
  <conditionalFormatting sqref="S34 Y34:AF34">
    <cfRule type="expression" dxfId="5616" priority="352">
      <formula>S$9&gt;=20/24</formula>
    </cfRule>
    <cfRule type="expression" dxfId="5615" priority="353">
      <formula>AND(S$9&gt;=14/24,S$9&lt;20/24)</formula>
    </cfRule>
    <cfRule type="expression" dxfId="5614" priority="354">
      <formula>AND(S$9&gt;=8/24,S$9&lt;14/24)</formula>
    </cfRule>
    <cfRule type="expression" dxfId="5613" priority="355">
      <formula>S$9&lt;8/24</formula>
    </cfRule>
  </conditionalFormatting>
  <conditionalFormatting sqref="D61:G65">
    <cfRule type="expression" dxfId="5612" priority="344">
      <formula>D$9&gt;=20/24</formula>
    </cfRule>
    <cfRule type="expression" dxfId="5611" priority="345">
      <formula>AND(D$9&gt;=14/24,D$9&lt;20/24)</formula>
    </cfRule>
    <cfRule type="expression" dxfId="5610" priority="346">
      <formula>AND(D$9&gt;=8/24,D$9&lt;14/24)</formula>
    </cfRule>
    <cfRule type="expression" dxfId="5609" priority="347">
      <formula>D$9&lt;8/24</formula>
    </cfRule>
  </conditionalFormatting>
  <conditionalFormatting sqref="L60:L65">
    <cfRule type="expression" dxfId="5608" priority="340">
      <formula>L$9&gt;=20/24</formula>
    </cfRule>
    <cfRule type="expression" dxfId="5607" priority="341">
      <formula>AND(L$9&gt;=14/24,L$9&lt;20/24)</formula>
    </cfRule>
    <cfRule type="expression" dxfId="5606" priority="342">
      <formula>AND(L$9&gt;=8/24,L$9&lt;14/24)</formula>
    </cfRule>
    <cfRule type="expression" dxfId="5605" priority="343">
      <formula>L$9&lt;8/24</formula>
    </cfRule>
  </conditionalFormatting>
  <conditionalFormatting sqref="AL31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5604" priority="335">
      <formula>Y$9&gt;=20/24</formula>
    </cfRule>
    <cfRule type="expression" dxfId="5603" priority="336">
      <formula>AND(Y$9&gt;=14/24,Y$9&lt;20/24)</formula>
    </cfRule>
    <cfRule type="expression" dxfId="5602" priority="337">
      <formula>AND(Y$9&gt;=8/24,Y$9&lt;14/24)</formula>
    </cfRule>
    <cfRule type="expression" dxfId="5601" priority="338">
      <formula>Y$9&lt;8/24</formula>
    </cfRule>
  </conditionalFormatting>
  <conditionalFormatting sqref="L32:Q32">
    <cfRule type="expression" dxfId="5600" priority="331">
      <formula>L$9&gt;=20/24</formula>
    </cfRule>
    <cfRule type="expression" dxfId="5599" priority="332">
      <formula>AND(L$9&gt;=14/24,L$9&lt;20/24)</formula>
    </cfRule>
    <cfRule type="expression" dxfId="5598" priority="333">
      <formula>AND(L$9&gt;=8/24,L$9&lt;14/24)</formula>
    </cfRule>
    <cfRule type="expression" dxfId="5597" priority="334">
      <formula>L$9&lt;8/24</formula>
    </cfRule>
  </conditionalFormatting>
  <conditionalFormatting sqref="C32:Q32 Y32:AF32">
    <cfRule type="expression" dxfId="5596" priority="326">
      <formula>C32&gt;$AG32</formula>
    </cfRule>
  </conditionalFormatting>
  <conditionalFormatting sqref="A32">
    <cfRule type="expression" dxfId="5595" priority="325">
      <formula>$AH32=0</formula>
    </cfRule>
  </conditionalFormatting>
  <conditionalFormatting sqref="C81:AF81">
    <cfRule type="expression" dxfId="5594" priority="321">
      <formula>C$9&gt;=20/24</formula>
    </cfRule>
    <cfRule type="expression" dxfId="5593" priority="322">
      <formula>AND(C$9&gt;=14/24,C$9&lt;20/24)</formula>
    </cfRule>
    <cfRule type="expression" dxfId="5592" priority="323">
      <formula>AND(C$9&gt;=8/24,C$9&lt;14/24)</formula>
    </cfRule>
    <cfRule type="expression" dxfId="5591" priority="324">
      <formula>C$9&lt;8/24</formula>
    </cfRule>
  </conditionalFormatting>
  <conditionalFormatting sqref="A81">
    <cfRule type="expression" dxfId="5590" priority="320">
      <formula>$AH81=0</formula>
    </cfRule>
  </conditionalFormatting>
  <conditionalFormatting sqref="Y14:AF14">
    <cfRule type="expression" dxfId="5589" priority="316">
      <formula>Y$9&gt;=20/24</formula>
    </cfRule>
    <cfRule type="expression" dxfId="5588" priority="317">
      <formula>AND(Y$9&gt;=14/24,Y$9&lt;20/24)</formula>
    </cfRule>
    <cfRule type="expression" dxfId="5587" priority="318">
      <formula>AND(Y$9&gt;=8/24,Y$9&lt;14/24)</formula>
    </cfRule>
    <cfRule type="expression" dxfId="5586" priority="319">
      <formula>Y$9&lt;8/24</formula>
    </cfRule>
  </conditionalFormatting>
  <conditionalFormatting sqref="L14:Q14">
    <cfRule type="expression" dxfId="5585" priority="312">
      <formula>L$9&gt;=20/24</formula>
    </cfRule>
    <cfRule type="expression" dxfId="5584" priority="313">
      <formula>AND(L$9&gt;=14/24,L$9&lt;20/24)</formula>
    </cfRule>
    <cfRule type="expression" dxfId="5583" priority="314">
      <formula>AND(L$9&gt;=8/24,L$9&lt;14/24)</formula>
    </cfRule>
    <cfRule type="expression" dxfId="5582" priority="315">
      <formula>L$9&lt;8/24</formula>
    </cfRule>
  </conditionalFormatting>
  <conditionalFormatting sqref="C14:Q14 Y14:AF14">
    <cfRule type="expression" dxfId="5581" priority="311">
      <formula>C14&gt;$AG14</formula>
    </cfRule>
  </conditionalFormatting>
  <conditionalFormatting sqref="A14">
    <cfRule type="expression" dxfId="5580" priority="310">
      <formula>$AH14=0</formula>
    </cfRule>
  </conditionalFormatting>
  <conditionalFormatting sqref="A161:A166">
    <cfRule type="expression" dxfId="5579" priority="309">
      <formula>$AH161=0</formula>
    </cfRule>
  </conditionalFormatting>
  <conditionalFormatting sqref="A155:A160">
    <cfRule type="expression" dxfId="5578" priority="308">
      <formula>$AH155=0</formula>
    </cfRule>
  </conditionalFormatting>
  <conditionalFormatting sqref="Y42:AD42">
    <cfRule type="expression" dxfId="5577" priority="304">
      <formula>Y$9&gt;=20/24</formula>
    </cfRule>
    <cfRule type="expression" dxfId="5576" priority="305">
      <formula>AND(Y$9&gt;=14/24,Y$9&lt;20/24)</formula>
    </cfRule>
    <cfRule type="expression" dxfId="5575" priority="306">
      <formula>AND(Y$9&gt;=8/24,Y$9&lt;14/24)</formula>
    </cfRule>
    <cfRule type="expression" dxfId="5574" priority="307">
      <formula>Y$9&lt;8/24</formula>
    </cfRule>
  </conditionalFormatting>
  <conditionalFormatting sqref="L42:Q42">
    <cfRule type="expression" dxfId="5573" priority="300">
      <formula>L$9&gt;=20/24</formula>
    </cfRule>
    <cfRule type="expression" dxfId="5572" priority="301">
      <formula>AND(L$9&gt;=14/24,L$9&lt;20/24)</formula>
    </cfRule>
    <cfRule type="expression" dxfId="5571" priority="302">
      <formula>AND(L$9&gt;=8/24,L$9&lt;14/24)</formula>
    </cfRule>
    <cfRule type="expression" dxfId="5570" priority="303">
      <formula>L$9&lt;8/24</formula>
    </cfRule>
  </conditionalFormatting>
  <conditionalFormatting sqref="R42">
    <cfRule type="expression" dxfId="5569" priority="296">
      <formula>R$9&gt;=20/24</formula>
    </cfRule>
    <cfRule type="expression" dxfId="5568" priority="297">
      <formula>AND(R$9&gt;=14/24,R$9&lt;20/24)</formula>
    </cfRule>
    <cfRule type="expression" dxfId="5567" priority="298">
      <formula>AND(R$9&gt;=8/24,R$9&lt;14/24)</formula>
    </cfRule>
    <cfRule type="expression" dxfId="5566" priority="299">
      <formula>R$9&lt;8/24</formula>
    </cfRule>
  </conditionalFormatting>
  <conditionalFormatting sqref="C42:R42 Y42:AF42">
    <cfRule type="expression" dxfId="5565" priority="295">
      <formula>C42&gt;$AG42</formula>
    </cfRule>
  </conditionalFormatting>
  <conditionalFormatting sqref="A42">
    <cfRule type="expression" dxfId="5564" priority="294">
      <formula>$AH42=0</formula>
    </cfRule>
  </conditionalFormatting>
  <conditionalFormatting sqref="C77:AF77">
    <cfRule type="expression" dxfId="5563" priority="290">
      <formula>C$9&gt;=20/24</formula>
    </cfRule>
    <cfRule type="expression" dxfId="5562" priority="291">
      <formula>AND(C$9&gt;=14/24,C$9&lt;20/24)</formula>
    </cfRule>
    <cfRule type="expression" dxfId="5561" priority="292">
      <formula>AND(C$9&gt;=8/24,C$9&lt;14/24)</formula>
    </cfRule>
    <cfRule type="expression" dxfId="5560" priority="293">
      <formula>C$9&lt;8/24</formula>
    </cfRule>
  </conditionalFormatting>
  <conditionalFormatting sqref="A77">
    <cfRule type="expression" dxfId="5559" priority="289">
      <formula>$AH77=0</formula>
    </cfRule>
  </conditionalFormatting>
  <conditionalFormatting sqref="C71:AG71">
    <cfRule type="expression" dxfId="5558" priority="285">
      <formula>C$9&gt;=20/24</formula>
    </cfRule>
    <cfRule type="expression" dxfId="5557" priority="286">
      <formula>AND(C$9&gt;=14/24,C$9&lt;20/24)</formula>
    </cfRule>
    <cfRule type="expression" dxfId="5556" priority="287">
      <formula>AND(C$9&gt;=8/24,C$9&lt;14/24)</formula>
    </cfRule>
    <cfRule type="expression" dxfId="5555" priority="288">
      <formula>C$9&lt;8/24</formula>
    </cfRule>
  </conditionalFormatting>
  <conditionalFormatting sqref="A71">
    <cfRule type="expression" dxfId="5554" priority="284">
      <formula>$AH71=0</formula>
    </cfRule>
  </conditionalFormatting>
  <conditionalFormatting sqref="AL32:AL33 AL7:AL30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5553" priority="280">
      <formula>T$9&gt;=20/24</formula>
    </cfRule>
    <cfRule type="expression" dxfId="5552" priority="281">
      <formula>AND(T$9&gt;=14/24,T$9&lt;20/24)</formula>
    </cfRule>
    <cfRule type="expression" dxfId="5551" priority="282">
      <formula>AND(T$9&gt;=8/24,T$9&lt;14/24)</formula>
    </cfRule>
    <cfRule type="expression" dxfId="5550" priority="283">
      <formula>T$9&lt;8/24</formula>
    </cfRule>
  </conditionalFormatting>
  <conditionalFormatting sqref="T83:V89">
    <cfRule type="expression" dxfId="5549" priority="276">
      <formula>T$9&gt;=20/24</formula>
    </cfRule>
    <cfRule type="expression" dxfId="5548" priority="277">
      <formula>AND(T$9&gt;=14/24,T$9&lt;20/24)</formula>
    </cfRule>
    <cfRule type="expression" dxfId="5547" priority="278">
      <formula>AND(T$9&gt;=8/24,T$9&lt;14/24)</formula>
    </cfRule>
    <cfRule type="expression" dxfId="5546" priority="279">
      <formula>T$9&lt;8/24</formula>
    </cfRule>
  </conditionalFormatting>
  <conditionalFormatting sqref="R83:S89 C82:Q89">
    <cfRule type="expression" dxfId="5545" priority="272">
      <formula>C$9&gt;=20/24</formula>
    </cfRule>
    <cfRule type="expression" dxfId="5544" priority="273">
      <formula>AND(C$9&gt;=14/24,C$9&lt;20/24)</formula>
    </cfRule>
    <cfRule type="expression" dxfId="5543" priority="274">
      <formula>AND(C$9&gt;=8/24,C$9&lt;14/24)</formula>
    </cfRule>
    <cfRule type="expression" dxfId="5542" priority="275">
      <formula>C$9&lt;8/24</formula>
    </cfRule>
  </conditionalFormatting>
  <conditionalFormatting sqref="R82:S82">
    <cfRule type="expression" dxfId="5541" priority="268">
      <formula>R$9&gt;=20/24</formula>
    </cfRule>
    <cfRule type="expression" dxfId="5540" priority="269">
      <formula>AND(R$9&gt;=14/24,R$9&lt;20/24)</formula>
    </cfRule>
    <cfRule type="expression" dxfId="5539" priority="270">
      <formula>AND(R$9&gt;=8/24,R$9&lt;14/24)</formula>
    </cfRule>
    <cfRule type="expression" dxfId="5538" priority="271">
      <formula>R$9&lt;8/24</formula>
    </cfRule>
  </conditionalFormatting>
  <conditionalFormatting sqref="F93:L95 C92:E95">
    <cfRule type="expression" dxfId="5537" priority="264">
      <formula>C$9&gt;=20/24</formula>
    </cfRule>
    <cfRule type="expression" dxfId="5536" priority="265">
      <formula>AND(C$9&gt;=14/24,C$9&lt;20/24)</formula>
    </cfRule>
    <cfRule type="expression" dxfId="5535" priority="266">
      <formula>AND(C$9&gt;=8/24,C$9&lt;14/24)</formula>
    </cfRule>
    <cfRule type="expression" dxfId="5534" priority="267">
      <formula>C$9&lt;8/24</formula>
    </cfRule>
  </conditionalFormatting>
  <conditionalFormatting sqref="M93:Q95 N92:Q92">
    <cfRule type="expression" dxfId="5533" priority="260">
      <formula>M$9&gt;=20/24</formula>
    </cfRule>
    <cfRule type="expression" dxfId="5532" priority="261">
      <formula>AND(M$9&gt;=14/24,M$9&lt;20/24)</formula>
    </cfRule>
    <cfRule type="expression" dxfId="5531" priority="262">
      <formula>AND(M$9&gt;=8/24,M$9&lt;14/24)</formula>
    </cfRule>
    <cfRule type="expression" dxfId="5530" priority="263">
      <formula>M$9&lt;8/24</formula>
    </cfRule>
  </conditionalFormatting>
  <conditionalFormatting sqref="R92:S95">
    <cfRule type="expression" dxfId="5529" priority="256">
      <formula>R$9&gt;=20/24</formula>
    </cfRule>
    <cfRule type="expression" dxfId="5528" priority="257">
      <formula>AND(R$9&gt;=14/24,R$9&lt;20/24)</formula>
    </cfRule>
    <cfRule type="expression" dxfId="5527" priority="258">
      <formula>AND(R$9&gt;=8/24,R$9&lt;14/24)</formula>
    </cfRule>
    <cfRule type="expression" dxfId="5526" priority="259">
      <formula>R$9&lt;8/24</formula>
    </cfRule>
  </conditionalFormatting>
  <conditionalFormatting sqref="C96:L96">
    <cfRule type="expression" dxfId="5525" priority="252">
      <formula>C$9&gt;=20/24</formula>
    </cfRule>
    <cfRule type="expression" dxfId="5524" priority="253">
      <formula>AND(C$9&gt;=14/24,C$9&lt;20/24)</formula>
    </cfRule>
    <cfRule type="expression" dxfId="5523" priority="254">
      <formula>AND(C$9&gt;=8/24,C$9&lt;14/24)</formula>
    </cfRule>
    <cfRule type="expression" dxfId="5522" priority="255">
      <formula>C$9&lt;8/24</formula>
    </cfRule>
  </conditionalFormatting>
  <conditionalFormatting sqref="M96:Q96">
    <cfRule type="expression" dxfId="5521" priority="248">
      <formula>M$9&gt;=20/24</formula>
    </cfRule>
    <cfRule type="expression" dxfId="5520" priority="249">
      <formula>AND(M$9&gt;=14/24,M$9&lt;20/24)</formula>
    </cfRule>
    <cfRule type="expression" dxfId="5519" priority="250">
      <formula>AND(M$9&gt;=8/24,M$9&lt;14/24)</formula>
    </cfRule>
    <cfRule type="expression" dxfId="5518" priority="251">
      <formula>M$9&lt;8/24</formula>
    </cfRule>
  </conditionalFormatting>
  <conditionalFormatting sqref="R96:S96">
    <cfRule type="expression" dxfId="5517" priority="244">
      <formula>R$9&gt;=20/24</formula>
    </cfRule>
    <cfRule type="expression" dxfId="5516" priority="245">
      <formula>AND(R$9&gt;=14/24,R$9&lt;20/24)</formula>
    </cfRule>
    <cfRule type="expression" dxfId="5515" priority="246">
      <formula>AND(R$9&gt;=8/24,R$9&lt;14/24)</formula>
    </cfRule>
    <cfRule type="expression" dxfId="5514" priority="247">
      <formula>R$9&lt;8/24</formula>
    </cfRule>
  </conditionalFormatting>
  <conditionalFormatting sqref="L92:M92">
    <cfRule type="expression" dxfId="5513" priority="240">
      <formula>L$9&gt;=20/24</formula>
    </cfRule>
    <cfRule type="expression" dxfId="5512" priority="241">
      <formula>AND(L$9&gt;=14/24,L$9&lt;20/24)</formula>
    </cfRule>
    <cfRule type="expression" dxfId="5511" priority="242">
      <formula>AND(L$9&gt;=8/24,L$9&lt;14/24)</formula>
    </cfRule>
    <cfRule type="expression" dxfId="5510" priority="243">
      <formula>L$9&lt;8/24</formula>
    </cfRule>
  </conditionalFormatting>
  <conditionalFormatting sqref="F92:K92">
    <cfRule type="expression" dxfId="5509" priority="236">
      <formula>F$9&gt;=20/24</formula>
    </cfRule>
    <cfRule type="expression" dxfId="5508" priority="237">
      <formula>AND(F$9&gt;=14/24,F$9&lt;20/24)</formula>
    </cfRule>
    <cfRule type="expression" dxfId="5507" priority="238">
      <formula>AND(F$9&gt;=8/24,F$9&lt;14/24)</formula>
    </cfRule>
    <cfRule type="expression" dxfId="5506" priority="239">
      <formula>F$9&lt;8/24</formula>
    </cfRule>
  </conditionalFormatting>
  <conditionalFormatting sqref="T92:V92">
    <cfRule type="expression" dxfId="5505" priority="232">
      <formula>T$9&gt;=20/24</formula>
    </cfRule>
    <cfRule type="expression" dxfId="5504" priority="233">
      <formula>AND(T$9&gt;=14/24,T$9&lt;20/24)</formula>
    </cfRule>
    <cfRule type="expression" dxfId="5503" priority="234">
      <formula>AND(T$9&gt;=8/24,T$9&lt;14/24)</formula>
    </cfRule>
    <cfRule type="expression" dxfId="5502" priority="235">
      <formula>T$9&lt;8/24</formula>
    </cfRule>
  </conditionalFormatting>
  <conditionalFormatting sqref="M92:S92">
    <cfRule type="expression" dxfId="5501" priority="228">
      <formula>M$9&gt;=20/24</formula>
    </cfRule>
    <cfRule type="expression" dxfId="5500" priority="229">
      <formula>AND(M$9&gt;=14/24,M$9&lt;20/24)</formula>
    </cfRule>
    <cfRule type="expression" dxfId="5499" priority="230">
      <formula>AND(M$9&gt;=8/24,M$9&lt;14/24)</formula>
    </cfRule>
    <cfRule type="expression" dxfId="5498" priority="231">
      <formula>M$9&lt;8/24</formula>
    </cfRule>
  </conditionalFormatting>
  <conditionalFormatting sqref="AA97:AF97">
    <cfRule type="expression" dxfId="5497" priority="224">
      <formula>AA$9&gt;=20/24</formula>
    </cfRule>
    <cfRule type="expression" dxfId="5496" priority="225">
      <formula>AND(AA$9&gt;=14/24,AA$9&lt;20/24)</formula>
    </cfRule>
    <cfRule type="expression" dxfId="5495" priority="226">
      <formula>AND(AA$9&gt;=8/24,AA$9&lt;14/24)</formula>
    </cfRule>
    <cfRule type="expression" dxfId="5494" priority="227">
      <formula>AA$9&lt;8/24</formula>
    </cfRule>
  </conditionalFormatting>
  <conditionalFormatting sqref="T97:Z97">
    <cfRule type="expression" dxfId="5493" priority="220">
      <formula>T$9&gt;=20/24</formula>
    </cfRule>
    <cfRule type="expression" dxfId="5492" priority="221">
      <formula>AND(T$9&gt;=14/24,T$9&lt;20/24)</formula>
    </cfRule>
    <cfRule type="expression" dxfId="5491" priority="222">
      <formula>AND(T$9&gt;=8/24,T$9&lt;14/24)</formula>
    </cfRule>
    <cfRule type="expression" dxfId="5490" priority="223">
      <formula>T$9&lt;8/24</formula>
    </cfRule>
  </conditionalFormatting>
  <conditionalFormatting sqref="A97">
    <cfRule type="expression" dxfId="5489" priority="219">
      <formula>$AH97=0</formula>
    </cfRule>
  </conditionalFormatting>
  <conditionalFormatting sqref="C97:L97">
    <cfRule type="expression" dxfId="5488" priority="215">
      <formula>C$9&gt;=20/24</formula>
    </cfRule>
    <cfRule type="expression" dxfId="5487" priority="216">
      <formula>AND(C$9&gt;=14/24,C$9&lt;20/24)</formula>
    </cfRule>
    <cfRule type="expression" dxfId="5486" priority="217">
      <formula>AND(C$9&gt;=8/24,C$9&lt;14/24)</formula>
    </cfRule>
    <cfRule type="expression" dxfId="5485" priority="218">
      <formula>C$9&lt;8/24</formula>
    </cfRule>
  </conditionalFormatting>
  <conditionalFormatting sqref="M97:Q97">
    <cfRule type="expression" dxfId="5484" priority="211">
      <formula>M$9&gt;=20/24</formula>
    </cfRule>
    <cfRule type="expression" dxfId="5483" priority="212">
      <formula>AND(M$9&gt;=14/24,M$9&lt;20/24)</formula>
    </cfRule>
    <cfRule type="expression" dxfId="5482" priority="213">
      <formula>AND(M$9&gt;=8/24,M$9&lt;14/24)</formula>
    </cfRule>
    <cfRule type="expression" dxfId="5481" priority="214">
      <formula>M$9&lt;8/24</formula>
    </cfRule>
  </conditionalFormatting>
  <conditionalFormatting sqref="R97:S97">
    <cfRule type="expression" dxfId="5480" priority="207">
      <formula>R$9&gt;=20/24</formula>
    </cfRule>
    <cfRule type="expression" dxfId="5479" priority="208">
      <formula>AND(R$9&gt;=14/24,R$9&lt;20/24)</formula>
    </cfRule>
    <cfRule type="expression" dxfId="5478" priority="209">
      <formula>AND(R$9&gt;=8/24,R$9&lt;14/24)</formula>
    </cfRule>
    <cfRule type="expression" dxfId="5477" priority="210">
      <formula>R$9&lt;8/24</formula>
    </cfRule>
  </conditionalFormatting>
  <conditionalFormatting sqref="R12:T12 S13:T14 U12:X14">
    <cfRule type="expression" dxfId="5476" priority="203">
      <formula>R$9&gt;=20/24</formula>
    </cfRule>
    <cfRule type="expression" dxfId="5475" priority="204">
      <formula>AND(R$9&gt;=14/24,R$9&lt;20/24)</formula>
    </cfRule>
    <cfRule type="expression" dxfId="5474" priority="205">
      <formula>AND(R$9&gt;=8/24,R$9&lt;14/24)</formula>
    </cfRule>
    <cfRule type="expression" dxfId="5473" priority="206">
      <formula>R$9&lt;8/24</formula>
    </cfRule>
  </conditionalFormatting>
  <conditionalFormatting sqref="R12:X12">
    <cfRule type="expression" dxfId="5472" priority="195">
      <formula>R$9&gt;=20/24</formula>
    </cfRule>
    <cfRule type="expression" dxfId="5471" priority="196">
      <formula>AND(R$9&gt;=14/24,R$9&lt;20/24)</formula>
    </cfRule>
    <cfRule type="expression" dxfId="5470" priority="197">
      <formula>AND(R$9&gt;=8/24,R$9&lt;14/24)</formula>
    </cfRule>
    <cfRule type="expression" dxfId="5469" priority="198">
      <formula>R$9&lt;8/24</formula>
    </cfRule>
  </conditionalFormatting>
  <conditionalFormatting sqref="AA56:AD57">
    <cfRule type="expression" dxfId="5468" priority="191">
      <formula>AA$9&gt;=20/24</formula>
    </cfRule>
    <cfRule type="expression" dxfId="5467" priority="192">
      <formula>AND(AA$9&gt;=14/24,AA$9&lt;20/24)</formula>
    </cfRule>
    <cfRule type="expression" dxfId="5466" priority="193">
      <formula>AND(AA$9&gt;=8/24,AA$9&lt;14/24)</formula>
    </cfRule>
    <cfRule type="expression" dxfId="5465" priority="194">
      <formula>AA$9&lt;8/24</formula>
    </cfRule>
  </conditionalFormatting>
  <conditionalFormatting sqref="B66:B70 B82:B89 B72:B76 B78:B80 B51:B58">
    <cfRule type="expression" dxfId="5464" priority="187">
      <formula>B$9&gt;=20/24</formula>
    </cfRule>
    <cfRule type="expression" dxfId="5463" priority="188">
      <formula>AND(B$9&gt;=14/24,B$9&lt;20/24)</formula>
    </cfRule>
    <cfRule type="expression" dxfId="5462" priority="189">
      <formula>AND(B$9&gt;=8/24,B$9&lt;14/24)</formula>
    </cfRule>
    <cfRule type="expression" dxfId="5461" priority="190">
      <formula>B$9&lt;8/24</formula>
    </cfRule>
  </conditionalFormatting>
  <conditionalFormatting sqref="B59:B65">
    <cfRule type="expression" dxfId="5460" priority="183">
      <formula>B$9&gt;=20/24</formula>
    </cfRule>
    <cfRule type="expression" dxfId="5459" priority="184">
      <formula>AND(B$9&gt;=14/24,B$9&lt;20/24)</formula>
    </cfRule>
    <cfRule type="expression" dxfId="5458" priority="185">
      <formula>AND(B$9&gt;=8/24,B$9&lt;14/24)</formula>
    </cfRule>
    <cfRule type="expression" dxfId="5457" priority="186">
      <formula>B$9&lt;8/24</formula>
    </cfRule>
  </conditionalFormatting>
  <conditionalFormatting sqref="B92:B95">
    <cfRule type="expression" dxfId="5456" priority="179">
      <formula>B$9&gt;=20/24</formula>
    </cfRule>
    <cfRule type="expression" dxfId="5455" priority="180">
      <formula>AND(B$9&gt;=14/24,B$9&lt;20/24)</formula>
    </cfRule>
    <cfRule type="expression" dxfId="5454" priority="181">
      <formula>AND(B$9&gt;=8/24,B$9&lt;14/24)</formula>
    </cfRule>
    <cfRule type="expression" dxfId="5453" priority="182">
      <formula>B$9&lt;8/24</formula>
    </cfRule>
  </conditionalFormatting>
  <conditionalFormatting sqref="B43:B54 B11:B13 B33:B41 B15:B31">
    <cfRule type="expression" dxfId="5452" priority="178">
      <formula>B11&gt;$AG11</formula>
    </cfRule>
  </conditionalFormatting>
  <conditionalFormatting sqref="B96">
    <cfRule type="expression" dxfId="5451" priority="174">
      <formula>B$9&gt;=20/24</formula>
    </cfRule>
    <cfRule type="expression" dxfId="5450" priority="175">
      <formula>AND(B$9&gt;=14/24,B$9&lt;20/24)</formula>
    </cfRule>
    <cfRule type="expression" dxfId="5449" priority="176">
      <formula>AND(B$9&gt;=8/24,B$9&lt;14/24)</formula>
    </cfRule>
    <cfRule type="expression" dxfId="5448" priority="177">
      <formula>B$9&lt;8/24</formula>
    </cfRule>
  </conditionalFormatting>
  <conditionalFormatting sqref="B34">
    <cfRule type="expression" dxfId="5447" priority="170">
      <formula>B$9&gt;=20/24</formula>
    </cfRule>
    <cfRule type="expression" dxfId="5446" priority="171">
      <formula>AND(B$9&gt;=14/24,B$9&lt;20/24)</formula>
    </cfRule>
    <cfRule type="expression" dxfId="5445" priority="172">
      <formula>AND(B$9&gt;=8/24,B$9&lt;14/24)</formula>
    </cfRule>
    <cfRule type="expression" dxfId="5444" priority="173">
      <formula>B$9&lt;8/24</formula>
    </cfRule>
  </conditionalFormatting>
  <conditionalFormatting sqref="B34">
    <cfRule type="expression" dxfId="5443" priority="166">
      <formula>B$9&gt;=20/24</formula>
    </cfRule>
    <cfRule type="expression" dxfId="5442" priority="167">
      <formula>AND(B$9&gt;=14/24,B$9&lt;20/24)</formula>
    </cfRule>
    <cfRule type="expression" dxfId="5441" priority="168">
      <formula>AND(B$9&gt;=8/24,B$9&lt;14/24)</formula>
    </cfRule>
    <cfRule type="expression" dxfId="5440" priority="169">
      <formula>B$9&lt;8/24</formula>
    </cfRule>
  </conditionalFormatting>
  <conditionalFormatting sqref="B32">
    <cfRule type="expression" dxfId="5439" priority="165">
      <formula>B32&gt;$AG32</formula>
    </cfRule>
  </conditionalFormatting>
  <conditionalFormatting sqref="B81">
    <cfRule type="expression" dxfId="5438" priority="161">
      <formula>B$9&gt;=20/24</formula>
    </cfRule>
    <cfRule type="expression" dxfId="5437" priority="162">
      <formula>AND(B$9&gt;=14/24,B$9&lt;20/24)</formula>
    </cfRule>
    <cfRule type="expression" dxfId="5436" priority="163">
      <formula>AND(B$9&gt;=8/24,B$9&lt;14/24)</formula>
    </cfRule>
    <cfRule type="expression" dxfId="5435" priority="164">
      <formula>B$9&lt;8/24</formula>
    </cfRule>
  </conditionalFormatting>
  <conditionalFormatting sqref="B14">
    <cfRule type="expression" dxfId="5434" priority="160">
      <formula>B14&gt;$AG14</formula>
    </cfRule>
  </conditionalFormatting>
  <conditionalFormatting sqref="B42">
    <cfRule type="expression" dxfId="5433" priority="159">
      <formula>B42&gt;$AG42</formula>
    </cfRule>
  </conditionalFormatting>
  <conditionalFormatting sqref="B77">
    <cfRule type="expression" dxfId="5432" priority="155">
      <formula>B$9&gt;=20/24</formula>
    </cfRule>
    <cfRule type="expression" dxfId="5431" priority="156">
      <formula>AND(B$9&gt;=14/24,B$9&lt;20/24)</formula>
    </cfRule>
    <cfRule type="expression" dxfId="5430" priority="157">
      <formula>AND(B$9&gt;=8/24,B$9&lt;14/24)</formula>
    </cfRule>
    <cfRule type="expression" dxfId="5429" priority="158">
      <formula>B$9&lt;8/24</formula>
    </cfRule>
  </conditionalFormatting>
  <conditionalFormatting sqref="B71">
    <cfRule type="expression" dxfId="5428" priority="151">
      <formula>B$9&gt;=20/24</formula>
    </cfRule>
    <cfRule type="expression" dxfId="5427" priority="152">
      <formula>AND(B$9&gt;=14/24,B$9&lt;20/24)</formula>
    </cfRule>
    <cfRule type="expression" dxfId="5426" priority="153">
      <formula>AND(B$9&gt;=8/24,B$9&lt;14/24)</formula>
    </cfRule>
    <cfRule type="expression" dxfId="5425" priority="154">
      <formula>B$9&lt;8/24</formula>
    </cfRule>
  </conditionalFormatting>
  <conditionalFormatting sqref="B97">
    <cfRule type="expression" dxfId="5424" priority="147">
      <formula>B$9&gt;=20/24</formula>
    </cfRule>
    <cfRule type="expression" dxfId="5423" priority="148">
      <formula>AND(B$9&gt;=14/24,B$9&lt;20/24)</formula>
    </cfRule>
    <cfRule type="expression" dxfId="5422" priority="149">
      <formula>AND(B$9&gt;=8/24,B$9&lt;14/24)</formula>
    </cfRule>
    <cfRule type="expression" dxfId="5421" priority="150">
      <formula>B$9&lt;8/24</formula>
    </cfRule>
  </conditionalFormatting>
  <conditionalFormatting sqref="R15:R31 R13">
    <cfRule type="expression" dxfId="5420" priority="143">
      <formula>R$9&gt;=20/24</formula>
    </cfRule>
    <cfRule type="expression" dxfId="5419" priority="144">
      <formula>AND(R$9&gt;=14/24,R$9&lt;20/24)</formula>
    </cfRule>
    <cfRule type="expression" dxfId="5418" priority="145">
      <formula>AND(R$9&gt;=8/24,R$9&lt;14/24)</formula>
    </cfRule>
    <cfRule type="expression" dxfId="5417" priority="146">
      <formula>R$9&lt;8/24</formula>
    </cfRule>
  </conditionalFormatting>
  <conditionalFormatting sqref="R33">
    <cfRule type="expression" dxfId="5416" priority="139">
      <formula>R$9&gt;=20/24</formula>
    </cfRule>
    <cfRule type="expression" dxfId="5415" priority="140">
      <formula>AND(R$9&gt;=14/24,R$9&lt;20/24)</formula>
    </cfRule>
    <cfRule type="expression" dxfId="5414" priority="141">
      <formula>AND(R$9&gt;=8/24,R$9&lt;14/24)</formula>
    </cfRule>
    <cfRule type="expression" dxfId="5413" priority="142">
      <formula>R$9&lt;8/24</formula>
    </cfRule>
  </conditionalFormatting>
  <conditionalFormatting sqref="R15:R31 R13 R33:R34">
    <cfRule type="expression" dxfId="5412" priority="138">
      <formula>R13&gt;$AG13</formula>
    </cfRule>
  </conditionalFormatting>
  <conditionalFormatting sqref="R34">
    <cfRule type="expression" dxfId="5411" priority="134">
      <formula>R$9&gt;=20/24</formula>
    </cfRule>
    <cfRule type="expression" dxfId="5410" priority="135">
      <formula>AND(R$9&gt;=14/24,R$9&lt;20/24)</formula>
    </cfRule>
    <cfRule type="expression" dxfId="5409" priority="136">
      <formula>AND(R$9&gt;=8/24,R$9&lt;14/24)</formula>
    </cfRule>
    <cfRule type="expression" dxfId="5408" priority="137">
      <formula>R$9&lt;8/24</formula>
    </cfRule>
  </conditionalFormatting>
  <conditionalFormatting sqref="R32">
    <cfRule type="expression" dxfId="5407" priority="130">
      <formula>R$9&gt;=20/24</formula>
    </cfRule>
    <cfRule type="expression" dxfId="5406" priority="131">
      <formula>AND(R$9&gt;=14/24,R$9&lt;20/24)</formula>
    </cfRule>
    <cfRule type="expression" dxfId="5405" priority="132">
      <formula>AND(R$9&gt;=8/24,R$9&lt;14/24)</formula>
    </cfRule>
    <cfRule type="expression" dxfId="5404" priority="133">
      <formula>R$9&lt;8/24</formula>
    </cfRule>
  </conditionalFormatting>
  <conditionalFormatting sqref="R32">
    <cfRule type="expression" dxfId="5403" priority="129">
      <formula>R32&gt;$AG32</formula>
    </cfRule>
  </conditionalFormatting>
  <conditionalFormatting sqref="R14">
    <cfRule type="expression" dxfId="5402" priority="125">
      <formula>R$9&gt;=20/24</formula>
    </cfRule>
    <cfRule type="expression" dxfId="5401" priority="126">
      <formula>AND(R$9&gt;=14/24,R$9&lt;20/24)</formula>
    </cfRule>
    <cfRule type="expression" dxfId="5400" priority="127">
      <formula>AND(R$9&gt;=8/24,R$9&lt;14/24)</formula>
    </cfRule>
    <cfRule type="expression" dxfId="5399" priority="128">
      <formula>R$9&lt;8/24</formula>
    </cfRule>
  </conditionalFormatting>
  <conditionalFormatting sqref="R14">
    <cfRule type="expression" dxfId="5398" priority="124">
      <formula>R14&gt;$AG14</formula>
    </cfRule>
  </conditionalFormatting>
  <conditionalFormatting sqref="R43:R46">
    <cfRule type="expression" dxfId="5397" priority="120">
      <formula>R$9&gt;=20/24</formula>
    </cfRule>
    <cfRule type="expression" dxfId="5396" priority="121">
      <formula>AND(R$9&gt;=14/24,R$9&lt;20/24)</formula>
    </cfRule>
    <cfRule type="expression" dxfId="5395" priority="122">
      <formula>AND(R$9&gt;=8/24,R$9&lt;14/24)</formula>
    </cfRule>
    <cfRule type="expression" dxfId="5394" priority="123">
      <formula>R$9&lt;8/24</formula>
    </cfRule>
  </conditionalFormatting>
  <conditionalFormatting sqref="R48">
    <cfRule type="expression" dxfId="5393" priority="116">
      <formula>R$9&gt;=20/24</formula>
    </cfRule>
    <cfRule type="expression" dxfId="5392" priority="117">
      <formula>AND(R$9&gt;=14/24,R$9&lt;20/24)</formula>
    </cfRule>
    <cfRule type="expression" dxfId="5391" priority="118">
      <formula>AND(R$9&gt;=8/24,R$9&lt;14/24)</formula>
    </cfRule>
    <cfRule type="expression" dxfId="5390" priority="119">
      <formula>R$9&lt;8/24</formula>
    </cfRule>
  </conditionalFormatting>
  <conditionalFormatting sqref="R43:R46">
    <cfRule type="expression" dxfId="5389" priority="112">
      <formula>R$9&gt;=20/24</formula>
    </cfRule>
    <cfRule type="expression" dxfId="5388" priority="113">
      <formula>AND(R$9&gt;=14/24,R$9&lt;20/24)</formula>
    </cfRule>
    <cfRule type="expression" dxfId="5387" priority="114">
      <formula>AND(R$9&gt;=8/24,R$9&lt;14/24)</formula>
    </cfRule>
    <cfRule type="expression" dxfId="5386" priority="115">
      <formula>R$9&lt;8/24</formula>
    </cfRule>
  </conditionalFormatting>
  <conditionalFormatting sqref="S15:S31">
    <cfRule type="expression" dxfId="5385" priority="108">
      <formula>S$9&gt;=20/24</formula>
    </cfRule>
    <cfRule type="expression" dxfId="5384" priority="109">
      <formula>AND(S$9&gt;=14/24,S$9&lt;20/24)</formula>
    </cfRule>
    <cfRule type="expression" dxfId="5383" priority="110">
      <formula>AND(S$9&gt;=8/24,S$9&lt;14/24)</formula>
    </cfRule>
    <cfRule type="expression" dxfId="5382" priority="111">
      <formula>S$9&lt;8/24</formula>
    </cfRule>
  </conditionalFormatting>
  <conditionalFormatting sqref="S33">
    <cfRule type="expression" dxfId="5381" priority="104">
      <formula>S$9&gt;=20/24</formula>
    </cfRule>
    <cfRule type="expression" dxfId="5380" priority="105">
      <formula>AND(S$9&gt;=14/24,S$9&lt;20/24)</formula>
    </cfRule>
    <cfRule type="expression" dxfId="5379" priority="106">
      <formula>AND(S$9&gt;=8/24,S$9&lt;14/24)</formula>
    </cfRule>
    <cfRule type="expression" dxfId="5378" priority="107">
      <formula>S$9&lt;8/24</formula>
    </cfRule>
  </conditionalFormatting>
  <conditionalFormatting sqref="S15:S31 S33">
    <cfRule type="expression" dxfId="5377" priority="103">
      <formula>S15&gt;$AG15</formula>
    </cfRule>
  </conditionalFormatting>
  <conditionalFormatting sqref="S32">
    <cfRule type="expression" dxfId="5376" priority="99">
      <formula>S$9&gt;=20/24</formula>
    </cfRule>
    <cfRule type="expression" dxfId="5375" priority="100">
      <formula>AND(S$9&gt;=14/24,S$9&lt;20/24)</formula>
    </cfRule>
    <cfRule type="expression" dxfId="5374" priority="101">
      <formula>AND(S$9&gt;=8/24,S$9&lt;14/24)</formula>
    </cfRule>
    <cfRule type="expression" dxfId="5373" priority="102">
      <formula>S$9&lt;8/24</formula>
    </cfRule>
  </conditionalFormatting>
  <conditionalFormatting sqref="S32">
    <cfRule type="expression" dxfId="5372" priority="98">
      <formula>S32&gt;$AG32</formula>
    </cfRule>
  </conditionalFormatting>
  <conditionalFormatting sqref="S47">
    <cfRule type="expression" dxfId="5371" priority="94">
      <formula>S$9&gt;=20/24</formula>
    </cfRule>
    <cfRule type="expression" dxfId="5370" priority="95">
      <formula>AND(S$9&gt;=14/24,S$9&lt;20/24)</formula>
    </cfRule>
    <cfRule type="expression" dxfId="5369" priority="96">
      <formula>AND(S$9&gt;=8/24,S$9&lt;14/24)</formula>
    </cfRule>
    <cfRule type="expression" dxfId="5368" priority="97">
      <formula>S$9&lt;8/24</formula>
    </cfRule>
  </conditionalFormatting>
  <conditionalFormatting sqref="S40:S41 S43:S46">
    <cfRule type="expression" dxfId="5367" priority="90">
      <formula>S$9&gt;=20/24</formula>
    </cfRule>
    <cfRule type="expression" dxfId="5366" priority="91">
      <formula>AND(S$9&gt;=14/24,S$9&lt;20/24)</formula>
    </cfRule>
    <cfRule type="expression" dxfId="5365" priority="92">
      <formula>AND(S$9&gt;=8/24,S$9&lt;14/24)</formula>
    </cfRule>
    <cfRule type="expression" dxfId="5364" priority="93">
      <formula>S$9&lt;8/24</formula>
    </cfRule>
  </conditionalFormatting>
  <conditionalFormatting sqref="S47">
    <cfRule type="expression" dxfId="5363" priority="86">
      <formula>S$9&gt;=20/24</formula>
    </cfRule>
    <cfRule type="expression" dxfId="5362" priority="87">
      <formula>AND(S$9&gt;=14/24,S$9&lt;20/24)</formula>
    </cfRule>
    <cfRule type="expression" dxfId="5361" priority="88">
      <formula>AND(S$9&gt;=8/24,S$9&lt;14/24)</formula>
    </cfRule>
    <cfRule type="expression" dxfId="5360" priority="89">
      <formula>S$9&lt;8/24</formula>
    </cfRule>
  </conditionalFormatting>
  <conditionalFormatting sqref="S48">
    <cfRule type="expression" dxfId="5359" priority="82">
      <formula>S$9&gt;=20/24</formula>
    </cfRule>
    <cfRule type="expression" dxfId="5358" priority="83">
      <formula>AND(S$9&gt;=14/24,S$9&lt;20/24)</formula>
    </cfRule>
    <cfRule type="expression" dxfId="5357" priority="84">
      <formula>AND(S$9&gt;=8/24,S$9&lt;14/24)</formula>
    </cfRule>
    <cfRule type="expression" dxfId="5356" priority="85">
      <formula>S$9&lt;8/24</formula>
    </cfRule>
  </conditionalFormatting>
  <conditionalFormatting sqref="S43:S48 S40:S41">
    <cfRule type="expression" dxfId="5355" priority="81">
      <formula>S40&gt;$AG40</formula>
    </cfRule>
  </conditionalFormatting>
  <conditionalFormatting sqref="S42">
    <cfRule type="expression" dxfId="5354" priority="77">
      <formula>S$9&gt;=20/24</formula>
    </cfRule>
    <cfRule type="expression" dxfId="5353" priority="78">
      <formula>AND(S$9&gt;=14/24,S$9&lt;20/24)</formula>
    </cfRule>
    <cfRule type="expression" dxfId="5352" priority="79">
      <formula>AND(S$9&gt;=8/24,S$9&lt;14/24)</formula>
    </cfRule>
    <cfRule type="expression" dxfId="5351" priority="80">
      <formula>S$9&lt;8/24</formula>
    </cfRule>
  </conditionalFormatting>
  <conditionalFormatting sqref="S42">
    <cfRule type="expression" dxfId="5350" priority="76">
      <formula>S42&gt;$AG42</formula>
    </cfRule>
  </conditionalFormatting>
  <conditionalFormatting sqref="S43:S46">
    <cfRule type="expression" dxfId="5349" priority="72">
      <formula>S$9&gt;=20/24</formula>
    </cfRule>
    <cfRule type="expression" dxfId="5348" priority="73">
      <formula>AND(S$9&gt;=14/24,S$9&lt;20/24)</formula>
    </cfRule>
    <cfRule type="expression" dxfId="5347" priority="74">
      <formula>AND(S$9&gt;=8/24,S$9&lt;14/24)</formula>
    </cfRule>
    <cfRule type="expression" dxfId="5346" priority="75">
      <formula>S$9&lt;8/24</formula>
    </cfRule>
  </conditionalFormatting>
  <conditionalFormatting sqref="S48">
    <cfRule type="expression" dxfId="5345" priority="68">
      <formula>S$9&gt;=20/24</formula>
    </cfRule>
    <cfRule type="expression" dxfId="5344" priority="69">
      <formula>AND(S$9&gt;=14/24,S$9&lt;20/24)</formula>
    </cfRule>
    <cfRule type="expression" dxfId="5343" priority="70">
      <formula>AND(S$9&gt;=8/24,S$9&lt;14/24)</formula>
    </cfRule>
    <cfRule type="expression" dxfId="5342" priority="71">
      <formula>S$9&lt;8/24</formula>
    </cfRule>
  </conditionalFormatting>
  <conditionalFormatting sqref="S43:S46">
    <cfRule type="expression" dxfId="5341" priority="64">
      <formula>S$9&gt;=20/24</formula>
    </cfRule>
    <cfRule type="expression" dxfId="5340" priority="65">
      <formula>AND(S$9&gt;=14/24,S$9&lt;20/24)</formula>
    </cfRule>
    <cfRule type="expression" dxfId="5339" priority="66">
      <formula>AND(S$9&gt;=8/24,S$9&lt;14/24)</formula>
    </cfRule>
    <cfRule type="expression" dxfId="5338" priority="67">
      <formula>S$9&lt;8/24</formula>
    </cfRule>
  </conditionalFormatting>
  <conditionalFormatting sqref="T34:X34">
    <cfRule type="expression" dxfId="5337" priority="63">
      <formula>T34&gt;$AG34</formula>
    </cfRule>
  </conditionalFormatting>
  <conditionalFormatting sqref="T34:X34">
    <cfRule type="expression" dxfId="5336" priority="59">
      <formula>T$9&gt;=20/24</formula>
    </cfRule>
    <cfRule type="expression" dxfId="5335" priority="60">
      <formula>AND(T$9&gt;=14/24,T$9&lt;20/24)</formula>
    </cfRule>
    <cfRule type="expression" dxfId="5334" priority="61">
      <formula>AND(T$9&gt;=8/24,T$9&lt;14/24)</formula>
    </cfRule>
    <cfRule type="expression" dxfId="5333" priority="62">
      <formula>T$9&lt;8/24</formula>
    </cfRule>
  </conditionalFormatting>
  <conditionalFormatting sqref="T34:X34">
    <cfRule type="expression" dxfId="5332" priority="55">
      <formula>T$9&gt;=20/24</formula>
    </cfRule>
    <cfRule type="expression" dxfId="5331" priority="56">
      <formula>AND(T$9&gt;=14/24,T$9&lt;20/24)</formula>
    </cfRule>
    <cfRule type="expression" dxfId="5330" priority="57">
      <formula>AND(T$9&gt;=8/24,T$9&lt;14/24)</formula>
    </cfRule>
    <cfRule type="expression" dxfId="5329" priority="58">
      <formula>T$9&lt;8/24</formula>
    </cfRule>
  </conditionalFormatting>
  <conditionalFormatting sqref="T15:X31">
    <cfRule type="expression" dxfId="5328" priority="51">
      <formula>T$9&gt;=20/24</formula>
    </cfRule>
    <cfRule type="expression" dxfId="5327" priority="52">
      <formula>AND(T$9&gt;=14/24,T$9&lt;20/24)</formula>
    </cfRule>
    <cfRule type="expression" dxfId="5326" priority="53">
      <formula>AND(T$9&gt;=8/24,T$9&lt;14/24)</formula>
    </cfRule>
    <cfRule type="expression" dxfId="5325" priority="54">
      <formula>T$9&lt;8/24</formula>
    </cfRule>
  </conditionalFormatting>
  <conditionalFormatting sqref="T33:X33">
    <cfRule type="expression" dxfId="5324" priority="47">
      <formula>T$9&gt;=20/24</formula>
    </cfRule>
    <cfRule type="expression" dxfId="5323" priority="48">
      <formula>AND(T$9&gt;=14/24,T$9&lt;20/24)</formula>
    </cfRule>
    <cfRule type="expression" dxfId="5322" priority="49">
      <formula>AND(T$9&gt;=8/24,T$9&lt;14/24)</formula>
    </cfRule>
    <cfRule type="expression" dxfId="5321" priority="50">
      <formula>T$9&lt;8/24</formula>
    </cfRule>
  </conditionalFormatting>
  <conditionalFormatting sqref="T15:X31 T33:X33">
    <cfRule type="expression" dxfId="5320" priority="46">
      <formula>T15&gt;$AG15</formula>
    </cfRule>
  </conditionalFormatting>
  <conditionalFormatting sqref="T32:X32">
    <cfRule type="expression" dxfId="5319" priority="42">
      <formula>T$9&gt;=20/24</formula>
    </cfRule>
    <cfRule type="expression" dxfId="5318" priority="43">
      <formula>AND(T$9&gt;=14/24,T$9&lt;20/24)</formula>
    </cfRule>
    <cfRule type="expression" dxfId="5317" priority="44">
      <formula>AND(T$9&gt;=8/24,T$9&lt;14/24)</formula>
    </cfRule>
    <cfRule type="expression" dxfId="5316" priority="45">
      <formula>T$9&lt;8/24</formula>
    </cfRule>
  </conditionalFormatting>
  <conditionalFormatting sqref="T32:X32">
    <cfRule type="expression" dxfId="5315" priority="41">
      <formula>T32&gt;$AG32</formula>
    </cfRule>
  </conditionalFormatting>
  <conditionalFormatting sqref="T47:X47">
    <cfRule type="expression" dxfId="5314" priority="37">
      <formula>T$9&gt;=20/24</formula>
    </cfRule>
    <cfRule type="expression" dxfId="5313" priority="38">
      <formula>AND(T$9&gt;=14/24,T$9&lt;20/24)</formula>
    </cfRule>
    <cfRule type="expression" dxfId="5312" priority="39">
      <formula>AND(T$9&gt;=8/24,T$9&lt;14/24)</formula>
    </cfRule>
    <cfRule type="expression" dxfId="5311" priority="40">
      <formula>T$9&lt;8/24</formula>
    </cfRule>
  </conditionalFormatting>
  <conditionalFormatting sqref="T43:T46 U43:X45">
    <cfRule type="expression" dxfId="5310" priority="33">
      <formula>T$9&gt;=20/24</formula>
    </cfRule>
    <cfRule type="expression" dxfId="5309" priority="34">
      <formula>AND(T$9&gt;=14/24,T$9&lt;20/24)</formula>
    </cfRule>
    <cfRule type="expression" dxfId="5308" priority="35">
      <formula>AND(T$9&gt;=8/24,T$9&lt;14/24)</formula>
    </cfRule>
    <cfRule type="expression" dxfId="5307" priority="36">
      <formula>T$9&lt;8/24</formula>
    </cfRule>
  </conditionalFormatting>
  <conditionalFormatting sqref="T47:X47">
    <cfRule type="expression" dxfId="5306" priority="29">
      <formula>T$9&gt;=20/24</formula>
    </cfRule>
    <cfRule type="expression" dxfId="5305" priority="30">
      <formula>AND(T$9&gt;=14/24,T$9&lt;20/24)</formula>
    </cfRule>
    <cfRule type="expression" dxfId="5304" priority="31">
      <formula>AND(T$9&gt;=8/24,T$9&lt;14/24)</formula>
    </cfRule>
    <cfRule type="expression" dxfId="5303" priority="32">
      <formula>T$9&lt;8/24</formula>
    </cfRule>
  </conditionalFormatting>
  <conditionalFormatting sqref="T48:X48">
    <cfRule type="expression" dxfId="5302" priority="25">
      <formula>T$9&gt;=20/24</formula>
    </cfRule>
    <cfRule type="expression" dxfId="5301" priority="26">
      <formula>AND(T$9&gt;=14/24,T$9&lt;20/24)</formula>
    </cfRule>
    <cfRule type="expression" dxfId="5300" priority="27">
      <formula>AND(T$9&gt;=8/24,T$9&lt;14/24)</formula>
    </cfRule>
    <cfRule type="expression" dxfId="5299" priority="28">
      <formula>T$9&lt;8/24</formula>
    </cfRule>
  </conditionalFormatting>
  <conditionalFormatting sqref="T43:T48 U43:X45 U47:X48">
    <cfRule type="expression" dxfId="5298" priority="24">
      <formula>T43&gt;$AG43</formula>
    </cfRule>
  </conditionalFormatting>
  <conditionalFormatting sqref="T42:X42">
    <cfRule type="expression" dxfId="5297" priority="20">
      <formula>T$9&gt;=20/24</formula>
    </cfRule>
    <cfRule type="expression" dxfId="5296" priority="21">
      <formula>AND(T$9&gt;=14/24,T$9&lt;20/24)</formula>
    </cfRule>
    <cfRule type="expression" dxfId="5295" priority="22">
      <formula>AND(T$9&gt;=8/24,T$9&lt;14/24)</formula>
    </cfRule>
    <cfRule type="expression" dxfId="5294" priority="23">
      <formula>T$9&lt;8/24</formula>
    </cfRule>
  </conditionalFormatting>
  <conditionalFormatting sqref="T42:X42">
    <cfRule type="expression" dxfId="5293" priority="19">
      <formula>T42&gt;$AG42</formula>
    </cfRule>
  </conditionalFormatting>
  <conditionalFormatting sqref="T43:T46 U43:X45">
    <cfRule type="expression" dxfId="5292" priority="15">
      <formula>T$9&gt;=20/24</formula>
    </cfRule>
    <cfRule type="expression" dxfId="5291" priority="16">
      <formula>AND(T$9&gt;=14/24,T$9&lt;20/24)</formula>
    </cfRule>
    <cfRule type="expression" dxfId="5290" priority="17">
      <formula>AND(T$9&gt;=8/24,T$9&lt;14/24)</formula>
    </cfRule>
    <cfRule type="expression" dxfId="5289" priority="18">
      <formula>T$9&lt;8/24</formula>
    </cfRule>
  </conditionalFormatting>
  <conditionalFormatting sqref="T48:X48">
    <cfRule type="expression" dxfId="5288" priority="11">
      <formula>T$9&gt;=20/24</formula>
    </cfRule>
    <cfRule type="expression" dxfId="5287" priority="12">
      <formula>AND(T$9&gt;=14/24,T$9&lt;20/24)</formula>
    </cfRule>
    <cfRule type="expression" dxfId="5286" priority="13">
      <formula>AND(T$9&gt;=8/24,T$9&lt;14/24)</formula>
    </cfRule>
    <cfRule type="expression" dxfId="5285" priority="14">
      <formula>T$9&lt;8/24</formula>
    </cfRule>
  </conditionalFormatting>
  <conditionalFormatting sqref="T43:T46 U43:X45">
    <cfRule type="expression" dxfId="5284" priority="7">
      <formula>T$9&gt;=20/24</formula>
    </cfRule>
    <cfRule type="expression" dxfId="5283" priority="8">
      <formula>AND(T$9&gt;=14/24,T$9&lt;20/24)</formula>
    </cfRule>
    <cfRule type="expression" dxfId="5282" priority="9">
      <formula>AND(T$9&gt;=8/24,T$9&lt;14/24)</formula>
    </cfRule>
    <cfRule type="expression" dxfId="5281" priority="10">
      <formula>T$9&lt;8/24</formula>
    </cfRule>
  </conditionalFormatting>
  <conditionalFormatting sqref="Y51:Y53">
    <cfRule type="expression" dxfId="5280" priority="2">
      <formula>Y$9&gt;=20/24</formula>
    </cfRule>
    <cfRule type="expression" dxfId="5279" priority="3">
      <formula>AND(Y$9&gt;=14/24,Y$9&lt;20/24)</formula>
    </cfRule>
    <cfRule type="expression" dxfId="5278" priority="4">
      <formula>AND(Y$9&gt;=8/24,Y$9&lt;14/24)</formula>
    </cfRule>
    <cfRule type="expression" dxfId="5277" priority="5">
      <formula>Y$9&lt;8/24</formula>
    </cfRule>
  </conditionalFormatting>
  <conditionalFormatting sqref="Y51:Y53">
    <cfRule type="expression" dxfId="5276" priority="1">
      <formula>Y51&gt;$AG51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16" sqref="H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2078/04/18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-72.599999999999994</v>
      </c>
      <c r="C5" s="32">
        <f t="shared" ref="C5:AF5" si="0">C66</f>
        <v>-45.5</v>
      </c>
      <c r="D5" s="32">
        <f t="shared" si="0"/>
        <v>-56.2</v>
      </c>
      <c r="E5" s="32">
        <f t="shared" si="0"/>
        <v>-62</v>
      </c>
      <c r="F5" s="32">
        <f t="shared" si="0"/>
        <v>-42</v>
      </c>
      <c r="G5" s="32">
        <f t="shared" si="0"/>
        <v>-37</v>
      </c>
      <c r="H5" s="32">
        <f t="shared" si="0"/>
        <v>-32.299999999999997</v>
      </c>
      <c r="I5" s="32">
        <f t="shared" si="0"/>
        <v>-15</v>
      </c>
      <c r="J5" s="32">
        <f t="shared" si="0"/>
        <v>-36.9</v>
      </c>
      <c r="K5" s="32">
        <f t="shared" si="0"/>
        <v>-52.6</v>
      </c>
      <c r="L5" s="32">
        <f t="shared" si="0"/>
        <v>-13.9</v>
      </c>
      <c r="M5" s="32">
        <f t="shared" si="0"/>
        <v>-48.6</v>
      </c>
      <c r="N5" s="32">
        <f t="shared" si="0"/>
        <v>-22.6</v>
      </c>
      <c r="O5" s="32">
        <f t="shared" si="0"/>
        <v>-37.1</v>
      </c>
      <c r="P5" s="32">
        <f t="shared" si="0"/>
        <v>-1.4</v>
      </c>
      <c r="Q5" s="32">
        <f t="shared" si="0"/>
        <v>-2.5</v>
      </c>
      <c r="R5" s="32">
        <f t="shared" si="0"/>
        <v>-52.4</v>
      </c>
      <c r="S5" s="32">
        <f t="shared" si="0"/>
        <v>-56.7</v>
      </c>
      <c r="T5" s="32">
        <f t="shared" si="0"/>
        <v>-60.1</v>
      </c>
      <c r="U5" s="32">
        <f t="shared" si="0"/>
        <v>-60.1</v>
      </c>
      <c r="V5" s="32">
        <f t="shared" si="0"/>
        <v>-50.2</v>
      </c>
      <c r="W5" s="32">
        <f t="shared" si="0"/>
        <v>-63.9</v>
      </c>
      <c r="X5" s="32">
        <f t="shared" si="0"/>
        <v>-54.400000000000006</v>
      </c>
      <c r="Y5" s="32">
        <f t="shared" si="0"/>
        <v>-151.5</v>
      </c>
      <c r="Z5" s="32">
        <f t="shared" si="0"/>
        <v>-151.4</v>
      </c>
      <c r="AA5" s="32">
        <f t="shared" si="0"/>
        <v>-191.5</v>
      </c>
      <c r="AB5" s="32">
        <f t="shared" si="0"/>
        <v>-203.5</v>
      </c>
      <c r="AC5" s="32">
        <f t="shared" si="0"/>
        <v>-196.4</v>
      </c>
      <c r="AD5" s="32">
        <f t="shared" si="0"/>
        <v>-281</v>
      </c>
      <c r="AE5" s="32">
        <f t="shared" si="0"/>
        <v>-241.8</v>
      </c>
      <c r="AF5" s="32">
        <f t="shared" si="0"/>
        <v>-238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1192MW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Load=976</v>
      </c>
      <c r="B7" s="37">
        <f t="shared" ref="B7:AF7" si="1">B73</f>
        <v>1020.2400000000001</v>
      </c>
      <c r="C7" s="37">
        <f t="shared" si="1"/>
        <v>1022.3400000000001</v>
      </c>
      <c r="D7" s="37">
        <f t="shared" si="1"/>
        <v>982.54000000000008</v>
      </c>
      <c r="E7" s="37">
        <f t="shared" si="1"/>
        <v>976.24</v>
      </c>
      <c r="F7" s="37">
        <f t="shared" si="1"/>
        <v>988.04000000000019</v>
      </c>
      <c r="G7" s="37">
        <f t="shared" si="1"/>
        <v>1004.44</v>
      </c>
      <c r="H7" s="37">
        <f t="shared" si="1"/>
        <v>1025.3400000000001</v>
      </c>
      <c r="I7" s="37">
        <f t="shared" si="1"/>
        <v>1088.6400000000001</v>
      </c>
      <c r="J7" s="37">
        <f t="shared" si="1"/>
        <v>1142.74</v>
      </c>
      <c r="K7" s="37">
        <f t="shared" si="1"/>
        <v>1178.4399999999998</v>
      </c>
      <c r="L7" s="37">
        <f>L73</f>
        <v>1175.54</v>
      </c>
      <c r="M7" s="37">
        <f t="shared" si="1"/>
        <v>1192.24</v>
      </c>
      <c r="N7" s="37">
        <f t="shared" si="1"/>
        <v>1247.6400000000001</v>
      </c>
      <c r="O7" s="37">
        <f t="shared" si="1"/>
        <v>1224.44</v>
      </c>
      <c r="P7" s="37">
        <f t="shared" si="1"/>
        <v>1223.8400000000001</v>
      </c>
      <c r="Q7" s="37">
        <f t="shared" si="1"/>
        <v>1283.04</v>
      </c>
      <c r="R7" s="37">
        <f t="shared" si="1"/>
        <v>1289.74</v>
      </c>
      <c r="S7" s="37">
        <f t="shared" si="1"/>
        <v>1278.54</v>
      </c>
      <c r="T7" s="37">
        <f t="shared" si="1"/>
        <v>1265.04</v>
      </c>
      <c r="U7" s="37">
        <f t="shared" si="1"/>
        <v>1239.97</v>
      </c>
      <c r="V7" s="37">
        <f t="shared" si="1"/>
        <v>1271.04</v>
      </c>
      <c r="W7" s="37">
        <f t="shared" si="1"/>
        <v>1550.44</v>
      </c>
      <c r="X7" s="37">
        <f t="shared" si="1"/>
        <v>1560.44</v>
      </c>
      <c r="Y7" s="37">
        <f t="shared" si="1"/>
        <v>1463.3400000000001</v>
      </c>
      <c r="Z7" s="37">
        <f t="shared" si="1"/>
        <v>1461.44</v>
      </c>
      <c r="AA7" s="37">
        <f t="shared" si="1"/>
        <v>1421.3400000000001</v>
      </c>
      <c r="AB7" s="37">
        <f t="shared" si="1"/>
        <v>1392.04</v>
      </c>
      <c r="AC7" s="37">
        <f t="shared" si="1"/>
        <v>1353.8400000000001</v>
      </c>
      <c r="AD7" s="37">
        <f t="shared" si="1"/>
        <v>1216.94</v>
      </c>
      <c r="AE7" s="37">
        <f t="shared" si="1"/>
        <v>1192.94</v>
      </c>
      <c r="AF7" s="37">
        <f t="shared" si="1"/>
        <v>1131.8400000000001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9" t="s">
        <v>17</v>
      </c>
      <c r="AB8" s="210"/>
      <c r="AC8" s="210"/>
      <c r="AD8" s="210"/>
      <c r="AE8" s="210"/>
      <c r="AF8" s="210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198">
        <v>0.58333333333333304</v>
      </c>
      <c r="S9" s="198">
        <v>0.625</v>
      </c>
      <c r="T9" s="198">
        <v>0.66666666666666696</v>
      </c>
      <c r="U9" s="198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8" t="s">
        <v>19</v>
      </c>
      <c r="B11" s="49">
        <v>150</v>
      </c>
      <c r="C11" s="49">
        <v>140</v>
      </c>
      <c r="D11" s="49">
        <v>150</v>
      </c>
      <c r="E11" s="49">
        <v>150</v>
      </c>
      <c r="F11" s="49">
        <v>140</v>
      </c>
      <c r="G11" s="49">
        <v>150</v>
      </c>
      <c r="H11" s="49">
        <v>160</v>
      </c>
      <c r="I11" s="49">
        <v>160</v>
      </c>
      <c r="J11" s="49">
        <v>180</v>
      </c>
      <c r="K11" s="49">
        <v>200</v>
      </c>
      <c r="L11" s="50">
        <v>160</v>
      </c>
      <c r="M11" s="50">
        <v>200</v>
      </c>
      <c r="N11" s="50">
        <v>201.8</v>
      </c>
      <c r="O11" s="50">
        <v>250</v>
      </c>
      <c r="P11" s="50">
        <v>230</v>
      </c>
      <c r="Q11" s="51">
        <v>230</v>
      </c>
      <c r="R11" s="51">
        <v>270</v>
      </c>
      <c r="S11" s="52">
        <v>260</v>
      </c>
      <c r="T11" s="52">
        <v>250</v>
      </c>
      <c r="U11" s="52">
        <v>250</v>
      </c>
      <c r="V11" s="52">
        <v>250</v>
      </c>
      <c r="W11" s="52">
        <v>456</v>
      </c>
      <c r="X11" s="52">
        <v>456</v>
      </c>
      <c r="Y11" s="52">
        <v>456</v>
      </c>
      <c r="Z11" s="52">
        <v>456</v>
      </c>
      <c r="AA11" s="52">
        <v>456</v>
      </c>
      <c r="AB11" s="52">
        <v>456</v>
      </c>
      <c r="AC11" s="52">
        <v>420</v>
      </c>
      <c r="AD11" s="115">
        <v>380</v>
      </c>
      <c r="AE11" s="49">
        <v>350</v>
      </c>
      <c r="AF11" s="49">
        <v>370</v>
      </c>
      <c r="AG11" s="54">
        <v>456</v>
      </c>
      <c r="AH11" s="55">
        <f>MAX(B11:AF11)</f>
        <v>456</v>
      </c>
      <c r="AI11" s="56">
        <f>MIN(B11:AF11)</f>
        <v>140</v>
      </c>
      <c r="AJ11" s="180">
        <f>AVERAGE(B11:J11)</f>
        <v>153.33333333333334</v>
      </c>
      <c r="AK11" s="181">
        <v>456</v>
      </c>
      <c r="AL11" s="182">
        <f>(AK11-AJ11)*$AN$12</f>
        <v>1967.333333333333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5.75" thickBot="1" x14ac:dyDescent="0.3">
      <c r="A12" s="58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48</v>
      </c>
      <c r="H12" s="49">
        <v>48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50</v>
      </c>
      <c r="P12" s="49">
        <v>50</v>
      </c>
      <c r="Q12" s="49">
        <v>50</v>
      </c>
      <c r="R12" s="49">
        <v>50</v>
      </c>
      <c r="S12" s="59">
        <v>50</v>
      </c>
      <c r="T12" s="59">
        <v>50</v>
      </c>
      <c r="U12" s="59">
        <v>50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9">
        <v>60</v>
      </c>
      <c r="AB12" s="59">
        <v>60</v>
      </c>
      <c r="AC12" s="59">
        <v>60</v>
      </c>
      <c r="AD12" s="50">
        <v>60</v>
      </c>
      <c r="AE12" s="50">
        <v>60</v>
      </c>
      <c r="AF12" s="49">
        <v>48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J12" s="183">
        <f>AVERAGE(B12:J12)</f>
        <v>50.666666666666664</v>
      </c>
      <c r="AK12" s="184">
        <v>60</v>
      </c>
      <c r="AL12" s="182">
        <f t="shared" ref="AL12:AL25" si="4">(AK12-AJ12)*$AN$12</f>
        <v>60.666666666666686</v>
      </c>
      <c r="AM12" s="26" t="s">
        <v>229</v>
      </c>
      <c r="AN12" s="184">
        <v>6.5</v>
      </c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5.75" thickBot="1" x14ac:dyDescent="0.3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50">
        <v>0</v>
      </c>
      <c r="AE13" s="50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J13" s="183"/>
      <c r="AK13" s="184"/>
      <c r="AL13" s="182">
        <f t="shared" si="4"/>
        <v>0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5.75" thickBot="1" x14ac:dyDescent="0.3">
      <c r="A14" s="58" t="s">
        <v>22</v>
      </c>
      <c r="B14" s="62">
        <v>37.1</v>
      </c>
      <c r="C14" s="62">
        <v>37.1</v>
      </c>
      <c r="D14" s="62">
        <v>37.1</v>
      </c>
      <c r="E14" s="62">
        <v>37.1</v>
      </c>
      <c r="F14" s="62">
        <v>37.1</v>
      </c>
      <c r="G14" s="62">
        <v>37.1</v>
      </c>
      <c r="H14" s="62">
        <v>37.1</v>
      </c>
      <c r="I14" s="62">
        <v>46</v>
      </c>
      <c r="J14" s="62">
        <v>46</v>
      </c>
      <c r="K14" s="62">
        <v>46</v>
      </c>
      <c r="L14" s="50">
        <v>46</v>
      </c>
      <c r="M14" s="50">
        <v>45.8</v>
      </c>
      <c r="N14" s="50">
        <v>45.8</v>
      </c>
      <c r="O14" s="50">
        <v>36.9</v>
      </c>
      <c r="P14" s="50">
        <v>36.9</v>
      </c>
      <c r="Q14" s="50">
        <v>36.9</v>
      </c>
      <c r="R14" s="50">
        <v>36.9</v>
      </c>
      <c r="S14" s="61">
        <v>37.1</v>
      </c>
      <c r="T14" s="61">
        <v>37.1</v>
      </c>
      <c r="U14" s="61">
        <v>37.1</v>
      </c>
      <c r="V14" s="61">
        <v>45.8</v>
      </c>
      <c r="W14" s="61">
        <v>45.8</v>
      </c>
      <c r="X14" s="61">
        <v>45.8</v>
      </c>
      <c r="Y14" s="61">
        <v>45.8</v>
      </c>
      <c r="Z14" s="61">
        <v>45.8</v>
      </c>
      <c r="AA14" s="61">
        <v>45.8</v>
      </c>
      <c r="AB14" s="61">
        <v>45.8</v>
      </c>
      <c r="AC14" s="61">
        <v>45.8</v>
      </c>
      <c r="AD14" s="50">
        <v>46</v>
      </c>
      <c r="AE14" s="50">
        <v>46</v>
      </c>
      <c r="AF14" s="62">
        <v>37.200000000000003</v>
      </c>
      <c r="AG14" s="63">
        <v>45</v>
      </c>
      <c r="AH14" s="55">
        <f t="shared" si="2"/>
        <v>46</v>
      </c>
      <c r="AI14" s="56">
        <f t="shared" si="3"/>
        <v>36.9</v>
      </c>
      <c r="AJ14" s="183">
        <f>AVERAGE(B14:J14)</f>
        <v>39.077777777777776</v>
      </c>
      <c r="AK14" s="184">
        <v>45</v>
      </c>
      <c r="AL14" s="182">
        <f t="shared" si="4"/>
        <v>38.494444444444454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5.75" thickBot="1" x14ac:dyDescent="0.3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28</v>
      </c>
      <c r="X15" s="84">
        <v>28</v>
      </c>
      <c r="Y15" s="84">
        <v>28</v>
      </c>
      <c r="Z15" s="84">
        <v>32</v>
      </c>
      <c r="AA15" s="84">
        <v>32</v>
      </c>
      <c r="AB15" s="84">
        <v>32</v>
      </c>
      <c r="AC15" s="84">
        <v>32</v>
      </c>
      <c r="AD15" s="50">
        <v>26</v>
      </c>
      <c r="AE15" s="50">
        <v>26</v>
      </c>
      <c r="AF15" s="49">
        <v>26</v>
      </c>
      <c r="AG15" s="60">
        <v>45</v>
      </c>
      <c r="AH15" s="55">
        <f t="shared" si="2"/>
        <v>32</v>
      </c>
      <c r="AI15" s="56">
        <f t="shared" si="3"/>
        <v>26</v>
      </c>
      <c r="AJ15" s="183">
        <f>AVERAGE(B15:J15)</f>
        <v>26</v>
      </c>
      <c r="AK15" s="184">
        <v>26</v>
      </c>
      <c r="AL15" s="182">
        <f t="shared" si="4"/>
        <v>0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61">
        <v>25</v>
      </c>
      <c r="Z16" s="61">
        <v>25</v>
      </c>
      <c r="AA16" s="61">
        <v>25</v>
      </c>
      <c r="AB16" s="61">
        <v>25</v>
      </c>
      <c r="AC16" s="61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20</v>
      </c>
      <c r="AJ16" s="183">
        <f>AVERAGE(B16:J16)</f>
        <v>21.111111111111111</v>
      </c>
      <c r="AK16" s="184">
        <v>25</v>
      </c>
      <c r="AL16" s="182">
        <f t="shared" si="4"/>
        <v>25.277777777777779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J17" s="183">
        <f>AVERAGE(B17:J17)</f>
        <v>21.111111111111111</v>
      </c>
      <c r="AK17" s="184">
        <v>25</v>
      </c>
      <c r="AL17" s="60">
        <f t="shared" si="4"/>
        <v>25.277777777777779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25</v>
      </c>
      <c r="J18" s="49">
        <v>25</v>
      </c>
      <c r="K18" s="49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20.100000000000001</v>
      </c>
      <c r="R18" s="50">
        <v>20.3</v>
      </c>
      <c r="S18" s="50">
        <v>25.3</v>
      </c>
      <c r="T18" s="50">
        <v>25.3</v>
      </c>
      <c r="U18" s="50">
        <v>13.1</v>
      </c>
      <c r="V18" s="50">
        <v>25.2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50">
        <v>25.2</v>
      </c>
      <c r="AF18" s="50">
        <v>25.2</v>
      </c>
      <c r="AG18" s="60">
        <v>30</v>
      </c>
      <c r="AH18" s="55">
        <f t="shared" si="2"/>
        <v>25.3</v>
      </c>
      <c r="AI18" s="56">
        <f t="shared" si="3"/>
        <v>13.1</v>
      </c>
      <c r="AJ18" s="183">
        <f>AVERAGE(B18:J18)</f>
        <v>21.111111111111111</v>
      </c>
      <c r="AK18" s="184">
        <v>25</v>
      </c>
      <c r="AL18" s="60">
        <f t="shared" si="4"/>
        <v>25.277777777777779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J19" s="186"/>
      <c r="AK19" s="187"/>
      <c r="AL19" s="60">
        <f t="shared" si="4"/>
        <v>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J20" s="186"/>
      <c r="AK20" s="187"/>
      <c r="AL20" s="60">
        <f t="shared" si="4"/>
        <v>0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20</v>
      </c>
      <c r="C21" s="49">
        <v>20</v>
      </c>
      <c r="D21" s="49">
        <v>20</v>
      </c>
      <c r="E21" s="49">
        <v>20</v>
      </c>
      <c r="F21" s="49">
        <v>20</v>
      </c>
      <c r="G21" s="49">
        <v>20</v>
      </c>
      <c r="H21" s="49">
        <v>20</v>
      </c>
      <c r="I21" s="49">
        <v>20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20</v>
      </c>
      <c r="AJ21" s="186"/>
      <c r="AK21" s="187"/>
      <c r="AL21" s="60">
        <f t="shared" si="4"/>
        <v>0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18</v>
      </c>
      <c r="C22" s="49">
        <v>18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22.1</v>
      </c>
      <c r="K22" s="49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0">
        <v>25</v>
      </c>
      <c r="AH22" s="55">
        <f t="shared" si="2"/>
        <v>22.1</v>
      </c>
      <c r="AI22" s="56">
        <f t="shared" si="3"/>
        <v>18</v>
      </c>
      <c r="AJ22" s="183">
        <f>AVERAGE(B22:J22)</f>
        <v>18.455555555555556</v>
      </c>
      <c r="AK22" s="184">
        <v>22</v>
      </c>
      <c r="AL22" s="60">
        <f t="shared" si="4"/>
        <v>23.038888888888888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18</v>
      </c>
      <c r="C23" s="49">
        <v>18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0</v>
      </c>
      <c r="AD23" s="50">
        <v>0</v>
      </c>
      <c r="AE23" s="50">
        <v>0</v>
      </c>
      <c r="AF23" s="50">
        <v>0</v>
      </c>
      <c r="AG23" s="60">
        <v>25</v>
      </c>
      <c r="AH23" s="55">
        <f t="shared" si="2"/>
        <v>22</v>
      </c>
      <c r="AI23" s="56">
        <f t="shared" si="3"/>
        <v>0</v>
      </c>
      <c r="AJ23" s="183">
        <f>AVERAGE(B23:J23)</f>
        <v>18.888888888888889</v>
      </c>
      <c r="AK23" s="184">
        <v>22</v>
      </c>
      <c r="AL23" s="60">
        <f t="shared" si="4"/>
        <v>20.222222222222221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18</v>
      </c>
      <c r="AJ24" s="183">
        <f>AVERAGE(B24:J24)</f>
        <v>18.888888888888889</v>
      </c>
      <c r="AK24" s="184">
        <v>22</v>
      </c>
      <c r="AL24" s="60">
        <f t="shared" si="4"/>
        <v>20.222222222222221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12</v>
      </c>
      <c r="K25" s="49">
        <v>12</v>
      </c>
      <c r="L25" s="50">
        <v>12</v>
      </c>
      <c r="M25" s="50">
        <v>12</v>
      </c>
      <c r="N25" s="50">
        <v>12</v>
      </c>
      <c r="O25" s="50">
        <v>12</v>
      </c>
      <c r="P25" s="50">
        <v>12</v>
      </c>
      <c r="Q25" s="50">
        <v>12</v>
      </c>
      <c r="R25" s="50">
        <v>12</v>
      </c>
      <c r="S25" s="50">
        <v>12</v>
      </c>
      <c r="T25" s="50">
        <v>12</v>
      </c>
      <c r="U25" s="50">
        <v>12</v>
      </c>
      <c r="V25" s="50">
        <v>12</v>
      </c>
      <c r="W25" s="50">
        <v>20</v>
      </c>
      <c r="X25" s="50">
        <v>20</v>
      </c>
      <c r="Y25" s="50">
        <v>20</v>
      </c>
      <c r="Z25" s="50">
        <v>14</v>
      </c>
      <c r="AA25" s="50">
        <v>14</v>
      </c>
      <c r="AB25" s="50">
        <v>14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20</v>
      </c>
      <c r="AI25" s="56">
        <f t="shared" si="3"/>
        <v>8</v>
      </c>
      <c r="AJ25" s="183">
        <f>AVERAGE(B25:J25)</f>
        <v>8.4444444444444446</v>
      </c>
      <c r="AK25" s="184">
        <v>20</v>
      </c>
      <c r="AL25" s="60">
        <f t="shared" si="4"/>
        <v>75.111111111111114</v>
      </c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11</v>
      </c>
      <c r="C26" s="49">
        <v>11</v>
      </c>
      <c r="D26" s="49">
        <v>11</v>
      </c>
      <c r="E26" s="49">
        <v>11</v>
      </c>
      <c r="F26" s="49">
        <v>11</v>
      </c>
      <c r="G26" s="49">
        <v>11</v>
      </c>
      <c r="H26" s="49">
        <v>11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49">
        <v>14.9</v>
      </c>
      <c r="AE26" s="49">
        <v>14.9</v>
      </c>
      <c r="AF26" s="49">
        <v>14.9</v>
      </c>
      <c r="AG26" s="60">
        <v>23.5</v>
      </c>
      <c r="AH26" s="55">
        <f t="shared" si="2"/>
        <v>14.9</v>
      </c>
      <c r="AI26" s="56">
        <f t="shared" si="3"/>
        <v>11</v>
      </c>
      <c r="AJ26" s="186"/>
      <c r="AK26" s="187"/>
      <c r="AL26" s="6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J27" s="186"/>
      <c r="AK27" s="187" t="s">
        <v>226</v>
      </c>
      <c r="AL27" s="60">
        <f>SUM(AL11:AL25)</f>
        <v>2280.922222222222</v>
      </c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12.3</v>
      </c>
      <c r="S28" s="50">
        <v>12.3</v>
      </c>
      <c r="T28" s="50">
        <v>12.3</v>
      </c>
      <c r="U28" s="50">
        <v>12.3</v>
      </c>
      <c r="V28" s="50">
        <v>12.3</v>
      </c>
      <c r="W28" s="50">
        <v>12.3</v>
      </c>
      <c r="X28" s="50">
        <v>12.3</v>
      </c>
      <c r="Y28" s="50">
        <v>12.3</v>
      </c>
      <c r="Z28" s="50">
        <v>12.3</v>
      </c>
      <c r="AA28" s="50">
        <v>12.3</v>
      </c>
      <c r="AB28" s="50">
        <v>12.3</v>
      </c>
      <c r="AC28" s="50">
        <v>12.3</v>
      </c>
      <c r="AD28" s="50">
        <v>12.3</v>
      </c>
      <c r="AE28" s="50">
        <v>12.3</v>
      </c>
      <c r="AF28" s="50">
        <v>12.3</v>
      </c>
      <c r="AG28" s="60">
        <v>22.1</v>
      </c>
      <c r="AH28" s="55">
        <f t="shared" si="2"/>
        <v>12.4</v>
      </c>
      <c r="AI28" s="56">
        <f t="shared" si="3"/>
        <v>12.3</v>
      </c>
      <c r="AJ28" s="186"/>
      <c r="AK28" s="187" t="s">
        <v>7</v>
      </c>
      <c r="AL28" s="60">
        <f>AL27-AL11</f>
        <v>313.58888888888896</v>
      </c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J29" s="186"/>
      <c r="AK29" s="187"/>
      <c r="AL29" s="185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J30" s="186"/>
      <c r="AK30" s="187"/>
      <c r="AL30" s="185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J31" s="186"/>
      <c r="AK31" s="187"/>
      <c r="AL31" s="185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J32" s="186"/>
      <c r="AK32" s="187"/>
      <c r="AL32" s="185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J33" s="186"/>
      <c r="AK33" s="187"/>
      <c r="AL33" s="185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J34" s="186"/>
      <c r="AK34" s="187"/>
      <c r="AL34" s="188"/>
    </row>
    <row r="35" spans="1:88" ht="15.75" thickBot="1" x14ac:dyDescent="0.3">
      <c r="A35" s="69" t="s">
        <v>42</v>
      </c>
      <c r="B35" s="62">
        <f>61.8+87.8</f>
        <v>149.6</v>
      </c>
      <c r="C35" s="62">
        <f t="shared" ref="C35:K35" si="5">62.8+87.9</f>
        <v>150.69999999999999</v>
      </c>
      <c r="D35" s="62">
        <f t="shared" si="5"/>
        <v>150.69999999999999</v>
      </c>
      <c r="E35" s="62">
        <f t="shared" si="5"/>
        <v>150.69999999999999</v>
      </c>
      <c r="F35" s="62">
        <f t="shared" si="5"/>
        <v>150.69999999999999</v>
      </c>
      <c r="G35" s="62">
        <f t="shared" si="5"/>
        <v>150.69999999999999</v>
      </c>
      <c r="H35" s="62">
        <f t="shared" si="5"/>
        <v>150.69999999999999</v>
      </c>
      <c r="I35" s="62">
        <f t="shared" si="5"/>
        <v>150.69999999999999</v>
      </c>
      <c r="J35" s="62">
        <f t="shared" si="5"/>
        <v>150.69999999999999</v>
      </c>
      <c r="K35" s="62">
        <f t="shared" si="5"/>
        <v>150.69999999999999</v>
      </c>
      <c r="L35" s="70">
        <f>74.2+92.8</f>
        <v>167</v>
      </c>
      <c r="M35" s="70">
        <f>91.4+73.1</f>
        <v>164.5</v>
      </c>
      <c r="N35" s="70">
        <f>92.5+72.3</f>
        <v>164.8</v>
      </c>
      <c r="O35" s="70">
        <f>92.6+70.9</f>
        <v>163.5</v>
      </c>
      <c r="P35" s="70">
        <v>171.5</v>
      </c>
      <c r="Q35" s="70">
        <v>157.5</v>
      </c>
      <c r="R35" s="70">
        <v>158</v>
      </c>
      <c r="S35" s="70">
        <v>157.30000000000001</v>
      </c>
      <c r="T35" s="70">
        <v>157.30000000000001</v>
      </c>
      <c r="U35" s="70">
        <f>70.7+86.5</f>
        <v>157.19999999999999</v>
      </c>
      <c r="V35" s="70">
        <f>70.8+89.7</f>
        <v>160.5</v>
      </c>
      <c r="W35" s="70">
        <v>158</v>
      </c>
      <c r="X35" s="70">
        <v>158</v>
      </c>
      <c r="Y35" s="70">
        <v>158</v>
      </c>
      <c r="Z35" s="70">
        <v>158</v>
      </c>
      <c r="AA35" s="70">
        <v>165</v>
      </c>
      <c r="AB35" s="70">
        <v>165</v>
      </c>
      <c r="AC35" s="70">
        <v>166.9</v>
      </c>
      <c r="AD35" s="70">
        <v>168</v>
      </c>
      <c r="AE35" s="70">
        <v>168</v>
      </c>
      <c r="AF35" s="62">
        <v>169</v>
      </c>
      <c r="AG35" s="67">
        <v>240</v>
      </c>
      <c r="AH35" s="55">
        <f t="shared" si="2"/>
        <v>171.5</v>
      </c>
      <c r="AI35" s="56">
        <f t="shared" si="3"/>
        <v>149.6</v>
      </c>
      <c r="AJ35" s="186"/>
      <c r="AK35" s="187"/>
      <c r="AL35" s="188"/>
    </row>
    <row r="36" spans="1:88" ht="15.75" thickBot="1" x14ac:dyDescent="0.3">
      <c r="A36" s="71" t="s">
        <v>43</v>
      </c>
      <c r="B36" s="72">
        <f t="shared" ref="B36:AF36" si="6">SUM(B11:B34)</f>
        <v>697.7</v>
      </c>
      <c r="C36" s="72">
        <f t="shared" si="6"/>
        <v>687.7</v>
      </c>
      <c r="D36" s="72">
        <f t="shared" si="6"/>
        <v>697.7</v>
      </c>
      <c r="E36" s="72">
        <f t="shared" si="6"/>
        <v>697.7</v>
      </c>
      <c r="F36" s="72">
        <f t="shared" si="6"/>
        <v>687.7</v>
      </c>
      <c r="G36" s="72">
        <f t="shared" si="6"/>
        <v>697.7</v>
      </c>
      <c r="H36" s="72">
        <f t="shared" si="6"/>
        <v>707.7</v>
      </c>
      <c r="I36" s="72">
        <f t="shared" si="6"/>
        <v>755.5</v>
      </c>
      <c r="J36" s="72">
        <f t="shared" si="6"/>
        <v>785.6</v>
      </c>
      <c r="K36" s="72">
        <f t="shared" si="6"/>
        <v>805.59999999999991</v>
      </c>
      <c r="L36" s="72">
        <f t="shared" si="6"/>
        <v>765.6</v>
      </c>
      <c r="M36" s="72">
        <f t="shared" si="6"/>
        <v>805.4</v>
      </c>
      <c r="N36" s="72">
        <f t="shared" si="6"/>
        <v>807.2</v>
      </c>
      <c r="O36" s="72">
        <f t="shared" si="6"/>
        <v>836.5</v>
      </c>
      <c r="P36" s="72">
        <f t="shared" si="6"/>
        <v>816.5</v>
      </c>
      <c r="Q36" s="72">
        <f t="shared" si="6"/>
        <v>811.59999999999991</v>
      </c>
      <c r="R36" s="72">
        <f t="shared" si="6"/>
        <v>851.69999999999993</v>
      </c>
      <c r="S36" s="72">
        <f t="shared" si="6"/>
        <v>846.9</v>
      </c>
      <c r="T36" s="72">
        <f t="shared" si="6"/>
        <v>836.9</v>
      </c>
      <c r="U36" s="72">
        <f t="shared" si="6"/>
        <v>824.69999999999993</v>
      </c>
      <c r="V36" s="72">
        <f t="shared" si="6"/>
        <v>855.49999999999989</v>
      </c>
      <c r="W36" s="72">
        <f>SUM(W11:W34)</f>
        <v>1071.5</v>
      </c>
      <c r="X36" s="72">
        <f>SUM(X11:X34)</f>
        <v>1071.5</v>
      </c>
      <c r="Y36" s="72">
        <f t="shared" si="6"/>
        <v>1071.5</v>
      </c>
      <c r="Z36" s="72">
        <f t="shared" si="6"/>
        <v>1069.5</v>
      </c>
      <c r="AA36" s="72">
        <f t="shared" si="6"/>
        <v>1069.5</v>
      </c>
      <c r="AB36" s="72">
        <f t="shared" si="6"/>
        <v>1069.5</v>
      </c>
      <c r="AC36" s="72">
        <f t="shared" si="6"/>
        <v>1007.5</v>
      </c>
      <c r="AD36" s="72">
        <f t="shared" si="6"/>
        <v>961.7</v>
      </c>
      <c r="AE36" s="72">
        <f t="shared" si="6"/>
        <v>931.7</v>
      </c>
      <c r="AF36" s="72">
        <f t="shared" si="6"/>
        <v>930.90000000000009</v>
      </c>
      <c r="AG36" s="67">
        <f>SUM(AG11:AG35)</f>
        <v>1431.83</v>
      </c>
      <c r="AH36" s="55">
        <f t="shared" si="2"/>
        <v>1071.5</v>
      </c>
      <c r="AI36" s="56">
        <f t="shared" si="3"/>
        <v>687.7</v>
      </c>
      <c r="AJ36" s="186"/>
      <c r="AK36" s="187"/>
      <c r="AL36" s="188"/>
    </row>
    <row r="37" spans="1:88" x14ac:dyDescent="0.25">
      <c r="A37" s="58" t="s">
        <v>44</v>
      </c>
      <c r="B37" s="62">
        <v>124.3</v>
      </c>
      <c r="C37" s="62">
        <v>112.9</v>
      </c>
      <c r="D37" s="62">
        <v>101.3</v>
      </c>
      <c r="E37" s="62">
        <v>101.3</v>
      </c>
      <c r="F37" s="62">
        <v>101.5</v>
      </c>
      <c r="G37" s="62">
        <v>100.9</v>
      </c>
      <c r="H37" s="62">
        <v>101.3</v>
      </c>
      <c r="I37" s="62">
        <v>107</v>
      </c>
      <c r="J37" s="62">
        <v>121.2</v>
      </c>
      <c r="K37" s="62">
        <v>131</v>
      </c>
      <c r="L37" s="50">
        <v>131.4</v>
      </c>
      <c r="M37" s="50">
        <v>143</v>
      </c>
      <c r="N37" s="50">
        <v>143</v>
      </c>
      <c r="O37" s="50">
        <v>142.6</v>
      </c>
      <c r="P37" s="50">
        <v>95.2</v>
      </c>
      <c r="Q37" s="50">
        <v>144.19999999999999</v>
      </c>
      <c r="R37" s="50">
        <v>144</v>
      </c>
      <c r="S37" s="50">
        <v>144.30000000000001</v>
      </c>
      <c r="T37" s="50">
        <v>144.30000000000001</v>
      </c>
      <c r="U37" s="50">
        <v>144.6</v>
      </c>
      <c r="V37" s="50">
        <v>144.6</v>
      </c>
      <c r="W37" s="50">
        <v>145.6</v>
      </c>
      <c r="X37" s="50">
        <v>145.6</v>
      </c>
      <c r="Y37" s="50">
        <v>145.6</v>
      </c>
      <c r="Z37" s="50">
        <v>145.6</v>
      </c>
      <c r="AA37" s="50">
        <v>145.6</v>
      </c>
      <c r="AB37" s="50">
        <v>145.6</v>
      </c>
      <c r="AC37" s="50">
        <v>145.6</v>
      </c>
      <c r="AD37" s="50">
        <v>144.4</v>
      </c>
      <c r="AE37" s="49">
        <v>144.5</v>
      </c>
      <c r="AF37" s="49">
        <v>144.6</v>
      </c>
      <c r="AG37" s="63">
        <v>144</v>
      </c>
      <c r="AH37" s="55">
        <f t="shared" si="2"/>
        <v>145.6</v>
      </c>
      <c r="AI37" s="56">
        <f t="shared" si="3"/>
        <v>95.2</v>
      </c>
      <c r="AJ37" s="183">
        <f>AVERAGE(B37:J37)</f>
        <v>107.96666666666665</v>
      </c>
      <c r="AK37" s="184">
        <v>144</v>
      </c>
      <c r="AL37" s="185">
        <f>(AK37-AJ37)*$AN$12</f>
        <v>234.21666666666675</v>
      </c>
    </row>
    <row r="38" spans="1:88" x14ac:dyDescent="0.25">
      <c r="A38" s="66" t="s">
        <v>45</v>
      </c>
      <c r="B38" s="62">
        <v>60.2</v>
      </c>
      <c r="C38" s="62">
        <v>58.8</v>
      </c>
      <c r="D38" s="62">
        <v>55.7</v>
      </c>
      <c r="E38" s="62">
        <v>56</v>
      </c>
      <c r="F38" s="62">
        <v>55.8</v>
      </c>
      <c r="G38" s="62">
        <v>56.2</v>
      </c>
      <c r="H38" s="62">
        <v>61.5</v>
      </c>
      <c r="I38" s="62">
        <v>57.5</v>
      </c>
      <c r="J38" s="62">
        <v>56.4</v>
      </c>
      <c r="K38" s="62">
        <v>71.8</v>
      </c>
      <c r="L38" s="52">
        <v>70.400000000000006</v>
      </c>
      <c r="M38" s="52">
        <v>70.099999999999994</v>
      </c>
      <c r="N38" s="52">
        <v>71</v>
      </c>
      <c r="O38" s="52">
        <v>35.200000000000003</v>
      </c>
      <c r="P38" s="52">
        <v>70.400000000000006</v>
      </c>
      <c r="Q38" s="52">
        <v>70.3</v>
      </c>
      <c r="R38" s="52">
        <v>70.900000000000006</v>
      </c>
      <c r="S38" s="52">
        <v>72</v>
      </c>
      <c r="T38" s="52">
        <v>72</v>
      </c>
      <c r="U38" s="52">
        <v>72.599999999999994</v>
      </c>
      <c r="V38" s="52">
        <v>70.7</v>
      </c>
      <c r="W38" s="52">
        <v>72</v>
      </c>
      <c r="X38" s="52">
        <v>72</v>
      </c>
      <c r="Y38" s="52">
        <v>72</v>
      </c>
      <c r="Z38" s="52">
        <v>72</v>
      </c>
      <c r="AA38" s="52">
        <v>72</v>
      </c>
      <c r="AB38" s="52">
        <v>72</v>
      </c>
      <c r="AC38" s="52">
        <v>72</v>
      </c>
      <c r="AD38" s="52">
        <v>70.2</v>
      </c>
      <c r="AE38" s="62">
        <v>71</v>
      </c>
      <c r="AF38" s="62">
        <v>70.8</v>
      </c>
      <c r="AG38" s="67">
        <v>70</v>
      </c>
      <c r="AH38" s="55">
        <f t="shared" si="2"/>
        <v>72.599999999999994</v>
      </c>
      <c r="AI38" s="56">
        <f t="shared" si="3"/>
        <v>35.200000000000003</v>
      </c>
      <c r="AJ38" s="183">
        <f>AVERAGE(B38:J38)</f>
        <v>57.56666666666667</v>
      </c>
      <c r="AK38" s="184">
        <v>70</v>
      </c>
      <c r="AL38" s="185">
        <f>(AK38-AJ38)*$AN$12</f>
        <v>80.816666666666649</v>
      </c>
    </row>
    <row r="39" spans="1:88" x14ac:dyDescent="0.25">
      <c r="A39" s="66" t="s">
        <v>46</v>
      </c>
      <c r="B39" s="62">
        <v>61.3</v>
      </c>
      <c r="C39" s="62">
        <v>62.9</v>
      </c>
      <c r="D39" s="62">
        <v>47.3</v>
      </c>
      <c r="E39" s="62">
        <v>46.5</v>
      </c>
      <c r="F39" s="62">
        <v>57.9</v>
      </c>
      <c r="G39" s="62">
        <v>59.5</v>
      </c>
      <c r="H39" s="62">
        <v>60</v>
      </c>
      <c r="I39" s="62">
        <v>56.5</v>
      </c>
      <c r="J39" s="62">
        <v>70.099999999999994</v>
      </c>
      <c r="K39" s="62">
        <v>69.599999999999994</v>
      </c>
      <c r="L39" s="52">
        <v>69.099999999999994</v>
      </c>
      <c r="M39" s="52">
        <v>69.400000000000006</v>
      </c>
      <c r="N39" s="52">
        <v>69.400000000000006</v>
      </c>
      <c r="O39" s="52">
        <v>70.599999999999994</v>
      </c>
      <c r="P39" s="52">
        <v>70</v>
      </c>
      <c r="Q39" s="52">
        <v>68.900000000000006</v>
      </c>
      <c r="R39" s="52">
        <v>70.3</v>
      </c>
      <c r="S39" s="52">
        <v>69.5</v>
      </c>
      <c r="T39" s="52">
        <v>69.5</v>
      </c>
      <c r="U39" s="52">
        <v>70.3</v>
      </c>
      <c r="V39" s="52">
        <v>70.099999999999994</v>
      </c>
      <c r="W39" s="52">
        <v>69.900000000000006</v>
      </c>
      <c r="X39" s="52">
        <v>69.900000000000006</v>
      </c>
      <c r="Y39" s="52">
        <v>69.900000000000006</v>
      </c>
      <c r="Z39" s="52">
        <v>69.900000000000006</v>
      </c>
      <c r="AA39" s="52">
        <v>69.900000000000006</v>
      </c>
      <c r="AB39" s="52">
        <v>69.900000000000006</v>
      </c>
      <c r="AC39" s="52">
        <v>69.900000000000006</v>
      </c>
      <c r="AD39" s="52">
        <v>69.7</v>
      </c>
      <c r="AE39" s="62">
        <v>69.5</v>
      </c>
      <c r="AF39" s="62">
        <v>69.900000000000006</v>
      </c>
      <c r="AG39" s="67">
        <v>69</v>
      </c>
      <c r="AH39" s="55">
        <f t="shared" si="2"/>
        <v>70.599999999999994</v>
      </c>
      <c r="AI39" s="56">
        <f t="shared" si="3"/>
        <v>46.5</v>
      </c>
      <c r="AJ39" s="183">
        <f>AVERAGE(B39:J39)</f>
        <v>58</v>
      </c>
      <c r="AK39" s="184">
        <v>69</v>
      </c>
      <c r="AL39" s="185">
        <f>(AK39-AJ39)*$AN$12</f>
        <v>71.5</v>
      </c>
    </row>
    <row r="40" spans="1:88" x14ac:dyDescent="0.25">
      <c r="A40" s="66" t="s">
        <v>47</v>
      </c>
      <c r="B40" s="62">
        <v>53.2</v>
      </c>
      <c r="C40" s="62">
        <v>49.4</v>
      </c>
      <c r="D40" s="62">
        <v>40.6</v>
      </c>
      <c r="E40" s="62">
        <v>40.6</v>
      </c>
      <c r="F40" s="62">
        <v>41.5</v>
      </c>
      <c r="G40" s="62">
        <v>41.5</v>
      </c>
      <c r="H40" s="62">
        <v>41.5</v>
      </c>
      <c r="I40" s="62">
        <v>41.5</v>
      </c>
      <c r="J40" s="62">
        <v>60.7</v>
      </c>
      <c r="K40" s="62">
        <v>61</v>
      </c>
      <c r="L40" s="52">
        <v>60.7</v>
      </c>
      <c r="M40" s="52">
        <v>60.7</v>
      </c>
      <c r="N40" s="52">
        <v>60.7</v>
      </c>
      <c r="O40" s="52">
        <v>61.7</v>
      </c>
      <c r="P40" s="52">
        <v>61.7</v>
      </c>
      <c r="Q40" s="52">
        <v>61.7</v>
      </c>
      <c r="R40" s="52">
        <v>61.7</v>
      </c>
      <c r="S40" s="52">
        <v>61.7</v>
      </c>
      <c r="T40" s="52">
        <v>61.7</v>
      </c>
      <c r="U40" s="52">
        <v>60.7</v>
      </c>
      <c r="V40" s="52">
        <v>60.7</v>
      </c>
      <c r="W40" s="52">
        <v>60.6</v>
      </c>
      <c r="X40" s="52">
        <v>60.6</v>
      </c>
      <c r="Y40" s="52">
        <v>60.6</v>
      </c>
      <c r="Z40" s="52">
        <v>60.6</v>
      </c>
      <c r="AA40" s="52">
        <v>60.6</v>
      </c>
      <c r="AB40" s="52">
        <v>60.6</v>
      </c>
      <c r="AC40" s="52">
        <v>60.6</v>
      </c>
      <c r="AD40" s="52">
        <v>61</v>
      </c>
      <c r="AE40" s="62">
        <v>61</v>
      </c>
      <c r="AF40" s="62">
        <v>61</v>
      </c>
      <c r="AG40" s="67">
        <v>60</v>
      </c>
      <c r="AH40" s="55">
        <f t="shared" si="2"/>
        <v>61.7</v>
      </c>
      <c r="AI40" s="56">
        <f t="shared" si="3"/>
        <v>40.6</v>
      </c>
      <c r="AJ40" s="183">
        <f>AVERAGE(B40:J40)</f>
        <v>45.611111111111107</v>
      </c>
      <c r="AK40" s="184">
        <v>60</v>
      </c>
      <c r="AL40" s="185">
        <f>(AK40-AJ40)*$AN$12</f>
        <v>93.5277777777778</v>
      </c>
    </row>
    <row r="41" spans="1:88" x14ac:dyDescent="0.25">
      <c r="A41" s="66" t="s">
        <v>48</v>
      </c>
      <c r="B41" s="62">
        <v>29.8</v>
      </c>
      <c r="C41" s="62">
        <v>29.8</v>
      </c>
      <c r="D41" s="62">
        <v>29.8</v>
      </c>
      <c r="E41" s="62">
        <v>29.8</v>
      </c>
      <c r="F41" s="62">
        <v>23.3</v>
      </c>
      <c r="G41" s="62">
        <v>23.3</v>
      </c>
      <c r="H41" s="62">
        <v>23.3</v>
      </c>
      <c r="I41" s="62">
        <v>23.3</v>
      </c>
      <c r="J41" s="62">
        <v>23.3</v>
      </c>
      <c r="K41" s="62">
        <v>29.7</v>
      </c>
      <c r="L41" s="50">
        <v>29.9</v>
      </c>
      <c r="M41" s="50">
        <v>29.9</v>
      </c>
      <c r="N41" s="50">
        <v>29.9</v>
      </c>
      <c r="O41" s="50">
        <v>29.8</v>
      </c>
      <c r="P41" s="50">
        <v>29.6</v>
      </c>
      <c r="Q41" s="50">
        <v>29.7</v>
      </c>
      <c r="R41" s="50">
        <v>29.7</v>
      </c>
      <c r="S41" s="50">
        <v>29.7</v>
      </c>
      <c r="T41" s="50">
        <v>29.7</v>
      </c>
      <c r="U41" s="50">
        <v>29.7</v>
      </c>
      <c r="V41" s="50">
        <v>29.6</v>
      </c>
      <c r="W41" s="50">
        <v>29.6</v>
      </c>
      <c r="X41" s="50">
        <v>29.6</v>
      </c>
      <c r="Y41" s="50">
        <v>29.6</v>
      </c>
      <c r="Z41" s="50">
        <v>29.6</v>
      </c>
      <c r="AA41" s="50">
        <v>29.6</v>
      </c>
      <c r="AB41" s="50">
        <v>29.6</v>
      </c>
      <c r="AC41" s="50">
        <v>29.6</v>
      </c>
      <c r="AD41" s="52">
        <v>30.1</v>
      </c>
      <c r="AE41" s="62">
        <v>30</v>
      </c>
      <c r="AF41" s="62">
        <v>30</v>
      </c>
      <c r="AG41" s="67">
        <v>30</v>
      </c>
      <c r="AH41" s="55">
        <f t="shared" si="2"/>
        <v>30.1</v>
      </c>
      <c r="AI41" s="56">
        <f t="shared" si="3"/>
        <v>23.3</v>
      </c>
      <c r="AJ41" s="183">
        <f>AVERAGE(B41:J41)</f>
        <v>26.188888888888894</v>
      </c>
      <c r="AK41" s="184">
        <v>30</v>
      </c>
      <c r="AL41" s="185">
        <f>(AK41-AJ41)*$AN$12</f>
        <v>24.77222222222219</v>
      </c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J42" s="186"/>
      <c r="AK42" s="187" t="s">
        <v>227</v>
      </c>
      <c r="AL42" s="185">
        <f>SUM(AL37:AL41)</f>
        <v>504.83333333333343</v>
      </c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18.2</v>
      </c>
      <c r="X43" s="50">
        <v>18.2</v>
      </c>
      <c r="Y43" s="50">
        <v>18.2</v>
      </c>
      <c r="Z43" s="50">
        <v>18.2</v>
      </c>
      <c r="AA43" s="50">
        <v>18.2</v>
      </c>
      <c r="AB43" s="50">
        <v>18.2</v>
      </c>
      <c r="AC43" s="50">
        <v>18.2</v>
      </c>
      <c r="AD43" s="50">
        <v>18.2</v>
      </c>
      <c r="AE43" s="50">
        <v>18.2</v>
      </c>
      <c r="AF43" s="50">
        <v>18.2</v>
      </c>
      <c r="AG43" s="67">
        <v>24</v>
      </c>
      <c r="AH43" s="55">
        <f t="shared" si="2"/>
        <v>18.2</v>
      </c>
      <c r="AI43" s="56">
        <f t="shared" si="3"/>
        <v>18</v>
      </c>
      <c r="AJ43" s="186"/>
      <c r="AK43" s="187"/>
      <c r="AL43" s="188"/>
    </row>
    <row r="44" spans="1:88" x14ac:dyDescent="0.25">
      <c r="A44" s="66" t="s">
        <v>51</v>
      </c>
      <c r="B44" s="62">
        <v>3</v>
      </c>
      <c r="C44" s="62">
        <v>3</v>
      </c>
      <c r="D44" s="62">
        <v>3</v>
      </c>
      <c r="E44" s="62">
        <v>3</v>
      </c>
      <c r="F44" s="62">
        <v>3</v>
      </c>
      <c r="G44" s="62">
        <v>3</v>
      </c>
      <c r="H44" s="62">
        <v>3</v>
      </c>
      <c r="I44" s="62">
        <v>3</v>
      </c>
      <c r="J44" s="62">
        <v>3</v>
      </c>
      <c r="K44" s="62">
        <v>3</v>
      </c>
      <c r="L44" s="50">
        <v>3</v>
      </c>
      <c r="M44" s="50">
        <v>3</v>
      </c>
      <c r="N44" s="50">
        <v>3</v>
      </c>
      <c r="O44" s="50">
        <v>3</v>
      </c>
      <c r="P44" s="50">
        <v>0</v>
      </c>
      <c r="Q44" s="50">
        <v>3.1</v>
      </c>
      <c r="R44" s="50">
        <v>3.1</v>
      </c>
      <c r="S44" s="50">
        <v>3.1</v>
      </c>
      <c r="T44" s="50">
        <v>3.1</v>
      </c>
      <c r="U44" s="50">
        <v>3.1</v>
      </c>
      <c r="V44" s="50">
        <v>3.1</v>
      </c>
      <c r="W44" s="50">
        <v>3.1</v>
      </c>
      <c r="X44" s="50">
        <v>3.1</v>
      </c>
      <c r="Y44" s="50">
        <v>3.1</v>
      </c>
      <c r="Z44" s="50">
        <v>3.1</v>
      </c>
      <c r="AA44" s="50">
        <v>3.1</v>
      </c>
      <c r="AB44" s="50">
        <v>3.1</v>
      </c>
      <c r="AC44" s="50">
        <v>3.1</v>
      </c>
      <c r="AD44" s="50">
        <v>3.1</v>
      </c>
      <c r="AE44" s="50">
        <v>3.1</v>
      </c>
      <c r="AF44" s="50">
        <v>3.1</v>
      </c>
      <c r="AG44" s="67">
        <v>15</v>
      </c>
      <c r="AH44" s="55">
        <f t="shared" si="2"/>
        <v>3.1</v>
      </c>
      <c r="AI44" s="56">
        <f t="shared" si="3"/>
        <v>0</v>
      </c>
      <c r="AJ44" s="186"/>
      <c r="AK44" s="187" t="s">
        <v>228</v>
      </c>
      <c r="AL44" s="189">
        <f>AL42+AL28+AL27</f>
        <v>3099.3444444444444</v>
      </c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10</v>
      </c>
      <c r="G46" s="73">
        <v>10</v>
      </c>
      <c r="H46" s="73">
        <v>10</v>
      </c>
      <c r="I46" s="73">
        <v>10</v>
      </c>
      <c r="J46" s="73">
        <v>10</v>
      </c>
      <c r="K46" s="73">
        <v>10</v>
      </c>
      <c r="L46" s="50">
        <v>10</v>
      </c>
      <c r="M46" s="50">
        <v>10</v>
      </c>
      <c r="N46" s="50">
        <v>10</v>
      </c>
      <c r="O46" s="50">
        <v>10</v>
      </c>
      <c r="P46" s="50">
        <v>10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10</v>
      </c>
      <c r="AE46" s="50">
        <v>10</v>
      </c>
      <c r="AF46" s="50">
        <v>10</v>
      </c>
      <c r="AG46" s="67">
        <v>14</v>
      </c>
      <c r="AH46" s="55">
        <f t="shared" si="2"/>
        <v>14</v>
      </c>
      <c r="AI46" s="56">
        <f t="shared" si="3"/>
        <v>10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7">T197</f>
        <v>3.54</v>
      </c>
      <c r="U49" s="76">
        <f t="shared" si="7"/>
        <v>3.54</v>
      </c>
      <c r="V49" s="76">
        <f t="shared" si="7"/>
        <v>3.54</v>
      </c>
      <c r="W49" s="76">
        <f t="shared" si="7"/>
        <v>3.54</v>
      </c>
      <c r="X49" s="76">
        <f t="shared" si="7"/>
        <v>3.54</v>
      </c>
      <c r="Y49" s="76">
        <v>3.54</v>
      </c>
      <c r="Z49" s="76">
        <f t="shared" si="7"/>
        <v>3.54</v>
      </c>
      <c r="AA49" s="76">
        <f t="shared" si="7"/>
        <v>3.54</v>
      </c>
      <c r="AB49" s="76">
        <f t="shared" si="7"/>
        <v>3.54</v>
      </c>
      <c r="AC49" s="76">
        <f t="shared" si="7"/>
        <v>3.54</v>
      </c>
      <c r="AD49" s="76">
        <f t="shared" si="7"/>
        <v>3.54</v>
      </c>
      <c r="AE49" s="76">
        <f t="shared" si="7"/>
        <v>3.54</v>
      </c>
      <c r="AF49" s="76">
        <f t="shared" si="7"/>
        <v>3.54</v>
      </c>
      <c r="AG49" s="76">
        <f t="shared" si="7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8">SUM(B37:B49)</f>
        <v>395.14000000000004</v>
      </c>
      <c r="C50" s="72">
        <f t="shared" si="8"/>
        <v>380.14000000000004</v>
      </c>
      <c r="D50" s="72">
        <f t="shared" si="8"/>
        <v>341.04</v>
      </c>
      <c r="E50" s="72">
        <f t="shared" si="8"/>
        <v>340.54</v>
      </c>
      <c r="F50" s="72">
        <f t="shared" si="8"/>
        <v>342.34000000000009</v>
      </c>
      <c r="G50" s="72">
        <f t="shared" si="8"/>
        <v>343.74000000000007</v>
      </c>
      <c r="H50" s="72">
        <f t="shared" si="8"/>
        <v>349.94000000000005</v>
      </c>
      <c r="I50" s="72">
        <f t="shared" si="8"/>
        <v>348.14000000000004</v>
      </c>
      <c r="J50" s="72">
        <f t="shared" si="8"/>
        <v>394.04</v>
      </c>
      <c r="K50" s="72">
        <f t="shared" si="8"/>
        <v>425.44</v>
      </c>
      <c r="L50" s="72">
        <f t="shared" si="8"/>
        <v>423.84</v>
      </c>
      <c r="M50" s="72">
        <f t="shared" si="8"/>
        <v>435.44</v>
      </c>
      <c r="N50" s="72">
        <f t="shared" si="8"/>
        <v>436.34</v>
      </c>
      <c r="O50" s="72">
        <f t="shared" si="8"/>
        <v>402.24000000000007</v>
      </c>
      <c r="P50" s="72">
        <f t="shared" si="8"/>
        <v>386.24000000000007</v>
      </c>
      <c r="Q50" s="72">
        <f t="shared" si="8"/>
        <v>441.24</v>
      </c>
      <c r="R50" s="72">
        <f t="shared" si="8"/>
        <v>443.04</v>
      </c>
      <c r="S50" s="72">
        <f t="shared" si="8"/>
        <v>443.64000000000004</v>
      </c>
      <c r="T50" s="72">
        <f t="shared" si="8"/>
        <v>443.64000000000004</v>
      </c>
      <c r="U50" s="72">
        <f t="shared" si="8"/>
        <v>444.34000000000003</v>
      </c>
      <c r="V50" s="72">
        <f t="shared" si="8"/>
        <v>442.14000000000004</v>
      </c>
      <c r="W50" s="72">
        <f t="shared" si="8"/>
        <v>444.34000000000009</v>
      </c>
      <c r="X50" s="72">
        <f t="shared" si="8"/>
        <v>444.34000000000009</v>
      </c>
      <c r="Y50" s="72">
        <f t="shared" si="8"/>
        <v>444.34000000000009</v>
      </c>
      <c r="Z50" s="72">
        <f t="shared" si="8"/>
        <v>444.34000000000009</v>
      </c>
      <c r="AA50" s="72">
        <f t="shared" si="8"/>
        <v>444.34000000000009</v>
      </c>
      <c r="AB50" s="72">
        <f t="shared" si="8"/>
        <v>444.34000000000009</v>
      </c>
      <c r="AC50" s="72">
        <f t="shared" si="8"/>
        <v>444.34000000000009</v>
      </c>
      <c r="AD50" s="72">
        <f t="shared" si="8"/>
        <v>438.04000000000008</v>
      </c>
      <c r="AE50" s="72">
        <f t="shared" si="8"/>
        <v>438.64000000000004</v>
      </c>
      <c r="AF50" s="72">
        <f t="shared" si="8"/>
        <v>438.94</v>
      </c>
      <c r="AG50" s="77">
        <f>SUM(AG37:AG49)</f>
        <v>489.91</v>
      </c>
      <c r="AH50" s="55">
        <f t="shared" si="2"/>
        <v>444.34000000000009</v>
      </c>
      <c r="AI50" s="56">
        <f t="shared" si="3"/>
        <v>340.54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14.5</v>
      </c>
      <c r="O51" s="174">
        <v>14.5</v>
      </c>
      <c r="P51" s="50">
        <v>14.4</v>
      </c>
      <c r="Q51" s="50">
        <v>20.3</v>
      </c>
      <c r="R51" s="50">
        <v>29.6</v>
      </c>
      <c r="S51" s="50">
        <v>30.1</v>
      </c>
      <c r="T51" s="50">
        <v>29.4</v>
      </c>
      <c r="U51" s="50">
        <v>19.8</v>
      </c>
      <c r="V51" s="50">
        <v>13.8</v>
      </c>
      <c r="W51" s="50">
        <v>60</v>
      </c>
      <c r="X51" s="50">
        <v>60</v>
      </c>
      <c r="Y51" s="50">
        <v>60</v>
      </c>
      <c r="Z51" s="50">
        <v>60</v>
      </c>
      <c r="AA51" s="50">
        <v>60</v>
      </c>
      <c r="AB51" s="50">
        <v>49.1</v>
      </c>
      <c r="AC51" s="50">
        <v>59.9</v>
      </c>
      <c r="AD51" s="50">
        <v>59.7</v>
      </c>
      <c r="AE51" s="50">
        <v>40.299999999999997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9.6999999999999993</v>
      </c>
      <c r="O52" s="174">
        <v>6.1</v>
      </c>
      <c r="P52" s="52">
        <v>5.9</v>
      </c>
      <c r="Q52" s="52">
        <v>9.1</v>
      </c>
      <c r="R52" s="50">
        <v>13</v>
      </c>
      <c r="S52" s="50">
        <v>10.7</v>
      </c>
      <c r="T52" s="50">
        <v>10.8</v>
      </c>
      <c r="U52" s="52">
        <v>8.23</v>
      </c>
      <c r="V52" s="52">
        <v>7.2</v>
      </c>
      <c r="W52" s="52">
        <v>28.3</v>
      </c>
      <c r="X52" s="52">
        <v>28.8</v>
      </c>
      <c r="Y52" s="52">
        <v>28.8</v>
      </c>
      <c r="Z52" s="52">
        <v>28.8</v>
      </c>
      <c r="AA52" s="52">
        <v>28.8</v>
      </c>
      <c r="AB52" s="52">
        <v>23.9</v>
      </c>
      <c r="AC52" s="52">
        <v>28.2</v>
      </c>
      <c r="AD52" s="52">
        <v>28.2</v>
      </c>
      <c r="AE52" s="52">
        <v>17.600000000000001</v>
      </c>
      <c r="AF52" s="52">
        <v>0</v>
      </c>
      <c r="AG52" s="67">
        <v>32</v>
      </c>
      <c r="AH52" s="55">
        <f t="shared" si="2"/>
        <v>28.8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2.5</v>
      </c>
      <c r="O53" s="175">
        <v>2.2000000000000002</v>
      </c>
      <c r="P53" s="78">
        <v>2.2000000000000002</v>
      </c>
      <c r="Q53" s="78">
        <v>3.3</v>
      </c>
      <c r="R53" s="50">
        <v>4.8</v>
      </c>
      <c r="S53" s="50">
        <v>3.9</v>
      </c>
      <c r="T53" s="50">
        <v>4.4000000000000004</v>
      </c>
      <c r="U53" s="78">
        <v>3</v>
      </c>
      <c r="V53" s="78">
        <v>2.6</v>
      </c>
      <c r="W53" s="78">
        <v>10.199999999999999</v>
      </c>
      <c r="X53" s="78">
        <v>10.199999999999999</v>
      </c>
      <c r="Y53" s="78">
        <v>10.199999999999999</v>
      </c>
      <c r="Z53" s="78">
        <v>10.199999999999999</v>
      </c>
      <c r="AA53" s="78">
        <v>10.199999999999999</v>
      </c>
      <c r="AB53" s="78">
        <v>8.6999999999999993</v>
      </c>
      <c r="AC53" s="78">
        <v>10.3</v>
      </c>
      <c r="AD53" s="78">
        <v>10.3</v>
      </c>
      <c r="AE53" s="78">
        <v>6.5</v>
      </c>
      <c r="AF53" s="78">
        <v>0</v>
      </c>
      <c r="AG53" s="79">
        <v>14</v>
      </c>
      <c r="AH53" s="55">
        <f t="shared" si="2"/>
        <v>10.3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9">SUM(C51:C53)</f>
        <v>0</v>
      </c>
      <c r="D54" s="72">
        <f t="shared" si="9"/>
        <v>0</v>
      </c>
      <c r="E54" s="72">
        <f t="shared" si="9"/>
        <v>0</v>
      </c>
      <c r="F54" s="72">
        <f t="shared" si="9"/>
        <v>0</v>
      </c>
      <c r="G54" s="72">
        <f t="shared" si="9"/>
        <v>0</v>
      </c>
      <c r="H54" s="72">
        <f t="shared" si="9"/>
        <v>0</v>
      </c>
      <c r="I54" s="72">
        <f t="shared" si="9"/>
        <v>0</v>
      </c>
      <c r="J54" s="72">
        <f t="shared" si="9"/>
        <v>0</v>
      </c>
      <c r="K54" s="72">
        <f t="shared" si="9"/>
        <v>0</v>
      </c>
      <c r="L54" s="72">
        <f t="shared" si="9"/>
        <v>0</v>
      </c>
      <c r="M54" s="72">
        <f t="shared" si="9"/>
        <v>0</v>
      </c>
      <c r="N54" s="72">
        <f t="shared" si="9"/>
        <v>26.7</v>
      </c>
      <c r="O54" s="72">
        <f t="shared" si="9"/>
        <v>22.8</v>
      </c>
      <c r="P54" s="72">
        <f t="shared" si="9"/>
        <v>22.5</v>
      </c>
      <c r="Q54" s="72">
        <f t="shared" si="9"/>
        <v>32.699999999999996</v>
      </c>
      <c r="R54" s="72">
        <f t="shared" si="9"/>
        <v>47.4</v>
      </c>
      <c r="S54" s="72">
        <f t="shared" si="9"/>
        <v>44.699999999999996</v>
      </c>
      <c r="T54" s="72">
        <f t="shared" si="9"/>
        <v>44.6</v>
      </c>
      <c r="U54" s="72">
        <f t="shared" si="9"/>
        <v>31.03</v>
      </c>
      <c r="V54" s="72">
        <f t="shared" si="9"/>
        <v>23.6</v>
      </c>
      <c r="W54" s="72">
        <f t="shared" si="9"/>
        <v>98.5</v>
      </c>
      <c r="X54" s="72">
        <f t="shared" si="9"/>
        <v>99</v>
      </c>
      <c r="Y54" s="72">
        <f t="shared" si="9"/>
        <v>99</v>
      </c>
      <c r="Z54" s="72">
        <f t="shared" si="9"/>
        <v>99</v>
      </c>
      <c r="AA54" s="72">
        <f t="shared" si="9"/>
        <v>99</v>
      </c>
      <c r="AB54" s="72">
        <f t="shared" si="9"/>
        <v>81.7</v>
      </c>
      <c r="AC54" s="72">
        <f t="shared" si="9"/>
        <v>98.399999999999991</v>
      </c>
      <c r="AD54" s="72">
        <f t="shared" si="9"/>
        <v>98.2</v>
      </c>
      <c r="AE54" s="72">
        <f t="shared" si="9"/>
        <v>64.400000000000006</v>
      </c>
      <c r="AF54" s="72">
        <f t="shared" si="9"/>
        <v>0</v>
      </c>
      <c r="AG54" s="77">
        <f>SUM(AG51:AG53)</f>
        <v>106</v>
      </c>
      <c r="AH54" s="55">
        <f t="shared" si="2"/>
        <v>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59.7</v>
      </c>
      <c r="X55" s="50">
        <v>59.8</v>
      </c>
      <c r="Y55" s="50">
        <v>19.5</v>
      </c>
      <c r="Z55" s="50">
        <v>17.3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59.8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-103</v>
      </c>
      <c r="X56" s="80">
        <v>-104</v>
      </c>
      <c r="Y56" s="80">
        <v>-110</v>
      </c>
      <c r="Z56" s="80">
        <v>-115</v>
      </c>
      <c r="AA56" s="52">
        <v>-117</v>
      </c>
      <c r="AB56" s="52">
        <v>-117</v>
      </c>
      <c r="AC56" s="52">
        <v>-118</v>
      </c>
      <c r="AD56" s="52">
        <v>-119</v>
      </c>
      <c r="AE56" s="52">
        <v>-115</v>
      </c>
      <c r="AF56" s="52">
        <v>-97.4</v>
      </c>
      <c r="AG56" s="67"/>
      <c r="AH56" s="55">
        <f t="shared" si="2"/>
        <v>0</v>
      </c>
      <c r="AI56" s="56">
        <f t="shared" si="3"/>
        <v>-119</v>
      </c>
      <c r="AK56" s="57" t="s">
        <v>231</v>
      </c>
    </row>
    <row r="57" spans="1:37" x14ac:dyDescent="0.25">
      <c r="A57" s="66" t="s">
        <v>64</v>
      </c>
      <c r="B57" s="52">
        <v>-72.599999999999994</v>
      </c>
      <c r="C57" s="52">
        <v>-45.5</v>
      </c>
      <c r="D57" s="52">
        <v>-56.2</v>
      </c>
      <c r="E57" s="52">
        <v>-62</v>
      </c>
      <c r="F57" s="52">
        <v>-42</v>
      </c>
      <c r="G57" s="50">
        <v>-37</v>
      </c>
      <c r="H57" s="50">
        <v>-32.299999999999997</v>
      </c>
      <c r="I57" s="50">
        <v>-15</v>
      </c>
      <c r="J57" s="50">
        <v>-36.9</v>
      </c>
      <c r="K57" s="50">
        <v>-52.6</v>
      </c>
      <c r="L57" s="52">
        <v>-13.9</v>
      </c>
      <c r="M57" s="52">
        <v>-48.6</v>
      </c>
      <c r="N57" s="52">
        <v>-22.6</v>
      </c>
      <c r="O57" s="52">
        <v>-37.1</v>
      </c>
      <c r="P57" s="52">
        <v>-1.4</v>
      </c>
      <c r="Q57" s="52">
        <v>-2.5</v>
      </c>
      <c r="R57" s="52">
        <v>-52.4</v>
      </c>
      <c r="S57" s="52">
        <v>-56.7</v>
      </c>
      <c r="T57" s="52">
        <v>-60.1</v>
      </c>
      <c r="U57" s="52">
        <v>-60.1</v>
      </c>
      <c r="V57" s="52">
        <v>-50.2</v>
      </c>
      <c r="W57" s="81">
        <v>-20.6</v>
      </c>
      <c r="X57" s="81">
        <v>-10.199999999999999</v>
      </c>
      <c r="Y57" s="81">
        <v>-11</v>
      </c>
      <c r="Z57" s="81">
        <v>-3.7</v>
      </c>
      <c r="AA57" s="52">
        <v>-21.9</v>
      </c>
      <c r="AB57" s="52">
        <v>-42.6</v>
      </c>
      <c r="AC57" s="52">
        <v>-17</v>
      </c>
      <c r="AD57" s="52">
        <v>-60</v>
      </c>
      <c r="AE57" s="52">
        <v>-30</v>
      </c>
      <c r="AF57" s="52">
        <v>-44</v>
      </c>
      <c r="AG57" s="82"/>
      <c r="AH57" s="55">
        <f t="shared" si="2"/>
        <v>-1.4</v>
      </c>
      <c r="AI57" s="56">
        <f t="shared" si="3"/>
        <v>-72.599999999999994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-40</v>
      </c>
      <c r="AE58" s="59">
        <v>-38</v>
      </c>
      <c r="AF58" s="59">
        <v>-39</v>
      </c>
      <c r="AG58" s="82"/>
      <c r="AH58" s="55">
        <f t="shared" si="2"/>
        <v>0</v>
      </c>
      <c r="AI58" s="56">
        <f t="shared" si="3"/>
        <v>-40</v>
      </c>
      <c r="AK58" s="57"/>
    </row>
    <row r="59" spans="1:37" x14ac:dyDescent="0.25">
      <c r="A59" s="66" t="s">
        <v>66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2">
        <v>0</v>
      </c>
      <c r="P59" s="52">
        <v>0</v>
      </c>
      <c r="Q59" s="50">
        <v>0</v>
      </c>
      <c r="R59" s="50">
        <v>0</v>
      </c>
      <c r="S59" s="50">
        <v>0</v>
      </c>
      <c r="T59" s="50">
        <v>0</v>
      </c>
      <c r="U59" s="52">
        <v>0</v>
      </c>
      <c r="V59" s="50">
        <v>0</v>
      </c>
      <c r="W59" s="50">
        <v>0</v>
      </c>
      <c r="X59" s="50">
        <v>0</v>
      </c>
      <c r="Y59" s="50">
        <v>-50</v>
      </c>
      <c r="Z59" s="50">
        <v>-50</v>
      </c>
      <c r="AA59" s="50">
        <v>-52.6</v>
      </c>
      <c r="AB59" s="50">
        <v>-53.9</v>
      </c>
      <c r="AC59" s="50">
        <v>-71.400000000000006</v>
      </c>
      <c r="AD59" s="50">
        <v>-72</v>
      </c>
      <c r="AE59" s="50">
        <v>-68.8</v>
      </c>
      <c r="AF59" s="50">
        <v>-67.599999999999994</v>
      </c>
      <c r="AG59" s="82"/>
      <c r="AH59" s="55">
        <f t="shared" si="2"/>
        <v>0</v>
      </c>
      <c r="AI59" s="56">
        <f t="shared" si="3"/>
        <v>-72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61">
        <v>0</v>
      </c>
      <c r="R60" s="61">
        <v>0</v>
      </c>
      <c r="S60" s="61">
        <v>0</v>
      </c>
      <c r="T60" s="61">
        <v>0</v>
      </c>
      <c r="U60" s="52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50">
        <v>0</v>
      </c>
      <c r="N61" s="50">
        <v>0</v>
      </c>
      <c r="O61" s="52">
        <v>0</v>
      </c>
      <c r="P61" s="52">
        <v>0</v>
      </c>
      <c r="Q61" s="61">
        <v>0</v>
      </c>
      <c r="R61" s="61">
        <v>0</v>
      </c>
      <c r="S61" s="61">
        <v>0</v>
      </c>
      <c r="T61" s="61">
        <v>0</v>
      </c>
      <c r="U61" s="52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2">
        <v>0</v>
      </c>
      <c r="P62" s="52">
        <v>0</v>
      </c>
      <c r="Q62" s="59">
        <v>0</v>
      </c>
      <c r="R62" s="59">
        <v>0</v>
      </c>
      <c r="S62" s="59">
        <v>0</v>
      </c>
      <c r="T62" s="59">
        <v>0</v>
      </c>
      <c r="U62" s="52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10</v>
      </c>
      <c r="AC62" s="59">
        <v>10</v>
      </c>
      <c r="AD62" s="59">
        <v>10</v>
      </c>
      <c r="AE62" s="59">
        <v>10</v>
      </c>
      <c r="AF62" s="59">
        <v>10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2">
        <v>0</v>
      </c>
      <c r="P63" s="52">
        <v>0</v>
      </c>
      <c r="Q63" s="59">
        <v>0</v>
      </c>
      <c r="R63" s="59">
        <v>0</v>
      </c>
      <c r="S63" s="59">
        <v>0</v>
      </c>
      <c r="T63" s="59">
        <v>0</v>
      </c>
      <c r="U63" s="52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84">
        <v>0</v>
      </c>
      <c r="R64" s="84">
        <v>0</v>
      </c>
      <c r="S64" s="84">
        <v>0</v>
      </c>
      <c r="T64" s="84">
        <v>0</v>
      </c>
      <c r="U64" s="52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50">
        <v>0</v>
      </c>
      <c r="N65" s="50">
        <v>0</v>
      </c>
      <c r="O65" s="52">
        <v>0</v>
      </c>
      <c r="P65" s="52">
        <v>0</v>
      </c>
      <c r="Q65" s="84">
        <v>0</v>
      </c>
      <c r="R65" s="84">
        <v>0</v>
      </c>
      <c r="S65" s="84">
        <v>0</v>
      </c>
      <c r="T65" s="84">
        <v>0</v>
      </c>
      <c r="U65" s="52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-72.599999999999994</v>
      </c>
      <c r="C66" s="72">
        <f t="shared" ref="C66:AF66" si="10">SUM(C55:C65)</f>
        <v>-45.5</v>
      </c>
      <c r="D66" s="72">
        <f t="shared" si="10"/>
        <v>-56.2</v>
      </c>
      <c r="E66" s="72">
        <f t="shared" si="10"/>
        <v>-62</v>
      </c>
      <c r="F66" s="72">
        <f t="shared" si="10"/>
        <v>-42</v>
      </c>
      <c r="G66" s="72">
        <f t="shared" si="10"/>
        <v>-37</v>
      </c>
      <c r="H66" s="72">
        <f t="shared" si="10"/>
        <v>-32.299999999999997</v>
      </c>
      <c r="I66" s="72">
        <f t="shared" si="10"/>
        <v>-15</v>
      </c>
      <c r="J66" s="72">
        <f t="shared" si="10"/>
        <v>-36.9</v>
      </c>
      <c r="K66" s="72">
        <f t="shared" si="10"/>
        <v>-52.6</v>
      </c>
      <c r="L66" s="72">
        <f t="shared" si="10"/>
        <v>-13.9</v>
      </c>
      <c r="M66" s="72">
        <f t="shared" si="10"/>
        <v>-48.6</v>
      </c>
      <c r="N66" s="72">
        <f t="shared" si="10"/>
        <v>-22.6</v>
      </c>
      <c r="O66" s="72">
        <f t="shared" si="10"/>
        <v>-37.1</v>
      </c>
      <c r="P66" s="72">
        <f t="shared" si="10"/>
        <v>-1.4</v>
      </c>
      <c r="Q66" s="72">
        <f t="shared" si="10"/>
        <v>-2.5</v>
      </c>
      <c r="R66" s="72">
        <f t="shared" si="10"/>
        <v>-52.4</v>
      </c>
      <c r="S66" s="72">
        <f t="shared" si="10"/>
        <v>-56.7</v>
      </c>
      <c r="T66" s="72">
        <f t="shared" si="10"/>
        <v>-60.1</v>
      </c>
      <c r="U66" s="72">
        <f t="shared" si="10"/>
        <v>-60.1</v>
      </c>
      <c r="V66" s="72">
        <f t="shared" si="10"/>
        <v>-50.2</v>
      </c>
      <c r="W66" s="72">
        <f t="shared" si="10"/>
        <v>-63.9</v>
      </c>
      <c r="X66" s="72">
        <f t="shared" si="10"/>
        <v>-54.400000000000006</v>
      </c>
      <c r="Y66" s="72">
        <f t="shared" si="10"/>
        <v>-151.5</v>
      </c>
      <c r="Z66" s="72">
        <f>SUM(Z55:Z65)</f>
        <v>-151.4</v>
      </c>
      <c r="AA66" s="72">
        <f t="shared" si="10"/>
        <v>-191.5</v>
      </c>
      <c r="AB66" s="72">
        <f t="shared" si="10"/>
        <v>-203.5</v>
      </c>
      <c r="AC66" s="72">
        <f t="shared" si="10"/>
        <v>-196.4</v>
      </c>
      <c r="AD66" s="72">
        <f t="shared" si="10"/>
        <v>-281</v>
      </c>
      <c r="AE66" s="72">
        <f t="shared" si="10"/>
        <v>-241.8</v>
      </c>
      <c r="AF66" s="72">
        <f t="shared" si="10"/>
        <v>-238</v>
      </c>
      <c r="AG66" s="77">
        <f>SUM(AG55:AG65)</f>
        <v>0</v>
      </c>
      <c r="AH66" s="55">
        <f t="shared" si="2"/>
        <v>-1.4</v>
      </c>
      <c r="AI66" s="56">
        <f t="shared" si="3"/>
        <v>-281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11">SUM(C67:C69)</f>
        <v>0</v>
      </c>
      <c r="D70" s="72">
        <f t="shared" si="11"/>
        <v>0</v>
      </c>
      <c r="E70" s="72">
        <f t="shared" si="11"/>
        <v>0</v>
      </c>
      <c r="F70" s="72">
        <f t="shared" si="11"/>
        <v>0</v>
      </c>
      <c r="G70" s="72">
        <f t="shared" si="11"/>
        <v>0</v>
      </c>
      <c r="H70" s="72">
        <f t="shared" si="11"/>
        <v>0</v>
      </c>
      <c r="I70" s="72">
        <f t="shared" si="11"/>
        <v>0</v>
      </c>
      <c r="J70" s="72">
        <f t="shared" si="11"/>
        <v>0</v>
      </c>
      <c r="K70" s="72">
        <f t="shared" si="11"/>
        <v>0</v>
      </c>
      <c r="L70" s="72">
        <f t="shared" si="11"/>
        <v>0</v>
      </c>
      <c r="M70" s="72">
        <f t="shared" si="11"/>
        <v>0</v>
      </c>
      <c r="N70" s="72">
        <f t="shared" si="11"/>
        <v>0</v>
      </c>
      <c r="O70" s="72">
        <f t="shared" si="11"/>
        <v>0</v>
      </c>
      <c r="P70" s="72">
        <f t="shared" si="11"/>
        <v>0</v>
      </c>
      <c r="Q70" s="72">
        <f t="shared" si="11"/>
        <v>0</v>
      </c>
      <c r="R70" s="72">
        <f t="shared" si="11"/>
        <v>0</v>
      </c>
      <c r="S70" s="72">
        <f t="shared" si="11"/>
        <v>0</v>
      </c>
      <c r="T70" s="72">
        <f t="shared" si="11"/>
        <v>0</v>
      </c>
      <c r="U70" s="72">
        <f t="shared" si="11"/>
        <v>0</v>
      </c>
      <c r="V70" s="72">
        <f t="shared" si="11"/>
        <v>0</v>
      </c>
      <c r="W70" s="72">
        <f t="shared" si="11"/>
        <v>0</v>
      </c>
      <c r="X70" s="72">
        <f t="shared" si="11"/>
        <v>0</v>
      </c>
      <c r="Y70" s="72">
        <f t="shared" si="11"/>
        <v>0</v>
      </c>
      <c r="Z70" s="72">
        <f t="shared" si="11"/>
        <v>0</v>
      </c>
      <c r="AA70" s="72">
        <f t="shared" si="11"/>
        <v>0</v>
      </c>
      <c r="AB70" s="72">
        <f t="shared" si="11"/>
        <v>0</v>
      </c>
      <c r="AC70" s="72">
        <f t="shared" si="11"/>
        <v>0</v>
      </c>
      <c r="AD70" s="72">
        <f t="shared" si="11"/>
        <v>0</v>
      </c>
      <c r="AE70" s="72">
        <f t="shared" si="11"/>
        <v>0</v>
      </c>
      <c r="AF70" s="72">
        <f t="shared" si="11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1020.2400000000001</v>
      </c>
      <c r="C71" s="87">
        <f t="shared" ref="C71:AG71" si="12">C66+C54+C50+C36+C70</f>
        <v>1022.3400000000001</v>
      </c>
      <c r="D71" s="87">
        <f t="shared" si="12"/>
        <v>982.54000000000008</v>
      </c>
      <c r="E71" s="87">
        <f t="shared" si="12"/>
        <v>976.24</v>
      </c>
      <c r="F71" s="87">
        <f t="shared" si="12"/>
        <v>988.04000000000019</v>
      </c>
      <c r="G71" s="87">
        <f t="shared" si="12"/>
        <v>1004.44</v>
      </c>
      <c r="H71" s="87">
        <f t="shared" si="12"/>
        <v>1025.3400000000001</v>
      </c>
      <c r="I71" s="87">
        <f t="shared" si="12"/>
        <v>1088.6400000000001</v>
      </c>
      <c r="J71" s="87">
        <f t="shared" si="12"/>
        <v>1142.74</v>
      </c>
      <c r="K71" s="87">
        <f t="shared" si="12"/>
        <v>1178.4399999999998</v>
      </c>
      <c r="L71" s="87">
        <f t="shared" si="12"/>
        <v>1175.54</v>
      </c>
      <c r="M71" s="87">
        <f t="shared" si="12"/>
        <v>1192.24</v>
      </c>
      <c r="N71" s="87">
        <f t="shared" si="12"/>
        <v>1247.6400000000001</v>
      </c>
      <c r="O71" s="87">
        <f t="shared" si="12"/>
        <v>1224.44</v>
      </c>
      <c r="P71" s="87">
        <f t="shared" si="12"/>
        <v>1223.8400000000001</v>
      </c>
      <c r="Q71" s="87">
        <f t="shared" si="12"/>
        <v>1283.04</v>
      </c>
      <c r="R71" s="87">
        <f t="shared" si="12"/>
        <v>1289.74</v>
      </c>
      <c r="S71" s="87">
        <f t="shared" si="12"/>
        <v>1278.54</v>
      </c>
      <c r="T71" s="87">
        <f t="shared" si="12"/>
        <v>1265.04</v>
      </c>
      <c r="U71" s="87">
        <f t="shared" si="12"/>
        <v>1239.97</v>
      </c>
      <c r="V71" s="87">
        <f t="shared" si="12"/>
        <v>1271.04</v>
      </c>
      <c r="W71" s="87">
        <f t="shared" si="12"/>
        <v>1550.44</v>
      </c>
      <c r="X71" s="87">
        <f t="shared" si="12"/>
        <v>1560.44</v>
      </c>
      <c r="Y71" s="87">
        <f t="shared" si="12"/>
        <v>1463.3400000000001</v>
      </c>
      <c r="Z71" s="87">
        <f t="shared" si="12"/>
        <v>1461.44</v>
      </c>
      <c r="AA71" s="87">
        <f t="shared" si="12"/>
        <v>1421.3400000000001</v>
      </c>
      <c r="AB71" s="87">
        <f t="shared" si="12"/>
        <v>1392.04</v>
      </c>
      <c r="AC71" s="87">
        <f t="shared" si="12"/>
        <v>1353.8400000000001</v>
      </c>
      <c r="AD71" s="87">
        <f t="shared" si="12"/>
        <v>1216.94</v>
      </c>
      <c r="AE71" s="87">
        <f t="shared" si="12"/>
        <v>1192.94</v>
      </c>
      <c r="AF71" s="87">
        <f t="shared" si="12"/>
        <v>1131.8400000000001</v>
      </c>
      <c r="AG71" s="87">
        <f t="shared" si="12"/>
        <v>2083.14</v>
      </c>
      <c r="AH71" s="55">
        <f t="shared" si="2"/>
        <v>1560.44</v>
      </c>
      <c r="AI71" s="56">
        <f t="shared" si="3"/>
        <v>976.24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1020.2400000000001</v>
      </c>
      <c r="C73" s="87">
        <f t="shared" ref="C73:AF73" si="13">C70+C66+C54+C50+C36+C72</f>
        <v>1022.3400000000001</v>
      </c>
      <c r="D73" s="87">
        <f t="shared" si="13"/>
        <v>982.54000000000008</v>
      </c>
      <c r="E73" s="87">
        <f t="shared" si="13"/>
        <v>976.24</v>
      </c>
      <c r="F73" s="87">
        <f t="shared" si="13"/>
        <v>988.04000000000019</v>
      </c>
      <c r="G73" s="87">
        <f t="shared" si="13"/>
        <v>1004.44</v>
      </c>
      <c r="H73" s="87">
        <f t="shared" si="13"/>
        <v>1025.3400000000001</v>
      </c>
      <c r="I73" s="87">
        <f t="shared" si="13"/>
        <v>1088.6400000000001</v>
      </c>
      <c r="J73" s="87">
        <f t="shared" si="13"/>
        <v>1142.74</v>
      </c>
      <c r="K73" s="87">
        <f t="shared" si="13"/>
        <v>1178.4399999999998</v>
      </c>
      <c r="L73" s="87">
        <f t="shared" si="13"/>
        <v>1175.54</v>
      </c>
      <c r="M73" s="87">
        <f t="shared" si="13"/>
        <v>1192.24</v>
      </c>
      <c r="N73" s="87">
        <f t="shared" si="13"/>
        <v>1247.6400000000001</v>
      </c>
      <c r="O73" s="87">
        <f t="shared" si="13"/>
        <v>1224.44</v>
      </c>
      <c r="P73" s="87">
        <f t="shared" si="13"/>
        <v>1223.8400000000001</v>
      </c>
      <c r="Q73" s="87">
        <f t="shared" si="13"/>
        <v>1283.04</v>
      </c>
      <c r="R73" s="87">
        <f t="shared" si="13"/>
        <v>1289.74</v>
      </c>
      <c r="S73" s="87">
        <f t="shared" si="13"/>
        <v>1278.54</v>
      </c>
      <c r="T73" s="87">
        <f t="shared" si="13"/>
        <v>1265.04</v>
      </c>
      <c r="U73" s="87">
        <f t="shared" si="13"/>
        <v>1239.97</v>
      </c>
      <c r="V73" s="87">
        <f t="shared" si="13"/>
        <v>1271.04</v>
      </c>
      <c r="W73" s="87">
        <f t="shared" si="13"/>
        <v>1550.44</v>
      </c>
      <c r="X73" s="87">
        <f t="shared" si="13"/>
        <v>1560.44</v>
      </c>
      <c r="Y73" s="87">
        <f t="shared" si="13"/>
        <v>1463.3400000000001</v>
      </c>
      <c r="Z73" s="87">
        <f t="shared" si="13"/>
        <v>1461.44</v>
      </c>
      <c r="AA73" s="87">
        <f t="shared" si="13"/>
        <v>1421.3400000000001</v>
      </c>
      <c r="AB73" s="87">
        <f t="shared" si="13"/>
        <v>1392.04</v>
      </c>
      <c r="AC73" s="87">
        <f t="shared" si="13"/>
        <v>1353.8400000000001</v>
      </c>
      <c r="AD73" s="87">
        <f t="shared" si="13"/>
        <v>1216.94</v>
      </c>
      <c r="AE73" s="87">
        <f t="shared" si="13"/>
        <v>1192.94</v>
      </c>
      <c r="AF73" s="87">
        <f t="shared" si="13"/>
        <v>1131.8400000000001</v>
      </c>
      <c r="AG73" s="77">
        <f>AG70+AG66+AG54+AG50+AG36+AG72</f>
        <v>2083.14</v>
      </c>
      <c r="AH73" s="55">
        <f t="shared" si="2"/>
        <v>1560.44</v>
      </c>
      <c r="AI73" s="56">
        <f t="shared" si="3"/>
        <v>976.24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4">IF(C58&lt;0,C58*-1,0)</f>
        <v>0</v>
      </c>
      <c r="D74" s="59">
        <f t="shared" si="14"/>
        <v>0</v>
      </c>
      <c r="E74" s="59">
        <f t="shared" si="14"/>
        <v>0</v>
      </c>
      <c r="F74" s="59">
        <f t="shared" si="14"/>
        <v>0</v>
      </c>
      <c r="G74" s="59">
        <f t="shared" si="14"/>
        <v>0</v>
      </c>
      <c r="H74" s="59">
        <f t="shared" si="14"/>
        <v>0</v>
      </c>
      <c r="I74" s="59">
        <f t="shared" si="14"/>
        <v>0</v>
      </c>
      <c r="J74" s="59">
        <f t="shared" si="14"/>
        <v>0</v>
      </c>
      <c r="K74" s="59">
        <f t="shared" si="14"/>
        <v>0</v>
      </c>
      <c r="L74" s="59">
        <f t="shared" si="14"/>
        <v>0</v>
      </c>
      <c r="M74" s="59">
        <f t="shared" si="14"/>
        <v>0</v>
      </c>
      <c r="N74" s="59">
        <f t="shared" si="14"/>
        <v>0</v>
      </c>
      <c r="O74" s="59">
        <f t="shared" si="14"/>
        <v>0</v>
      </c>
      <c r="P74" s="59">
        <f t="shared" si="14"/>
        <v>0</v>
      </c>
      <c r="Q74" s="59">
        <f t="shared" si="14"/>
        <v>0</v>
      </c>
      <c r="R74" s="59">
        <f t="shared" si="14"/>
        <v>0</v>
      </c>
      <c r="S74" s="59">
        <f t="shared" si="14"/>
        <v>0</v>
      </c>
      <c r="T74" s="59">
        <f t="shared" si="14"/>
        <v>0</v>
      </c>
      <c r="U74" s="59">
        <f t="shared" si="14"/>
        <v>0</v>
      </c>
      <c r="V74" s="59">
        <f t="shared" si="14"/>
        <v>0</v>
      </c>
      <c r="W74" s="59">
        <f t="shared" si="14"/>
        <v>0</v>
      </c>
      <c r="X74" s="59">
        <f t="shared" si="14"/>
        <v>0</v>
      </c>
      <c r="Y74" s="59">
        <f t="shared" si="14"/>
        <v>0</v>
      </c>
      <c r="Z74" s="59">
        <f t="shared" si="14"/>
        <v>0</v>
      </c>
      <c r="AA74" s="59">
        <f t="shared" si="14"/>
        <v>0</v>
      </c>
      <c r="AB74" s="59">
        <f t="shared" si="14"/>
        <v>0</v>
      </c>
      <c r="AC74" s="59">
        <f t="shared" si="14"/>
        <v>0</v>
      </c>
      <c r="AD74" s="59">
        <f t="shared" si="14"/>
        <v>40</v>
      </c>
      <c r="AE74" s="59">
        <f t="shared" si="14"/>
        <v>38</v>
      </c>
      <c r="AF74" s="59">
        <f t="shared" si="14"/>
        <v>39</v>
      </c>
      <c r="AG74" s="63"/>
      <c r="AH74" s="55">
        <f t="shared" si="2"/>
        <v>40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5">IF(C56&lt;0,C56*-1,0)</f>
        <v>0</v>
      </c>
      <c r="D75" s="59">
        <f t="shared" si="15"/>
        <v>0</v>
      </c>
      <c r="E75" s="59">
        <f t="shared" si="15"/>
        <v>0</v>
      </c>
      <c r="F75" s="59">
        <f t="shared" si="15"/>
        <v>0</v>
      </c>
      <c r="G75" s="59">
        <f t="shared" si="15"/>
        <v>0</v>
      </c>
      <c r="H75" s="59">
        <f t="shared" si="15"/>
        <v>0</v>
      </c>
      <c r="I75" s="59">
        <f t="shared" si="15"/>
        <v>0</v>
      </c>
      <c r="J75" s="59">
        <f t="shared" si="15"/>
        <v>0</v>
      </c>
      <c r="K75" s="59">
        <f t="shared" si="15"/>
        <v>0</v>
      </c>
      <c r="L75" s="59">
        <f t="shared" si="15"/>
        <v>0</v>
      </c>
      <c r="M75" s="59">
        <f t="shared" si="15"/>
        <v>0</v>
      </c>
      <c r="N75" s="59">
        <f t="shared" si="15"/>
        <v>0</v>
      </c>
      <c r="O75" s="59">
        <f t="shared" si="15"/>
        <v>0</v>
      </c>
      <c r="P75" s="59">
        <f t="shared" si="15"/>
        <v>0</v>
      </c>
      <c r="Q75" s="59">
        <f t="shared" si="15"/>
        <v>0</v>
      </c>
      <c r="R75" s="59">
        <f t="shared" si="15"/>
        <v>0</v>
      </c>
      <c r="S75" s="59">
        <f t="shared" si="15"/>
        <v>0</v>
      </c>
      <c r="T75" s="59">
        <f t="shared" si="15"/>
        <v>0</v>
      </c>
      <c r="U75" s="59">
        <f t="shared" si="15"/>
        <v>0</v>
      </c>
      <c r="V75" s="59">
        <f t="shared" si="15"/>
        <v>0</v>
      </c>
      <c r="W75" s="59">
        <f t="shared" si="15"/>
        <v>103</v>
      </c>
      <c r="X75" s="59">
        <f t="shared" si="15"/>
        <v>104</v>
      </c>
      <c r="Y75" s="59">
        <f t="shared" si="15"/>
        <v>110</v>
      </c>
      <c r="Z75" s="59">
        <f t="shared" si="15"/>
        <v>115</v>
      </c>
      <c r="AA75" s="59">
        <f t="shared" si="15"/>
        <v>117</v>
      </c>
      <c r="AB75" s="59">
        <f t="shared" si="15"/>
        <v>117</v>
      </c>
      <c r="AC75" s="59">
        <f t="shared" si="15"/>
        <v>118</v>
      </c>
      <c r="AD75" s="59">
        <f t="shared" si="15"/>
        <v>119</v>
      </c>
      <c r="AE75" s="59">
        <f t="shared" si="15"/>
        <v>115</v>
      </c>
      <c r="AF75" s="59">
        <f t="shared" si="15"/>
        <v>97.4</v>
      </c>
      <c r="AG75" s="67"/>
      <c r="AH75" s="55">
        <f t="shared" si="2"/>
        <v>119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6">IF(C59&lt;0,C59*-1,0)</f>
        <v>0</v>
      </c>
      <c r="D76" s="59">
        <f t="shared" si="16"/>
        <v>0</v>
      </c>
      <c r="E76" s="59">
        <f t="shared" si="16"/>
        <v>0</v>
      </c>
      <c r="F76" s="59">
        <f t="shared" si="16"/>
        <v>0</v>
      </c>
      <c r="G76" s="59">
        <f t="shared" si="16"/>
        <v>0</v>
      </c>
      <c r="H76" s="59">
        <f t="shared" si="16"/>
        <v>0</v>
      </c>
      <c r="I76" s="59">
        <f t="shared" si="16"/>
        <v>0</v>
      </c>
      <c r="J76" s="59">
        <f t="shared" si="16"/>
        <v>0</v>
      </c>
      <c r="K76" s="59">
        <f t="shared" si="16"/>
        <v>0</v>
      </c>
      <c r="L76" s="59">
        <f t="shared" si="16"/>
        <v>0</v>
      </c>
      <c r="M76" s="59">
        <f t="shared" si="16"/>
        <v>0</v>
      </c>
      <c r="N76" s="59">
        <f t="shared" si="16"/>
        <v>0</v>
      </c>
      <c r="O76" s="59">
        <f t="shared" si="16"/>
        <v>0</v>
      </c>
      <c r="P76" s="59">
        <f t="shared" si="16"/>
        <v>0</v>
      </c>
      <c r="Q76" s="59">
        <f t="shared" si="16"/>
        <v>0</v>
      </c>
      <c r="R76" s="59">
        <f t="shared" si="16"/>
        <v>0</v>
      </c>
      <c r="S76" s="59">
        <f t="shared" si="16"/>
        <v>0</v>
      </c>
      <c r="T76" s="59">
        <f t="shared" si="16"/>
        <v>0</v>
      </c>
      <c r="U76" s="59">
        <f t="shared" si="16"/>
        <v>0</v>
      </c>
      <c r="V76" s="59">
        <f t="shared" si="16"/>
        <v>0</v>
      </c>
      <c r="W76" s="59">
        <f t="shared" si="16"/>
        <v>0</v>
      </c>
      <c r="X76" s="59">
        <f t="shared" si="16"/>
        <v>0</v>
      </c>
      <c r="Y76" s="59">
        <f t="shared" si="16"/>
        <v>50</v>
      </c>
      <c r="Z76" s="59">
        <f t="shared" si="16"/>
        <v>50</v>
      </c>
      <c r="AA76" s="59">
        <f t="shared" si="16"/>
        <v>52.6</v>
      </c>
      <c r="AB76" s="59">
        <f t="shared" si="16"/>
        <v>53.9</v>
      </c>
      <c r="AC76" s="59">
        <f t="shared" si="16"/>
        <v>71.400000000000006</v>
      </c>
      <c r="AD76" s="59">
        <f t="shared" si="16"/>
        <v>72</v>
      </c>
      <c r="AE76" s="59">
        <f t="shared" si="16"/>
        <v>68.8</v>
      </c>
      <c r="AF76" s="59">
        <f t="shared" si="16"/>
        <v>67.599999999999994</v>
      </c>
      <c r="AG76" s="90"/>
      <c r="AH76" s="55">
        <f t="shared" si="2"/>
        <v>72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72.599999999999994</v>
      </c>
      <c r="C77" s="59">
        <f t="shared" ref="C77:AF77" si="17">IF(C57&lt;0,C57*-1,0)</f>
        <v>45.5</v>
      </c>
      <c r="D77" s="59">
        <f t="shared" si="17"/>
        <v>56.2</v>
      </c>
      <c r="E77" s="59">
        <f t="shared" si="17"/>
        <v>62</v>
      </c>
      <c r="F77" s="59">
        <f t="shared" si="17"/>
        <v>42</v>
      </c>
      <c r="G77" s="59">
        <f t="shared" si="17"/>
        <v>37</v>
      </c>
      <c r="H77" s="59">
        <f t="shared" si="17"/>
        <v>32.299999999999997</v>
      </c>
      <c r="I77" s="59">
        <f t="shared" si="17"/>
        <v>15</v>
      </c>
      <c r="J77" s="59">
        <f t="shared" si="17"/>
        <v>36.9</v>
      </c>
      <c r="K77" s="59">
        <f t="shared" si="17"/>
        <v>52.6</v>
      </c>
      <c r="L77" s="59">
        <f t="shared" si="17"/>
        <v>13.9</v>
      </c>
      <c r="M77" s="59">
        <f t="shared" si="17"/>
        <v>48.6</v>
      </c>
      <c r="N77" s="59">
        <f t="shared" si="17"/>
        <v>22.6</v>
      </c>
      <c r="O77" s="59">
        <f t="shared" si="17"/>
        <v>37.1</v>
      </c>
      <c r="P77" s="59">
        <f t="shared" si="17"/>
        <v>1.4</v>
      </c>
      <c r="Q77" s="59">
        <f t="shared" si="17"/>
        <v>2.5</v>
      </c>
      <c r="R77" s="59">
        <f t="shared" si="17"/>
        <v>52.4</v>
      </c>
      <c r="S77" s="59">
        <f t="shared" si="17"/>
        <v>56.7</v>
      </c>
      <c r="T77" s="59">
        <f t="shared" si="17"/>
        <v>60.1</v>
      </c>
      <c r="U77" s="59">
        <f t="shared" si="17"/>
        <v>60.1</v>
      </c>
      <c r="V77" s="59">
        <f t="shared" si="17"/>
        <v>50.2</v>
      </c>
      <c r="W77" s="59">
        <f t="shared" si="17"/>
        <v>20.6</v>
      </c>
      <c r="X77" s="59">
        <f t="shared" si="17"/>
        <v>10.199999999999999</v>
      </c>
      <c r="Y77" s="59">
        <f t="shared" si="17"/>
        <v>11</v>
      </c>
      <c r="Z77" s="59">
        <f t="shared" si="17"/>
        <v>3.7</v>
      </c>
      <c r="AA77" s="59">
        <f t="shared" si="17"/>
        <v>21.9</v>
      </c>
      <c r="AB77" s="59">
        <f t="shared" si="17"/>
        <v>42.6</v>
      </c>
      <c r="AC77" s="59">
        <f t="shared" si="17"/>
        <v>17</v>
      </c>
      <c r="AD77" s="59">
        <f t="shared" si="17"/>
        <v>60</v>
      </c>
      <c r="AE77" s="59">
        <f t="shared" si="17"/>
        <v>30</v>
      </c>
      <c r="AF77" s="59">
        <f t="shared" si="17"/>
        <v>44</v>
      </c>
      <c r="AG77" s="90"/>
      <c r="AH77" s="55">
        <f t="shared" ref="AH77:AH89" si="18">MAX(B77:AF77)</f>
        <v>72.599999999999994</v>
      </c>
      <c r="AI77" s="56">
        <f t="shared" ref="AI77:AI89" si="19">MIN(B77:AF77)</f>
        <v>1.4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20">IF(C55&lt;0,C55*-1,0)</f>
        <v>0</v>
      </c>
      <c r="D78" s="59">
        <f t="shared" si="20"/>
        <v>0</v>
      </c>
      <c r="E78" s="59">
        <f t="shared" si="20"/>
        <v>0</v>
      </c>
      <c r="F78" s="59">
        <f t="shared" si="20"/>
        <v>0</v>
      </c>
      <c r="G78" s="59">
        <f t="shared" si="20"/>
        <v>0</v>
      </c>
      <c r="H78" s="59">
        <f t="shared" si="20"/>
        <v>0</v>
      </c>
      <c r="I78" s="59">
        <f t="shared" si="20"/>
        <v>0</v>
      </c>
      <c r="J78" s="59">
        <f t="shared" si="20"/>
        <v>0</v>
      </c>
      <c r="K78" s="59">
        <f t="shared" si="20"/>
        <v>0</v>
      </c>
      <c r="L78" s="59">
        <f t="shared" si="20"/>
        <v>0</v>
      </c>
      <c r="M78" s="59">
        <f t="shared" si="20"/>
        <v>0</v>
      </c>
      <c r="N78" s="59">
        <f t="shared" si="20"/>
        <v>0</v>
      </c>
      <c r="O78" s="59">
        <f t="shared" si="20"/>
        <v>0</v>
      </c>
      <c r="P78" s="59">
        <f t="shared" si="20"/>
        <v>0</v>
      </c>
      <c r="Q78" s="59">
        <f t="shared" si="20"/>
        <v>0</v>
      </c>
      <c r="R78" s="59">
        <f t="shared" si="20"/>
        <v>0</v>
      </c>
      <c r="S78" s="59">
        <f t="shared" si="20"/>
        <v>0</v>
      </c>
      <c r="T78" s="59">
        <f t="shared" si="20"/>
        <v>0</v>
      </c>
      <c r="U78" s="59">
        <f t="shared" si="20"/>
        <v>0</v>
      </c>
      <c r="V78" s="59">
        <f t="shared" si="20"/>
        <v>0</v>
      </c>
      <c r="W78" s="59">
        <f t="shared" si="20"/>
        <v>0</v>
      </c>
      <c r="X78" s="59">
        <f t="shared" si="20"/>
        <v>0</v>
      </c>
      <c r="Y78" s="59">
        <f t="shared" si="20"/>
        <v>0</v>
      </c>
      <c r="Z78" s="59">
        <f t="shared" si="20"/>
        <v>0</v>
      </c>
      <c r="AA78" s="59">
        <f t="shared" si="20"/>
        <v>0</v>
      </c>
      <c r="AB78" s="59">
        <f t="shared" si="20"/>
        <v>0</v>
      </c>
      <c r="AC78" s="59">
        <f t="shared" si="20"/>
        <v>0</v>
      </c>
      <c r="AD78" s="59">
        <f t="shared" si="20"/>
        <v>0</v>
      </c>
      <c r="AE78" s="59">
        <f t="shared" si="20"/>
        <v>0</v>
      </c>
      <c r="AF78" s="59">
        <f t="shared" si="20"/>
        <v>0</v>
      </c>
      <c r="AG78" s="90"/>
      <c r="AH78" s="55">
        <f t="shared" si="18"/>
        <v>0</v>
      </c>
      <c r="AI78" s="56">
        <f t="shared" si="1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8"/>
        <v>0</v>
      </c>
      <c r="AI79" s="56">
        <f t="shared" si="1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1">SUM(B74:B79)</f>
        <v>72.599999999999994</v>
      </c>
      <c r="C80" s="72">
        <f t="shared" si="21"/>
        <v>45.5</v>
      </c>
      <c r="D80" s="72">
        <f t="shared" si="21"/>
        <v>56.2</v>
      </c>
      <c r="E80" s="72">
        <f t="shared" si="21"/>
        <v>62</v>
      </c>
      <c r="F80" s="72">
        <f t="shared" si="21"/>
        <v>42</v>
      </c>
      <c r="G80" s="72">
        <f t="shared" si="21"/>
        <v>37</v>
      </c>
      <c r="H80" s="72">
        <f t="shared" si="21"/>
        <v>32.299999999999997</v>
      </c>
      <c r="I80" s="72">
        <f t="shared" si="21"/>
        <v>15</v>
      </c>
      <c r="J80" s="72">
        <f t="shared" si="21"/>
        <v>36.9</v>
      </c>
      <c r="K80" s="72">
        <f t="shared" si="21"/>
        <v>52.6</v>
      </c>
      <c r="L80" s="72">
        <f t="shared" si="21"/>
        <v>13.9</v>
      </c>
      <c r="M80" s="72">
        <f t="shared" si="21"/>
        <v>48.6</v>
      </c>
      <c r="N80" s="72">
        <f t="shared" si="21"/>
        <v>22.6</v>
      </c>
      <c r="O80" s="72">
        <f t="shared" si="21"/>
        <v>37.1</v>
      </c>
      <c r="P80" s="72">
        <f t="shared" si="21"/>
        <v>1.4</v>
      </c>
      <c r="Q80" s="72">
        <f t="shared" si="21"/>
        <v>2.5</v>
      </c>
      <c r="R80" s="72">
        <f t="shared" si="21"/>
        <v>52.4</v>
      </c>
      <c r="S80" s="72">
        <f t="shared" si="21"/>
        <v>56.7</v>
      </c>
      <c r="T80" s="72">
        <f t="shared" si="21"/>
        <v>60.1</v>
      </c>
      <c r="U80" s="72">
        <f t="shared" si="21"/>
        <v>60.1</v>
      </c>
      <c r="V80" s="72">
        <f t="shared" si="21"/>
        <v>50.2</v>
      </c>
      <c r="W80" s="72">
        <f t="shared" si="21"/>
        <v>123.6</v>
      </c>
      <c r="X80" s="72">
        <f t="shared" si="21"/>
        <v>114.2</v>
      </c>
      <c r="Y80" s="72">
        <f t="shared" si="21"/>
        <v>171</v>
      </c>
      <c r="Z80" s="72">
        <f t="shared" si="21"/>
        <v>168.7</v>
      </c>
      <c r="AA80" s="72">
        <f t="shared" si="21"/>
        <v>191.5</v>
      </c>
      <c r="AB80" s="72">
        <f t="shared" si="21"/>
        <v>213.5</v>
      </c>
      <c r="AC80" s="72">
        <f t="shared" si="21"/>
        <v>206.4</v>
      </c>
      <c r="AD80" s="72">
        <f t="shared" si="21"/>
        <v>291</v>
      </c>
      <c r="AE80" s="72">
        <f t="shared" si="21"/>
        <v>251.8</v>
      </c>
      <c r="AF80" s="72">
        <f t="shared" si="21"/>
        <v>248</v>
      </c>
      <c r="AG80" s="77">
        <f t="shared" si="21"/>
        <v>0</v>
      </c>
      <c r="AH80" s="55">
        <f t="shared" si="18"/>
        <v>291</v>
      </c>
      <c r="AI80" s="56">
        <f t="shared" si="19"/>
        <v>1.4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2">SUM(B68:B80)</f>
        <v>2185.6800000000003</v>
      </c>
      <c r="C81" s="72">
        <f t="shared" si="22"/>
        <v>2135.6800000000003</v>
      </c>
      <c r="D81" s="72">
        <f t="shared" si="22"/>
        <v>2077.48</v>
      </c>
      <c r="E81" s="72">
        <f t="shared" si="22"/>
        <v>2076.48</v>
      </c>
      <c r="F81" s="72">
        <f t="shared" si="22"/>
        <v>2060.0800000000004</v>
      </c>
      <c r="G81" s="72">
        <f t="shared" si="22"/>
        <v>2082.88</v>
      </c>
      <c r="H81" s="72">
        <f t="shared" si="22"/>
        <v>2115.2800000000007</v>
      </c>
      <c r="I81" s="72">
        <f t="shared" si="22"/>
        <v>2207.2800000000002</v>
      </c>
      <c r="J81" s="72">
        <f t="shared" si="22"/>
        <v>2359.2800000000002</v>
      </c>
      <c r="K81" s="72">
        <f t="shared" si="22"/>
        <v>2462.0799999999995</v>
      </c>
      <c r="L81" s="72">
        <f t="shared" si="22"/>
        <v>2378.88</v>
      </c>
      <c r="M81" s="72">
        <f t="shared" si="22"/>
        <v>2481.6799999999998</v>
      </c>
      <c r="N81" s="72">
        <f t="shared" si="22"/>
        <v>2540.48</v>
      </c>
      <c r="O81" s="72">
        <f t="shared" si="22"/>
        <v>2523.08</v>
      </c>
      <c r="P81" s="72">
        <f t="shared" si="22"/>
        <v>2450.4800000000005</v>
      </c>
      <c r="Q81" s="72">
        <f t="shared" si="22"/>
        <v>2571.08</v>
      </c>
      <c r="R81" s="72">
        <f t="shared" si="22"/>
        <v>2684.28</v>
      </c>
      <c r="S81" s="72">
        <f t="shared" si="22"/>
        <v>2670.4799999999996</v>
      </c>
      <c r="T81" s="72">
        <f t="shared" si="22"/>
        <v>2650.2799999999997</v>
      </c>
      <c r="U81" s="72">
        <f t="shared" si="22"/>
        <v>2600.14</v>
      </c>
      <c r="V81" s="72">
        <f t="shared" si="22"/>
        <v>2642.4799999999996</v>
      </c>
      <c r="W81" s="72">
        <f t="shared" si="22"/>
        <v>3348.08</v>
      </c>
      <c r="X81" s="72">
        <f t="shared" si="22"/>
        <v>3349.2799999999997</v>
      </c>
      <c r="Y81" s="72">
        <f t="shared" si="22"/>
        <v>3268.6800000000003</v>
      </c>
      <c r="Z81" s="72">
        <f t="shared" si="22"/>
        <v>3260.2799999999997</v>
      </c>
      <c r="AA81" s="72">
        <f t="shared" si="22"/>
        <v>3225.6800000000003</v>
      </c>
      <c r="AB81" s="72">
        <f t="shared" si="22"/>
        <v>3211.08</v>
      </c>
      <c r="AC81" s="72">
        <f t="shared" si="22"/>
        <v>3120.4800000000005</v>
      </c>
      <c r="AD81" s="72">
        <f t="shared" si="22"/>
        <v>3015.88</v>
      </c>
      <c r="AE81" s="72">
        <f t="shared" si="22"/>
        <v>2889.4800000000005</v>
      </c>
      <c r="AF81" s="72">
        <f t="shared" si="22"/>
        <v>2759.6800000000003</v>
      </c>
      <c r="AG81" s="77">
        <f t="shared" si="22"/>
        <v>4238.08</v>
      </c>
      <c r="AH81" s="55">
        <f t="shared" si="18"/>
        <v>3349.2799999999997</v>
      </c>
      <c r="AI81" s="56">
        <f t="shared" si="19"/>
        <v>2060.0800000000004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49.962000000000003</v>
      </c>
      <c r="C82" s="93">
        <v>49.996000000000002</v>
      </c>
      <c r="D82" s="93">
        <v>50.037999999999997</v>
      </c>
      <c r="E82" s="93">
        <v>50.000999999999998</v>
      </c>
      <c r="F82" s="93">
        <v>49.954999999999998</v>
      </c>
      <c r="G82" s="93">
        <v>49.901000000000003</v>
      </c>
      <c r="H82" s="93">
        <v>49.851999999999997</v>
      </c>
      <c r="I82" s="93">
        <v>49.887</v>
      </c>
      <c r="J82" s="93">
        <v>49.936999999999998</v>
      </c>
      <c r="K82" s="93">
        <v>49.750999999999998</v>
      </c>
      <c r="L82" s="93">
        <v>50.036999999999999</v>
      </c>
      <c r="M82" s="93">
        <v>50.003999999999998</v>
      </c>
      <c r="N82" s="93">
        <v>50.034999999999997</v>
      </c>
      <c r="O82" s="93">
        <v>50.046999999999997</v>
      </c>
      <c r="P82" s="93">
        <v>50.121000000000002</v>
      </c>
      <c r="Q82" s="93">
        <v>50.033999999999999</v>
      </c>
      <c r="R82" s="93">
        <v>49.999000000000002</v>
      </c>
      <c r="S82" s="93">
        <v>49.917999999999999</v>
      </c>
      <c r="T82" s="93">
        <v>50.015000000000001</v>
      </c>
      <c r="U82" s="93">
        <v>49.835000000000001</v>
      </c>
      <c r="V82" s="93">
        <v>49.908999999999999</v>
      </c>
      <c r="W82" s="93">
        <v>50.018999999999998</v>
      </c>
      <c r="X82" s="93">
        <v>49.938000000000002</v>
      </c>
      <c r="Y82" s="93">
        <v>49.863999999999997</v>
      </c>
      <c r="Z82" s="93">
        <v>49.896000000000001</v>
      </c>
      <c r="AA82" s="93">
        <v>50.003999999999998</v>
      </c>
      <c r="AB82" s="93">
        <v>50.04</v>
      </c>
      <c r="AC82" s="93">
        <v>49.981999999999999</v>
      </c>
      <c r="AD82" s="93">
        <v>49.99</v>
      </c>
      <c r="AE82" s="93">
        <v>49.944000000000003</v>
      </c>
      <c r="AF82" s="94">
        <v>49.942999999999998</v>
      </c>
      <c r="AG82" s="95"/>
      <c r="AH82" s="55">
        <f t="shared" si="18"/>
        <v>50.121000000000002</v>
      </c>
      <c r="AI82" s="56">
        <f t="shared" si="19"/>
        <v>49.750999999999998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125.4</v>
      </c>
      <c r="C83" s="52">
        <v>125.6</v>
      </c>
      <c r="D83" s="52">
        <v>125.3</v>
      </c>
      <c r="E83" s="52">
        <v>125.5</v>
      </c>
      <c r="F83" s="52">
        <v>125.4</v>
      </c>
      <c r="G83" s="52">
        <v>124.8</v>
      </c>
      <c r="H83" s="52">
        <v>124.4</v>
      </c>
      <c r="I83" s="52">
        <v>123.8</v>
      </c>
      <c r="J83" s="52">
        <v>122.4</v>
      </c>
      <c r="K83" s="52">
        <v>122.3</v>
      </c>
      <c r="L83" s="52">
        <v>122.5</v>
      </c>
      <c r="M83" s="52">
        <v>122.6</v>
      </c>
      <c r="N83" s="52">
        <v>123</v>
      </c>
      <c r="O83" s="52">
        <v>124.2</v>
      </c>
      <c r="P83" s="52">
        <v>122.9</v>
      </c>
      <c r="Q83" s="52">
        <v>121.8</v>
      </c>
      <c r="R83" s="52">
        <v>122</v>
      </c>
      <c r="S83" s="52">
        <v>123.6</v>
      </c>
      <c r="T83" s="97">
        <v>123.4</v>
      </c>
      <c r="U83" s="97">
        <v>124.4</v>
      </c>
      <c r="V83" s="97">
        <v>125.2</v>
      </c>
      <c r="W83" s="97">
        <v>124.8</v>
      </c>
      <c r="X83" s="97">
        <v>123.9</v>
      </c>
      <c r="Y83" s="97">
        <v>124.1</v>
      </c>
      <c r="Z83" s="97">
        <v>124.1</v>
      </c>
      <c r="AA83" s="52">
        <v>124.6</v>
      </c>
      <c r="AB83" s="52">
        <v>124.5</v>
      </c>
      <c r="AC83" s="52">
        <v>124.7</v>
      </c>
      <c r="AD83" s="52">
        <v>125.4</v>
      </c>
      <c r="AE83" s="52">
        <v>124.6</v>
      </c>
      <c r="AF83" s="98">
        <v>123.9</v>
      </c>
      <c r="AG83" s="99"/>
      <c r="AH83" s="55">
        <f t="shared" si="18"/>
        <v>125.6</v>
      </c>
      <c r="AI83" s="56">
        <f t="shared" si="19"/>
        <v>121.8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130.5</v>
      </c>
      <c r="C84" s="52">
        <v>130.6</v>
      </c>
      <c r="D84" s="52">
        <v>130.4</v>
      </c>
      <c r="E84" s="52">
        <v>130.6</v>
      </c>
      <c r="F84" s="52">
        <v>130.19999999999999</v>
      </c>
      <c r="G84" s="52">
        <v>129.6</v>
      </c>
      <c r="H84" s="52">
        <v>129.1</v>
      </c>
      <c r="I84" s="52">
        <v>128.1</v>
      </c>
      <c r="J84" s="52">
        <v>126.5</v>
      </c>
      <c r="K84" s="52">
        <v>126.3</v>
      </c>
      <c r="L84" s="52">
        <v>126.5</v>
      </c>
      <c r="M84" s="52">
        <v>126.6</v>
      </c>
      <c r="N84" s="52">
        <v>126.9</v>
      </c>
      <c r="O84" s="52">
        <v>127.4</v>
      </c>
      <c r="P84" s="52">
        <v>126.8</v>
      </c>
      <c r="Q84" s="52">
        <v>125.3</v>
      </c>
      <c r="R84" s="52">
        <v>125.7</v>
      </c>
      <c r="S84" s="52">
        <v>127.3</v>
      </c>
      <c r="T84" s="97">
        <v>127.5</v>
      </c>
      <c r="U84" s="97">
        <v>127.6</v>
      </c>
      <c r="V84" s="97">
        <v>128.5</v>
      </c>
      <c r="W84" s="97">
        <v>127.8</v>
      </c>
      <c r="X84" s="97">
        <v>127.7</v>
      </c>
      <c r="Y84" s="97">
        <v>128.30000000000001</v>
      </c>
      <c r="Z84" s="97">
        <v>128.19999999999999</v>
      </c>
      <c r="AA84" s="52">
        <v>129.19999999999999</v>
      </c>
      <c r="AB84" s="52">
        <v>128.5</v>
      </c>
      <c r="AC84" s="52">
        <v>129.19999999999999</v>
      </c>
      <c r="AD84" s="52">
        <v>130.6</v>
      </c>
      <c r="AE84" s="52">
        <v>129.9</v>
      </c>
      <c r="AF84" s="98">
        <v>129.19999999999999</v>
      </c>
      <c r="AG84" s="99"/>
      <c r="AH84" s="55">
        <f t="shared" si="18"/>
        <v>130.6</v>
      </c>
      <c r="AI84" s="56">
        <f t="shared" si="19"/>
        <v>125.3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127.9</v>
      </c>
      <c r="C85" s="52">
        <v>128.69999999999999</v>
      </c>
      <c r="D85" s="52">
        <v>129.1</v>
      </c>
      <c r="E85" s="52">
        <v>129.6</v>
      </c>
      <c r="F85" s="52">
        <v>130.4</v>
      </c>
      <c r="G85" s="52">
        <v>130.1</v>
      </c>
      <c r="H85" s="52">
        <v>129.4</v>
      </c>
      <c r="I85" s="52">
        <v>125.1</v>
      </c>
      <c r="J85" s="52">
        <v>125.5</v>
      </c>
      <c r="K85" s="52">
        <v>124.1</v>
      </c>
      <c r="L85" s="52">
        <v>124.9</v>
      </c>
      <c r="M85" s="52">
        <v>128.80000000000001</v>
      </c>
      <c r="N85" s="52">
        <v>126.1</v>
      </c>
      <c r="O85" s="52">
        <v>126.1</v>
      </c>
      <c r="P85" s="52">
        <v>127.1</v>
      </c>
      <c r="Q85" s="52">
        <v>124.9</v>
      </c>
      <c r="R85" s="52">
        <v>126.9</v>
      </c>
      <c r="S85" s="52">
        <v>127</v>
      </c>
      <c r="T85" s="52">
        <v>127.5</v>
      </c>
      <c r="U85" s="52">
        <v>127.8</v>
      </c>
      <c r="V85" s="52">
        <v>128.80000000000001</v>
      </c>
      <c r="W85" s="97">
        <v>126.7</v>
      </c>
      <c r="X85" s="97">
        <v>125.5</v>
      </c>
      <c r="Y85" s="97">
        <v>121.2</v>
      </c>
      <c r="Z85" s="97">
        <v>121.4</v>
      </c>
      <c r="AA85" s="52">
        <v>123.7</v>
      </c>
      <c r="AB85" s="52">
        <v>124.5</v>
      </c>
      <c r="AC85" s="52">
        <v>125.8</v>
      </c>
      <c r="AD85" s="52">
        <v>127.6</v>
      </c>
      <c r="AE85" s="52">
        <v>125.2</v>
      </c>
      <c r="AF85" s="98">
        <v>127.7</v>
      </c>
      <c r="AG85" s="99"/>
      <c r="AH85" s="55">
        <f t="shared" si="18"/>
        <v>130.4</v>
      </c>
      <c r="AI85" s="56">
        <f t="shared" si="19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133.19999999999999</v>
      </c>
      <c r="C86" s="52">
        <v>134</v>
      </c>
      <c r="D86" s="52">
        <v>134.30000000000001</v>
      </c>
      <c r="E86" s="52">
        <v>135.1</v>
      </c>
      <c r="F86" s="52">
        <v>135.4</v>
      </c>
      <c r="G86" s="52">
        <v>135</v>
      </c>
      <c r="H86" s="52">
        <v>134.1</v>
      </c>
      <c r="I86" s="52">
        <v>130.1</v>
      </c>
      <c r="J86" s="52">
        <v>129.69999999999999</v>
      </c>
      <c r="K86" s="52">
        <v>127.9</v>
      </c>
      <c r="L86" s="52">
        <v>127.8</v>
      </c>
      <c r="M86" s="52">
        <v>128.1</v>
      </c>
      <c r="N86" s="52">
        <v>129.1</v>
      </c>
      <c r="O86" s="52">
        <v>130.30000000000001</v>
      </c>
      <c r="P86" s="52">
        <v>131.80000000000001</v>
      </c>
      <c r="Q86" s="52">
        <v>128.80000000000001</v>
      </c>
      <c r="R86" s="52">
        <v>130.1</v>
      </c>
      <c r="S86" s="52">
        <v>131.19999999999999</v>
      </c>
      <c r="T86" s="52">
        <v>131.19999999999999</v>
      </c>
      <c r="U86" s="52">
        <v>132.1</v>
      </c>
      <c r="V86" s="52">
        <v>133.6</v>
      </c>
      <c r="W86" s="97">
        <v>131.6</v>
      </c>
      <c r="X86" s="97">
        <v>123.9</v>
      </c>
      <c r="Y86" s="97">
        <v>126.3</v>
      </c>
      <c r="Z86" s="97">
        <v>128.6</v>
      </c>
      <c r="AA86" s="52">
        <v>128.80000000000001</v>
      </c>
      <c r="AB86" s="52">
        <v>130</v>
      </c>
      <c r="AC86" s="52">
        <v>131.19999999999999</v>
      </c>
      <c r="AD86" s="52">
        <v>133.4</v>
      </c>
      <c r="AE86" s="52">
        <v>131.30000000000001</v>
      </c>
      <c r="AF86" s="98">
        <v>133.19999999999999</v>
      </c>
      <c r="AG86" s="99"/>
      <c r="AH86" s="55">
        <f t="shared" si="18"/>
        <v>135.4</v>
      </c>
      <c r="AI86" s="56">
        <f t="shared" si="19"/>
        <v>123.9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134.30000000000001</v>
      </c>
      <c r="C87" s="101">
        <v>133.5</v>
      </c>
      <c r="D87" s="101">
        <v>133.80000000000001</v>
      </c>
      <c r="E87" s="101">
        <v>135.1</v>
      </c>
      <c r="F87" s="101">
        <v>133.4</v>
      </c>
      <c r="G87" s="101">
        <v>135.19999999999999</v>
      </c>
      <c r="H87" s="101">
        <v>133.69999999999999</v>
      </c>
      <c r="I87" s="101">
        <v>131.4</v>
      </c>
      <c r="J87" s="101">
        <v>131.80000000000001</v>
      </c>
      <c r="K87" s="101">
        <v>131.1</v>
      </c>
      <c r="L87" s="101">
        <v>134.30000000000001</v>
      </c>
      <c r="M87" s="101">
        <v>133.1</v>
      </c>
      <c r="N87" s="101">
        <v>131.4</v>
      </c>
      <c r="O87" s="101">
        <v>135.19999999999999</v>
      </c>
      <c r="P87" s="101">
        <v>128.80000000000001</v>
      </c>
      <c r="Q87" s="101">
        <v>132.6</v>
      </c>
      <c r="R87" s="101">
        <v>134.1</v>
      </c>
      <c r="S87" s="101">
        <v>135.80000000000001</v>
      </c>
      <c r="T87" s="101">
        <v>130.80000000000001</v>
      </c>
      <c r="U87" s="101">
        <v>135</v>
      </c>
      <c r="V87" s="101">
        <v>134.69999999999999</v>
      </c>
      <c r="W87" s="97">
        <v>135</v>
      </c>
      <c r="X87" s="97">
        <v>132.4</v>
      </c>
      <c r="Y87" s="97">
        <v>131.1</v>
      </c>
      <c r="Z87" s="97">
        <v>130.77000000000001</v>
      </c>
      <c r="AA87" s="101">
        <v>130.5</v>
      </c>
      <c r="AB87" s="101">
        <v>130.6</v>
      </c>
      <c r="AC87" s="101">
        <v>132.4</v>
      </c>
      <c r="AD87" s="101">
        <v>130.9</v>
      </c>
      <c r="AE87" s="101">
        <v>130.5</v>
      </c>
      <c r="AF87" s="102">
        <v>129.1</v>
      </c>
      <c r="AG87" s="103"/>
      <c r="AH87" s="55">
        <f t="shared" si="18"/>
        <v>135.80000000000001</v>
      </c>
      <c r="AI87" s="56">
        <f t="shared" si="19"/>
        <v>128.80000000000001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133.1</v>
      </c>
      <c r="C88" s="52">
        <v>133.30000000000001</v>
      </c>
      <c r="D88" s="52">
        <v>130.4</v>
      </c>
      <c r="E88" s="52">
        <v>131.80000000000001</v>
      </c>
      <c r="F88" s="52">
        <v>130</v>
      </c>
      <c r="G88" s="52">
        <v>131.4</v>
      </c>
      <c r="H88" s="52">
        <v>130.4</v>
      </c>
      <c r="I88" s="52">
        <v>127.4</v>
      </c>
      <c r="J88" s="52">
        <v>130</v>
      </c>
      <c r="K88" s="52">
        <v>127.8</v>
      </c>
      <c r="L88" s="52">
        <v>130.6</v>
      </c>
      <c r="M88" s="52">
        <v>129.69999999999999</v>
      </c>
      <c r="N88" s="52">
        <v>128.4</v>
      </c>
      <c r="O88" s="52">
        <v>131.6</v>
      </c>
      <c r="P88" s="52">
        <v>126</v>
      </c>
      <c r="Q88" s="52">
        <v>126.8</v>
      </c>
      <c r="R88" s="52">
        <v>130</v>
      </c>
      <c r="S88" s="52">
        <v>134.1</v>
      </c>
      <c r="T88" s="52">
        <v>131.1</v>
      </c>
      <c r="U88" s="52">
        <v>129.1</v>
      </c>
      <c r="V88" s="52">
        <v>130.5</v>
      </c>
      <c r="W88" s="97">
        <v>136.30000000000001</v>
      </c>
      <c r="X88" s="97">
        <v>133.4</v>
      </c>
      <c r="Y88" s="97">
        <v>126.9</v>
      </c>
      <c r="Z88" s="97">
        <v>127.1</v>
      </c>
      <c r="AA88" s="52">
        <v>127.3</v>
      </c>
      <c r="AB88" s="52">
        <v>127.5</v>
      </c>
      <c r="AC88" s="52">
        <v>129.9</v>
      </c>
      <c r="AD88" s="52">
        <v>130.6</v>
      </c>
      <c r="AE88" s="52">
        <v>131.4</v>
      </c>
      <c r="AF88" s="98">
        <v>129.80000000000001</v>
      </c>
      <c r="AG88" s="99"/>
      <c r="AH88" s="55">
        <f t="shared" si="18"/>
        <v>136.30000000000001</v>
      </c>
      <c r="AI88" s="56">
        <f t="shared" si="19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66.400000000000006</v>
      </c>
      <c r="C89" s="104">
        <v>66.599999999999994</v>
      </c>
      <c r="D89" s="104">
        <v>66.3</v>
      </c>
      <c r="E89" s="104">
        <v>66.400000000000006</v>
      </c>
      <c r="F89" s="104">
        <v>66.2</v>
      </c>
      <c r="G89" s="104">
        <v>65.8</v>
      </c>
      <c r="H89" s="104">
        <v>65.400000000000006</v>
      </c>
      <c r="I89" s="104">
        <v>65</v>
      </c>
      <c r="J89" s="104">
        <v>64.099999999999994</v>
      </c>
      <c r="K89" s="104">
        <v>64</v>
      </c>
      <c r="L89" s="104">
        <v>63.7</v>
      </c>
      <c r="M89" s="104">
        <v>64.2</v>
      </c>
      <c r="N89" s="104">
        <v>64.2</v>
      </c>
      <c r="O89" s="104">
        <v>64.400000000000006</v>
      </c>
      <c r="P89" s="104">
        <v>63.9</v>
      </c>
      <c r="Q89" s="104">
        <v>63.1</v>
      </c>
      <c r="R89" s="104">
        <v>63.6</v>
      </c>
      <c r="S89" s="104">
        <v>63.7</v>
      </c>
      <c r="T89" s="104">
        <v>63.8</v>
      </c>
      <c r="U89" s="104">
        <v>64.5</v>
      </c>
      <c r="V89" s="104">
        <v>65.099999999999994</v>
      </c>
      <c r="W89" s="104">
        <v>64.8</v>
      </c>
      <c r="X89" s="104">
        <v>64.8</v>
      </c>
      <c r="Y89" s="104">
        <v>65.3</v>
      </c>
      <c r="Z89" s="104">
        <v>65.3</v>
      </c>
      <c r="AA89" s="104">
        <v>65.900000000000006</v>
      </c>
      <c r="AB89" s="104">
        <v>65.3</v>
      </c>
      <c r="AC89" s="104">
        <v>65.599999999999994</v>
      </c>
      <c r="AD89" s="104">
        <v>66.400000000000006</v>
      </c>
      <c r="AE89" s="104">
        <v>66.2</v>
      </c>
      <c r="AF89" s="105">
        <v>65.8</v>
      </c>
      <c r="AG89" s="106"/>
      <c r="AH89" s="55">
        <f t="shared" si="18"/>
        <v>66.599999999999994</v>
      </c>
      <c r="AI89" s="56">
        <f t="shared" si="19"/>
        <v>63.1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130.63999999999999</v>
      </c>
      <c r="C91" s="178">
        <f t="shared" ref="C91:AF91" si="23">SUM(C14,C17,C20:C21,C40,C42:C43,C45,C47,C92:C95,C100,C106,C112,C121,C123,C135,C142,C145:C146,C153,C155,C157,C161:C163,C165:C167,C172,C178:C179,C181:C183,C191,C196)</f>
        <v>150.53999999999996</v>
      </c>
      <c r="D91" s="178">
        <f t="shared" si="23"/>
        <v>127.24</v>
      </c>
      <c r="E91" s="178">
        <f t="shared" si="23"/>
        <v>133.83999999999995</v>
      </c>
      <c r="F91" s="111">
        <f t="shared" si="23"/>
        <v>153.63999999999996</v>
      </c>
      <c r="G91" s="111">
        <f t="shared" si="23"/>
        <v>168.83999999999997</v>
      </c>
      <c r="H91" s="111">
        <f t="shared" si="23"/>
        <v>195.73999999999995</v>
      </c>
      <c r="I91" s="111">
        <f t="shared" si="23"/>
        <v>248.13999999999996</v>
      </c>
      <c r="J91" s="111">
        <f t="shared" si="23"/>
        <v>275.04000000000002</v>
      </c>
      <c r="K91" s="111">
        <f t="shared" si="23"/>
        <v>287.14</v>
      </c>
      <c r="L91" s="111">
        <f t="shared" si="23"/>
        <v>269.64</v>
      </c>
      <c r="M91" s="111">
        <f t="shared" si="23"/>
        <v>288.14</v>
      </c>
      <c r="N91" s="111">
        <f t="shared" si="23"/>
        <v>288.24000000000007</v>
      </c>
      <c r="O91" s="111">
        <f t="shared" si="23"/>
        <v>290.84000000000003</v>
      </c>
      <c r="P91" s="111">
        <f t="shared" si="23"/>
        <v>278.34000000000003</v>
      </c>
      <c r="Q91" s="111">
        <f t="shared" si="23"/>
        <v>267.84000000000003</v>
      </c>
      <c r="R91" s="111">
        <f t="shared" si="23"/>
        <v>265.34000000000003</v>
      </c>
      <c r="S91" s="111">
        <f t="shared" si="23"/>
        <v>279.24</v>
      </c>
      <c r="T91" s="111">
        <f t="shared" si="23"/>
        <v>281.74000000000007</v>
      </c>
      <c r="U91" s="111">
        <f t="shared" si="23"/>
        <v>296.74000000000007</v>
      </c>
      <c r="V91" s="111">
        <f t="shared" si="23"/>
        <v>252.73999999999995</v>
      </c>
      <c r="W91" s="111">
        <f t="shared" si="23"/>
        <v>351.64000000000004</v>
      </c>
      <c r="X91" s="111">
        <f t="shared" si="23"/>
        <v>348.84000000000003</v>
      </c>
      <c r="Y91" s="111">
        <f t="shared" si="23"/>
        <v>341.24</v>
      </c>
      <c r="Z91" s="111">
        <f t="shared" si="23"/>
        <v>317.24</v>
      </c>
      <c r="AA91" s="111">
        <f t="shared" si="23"/>
        <v>279.94</v>
      </c>
      <c r="AB91" s="111">
        <f t="shared" si="23"/>
        <v>265.64</v>
      </c>
      <c r="AC91" s="111">
        <f t="shared" si="23"/>
        <v>239.33999999999995</v>
      </c>
      <c r="AD91" s="111">
        <f t="shared" si="23"/>
        <v>188.13999999999996</v>
      </c>
      <c r="AE91" s="111">
        <f t="shared" si="23"/>
        <v>159.73999999999998</v>
      </c>
      <c r="AF91" s="111">
        <f t="shared" si="23"/>
        <v>141.93999999999994</v>
      </c>
      <c r="AG91" s="112"/>
      <c r="AH91" s="55">
        <f>MAX(B91:AF91)</f>
        <v>351.64000000000004</v>
      </c>
      <c r="AI91" s="56">
        <f>MIN(B91:AF91)</f>
        <v>127.24</v>
      </c>
    </row>
    <row r="92" spans="1:88" x14ac:dyDescent="0.25">
      <c r="A92" s="113" t="s">
        <v>95</v>
      </c>
      <c r="B92" s="59">
        <v>44.9</v>
      </c>
      <c r="C92" s="59">
        <v>40.799999999999997</v>
      </c>
      <c r="D92" s="59">
        <v>38.200000000000003</v>
      </c>
      <c r="E92" s="59">
        <v>40.799999999999997</v>
      </c>
      <c r="F92" s="114">
        <v>41.6</v>
      </c>
      <c r="G92" s="114">
        <v>45.3</v>
      </c>
      <c r="H92" s="114">
        <v>45.5</v>
      </c>
      <c r="I92" s="114">
        <v>43.3</v>
      </c>
      <c r="J92" s="114">
        <v>43.7</v>
      </c>
      <c r="K92" s="114">
        <v>54.8</v>
      </c>
      <c r="L92" s="115">
        <v>59.1</v>
      </c>
      <c r="M92" s="114">
        <v>49.3</v>
      </c>
      <c r="N92" s="114">
        <v>47.7</v>
      </c>
      <c r="O92" s="114">
        <v>29.6</v>
      </c>
      <c r="P92" s="114">
        <v>25.9</v>
      </c>
      <c r="Q92" s="114">
        <v>38.700000000000003</v>
      </c>
      <c r="R92" s="114">
        <v>41.8</v>
      </c>
      <c r="S92" s="114">
        <v>46.3</v>
      </c>
      <c r="T92" s="115">
        <v>41.2</v>
      </c>
      <c r="U92" s="115">
        <v>47</v>
      </c>
      <c r="V92" s="115">
        <v>39.1</v>
      </c>
      <c r="W92" s="114">
        <v>21.5</v>
      </c>
      <c r="X92" s="114">
        <v>27.8</v>
      </c>
      <c r="Y92" s="114">
        <v>19.8</v>
      </c>
      <c r="Z92" s="114">
        <v>20.2</v>
      </c>
      <c r="AA92" s="115">
        <v>11.4</v>
      </c>
      <c r="AB92" s="115">
        <v>13.6</v>
      </c>
      <c r="AC92" s="115">
        <v>12</v>
      </c>
      <c r="AD92" s="115">
        <v>10.5</v>
      </c>
      <c r="AE92" s="115">
        <v>17.8</v>
      </c>
      <c r="AF92" s="116">
        <v>18.600000000000001</v>
      </c>
      <c r="AG92" s="117">
        <v>75</v>
      </c>
      <c r="AH92" s="55">
        <f t="shared" ref="AH92:AH97" si="24">IF(ABS(MAX(B92:AF92))&gt;ABS(MIN(B92:AF92)),MAX(B92:AF92),MIN(B92:AF92))</f>
        <v>59.1</v>
      </c>
      <c r="AI92" s="118">
        <f t="shared" ref="AI92:AI97" si="25">INDEX($B$9:$AF$9,1,MATCH(AH92,B92:AF92,0))</f>
        <v>0.33333333333333331</v>
      </c>
    </row>
    <row r="93" spans="1:88" x14ac:dyDescent="0.25">
      <c r="A93" s="119" t="s">
        <v>96</v>
      </c>
      <c r="B93" s="61">
        <v>-99.5</v>
      </c>
      <c r="C93" s="61">
        <v>-96.8</v>
      </c>
      <c r="D93" s="61">
        <v>-91</v>
      </c>
      <c r="E93" s="61">
        <v>-92</v>
      </c>
      <c r="F93" s="61">
        <v>-82</v>
      </c>
      <c r="G93" s="61">
        <v>-77</v>
      </c>
      <c r="H93" s="61">
        <v>-65</v>
      </c>
      <c r="I93" s="61">
        <v>-48</v>
      </c>
      <c r="J93" s="61">
        <v>-50</v>
      </c>
      <c r="K93" s="61">
        <v>-50</v>
      </c>
      <c r="L93" s="61">
        <v>-68</v>
      </c>
      <c r="M93" s="61">
        <v>-50</v>
      </c>
      <c r="N93" s="61">
        <v>-52</v>
      </c>
      <c r="O93" s="61">
        <v>-44</v>
      </c>
      <c r="P93" s="61">
        <v>-51.1</v>
      </c>
      <c r="Q93" s="61">
        <v>-15.2</v>
      </c>
      <c r="R93" s="61">
        <v>-27.3</v>
      </c>
      <c r="S93" s="61">
        <v>-22.4</v>
      </c>
      <c r="T93" s="61">
        <v>-22</v>
      </c>
      <c r="U93" s="61">
        <v>-10.199999999999999</v>
      </c>
      <c r="V93" s="61">
        <v>-43</v>
      </c>
      <c r="W93" s="61">
        <v>-36.6</v>
      </c>
      <c r="X93" s="61">
        <v>-40</v>
      </c>
      <c r="Y93" s="61">
        <v>-45</v>
      </c>
      <c r="Z93" s="61">
        <v>-57.2</v>
      </c>
      <c r="AA93" s="52">
        <v>-68.900000000000006</v>
      </c>
      <c r="AB93" s="52">
        <v>-79.599999999999994</v>
      </c>
      <c r="AC93" s="52">
        <v>-85</v>
      </c>
      <c r="AD93" s="52">
        <v>-105</v>
      </c>
      <c r="AE93" s="52">
        <v>-96</v>
      </c>
      <c r="AF93" s="120">
        <v>-93</v>
      </c>
      <c r="AG93" s="117">
        <v>240</v>
      </c>
      <c r="AH93" s="55">
        <f t="shared" si="24"/>
        <v>-105</v>
      </c>
      <c r="AI93" s="118">
        <f t="shared" si="25"/>
        <v>0.91666666666666696</v>
      </c>
    </row>
    <row r="94" spans="1:88" x14ac:dyDescent="0.25">
      <c r="A94" s="119" t="s">
        <v>97</v>
      </c>
      <c r="B94" s="61">
        <v>-14.2</v>
      </c>
      <c r="C94" s="61">
        <v>-17.399999999999999</v>
      </c>
      <c r="D94" s="61">
        <v>-20.5</v>
      </c>
      <c r="E94" s="61">
        <v>-18.100000000000001</v>
      </c>
      <c r="F94" s="61">
        <v>-14.9</v>
      </c>
      <c r="G94" s="61">
        <v>-15.7</v>
      </c>
      <c r="H94" s="61">
        <v>-10.8</v>
      </c>
      <c r="I94" s="61">
        <v>-3.2</v>
      </c>
      <c r="J94" s="61">
        <v>1</v>
      </c>
      <c r="K94" s="61">
        <v>1</v>
      </c>
      <c r="L94" s="61">
        <v>-0.8</v>
      </c>
      <c r="M94" s="61">
        <v>7.6</v>
      </c>
      <c r="N94" s="61">
        <v>8.3000000000000007</v>
      </c>
      <c r="O94" s="61">
        <v>15.7</v>
      </c>
      <c r="P94" s="61">
        <v>11.2</v>
      </c>
      <c r="Q94" s="61">
        <v>13.3</v>
      </c>
      <c r="R94" s="61">
        <v>19.8</v>
      </c>
      <c r="S94" s="61">
        <v>24.1</v>
      </c>
      <c r="T94" s="61">
        <v>31.3</v>
      </c>
      <c r="U94" s="61">
        <v>29.7</v>
      </c>
      <c r="V94" s="61">
        <v>17.7</v>
      </c>
      <c r="W94" s="61">
        <v>38.5</v>
      </c>
      <c r="X94" s="61">
        <v>36.9</v>
      </c>
      <c r="Y94" s="61">
        <v>35.1</v>
      </c>
      <c r="Z94" s="61">
        <v>29.6</v>
      </c>
      <c r="AA94" s="52">
        <v>29.3</v>
      </c>
      <c r="AB94" s="52">
        <v>20.6</v>
      </c>
      <c r="AC94" s="52">
        <v>13.2</v>
      </c>
      <c r="AD94" s="52">
        <v>10.199999999999999</v>
      </c>
      <c r="AE94" s="52">
        <v>-1.7</v>
      </c>
      <c r="AF94" s="120">
        <v>-14.5</v>
      </c>
      <c r="AG94" s="117">
        <v>60</v>
      </c>
      <c r="AH94" s="55">
        <f t="shared" si="24"/>
        <v>38.5</v>
      </c>
      <c r="AI94" s="118">
        <f t="shared" si="25"/>
        <v>0.75</v>
      </c>
    </row>
    <row r="95" spans="1:88" x14ac:dyDescent="0.25">
      <c r="A95" s="121" t="s">
        <v>98</v>
      </c>
      <c r="B95" s="84">
        <v>-16.3</v>
      </c>
      <c r="C95" s="84">
        <v>12</v>
      </c>
      <c r="D95" s="84">
        <v>-2.6</v>
      </c>
      <c r="E95" s="84">
        <v>0</v>
      </c>
      <c r="F95" s="84">
        <v>4.9000000000000004</v>
      </c>
      <c r="G95" s="84">
        <v>12.2</v>
      </c>
      <c r="H95" s="84">
        <v>22</v>
      </c>
      <c r="I95" s="84">
        <v>38.1</v>
      </c>
      <c r="J95" s="84">
        <v>41.2</v>
      </c>
      <c r="K95" s="84">
        <v>41.9</v>
      </c>
      <c r="L95" s="84">
        <v>40.200000000000003</v>
      </c>
      <c r="M95" s="84">
        <v>42.3</v>
      </c>
      <c r="N95" s="84">
        <v>45.3</v>
      </c>
      <c r="O95" s="84">
        <v>58.5</v>
      </c>
      <c r="P95" s="84">
        <v>61.3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  <c r="V95" s="84">
        <v>0</v>
      </c>
      <c r="W95" s="84">
        <v>89.2</v>
      </c>
      <c r="X95" s="84">
        <v>85.1</v>
      </c>
      <c r="Y95" s="84">
        <v>92.3</v>
      </c>
      <c r="Z95" s="84">
        <v>85.6</v>
      </c>
      <c r="AA95" s="122">
        <v>69.099999999999994</v>
      </c>
      <c r="AB95" s="122">
        <v>72</v>
      </c>
      <c r="AC95" s="122">
        <v>60.1</v>
      </c>
      <c r="AD95" s="122">
        <v>32.799999999999997</v>
      </c>
      <c r="AE95" s="122">
        <v>0</v>
      </c>
      <c r="AF95" s="123">
        <v>0</v>
      </c>
      <c r="AG95" s="124">
        <v>120</v>
      </c>
      <c r="AH95" s="55">
        <f t="shared" si="24"/>
        <v>92.3</v>
      </c>
      <c r="AI95" s="118">
        <f t="shared" si="25"/>
        <v>0.79166666666666663</v>
      </c>
    </row>
    <row r="96" spans="1:88" x14ac:dyDescent="0.25">
      <c r="A96" s="121" t="s">
        <v>99</v>
      </c>
      <c r="B96" s="84">
        <v>8.1</v>
      </c>
      <c r="C96" s="84">
        <v>11.6</v>
      </c>
      <c r="D96" s="84">
        <v>17.600000000000001</v>
      </c>
      <c r="E96" s="84">
        <v>20.3</v>
      </c>
      <c r="F96" s="84">
        <v>24.5</v>
      </c>
      <c r="G96" s="84">
        <v>28.8</v>
      </c>
      <c r="H96" s="84">
        <v>32</v>
      </c>
      <c r="I96" s="84">
        <v>42.8</v>
      </c>
      <c r="J96" s="84">
        <v>43.7</v>
      </c>
      <c r="K96" s="84">
        <v>41.2</v>
      </c>
      <c r="L96" s="84">
        <v>44.8</v>
      </c>
      <c r="M96" s="84">
        <v>41.8</v>
      </c>
      <c r="N96" s="84">
        <v>44.9</v>
      </c>
      <c r="O96" s="84">
        <v>51</v>
      </c>
      <c r="P96" s="84">
        <v>64.7</v>
      </c>
      <c r="Q96" s="84">
        <v>79.7</v>
      </c>
      <c r="R96" s="84">
        <v>69.599999999999994</v>
      </c>
      <c r="S96" s="84">
        <v>67.2</v>
      </c>
      <c r="T96" s="84">
        <v>59.8</v>
      </c>
      <c r="U96" s="84">
        <v>63.6</v>
      </c>
      <c r="V96" s="84">
        <v>49.1</v>
      </c>
      <c r="W96" s="84">
        <v>72</v>
      </c>
      <c r="X96" s="84">
        <v>68</v>
      </c>
      <c r="Y96" s="84">
        <v>76</v>
      </c>
      <c r="Z96" s="84">
        <v>69</v>
      </c>
      <c r="AA96" s="122">
        <v>59.6</v>
      </c>
      <c r="AB96" s="122">
        <v>69.3</v>
      </c>
      <c r="AC96" s="122">
        <v>62.8</v>
      </c>
      <c r="AD96" s="122">
        <v>43.8</v>
      </c>
      <c r="AE96" s="122">
        <v>61.6</v>
      </c>
      <c r="AF96" s="123">
        <v>71.3</v>
      </c>
      <c r="AG96" s="124"/>
      <c r="AH96" s="55">
        <f t="shared" si="24"/>
        <v>79.7</v>
      </c>
      <c r="AI96" s="118">
        <f t="shared" si="25"/>
        <v>0.54166666666666696</v>
      </c>
    </row>
    <row r="97" spans="1:37" ht="15.75" thickBot="1" x14ac:dyDescent="0.3">
      <c r="A97" s="121" t="s">
        <v>100</v>
      </c>
      <c r="B97" s="84">
        <v>43.2</v>
      </c>
      <c r="C97" s="84">
        <v>48.5</v>
      </c>
      <c r="D97" s="84">
        <v>43.2</v>
      </c>
      <c r="E97" s="84">
        <v>39.200000000000003</v>
      </c>
      <c r="F97" s="84">
        <v>42.5</v>
      </c>
      <c r="G97" s="84">
        <v>35.9</v>
      </c>
      <c r="H97" s="84">
        <v>41.9</v>
      </c>
      <c r="I97" s="84">
        <v>39.799999999999997</v>
      </c>
      <c r="J97" s="84">
        <v>40.700000000000003</v>
      </c>
      <c r="K97" s="84">
        <v>30.3</v>
      </c>
      <c r="L97" s="84">
        <v>25.7</v>
      </c>
      <c r="M97" s="84">
        <v>35.799999999999997</v>
      </c>
      <c r="N97" s="84">
        <v>42.1</v>
      </c>
      <c r="O97" s="84">
        <v>39.700000000000003</v>
      </c>
      <c r="P97" s="84">
        <v>64.7</v>
      </c>
      <c r="Q97" s="84">
        <v>56.8</v>
      </c>
      <c r="R97" s="84">
        <v>49.7</v>
      </c>
      <c r="S97" s="84">
        <v>46.8</v>
      </c>
      <c r="T97" s="84">
        <v>53.7</v>
      </c>
      <c r="U97" s="84">
        <v>52.6</v>
      </c>
      <c r="V97" s="84">
        <v>52.6</v>
      </c>
      <c r="W97" s="84">
        <v>60.8</v>
      </c>
      <c r="X97" s="84">
        <v>59</v>
      </c>
      <c r="Y97" s="84">
        <v>73.900000000000006</v>
      </c>
      <c r="Z97" s="84">
        <v>70.2</v>
      </c>
      <c r="AA97" s="122">
        <v>53.8</v>
      </c>
      <c r="AB97" s="122">
        <v>55</v>
      </c>
      <c r="AC97" s="122">
        <v>56.3</v>
      </c>
      <c r="AD97" s="122">
        <v>63.6</v>
      </c>
      <c r="AE97" s="122">
        <v>57.8</v>
      </c>
      <c r="AF97" s="123">
        <v>60.3</v>
      </c>
      <c r="AG97" s="125"/>
      <c r="AH97" s="55">
        <f t="shared" si="24"/>
        <v>73.900000000000006</v>
      </c>
      <c r="AI97" s="118">
        <f t="shared" si="25"/>
        <v>0.79166666666666663</v>
      </c>
    </row>
    <row r="98" spans="1:37" ht="15.75" thickBot="1" x14ac:dyDescent="0.3">
      <c r="A98" s="126" t="s">
        <v>101</v>
      </c>
      <c r="B98" s="127" t="s">
        <v>230</v>
      </c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6">B99</f>
        <v>9.9</v>
      </c>
      <c r="D99" s="131">
        <f t="shared" si="26"/>
        <v>9.9</v>
      </c>
      <c r="E99" s="131">
        <f t="shared" si="26"/>
        <v>9.9</v>
      </c>
      <c r="F99" s="131">
        <f t="shared" si="26"/>
        <v>9.9</v>
      </c>
      <c r="G99" s="131">
        <f t="shared" si="26"/>
        <v>9.9</v>
      </c>
      <c r="H99" s="131">
        <f t="shared" si="26"/>
        <v>9.9</v>
      </c>
      <c r="I99" s="131">
        <f t="shared" si="26"/>
        <v>9.9</v>
      </c>
      <c r="J99" s="131">
        <f t="shared" si="26"/>
        <v>9.9</v>
      </c>
      <c r="K99" s="131">
        <f t="shared" si="26"/>
        <v>9.9</v>
      </c>
      <c r="L99" s="131">
        <f t="shared" si="26"/>
        <v>9.9</v>
      </c>
      <c r="M99" s="131">
        <f t="shared" si="26"/>
        <v>9.9</v>
      </c>
      <c r="N99" s="131">
        <f t="shared" si="26"/>
        <v>9.9</v>
      </c>
      <c r="O99" s="131">
        <f t="shared" si="26"/>
        <v>9.9</v>
      </c>
      <c r="P99" s="131">
        <f t="shared" si="26"/>
        <v>9.9</v>
      </c>
      <c r="Q99" s="131">
        <f t="shared" si="26"/>
        <v>9.9</v>
      </c>
      <c r="R99" s="131">
        <f t="shared" si="26"/>
        <v>9.9</v>
      </c>
      <c r="S99" s="131">
        <f t="shared" ref="S99:AF104" si="27">R99</f>
        <v>9.9</v>
      </c>
      <c r="T99" s="131">
        <f t="shared" si="27"/>
        <v>9.9</v>
      </c>
      <c r="U99" s="131">
        <f t="shared" si="27"/>
        <v>9.9</v>
      </c>
      <c r="V99" s="131">
        <f t="shared" si="27"/>
        <v>9.9</v>
      </c>
      <c r="W99" s="131">
        <f t="shared" si="27"/>
        <v>9.9</v>
      </c>
      <c r="X99" s="131">
        <f t="shared" si="27"/>
        <v>9.9</v>
      </c>
      <c r="Y99" s="131">
        <f t="shared" si="27"/>
        <v>9.9</v>
      </c>
      <c r="Z99" s="131">
        <f t="shared" si="27"/>
        <v>9.9</v>
      </c>
      <c r="AA99" s="131">
        <f t="shared" si="27"/>
        <v>9.9</v>
      </c>
      <c r="AB99" s="131">
        <f t="shared" si="27"/>
        <v>9.9</v>
      </c>
      <c r="AC99" s="131">
        <f t="shared" si="27"/>
        <v>9.9</v>
      </c>
      <c r="AD99" s="131">
        <f t="shared" si="27"/>
        <v>9.9</v>
      </c>
      <c r="AE99" s="131">
        <f t="shared" si="27"/>
        <v>9.9</v>
      </c>
      <c r="AF99" s="131">
        <f t="shared" si="27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6"/>
        <v>9.6</v>
      </c>
      <c r="D100" s="134">
        <f t="shared" si="26"/>
        <v>9.6</v>
      </c>
      <c r="E100" s="134">
        <f t="shared" si="26"/>
        <v>9.6</v>
      </c>
      <c r="F100" s="134">
        <f t="shared" si="26"/>
        <v>9.6</v>
      </c>
      <c r="G100" s="134">
        <f t="shared" si="26"/>
        <v>9.6</v>
      </c>
      <c r="H100" s="134">
        <f t="shared" si="26"/>
        <v>9.6</v>
      </c>
      <c r="I100" s="134">
        <f t="shared" si="26"/>
        <v>9.6</v>
      </c>
      <c r="J100" s="134">
        <f t="shared" si="26"/>
        <v>9.6</v>
      </c>
      <c r="K100" s="134">
        <f t="shared" si="26"/>
        <v>9.6</v>
      </c>
      <c r="L100" s="134">
        <f t="shared" si="26"/>
        <v>9.6</v>
      </c>
      <c r="M100" s="134">
        <f t="shared" si="26"/>
        <v>9.6</v>
      </c>
      <c r="N100" s="134">
        <f t="shared" si="26"/>
        <v>9.6</v>
      </c>
      <c r="O100" s="134">
        <f t="shared" si="26"/>
        <v>9.6</v>
      </c>
      <c r="P100" s="134">
        <f t="shared" si="26"/>
        <v>9.6</v>
      </c>
      <c r="Q100" s="134">
        <f t="shared" si="26"/>
        <v>9.6</v>
      </c>
      <c r="R100" s="134">
        <f t="shared" si="26"/>
        <v>9.6</v>
      </c>
      <c r="S100" s="134">
        <f t="shared" si="27"/>
        <v>9.6</v>
      </c>
      <c r="T100" s="134">
        <f t="shared" si="27"/>
        <v>9.6</v>
      </c>
      <c r="U100" s="134">
        <f t="shared" si="27"/>
        <v>9.6</v>
      </c>
      <c r="V100" s="134">
        <f t="shared" si="27"/>
        <v>9.6</v>
      </c>
      <c r="W100" s="134">
        <f t="shared" si="27"/>
        <v>9.6</v>
      </c>
      <c r="X100" s="134">
        <f t="shared" si="27"/>
        <v>9.6</v>
      </c>
      <c r="Y100" s="134">
        <f t="shared" si="27"/>
        <v>9.6</v>
      </c>
      <c r="Z100" s="134">
        <f t="shared" si="27"/>
        <v>9.6</v>
      </c>
      <c r="AA100" s="134">
        <f t="shared" si="27"/>
        <v>9.6</v>
      </c>
      <c r="AB100" s="134">
        <f t="shared" si="27"/>
        <v>9.6</v>
      </c>
      <c r="AC100" s="134">
        <f t="shared" si="27"/>
        <v>9.6</v>
      </c>
      <c r="AD100" s="134">
        <f t="shared" si="27"/>
        <v>9.6</v>
      </c>
      <c r="AE100" s="134">
        <f t="shared" si="27"/>
        <v>9.6</v>
      </c>
      <c r="AF100" s="134">
        <f t="shared" si="27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6"/>
        <v>9.98</v>
      </c>
      <c r="D101" s="134">
        <f t="shared" si="26"/>
        <v>9.98</v>
      </c>
      <c r="E101" s="134">
        <f t="shared" si="26"/>
        <v>9.98</v>
      </c>
      <c r="F101" s="134">
        <f t="shared" si="26"/>
        <v>9.98</v>
      </c>
      <c r="G101" s="134">
        <f t="shared" si="26"/>
        <v>9.98</v>
      </c>
      <c r="H101" s="134">
        <f t="shared" si="26"/>
        <v>9.98</v>
      </c>
      <c r="I101" s="134">
        <f t="shared" si="26"/>
        <v>9.98</v>
      </c>
      <c r="J101" s="134">
        <f t="shared" si="26"/>
        <v>9.98</v>
      </c>
      <c r="K101" s="134">
        <f t="shared" si="26"/>
        <v>9.98</v>
      </c>
      <c r="L101" s="134">
        <f t="shared" si="26"/>
        <v>9.98</v>
      </c>
      <c r="M101" s="134">
        <f t="shared" si="26"/>
        <v>9.98</v>
      </c>
      <c r="N101" s="134">
        <f t="shared" si="26"/>
        <v>9.98</v>
      </c>
      <c r="O101" s="134">
        <f t="shared" si="26"/>
        <v>9.98</v>
      </c>
      <c r="P101" s="134">
        <f t="shared" si="26"/>
        <v>9.98</v>
      </c>
      <c r="Q101" s="134">
        <f t="shared" si="26"/>
        <v>9.98</v>
      </c>
      <c r="R101" s="134">
        <f t="shared" si="26"/>
        <v>9.98</v>
      </c>
      <c r="S101" s="134">
        <f t="shared" si="27"/>
        <v>9.98</v>
      </c>
      <c r="T101" s="134">
        <f t="shared" si="27"/>
        <v>9.98</v>
      </c>
      <c r="U101" s="134">
        <f t="shared" si="27"/>
        <v>9.98</v>
      </c>
      <c r="V101" s="134">
        <f t="shared" si="27"/>
        <v>9.98</v>
      </c>
      <c r="W101" s="134">
        <f t="shared" si="27"/>
        <v>9.98</v>
      </c>
      <c r="X101" s="134">
        <f t="shared" si="27"/>
        <v>9.98</v>
      </c>
      <c r="Y101" s="134">
        <f t="shared" si="27"/>
        <v>9.98</v>
      </c>
      <c r="Z101" s="134">
        <f t="shared" si="27"/>
        <v>9.98</v>
      </c>
      <c r="AA101" s="134">
        <f t="shared" si="27"/>
        <v>9.98</v>
      </c>
      <c r="AB101" s="134">
        <f t="shared" si="27"/>
        <v>9.98</v>
      </c>
      <c r="AC101" s="134">
        <f t="shared" si="27"/>
        <v>9.98</v>
      </c>
      <c r="AD101" s="134">
        <f t="shared" si="27"/>
        <v>9.98</v>
      </c>
      <c r="AE101" s="134">
        <f t="shared" si="27"/>
        <v>9.98</v>
      </c>
      <c r="AF101" s="134">
        <f t="shared" si="27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6"/>
        <v>9.1</v>
      </c>
      <c r="D102" s="134">
        <f t="shared" si="26"/>
        <v>9.1</v>
      </c>
      <c r="E102" s="134">
        <f t="shared" si="26"/>
        <v>9.1</v>
      </c>
      <c r="F102" s="134">
        <f t="shared" si="26"/>
        <v>9.1</v>
      </c>
      <c r="G102" s="134">
        <f t="shared" si="26"/>
        <v>9.1</v>
      </c>
      <c r="H102" s="134">
        <f t="shared" si="26"/>
        <v>9.1</v>
      </c>
      <c r="I102" s="134">
        <f t="shared" si="26"/>
        <v>9.1</v>
      </c>
      <c r="J102" s="134">
        <f t="shared" si="26"/>
        <v>9.1</v>
      </c>
      <c r="K102" s="134">
        <f t="shared" si="26"/>
        <v>9.1</v>
      </c>
      <c r="L102" s="134">
        <f t="shared" si="26"/>
        <v>9.1</v>
      </c>
      <c r="M102" s="134">
        <f t="shared" si="26"/>
        <v>9.1</v>
      </c>
      <c r="N102" s="134">
        <f t="shared" si="26"/>
        <v>9.1</v>
      </c>
      <c r="O102" s="134">
        <f t="shared" si="26"/>
        <v>9.1</v>
      </c>
      <c r="P102" s="134">
        <f t="shared" si="26"/>
        <v>9.1</v>
      </c>
      <c r="Q102" s="134">
        <f t="shared" si="26"/>
        <v>9.1</v>
      </c>
      <c r="R102" s="134">
        <f t="shared" si="26"/>
        <v>9.1</v>
      </c>
      <c r="S102" s="134">
        <f t="shared" si="27"/>
        <v>9.1</v>
      </c>
      <c r="T102" s="134">
        <f t="shared" si="27"/>
        <v>9.1</v>
      </c>
      <c r="U102" s="134">
        <f t="shared" si="27"/>
        <v>9.1</v>
      </c>
      <c r="V102" s="134">
        <f t="shared" si="27"/>
        <v>9.1</v>
      </c>
      <c r="W102" s="134">
        <f t="shared" si="27"/>
        <v>9.1</v>
      </c>
      <c r="X102" s="134">
        <f t="shared" si="27"/>
        <v>9.1</v>
      </c>
      <c r="Y102" s="134">
        <f t="shared" si="27"/>
        <v>9.1</v>
      </c>
      <c r="Z102" s="134">
        <f t="shared" si="27"/>
        <v>9.1</v>
      </c>
      <c r="AA102" s="134">
        <f t="shared" si="27"/>
        <v>9.1</v>
      </c>
      <c r="AB102" s="134">
        <f t="shared" si="27"/>
        <v>9.1</v>
      </c>
      <c r="AC102" s="134">
        <f t="shared" si="27"/>
        <v>9.1</v>
      </c>
      <c r="AD102" s="134">
        <f t="shared" si="27"/>
        <v>9.1</v>
      </c>
      <c r="AE102" s="134">
        <f t="shared" si="27"/>
        <v>9.1</v>
      </c>
      <c r="AF102" s="134">
        <f t="shared" si="27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6"/>
        <v>9.18</v>
      </c>
      <c r="D103" s="134">
        <f t="shared" si="26"/>
        <v>9.18</v>
      </c>
      <c r="E103" s="134">
        <f t="shared" si="26"/>
        <v>9.18</v>
      </c>
      <c r="F103" s="134">
        <f t="shared" si="26"/>
        <v>9.18</v>
      </c>
      <c r="G103" s="134">
        <f t="shared" si="26"/>
        <v>9.18</v>
      </c>
      <c r="H103" s="134">
        <f t="shared" si="26"/>
        <v>9.18</v>
      </c>
      <c r="I103" s="134">
        <f t="shared" si="26"/>
        <v>9.18</v>
      </c>
      <c r="J103" s="134">
        <f t="shared" si="26"/>
        <v>9.18</v>
      </c>
      <c r="K103" s="134">
        <f t="shared" si="26"/>
        <v>9.18</v>
      </c>
      <c r="L103" s="134">
        <f t="shared" si="26"/>
        <v>9.18</v>
      </c>
      <c r="M103" s="134">
        <f t="shared" si="26"/>
        <v>9.18</v>
      </c>
      <c r="N103" s="134">
        <f t="shared" si="26"/>
        <v>9.18</v>
      </c>
      <c r="O103" s="134">
        <f t="shared" si="26"/>
        <v>9.18</v>
      </c>
      <c r="P103" s="134">
        <f t="shared" si="26"/>
        <v>9.18</v>
      </c>
      <c r="Q103" s="134">
        <f t="shared" si="26"/>
        <v>9.18</v>
      </c>
      <c r="R103" s="134">
        <f t="shared" si="26"/>
        <v>9.18</v>
      </c>
      <c r="S103" s="134">
        <f t="shared" si="27"/>
        <v>9.18</v>
      </c>
      <c r="T103" s="134">
        <f t="shared" si="27"/>
        <v>9.18</v>
      </c>
      <c r="U103" s="134">
        <f t="shared" si="27"/>
        <v>9.18</v>
      </c>
      <c r="V103" s="134">
        <f t="shared" si="27"/>
        <v>9.18</v>
      </c>
      <c r="W103" s="134">
        <f t="shared" si="27"/>
        <v>9.18</v>
      </c>
      <c r="X103" s="134">
        <f t="shared" si="27"/>
        <v>9.18</v>
      </c>
      <c r="Y103" s="134">
        <f t="shared" si="27"/>
        <v>9.18</v>
      </c>
      <c r="Z103" s="134">
        <f t="shared" si="27"/>
        <v>9.18</v>
      </c>
      <c r="AA103" s="134">
        <f t="shared" si="27"/>
        <v>9.18</v>
      </c>
      <c r="AB103" s="134">
        <f t="shared" si="27"/>
        <v>9.18</v>
      </c>
      <c r="AC103" s="134">
        <f t="shared" si="27"/>
        <v>9.18</v>
      </c>
      <c r="AD103" s="134">
        <f t="shared" si="27"/>
        <v>9.18</v>
      </c>
      <c r="AE103" s="134">
        <f t="shared" si="27"/>
        <v>9.18</v>
      </c>
      <c r="AF103" s="134">
        <f t="shared" si="27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6"/>
        <v>7</v>
      </c>
      <c r="D104" s="134">
        <f t="shared" si="26"/>
        <v>7</v>
      </c>
      <c r="E104" s="134">
        <f t="shared" si="26"/>
        <v>7</v>
      </c>
      <c r="F104" s="134">
        <f t="shared" si="26"/>
        <v>7</v>
      </c>
      <c r="G104" s="134">
        <f t="shared" si="26"/>
        <v>7</v>
      </c>
      <c r="H104" s="134">
        <f t="shared" si="26"/>
        <v>7</v>
      </c>
      <c r="I104" s="134">
        <f t="shared" si="26"/>
        <v>7</v>
      </c>
      <c r="J104" s="134">
        <f t="shared" si="26"/>
        <v>7</v>
      </c>
      <c r="K104" s="134">
        <f t="shared" si="26"/>
        <v>7</v>
      </c>
      <c r="L104" s="134">
        <f t="shared" si="26"/>
        <v>7</v>
      </c>
      <c r="M104" s="134">
        <f t="shared" si="26"/>
        <v>7</v>
      </c>
      <c r="N104" s="134">
        <f t="shared" si="26"/>
        <v>7</v>
      </c>
      <c r="O104" s="134">
        <f t="shared" si="26"/>
        <v>7</v>
      </c>
      <c r="P104" s="134">
        <f t="shared" si="26"/>
        <v>7</v>
      </c>
      <c r="Q104" s="134">
        <f t="shared" si="26"/>
        <v>7</v>
      </c>
      <c r="R104" s="134">
        <f t="shared" si="26"/>
        <v>7</v>
      </c>
      <c r="S104" s="134">
        <f t="shared" si="27"/>
        <v>7</v>
      </c>
      <c r="T104" s="134">
        <f t="shared" si="27"/>
        <v>7</v>
      </c>
      <c r="U104" s="134">
        <f t="shared" si="27"/>
        <v>7</v>
      </c>
      <c r="V104" s="134">
        <f t="shared" si="27"/>
        <v>7</v>
      </c>
      <c r="W104" s="134">
        <f t="shared" si="27"/>
        <v>7</v>
      </c>
      <c r="X104" s="134">
        <f t="shared" si="27"/>
        <v>7</v>
      </c>
      <c r="Y104" s="134">
        <f t="shared" si="27"/>
        <v>7</v>
      </c>
      <c r="Z104" s="134">
        <f t="shared" si="27"/>
        <v>7</v>
      </c>
      <c r="AA104" s="134">
        <f t="shared" si="27"/>
        <v>7</v>
      </c>
      <c r="AB104" s="134">
        <f t="shared" si="27"/>
        <v>7</v>
      </c>
      <c r="AC104" s="134">
        <f t="shared" si="27"/>
        <v>7</v>
      </c>
      <c r="AD104" s="134">
        <f t="shared" si="27"/>
        <v>7</v>
      </c>
      <c r="AE104" s="134">
        <f t="shared" si="27"/>
        <v>7</v>
      </c>
      <c r="AF104" s="134">
        <f t="shared" si="27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8">B106</f>
        <v>2.25</v>
      </c>
      <c r="D106" s="134">
        <f t="shared" si="28"/>
        <v>2.25</v>
      </c>
      <c r="E106" s="134">
        <f t="shared" si="28"/>
        <v>2.25</v>
      </c>
      <c r="F106" s="134">
        <f t="shared" si="28"/>
        <v>2.25</v>
      </c>
      <c r="G106" s="134">
        <f t="shared" si="28"/>
        <v>2.25</v>
      </c>
      <c r="H106" s="134">
        <f t="shared" si="28"/>
        <v>2.25</v>
      </c>
      <c r="I106" s="134">
        <f t="shared" si="28"/>
        <v>2.25</v>
      </c>
      <c r="J106" s="134">
        <f t="shared" si="28"/>
        <v>2.25</v>
      </c>
      <c r="K106" s="134">
        <f t="shared" si="28"/>
        <v>2.25</v>
      </c>
      <c r="L106" s="134">
        <f t="shared" si="28"/>
        <v>2.25</v>
      </c>
      <c r="M106" s="134">
        <f t="shared" si="28"/>
        <v>2.25</v>
      </c>
      <c r="N106" s="134">
        <f t="shared" si="28"/>
        <v>2.25</v>
      </c>
      <c r="O106" s="134">
        <f t="shared" si="28"/>
        <v>2.25</v>
      </c>
      <c r="P106" s="134">
        <f t="shared" si="28"/>
        <v>2.25</v>
      </c>
      <c r="Q106" s="134">
        <f t="shared" si="28"/>
        <v>2.25</v>
      </c>
      <c r="R106" s="134">
        <f t="shared" si="28"/>
        <v>2.25</v>
      </c>
      <c r="S106" s="134">
        <f t="shared" ref="S106:AF107" si="29">R106</f>
        <v>2.25</v>
      </c>
      <c r="T106" s="134">
        <f t="shared" si="29"/>
        <v>2.25</v>
      </c>
      <c r="U106" s="134">
        <f t="shared" si="29"/>
        <v>2.25</v>
      </c>
      <c r="V106" s="134">
        <f t="shared" si="29"/>
        <v>2.25</v>
      </c>
      <c r="W106" s="134">
        <f t="shared" si="29"/>
        <v>2.25</v>
      </c>
      <c r="X106" s="134">
        <f t="shared" si="29"/>
        <v>2.25</v>
      </c>
      <c r="Y106" s="134">
        <f t="shared" si="29"/>
        <v>2.25</v>
      </c>
      <c r="Z106" s="134">
        <f t="shared" si="29"/>
        <v>2.25</v>
      </c>
      <c r="AA106" s="134">
        <f t="shared" si="29"/>
        <v>2.25</v>
      </c>
      <c r="AB106" s="134">
        <f t="shared" si="29"/>
        <v>2.25</v>
      </c>
      <c r="AC106" s="134">
        <f t="shared" si="29"/>
        <v>2.25</v>
      </c>
      <c r="AD106" s="134">
        <f t="shared" si="29"/>
        <v>2.25</v>
      </c>
      <c r="AE106" s="134">
        <f t="shared" si="29"/>
        <v>2.25</v>
      </c>
      <c r="AF106" s="134">
        <f t="shared" si="29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8"/>
        <v>1.64</v>
      </c>
      <c r="D107" s="134">
        <f t="shared" si="28"/>
        <v>1.64</v>
      </c>
      <c r="E107" s="134">
        <f t="shared" si="28"/>
        <v>1.64</v>
      </c>
      <c r="F107" s="134">
        <f t="shared" si="28"/>
        <v>1.64</v>
      </c>
      <c r="G107" s="134">
        <f t="shared" si="28"/>
        <v>1.64</v>
      </c>
      <c r="H107" s="134">
        <f t="shared" si="28"/>
        <v>1.64</v>
      </c>
      <c r="I107" s="134">
        <f t="shared" si="28"/>
        <v>1.64</v>
      </c>
      <c r="J107" s="134">
        <f t="shared" si="28"/>
        <v>1.64</v>
      </c>
      <c r="K107" s="134">
        <f t="shared" si="28"/>
        <v>1.64</v>
      </c>
      <c r="L107" s="134">
        <f t="shared" si="28"/>
        <v>1.64</v>
      </c>
      <c r="M107" s="134">
        <f t="shared" si="28"/>
        <v>1.64</v>
      </c>
      <c r="N107" s="134">
        <f t="shared" si="28"/>
        <v>1.64</v>
      </c>
      <c r="O107" s="134">
        <f t="shared" si="28"/>
        <v>1.64</v>
      </c>
      <c r="P107" s="134">
        <f t="shared" si="28"/>
        <v>1.64</v>
      </c>
      <c r="Q107" s="134">
        <f t="shared" si="28"/>
        <v>1.64</v>
      </c>
      <c r="R107" s="134">
        <f t="shared" si="28"/>
        <v>1.64</v>
      </c>
      <c r="S107" s="134">
        <f t="shared" si="29"/>
        <v>1.64</v>
      </c>
      <c r="T107" s="134">
        <f t="shared" si="29"/>
        <v>1.64</v>
      </c>
      <c r="U107" s="134">
        <f t="shared" si="29"/>
        <v>1.64</v>
      </c>
      <c r="V107" s="134">
        <f t="shared" si="29"/>
        <v>1.64</v>
      </c>
      <c r="W107" s="134">
        <f t="shared" si="29"/>
        <v>1.64</v>
      </c>
      <c r="X107" s="134">
        <f t="shared" si="29"/>
        <v>1.64</v>
      </c>
      <c r="Y107" s="134">
        <f t="shared" si="29"/>
        <v>1.64</v>
      </c>
      <c r="Z107" s="134">
        <f t="shared" si="29"/>
        <v>1.64</v>
      </c>
      <c r="AA107" s="134">
        <f t="shared" si="29"/>
        <v>1.64</v>
      </c>
      <c r="AB107" s="134">
        <f t="shared" si="29"/>
        <v>1.64</v>
      </c>
      <c r="AC107" s="134">
        <f t="shared" si="29"/>
        <v>1.64</v>
      </c>
      <c r="AD107" s="134">
        <f t="shared" si="29"/>
        <v>1.64</v>
      </c>
      <c r="AE107" s="134">
        <f t="shared" si="29"/>
        <v>1.64</v>
      </c>
      <c r="AF107" s="134">
        <f t="shared" si="29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30">B109</f>
        <v>1.62</v>
      </c>
      <c r="D109" s="134">
        <f t="shared" si="30"/>
        <v>1.62</v>
      </c>
      <c r="E109" s="134">
        <f t="shared" si="30"/>
        <v>1.62</v>
      </c>
      <c r="F109" s="134">
        <f t="shared" si="30"/>
        <v>1.62</v>
      </c>
      <c r="G109" s="134">
        <f t="shared" si="30"/>
        <v>1.62</v>
      </c>
      <c r="H109" s="134">
        <f t="shared" si="30"/>
        <v>1.62</v>
      </c>
      <c r="I109" s="134">
        <f t="shared" si="30"/>
        <v>1.62</v>
      </c>
      <c r="J109" s="134">
        <f t="shared" si="30"/>
        <v>1.62</v>
      </c>
      <c r="K109" s="134">
        <f t="shared" si="30"/>
        <v>1.62</v>
      </c>
      <c r="L109" s="134">
        <f t="shared" si="30"/>
        <v>1.62</v>
      </c>
      <c r="M109" s="134">
        <f t="shared" si="30"/>
        <v>1.62</v>
      </c>
      <c r="N109" s="134">
        <f t="shared" si="30"/>
        <v>1.62</v>
      </c>
      <c r="O109" s="134">
        <f t="shared" si="30"/>
        <v>1.62</v>
      </c>
      <c r="P109" s="134">
        <f t="shared" si="30"/>
        <v>1.62</v>
      </c>
      <c r="Q109" s="134">
        <f t="shared" si="30"/>
        <v>1.62</v>
      </c>
      <c r="R109" s="134">
        <f t="shared" si="30"/>
        <v>1.62</v>
      </c>
      <c r="S109" s="134">
        <f t="shared" ref="S109:AF124" si="31">R109</f>
        <v>1.62</v>
      </c>
      <c r="T109" s="134">
        <f t="shared" si="31"/>
        <v>1.62</v>
      </c>
      <c r="U109" s="134">
        <f t="shared" si="31"/>
        <v>1.62</v>
      </c>
      <c r="V109" s="134">
        <f t="shared" si="31"/>
        <v>1.62</v>
      </c>
      <c r="W109" s="134">
        <f t="shared" si="31"/>
        <v>1.62</v>
      </c>
      <c r="X109" s="134">
        <f t="shared" si="31"/>
        <v>1.62</v>
      </c>
      <c r="Y109" s="134">
        <f t="shared" si="31"/>
        <v>1.62</v>
      </c>
      <c r="Z109" s="134">
        <f t="shared" si="31"/>
        <v>1.62</v>
      </c>
      <c r="AA109" s="134">
        <f t="shared" si="31"/>
        <v>1.62</v>
      </c>
      <c r="AB109" s="134">
        <f t="shared" si="31"/>
        <v>1.62</v>
      </c>
      <c r="AC109" s="134">
        <f t="shared" si="31"/>
        <v>1.62</v>
      </c>
      <c r="AD109" s="134">
        <f t="shared" si="31"/>
        <v>1.62</v>
      </c>
      <c r="AE109" s="134">
        <f t="shared" si="31"/>
        <v>1.62</v>
      </c>
      <c r="AF109" s="134">
        <f t="shared" si="31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30"/>
        <v>8.36</v>
      </c>
      <c r="D110" s="134">
        <f t="shared" si="30"/>
        <v>8.36</v>
      </c>
      <c r="E110" s="134">
        <f t="shared" si="30"/>
        <v>8.36</v>
      </c>
      <c r="F110" s="134">
        <f t="shared" si="30"/>
        <v>8.36</v>
      </c>
      <c r="G110" s="134">
        <f t="shared" si="30"/>
        <v>8.36</v>
      </c>
      <c r="H110" s="134">
        <f t="shared" si="30"/>
        <v>8.36</v>
      </c>
      <c r="I110" s="134">
        <f t="shared" si="30"/>
        <v>8.36</v>
      </c>
      <c r="J110" s="134">
        <f t="shared" si="30"/>
        <v>8.36</v>
      </c>
      <c r="K110" s="134">
        <f t="shared" si="30"/>
        <v>8.36</v>
      </c>
      <c r="L110" s="134">
        <f t="shared" si="30"/>
        <v>8.36</v>
      </c>
      <c r="M110" s="134">
        <f t="shared" si="30"/>
        <v>8.36</v>
      </c>
      <c r="N110" s="134">
        <f t="shared" si="30"/>
        <v>8.36</v>
      </c>
      <c r="O110" s="134">
        <f t="shared" si="30"/>
        <v>8.36</v>
      </c>
      <c r="P110" s="134">
        <f t="shared" si="30"/>
        <v>8.36</v>
      </c>
      <c r="Q110" s="134">
        <f t="shared" si="30"/>
        <v>8.36</v>
      </c>
      <c r="R110" s="134">
        <f t="shared" si="30"/>
        <v>8.36</v>
      </c>
      <c r="S110" s="134">
        <f t="shared" si="31"/>
        <v>8.36</v>
      </c>
      <c r="T110" s="134">
        <f t="shared" si="31"/>
        <v>8.36</v>
      </c>
      <c r="U110" s="134">
        <f t="shared" si="31"/>
        <v>8.36</v>
      </c>
      <c r="V110" s="134">
        <f t="shared" si="31"/>
        <v>8.36</v>
      </c>
      <c r="W110" s="134">
        <f t="shared" si="31"/>
        <v>8.36</v>
      </c>
      <c r="X110" s="134">
        <f t="shared" si="31"/>
        <v>8.36</v>
      </c>
      <c r="Y110" s="134">
        <f t="shared" si="31"/>
        <v>8.36</v>
      </c>
      <c r="Z110" s="134">
        <f t="shared" si="31"/>
        <v>8.36</v>
      </c>
      <c r="AA110" s="134">
        <f t="shared" si="31"/>
        <v>8.36</v>
      </c>
      <c r="AB110" s="134">
        <f t="shared" si="31"/>
        <v>8.36</v>
      </c>
      <c r="AC110" s="134">
        <f t="shared" si="31"/>
        <v>8.36</v>
      </c>
      <c r="AD110" s="134">
        <f t="shared" si="31"/>
        <v>8.36</v>
      </c>
      <c r="AE110" s="134">
        <f t="shared" si="31"/>
        <v>8.36</v>
      </c>
      <c r="AF110" s="134">
        <f t="shared" si="31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30"/>
        <v>8</v>
      </c>
      <c r="D111" s="134">
        <f t="shared" si="30"/>
        <v>8</v>
      </c>
      <c r="E111" s="134">
        <f t="shared" si="30"/>
        <v>8</v>
      </c>
      <c r="F111" s="134">
        <f t="shared" si="30"/>
        <v>8</v>
      </c>
      <c r="G111" s="134">
        <f t="shared" si="30"/>
        <v>8</v>
      </c>
      <c r="H111" s="134">
        <f t="shared" si="30"/>
        <v>8</v>
      </c>
      <c r="I111" s="134">
        <v>5.4</v>
      </c>
      <c r="J111" s="134">
        <f t="shared" si="30"/>
        <v>5.4</v>
      </c>
      <c r="K111" s="134">
        <f t="shared" si="30"/>
        <v>5.4</v>
      </c>
      <c r="L111" s="134">
        <f t="shared" si="30"/>
        <v>5.4</v>
      </c>
      <c r="M111" s="134">
        <f t="shared" si="30"/>
        <v>5.4</v>
      </c>
      <c r="N111" s="134">
        <f t="shared" si="30"/>
        <v>5.4</v>
      </c>
      <c r="O111" s="134">
        <f t="shared" si="30"/>
        <v>5.4</v>
      </c>
      <c r="P111" s="134">
        <f t="shared" si="30"/>
        <v>5.4</v>
      </c>
      <c r="Q111" s="134">
        <f t="shared" si="30"/>
        <v>5.4</v>
      </c>
      <c r="R111" s="134">
        <f t="shared" si="30"/>
        <v>5.4</v>
      </c>
      <c r="S111" s="134">
        <f t="shared" si="31"/>
        <v>5.4</v>
      </c>
      <c r="T111" s="134">
        <f t="shared" si="31"/>
        <v>5.4</v>
      </c>
      <c r="U111" s="134">
        <f t="shared" si="31"/>
        <v>5.4</v>
      </c>
      <c r="V111" s="134">
        <f t="shared" si="31"/>
        <v>5.4</v>
      </c>
      <c r="W111" s="134">
        <f t="shared" si="31"/>
        <v>5.4</v>
      </c>
      <c r="X111" s="134">
        <f t="shared" si="31"/>
        <v>5.4</v>
      </c>
      <c r="Y111" s="134">
        <f t="shared" si="31"/>
        <v>5.4</v>
      </c>
      <c r="Z111" s="134">
        <f t="shared" si="31"/>
        <v>5.4</v>
      </c>
      <c r="AA111" s="134">
        <f t="shared" si="31"/>
        <v>5.4</v>
      </c>
      <c r="AB111" s="134">
        <f t="shared" si="31"/>
        <v>5.4</v>
      </c>
      <c r="AC111" s="134">
        <f t="shared" si="31"/>
        <v>5.4</v>
      </c>
      <c r="AD111" s="134">
        <f t="shared" si="31"/>
        <v>5.4</v>
      </c>
      <c r="AE111" s="134">
        <f t="shared" si="31"/>
        <v>5.4</v>
      </c>
      <c r="AF111" s="134">
        <f t="shared" si="31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30"/>
        <v>6.57</v>
      </c>
      <c r="D112" s="134">
        <f t="shared" si="30"/>
        <v>6.57</v>
      </c>
      <c r="E112" s="134">
        <f t="shared" si="30"/>
        <v>6.57</v>
      </c>
      <c r="F112" s="134">
        <f t="shared" si="30"/>
        <v>6.57</v>
      </c>
      <c r="G112" s="134">
        <f t="shared" si="30"/>
        <v>6.57</v>
      </c>
      <c r="H112" s="134">
        <f t="shared" si="30"/>
        <v>6.57</v>
      </c>
      <c r="I112" s="134">
        <f t="shared" si="30"/>
        <v>6.57</v>
      </c>
      <c r="J112" s="134">
        <f t="shared" si="30"/>
        <v>6.57</v>
      </c>
      <c r="K112" s="134">
        <f t="shared" si="30"/>
        <v>6.57</v>
      </c>
      <c r="L112" s="134">
        <f t="shared" si="30"/>
        <v>6.57</v>
      </c>
      <c r="M112" s="134">
        <f t="shared" si="30"/>
        <v>6.57</v>
      </c>
      <c r="N112" s="134">
        <f t="shared" si="30"/>
        <v>6.57</v>
      </c>
      <c r="O112" s="134">
        <f t="shared" si="30"/>
        <v>6.57</v>
      </c>
      <c r="P112" s="134">
        <f t="shared" si="30"/>
        <v>6.57</v>
      </c>
      <c r="Q112" s="134">
        <f t="shared" si="30"/>
        <v>6.57</v>
      </c>
      <c r="R112" s="134">
        <f t="shared" si="30"/>
        <v>6.57</v>
      </c>
      <c r="S112" s="134">
        <f t="shared" si="31"/>
        <v>6.57</v>
      </c>
      <c r="T112" s="134">
        <f t="shared" si="31"/>
        <v>6.57</v>
      </c>
      <c r="U112" s="134">
        <f t="shared" si="31"/>
        <v>6.57</v>
      </c>
      <c r="V112" s="134">
        <f t="shared" si="31"/>
        <v>6.57</v>
      </c>
      <c r="W112" s="134">
        <f t="shared" si="31"/>
        <v>6.57</v>
      </c>
      <c r="X112" s="134">
        <f t="shared" si="31"/>
        <v>6.57</v>
      </c>
      <c r="Y112" s="134">
        <f t="shared" si="31"/>
        <v>6.57</v>
      </c>
      <c r="Z112" s="134">
        <f t="shared" si="31"/>
        <v>6.57</v>
      </c>
      <c r="AA112" s="134">
        <f t="shared" si="31"/>
        <v>6.57</v>
      </c>
      <c r="AB112" s="134">
        <f t="shared" si="31"/>
        <v>6.57</v>
      </c>
      <c r="AC112" s="134">
        <f t="shared" si="31"/>
        <v>6.57</v>
      </c>
      <c r="AD112" s="134">
        <f t="shared" si="31"/>
        <v>6.57</v>
      </c>
      <c r="AE112" s="134">
        <f t="shared" si="31"/>
        <v>6.57</v>
      </c>
      <c r="AF112" s="134">
        <f t="shared" si="31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30"/>
        <v>3.43</v>
      </c>
      <c r="D113" s="134">
        <f t="shared" si="30"/>
        <v>3.43</v>
      </c>
      <c r="E113" s="134">
        <f t="shared" si="30"/>
        <v>3.43</v>
      </c>
      <c r="F113" s="134">
        <f t="shared" si="30"/>
        <v>3.43</v>
      </c>
      <c r="G113" s="134">
        <f t="shared" si="30"/>
        <v>3.43</v>
      </c>
      <c r="H113" s="134">
        <f t="shared" si="30"/>
        <v>3.43</v>
      </c>
      <c r="I113" s="134">
        <f t="shared" si="30"/>
        <v>3.43</v>
      </c>
      <c r="J113" s="134">
        <f t="shared" si="30"/>
        <v>3.43</v>
      </c>
      <c r="K113" s="134">
        <f t="shared" si="30"/>
        <v>3.43</v>
      </c>
      <c r="L113" s="134">
        <f t="shared" si="30"/>
        <v>3.43</v>
      </c>
      <c r="M113" s="134">
        <f t="shared" si="30"/>
        <v>3.43</v>
      </c>
      <c r="N113" s="134">
        <f t="shared" si="30"/>
        <v>3.43</v>
      </c>
      <c r="O113" s="134">
        <f t="shared" si="30"/>
        <v>3.43</v>
      </c>
      <c r="P113" s="134">
        <f t="shared" si="30"/>
        <v>3.43</v>
      </c>
      <c r="Q113" s="134">
        <f t="shared" si="30"/>
        <v>3.43</v>
      </c>
      <c r="R113" s="134">
        <f t="shared" si="30"/>
        <v>3.43</v>
      </c>
      <c r="S113" s="134">
        <f t="shared" si="31"/>
        <v>3.43</v>
      </c>
      <c r="T113" s="134">
        <f t="shared" si="31"/>
        <v>3.43</v>
      </c>
      <c r="U113" s="134">
        <f t="shared" si="31"/>
        <v>3.43</v>
      </c>
      <c r="V113" s="134">
        <f t="shared" si="31"/>
        <v>3.43</v>
      </c>
      <c r="W113" s="134">
        <f t="shared" si="31"/>
        <v>3.43</v>
      </c>
      <c r="X113" s="134">
        <f t="shared" si="31"/>
        <v>3.43</v>
      </c>
      <c r="Y113" s="134">
        <f t="shared" si="31"/>
        <v>3.43</v>
      </c>
      <c r="Z113" s="134">
        <f t="shared" si="31"/>
        <v>3.43</v>
      </c>
      <c r="AA113" s="134">
        <f t="shared" si="31"/>
        <v>3.43</v>
      </c>
      <c r="AB113" s="134">
        <f t="shared" si="31"/>
        <v>3.43</v>
      </c>
      <c r="AC113" s="134">
        <f t="shared" si="31"/>
        <v>3.43</v>
      </c>
      <c r="AD113" s="134">
        <f t="shared" si="31"/>
        <v>3.43</v>
      </c>
      <c r="AE113" s="134">
        <f t="shared" si="31"/>
        <v>3.43</v>
      </c>
      <c r="AF113" s="134">
        <f t="shared" si="31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30"/>
        <v>2.96</v>
      </c>
      <c r="D114" s="134">
        <f t="shared" si="30"/>
        <v>2.96</v>
      </c>
      <c r="E114" s="134">
        <f t="shared" si="30"/>
        <v>2.96</v>
      </c>
      <c r="F114" s="134">
        <f t="shared" si="30"/>
        <v>2.96</v>
      </c>
      <c r="G114" s="134">
        <f t="shared" si="30"/>
        <v>2.96</v>
      </c>
      <c r="H114" s="134">
        <f t="shared" si="30"/>
        <v>2.96</v>
      </c>
      <c r="I114" s="134">
        <f t="shared" si="30"/>
        <v>2.96</v>
      </c>
      <c r="J114" s="134">
        <f t="shared" si="30"/>
        <v>2.96</v>
      </c>
      <c r="K114" s="134">
        <f t="shared" si="30"/>
        <v>2.96</v>
      </c>
      <c r="L114" s="134">
        <f t="shared" si="30"/>
        <v>2.96</v>
      </c>
      <c r="M114" s="134">
        <f t="shared" si="30"/>
        <v>2.96</v>
      </c>
      <c r="N114" s="134">
        <f t="shared" si="30"/>
        <v>2.96</v>
      </c>
      <c r="O114" s="134">
        <f t="shared" si="30"/>
        <v>2.96</v>
      </c>
      <c r="P114" s="134">
        <f t="shared" si="30"/>
        <v>2.96</v>
      </c>
      <c r="Q114" s="134">
        <f t="shared" si="30"/>
        <v>2.96</v>
      </c>
      <c r="R114" s="134">
        <f t="shared" si="30"/>
        <v>2.96</v>
      </c>
      <c r="S114" s="134">
        <f t="shared" si="31"/>
        <v>2.96</v>
      </c>
      <c r="T114" s="134">
        <f t="shared" si="31"/>
        <v>2.96</v>
      </c>
      <c r="U114" s="134">
        <f t="shared" si="31"/>
        <v>2.96</v>
      </c>
      <c r="V114" s="134">
        <f t="shared" si="31"/>
        <v>2.96</v>
      </c>
      <c r="W114" s="134">
        <f t="shared" si="31"/>
        <v>2.96</v>
      </c>
      <c r="X114" s="134">
        <f t="shared" si="31"/>
        <v>2.96</v>
      </c>
      <c r="Y114" s="134">
        <f t="shared" si="31"/>
        <v>2.96</v>
      </c>
      <c r="Z114" s="134">
        <f t="shared" si="31"/>
        <v>2.96</v>
      </c>
      <c r="AA114" s="134">
        <f t="shared" si="31"/>
        <v>2.96</v>
      </c>
      <c r="AB114" s="134">
        <f t="shared" si="31"/>
        <v>2.96</v>
      </c>
      <c r="AC114" s="134">
        <f t="shared" si="31"/>
        <v>2.96</v>
      </c>
      <c r="AD114" s="134">
        <f t="shared" si="31"/>
        <v>2.96</v>
      </c>
      <c r="AE114" s="134">
        <f t="shared" si="31"/>
        <v>2.96</v>
      </c>
      <c r="AF114" s="134">
        <f t="shared" si="31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30"/>
        <v>8</v>
      </c>
      <c r="D115" s="134">
        <f t="shared" si="30"/>
        <v>8</v>
      </c>
      <c r="E115" s="134">
        <f t="shared" si="30"/>
        <v>8</v>
      </c>
      <c r="F115" s="134">
        <f t="shared" si="30"/>
        <v>8</v>
      </c>
      <c r="G115" s="134">
        <f t="shared" si="30"/>
        <v>8</v>
      </c>
      <c r="H115" s="134">
        <f t="shared" si="30"/>
        <v>8</v>
      </c>
      <c r="I115" s="134">
        <f t="shared" si="30"/>
        <v>8</v>
      </c>
      <c r="J115" s="134">
        <f t="shared" si="30"/>
        <v>8</v>
      </c>
      <c r="K115" s="134">
        <f t="shared" si="30"/>
        <v>8</v>
      </c>
      <c r="L115" s="134">
        <f t="shared" si="30"/>
        <v>8</v>
      </c>
      <c r="M115" s="134">
        <f t="shared" si="30"/>
        <v>8</v>
      </c>
      <c r="N115" s="134">
        <f t="shared" si="30"/>
        <v>8</v>
      </c>
      <c r="O115" s="134">
        <f t="shared" si="30"/>
        <v>8</v>
      </c>
      <c r="P115" s="134">
        <f t="shared" si="30"/>
        <v>8</v>
      </c>
      <c r="Q115" s="134">
        <f t="shared" si="30"/>
        <v>8</v>
      </c>
      <c r="R115" s="134">
        <f t="shared" si="30"/>
        <v>8</v>
      </c>
      <c r="S115" s="134">
        <f t="shared" si="31"/>
        <v>8</v>
      </c>
      <c r="T115" s="134">
        <f t="shared" si="31"/>
        <v>8</v>
      </c>
      <c r="U115" s="134">
        <f t="shared" si="31"/>
        <v>8</v>
      </c>
      <c r="V115" s="134">
        <f t="shared" si="31"/>
        <v>8</v>
      </c>
      <c r="W115" s="134">
        <f t="shared" si="31"/>
        <v>8</v>
      </c>
      <c r="X115" s="134">
        <f t="shared" si="31"/>
        <v>8</v>
      </c>
      <c r="Y115" s="134">
        <f t="shared" si="31"/>
        <v>8</v>
      </c>
      <c r="Z115" s="134">
        <f t="shared" si="31"/>
        <v>8</v>
      </c>
      <c r="AA115" s="134">
        <f t="shared" si="31"/>
        <v>8</v>
      </c>
      <c r="AB115" s="134">
        <f t="shared" si="31"/>
        <v>8</v>
      </c>
      <c r="AC115" s="134">
        <f t="shared" si="31"/>
        <v>8</v>
      </c>
      <c r="AD115" s="134">
        <f t="shared" si="31"/>
        <v>8</v>
      </c>
      <c r="AE115" s="134">
        <f t="shared" si="31"/>
        <v>8</v>
      </c>
      <c r="AF115" s="134">
        <f t="shared" si="31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30"/>
        <v>7</v>
      </c>
      <c r="E116" s="134">
        <f t="shared" si="30"/>
        <v>7</v>
      </c>
      <c r="F116" s="134">
        <f t="shared" si="30"/>
        <v>7</v>
      </c>
      <c r="G116" s="134">
        <f t="shared" si="30"/>
        <v>7</v>
      </c>
      <c r="H116" s="134">
        <f t="shared" si="30"/>
        <v>7</v>
      </c>
      <c r="I116" s="134">
        <f t="shared" si="30"/>
        <v>7</v>
      </c>
      <c r="J116" s="134">
        <f t="shared" si="30"/>
        <v>7</v>
      </c>
      <c r="K116" s="134">
        <f t="shared" si="30"/>
        <v>7</v>
      </c>
      <c r="L116" s="134">
        <f t="shared" si="30"/>
        <v>7</v>
      </c>
      <c r="M116" s="134">
        <f t="shared" si="30"/>
        <v>7</v>
      </c>
      <c r="N116" s="134">
        <f t="shared" si="30"/>
        <v>7</v>
      </c>
      <c r="O116" s="134">
        <f t="shared" si="30"/>
        <v>7</v>
      </c>
      <c r="P116" s="134">
        <f t="shared" si="30"/>
        <v>7</v>
      </c>
      <c r="Q116" s="134">
        <f t="shared" si="30"/>
        <v>7</v>
      </c>
      <c r="R116" s="134">
        <f t="shared" si="30"/>
        <v>7</v>
      </c>
      <c r="S116" s="134">
        <f t="shared" si="31"/>
        <v>7</v>
      </c>
      <c r="T116" s="134">
        <f t="shared" si="31"/>
        <v>7</v>
      </c>
      <c r="U116" s="134">
        <f t="shared" si="31"/>
        <v>7</v>
      </c>
      <c r="V116" s="134">
        <f t="shared" si="31"/>
        <v>7</v>
      </c>
      <c r="W116" s="134">
        <f t="shared" si="31"/>
        <v>7</v>
      </c>
      <c r="X116" s="134">
        <f t="shared" si="31"/>
        <v>7</v>
      </c>
      <c r="Y116" s="134">
        <f t="shared" si="31"/>
        <v>7</v>
      </c>
      <c r="Z116" s="134">
        <f t="shared" si="31"/>
        <v>7</v>
      </c>
      <c r="AA116" s="134">
        <f t="shared" si="31"/>
        <v>7</v>
      </c>
      <c r="AB116" s="134">
        <f t="shared" si="31"/>
        <v>7</v>
      </c>
      <c r="AC116" s="134">
        <f t="shared" si="31"/>
        <v>7</v>
      </c>
      <c r="AD116" s="134">
        <f t="shared" si="31"/>
        <v>7</v>
      </c>
      <c r="AE116" s="134">
        <f t="shared" si="31"/>
        <v>7</v>
      </c>
      <c r="AF116" s="134">
        <f t="shared" si="31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2">B117</f>
        <v>3.47</v>
      </c>
      <c r="D117" s="134">
        <f t="shared" si="32"/>
        <v>3.47</v>
      </c>
      <c r="E117" s="134">
        <f t="shared" si="32"/>
        <v>3.47</v>
      </c>
      <c r="F117" s="134">
        <f t="shared" si="32"/>
        <v>3.47</v>
      </c>
      <c r="G117" s="134">
        <f t="shared" si="32"/>
        <v>3.47</v>
      </c>
      <c r="H117" s="134">
        <f t="shared" si="32"/>
        <v>3.47</v>
      </c>
      <c r="I117" s="134">
        <f t="shared" si="32"/>
        <v>3.47</v>
      </c>
      <c r="J117" s="134">
        <f t="shared" si="32"/>
        <v>3.47</v>
      </c>
      <c r="K117" s="134">
        <f t="shared" si="32"/>
        <v>3.47</v>
      </c>
      <c r="L117" s="134">
        <f t="shared" si="32"/>
        <v>3.47</v>
      </c>
      <c r="M117" s="134">
        <f t="shared" si="32"/>
        <v>3.47</v>
      </c>
      <c r="N117" s="134">
        <f t="shared" si="32"/>
        <v>3.47</v>
      </c>
      <c r="O117" s="134">
        <f t="shared" si="32"/>
        <v>3.47</v>
      </c>
      <c r="P117" s="134">
        <f t="shared" si="32"/>
        <v>3.47</v>
      </c>
      <c r="Q117" s="134">
        <f t="shared" si="32"/>
        <v>3.47</v>
      </c>
      <c r="R117" s="134">
        <f t="shared" si="32"/>
        <v>3.47</v>
      </c>
      <c r="S117" s="134">
        <f t="shared" si="31"/>
        <v>3.47</v>
      </c>
      <c r="T117" s="134">
        <f t="shared" si="31"/>
        <v>3.47</v>
      </c>
      <c r="U117" s="134">
        <f t="shared" si="31"/>
        <v>3.47</v>
      </c>
      <c r="V117" s="134">
        <f t="shared" si="31"/>
        <v>3.47</v>
      </c>
      <c r="W117" s="134">
        <f t="shared" si="31"/>
        <v>3.47</v>
      </c>
      <c r="X117" s="134">
        <f t="shared" si="31"/>
        <v>3.47</v>
      </c>
      <c r="Y117" s="134">
        <f t="shared" si="31"/>
        <v>3.47</v>
      </c>
      <c r="Z117" s="134">
        <f t="shared" si="31"/>
        <v>3.47</v>
      </c>
      <c r="AA117" s="134">
        <f t="shared" si="31"/>
        <v>3.47</v>
      </c>
      <c r="AB117" s="134">
        <f t="shared" si="31"/>
        <v>3.47</v>
      </c>
      <c r="AC117" s="134">
        <f t="shared" si="31"/>
        <v>3.47</v>
      </c>
      <c r="AD117" s="134">
        <f t="shared" si="31"/>
        <v>3.47</v>
      </c>
      <c r="AE117" s="134">
        <f t="shared" si="31"/>
        <v>3.47</v>
      </c>
      <c r="AF117" s="134">
        <f t="shared" si="31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2"/>
        <v>2.1</v>
      </c>
      <c r="D118" s="134">
        <f t="shared" si="32"/>
        <v>2.1</v>
      </c>
      <c r="E118" s="134">
        <f t="shared" si="32"/>
        <v>2.1</v>
      </c>
      <c r="F118" s="134">
        <f t="shared" si="32"/>
        <v>2.1</v>
      </c>
      <c r="G118" s="134">
        <f t="shared" si="32"/>
        <v>2.1</v>
      </c>
      <c r="H118" s="134">
        <f t="shared" si="32"/>
        <v>2.1</v>
      </c>
      <c r="I118" s="134">
        <f t="shared" si="32"/>
        <v>2.1</v>
      </c>
      <c r="J118" s="134">
        <f t="shared" si="32"/>
        <v>2.1</v>
      </c>
      <c r="K118" s="134">
        <f t="shared" si="32"/>
        <v>2.1</v>
      </c>
      <c r="L118" s="134">
        <f t="shared" si="32"/>
        <v>2.1</v>
      </c>
      <c r="M118" s="134">
        <f t="shared" si="32"/>
        <v>2.1</v>
      </c>
      <c r="N118" s="134">
        <f t="shared" si="32"/>
        <v>2.1</v>
      </c>
      <c r="O118" s="134">
        <f t="shared" si="32"/>
        <v>2.1</v>
      </c>
      <c r="P118" s="134">
        <f t="shared" si="32"/>
        <v>2.1</v>
      </c>
      <c r="Q118" s="134">
        <f t="shared" si="32"/>
        <v>2.1</v>
      </c>
      <c r="R118" s="134">
        <f t="shared" si="32"/>
        <v>2.1</v>
      </c>
      <c r="S118" s="134">
        <f t="shared" si="31"/>
        <v>2.1</v>
      </c>
      <c r="T118" s="134">
        <f t="shared" si="31"/>
        <v>2.1</v>
      </c>
      <c r="U118" s="134">
        <f t="shared" si="31"/>
        <v>2.1</v>
      </c>
      <c r="V118" s="134">
        <f t="shared" si="31"/>
        <v>2.1</v>
      </c>
      <c r="W118" s="134">
        <f t="shared" si="31"/>
        <v>2.1</v>
      </c>
      <c r="X118" s="134">
        <f t="shared" si="31"/>
        <v>2.1</v>
      </c>
      <c r="Y118" s="134">
        <f t="shared" si="31"/>
        <v>2.1</v>
      </c>
      <c r="Z118" s="134">
        <f t="shared" si="31"/>
        <v>2.1</v>
      </c>
      <c r="AA118" s="134">
        <f t="shared" si="31"/>
        <v>2.1</v>
      </c>
      <c r="AB118" s="134">
        <f t="shared" si="31"/>
        <v>2.1</v>
      </c>
      <c r="AC118" s="134">
        <f t="shared" si="31"/>
        <v>2.1</v>
      </c>
      <c r="AD118" s="134">
        <f t="shared" si="31"/>
        <v>2.1</v>
      </c>
      <c r="AE118" s="134">
        <f t="shared" si="31"/>
        <v>2.1</v>
      </c>
      <c r="AF118" s="134">
        <f t="shared" si="31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2"/>
        <v>9.3000000000000007</v>
      </c>
      <c r="D119" s="134">
        <f t="shared" si="32"/>
        <v>9.3000000000000007</v>
      </c>
      <c r="E119" s="134">
        <f t="shared" si="32"/>
        <v>9.3000000000000007</v>
      </c>
      <c r="F119" s="134">
        <f t="shared" si="32"/>
        <v>9.3000000000000007</v>
      </c>
      <c r="G119" s="134">
        <f t="shared" si="32"/>
        <v>9.3000000000000007</v>
      </c>
      <c r="H119" s="134">
        <f t="shared" si="32"/>
        <v>9.3000000000000007</v>
      </c>
      <c r="I119" s="134">
        <f t="shared" si="32"/>
        <v>9.3000000000000007</v>
      </c>
      <c r="J119" s="134">
        <f t="shared" si="32"/>
        <v>9.3000000000000007</v>
      </c>
      <c r="K119" s="134">
        <f t="shared" si="32"/>
        <v>9.3000000000000007</v>
      </c>
      <c r="L119" s="134">
        <f t="shared" si="32"/>
        <v>9.3000000000000007</v>
      </c>
      <c r="M119" s="134">
        <f t="shared" si="32"/>
        <v>9.3000000000000007</v>
      </c>
      <c r="N119" s="134">
        <f t="shared" si="32"/>
        <v>9.3000000000000007</v>
      </c>
      <c r="O119" s="134">
        <f t="shared" si="32"/>
        <v>9.3000000000000007</v>
      </c>
      <c r="P119" s="134">
        <f t="shared" si="32"/>
        <v>9.3000000000000007</v>
      </c>
      <c r="Q119" s="134">
        <f t="shared" si="32"/>
        <v>9.3000000000000007</v>
      </c>
      <c r="R119" s="134">
        <f t="shared" si="32"/>
        <v>9.3000000000000007</v>
      </c>
      <c r="S119" s="134">
        <f t="shared" si="31"/>
        <v>9.3000000000000007</v>
      </c>
      <c r="T119" s="134">
        <f t="shared" si="31"/>
        <v>9.3000000000000007</v>
      </c>
      <c r="U119" s="134">
        <f t="shared" si="31"/>
        <v>9.3000000000000007</v>
      </c>
      <c r="V119" s="134">
        <f t="shared" si="31"/>
        <v>9.3000000000000007</v>
      </c>
      <c r="W119" s="134">
        <f t="shared" si="31"/>
        <v>9.3000000000000007</v>
      </c>
      <c r="X119" s="134">
        <f t="shared" si="31"/>
        <v>9.3000000000000007</v>
      </c>
      <c r="Y119" s="134">
        <f t="shared" si="31"/>
        <v>9.3000000000000007</v>
      </c>
      <c r="Z119" s="134">
        <f t="shared" si="31"/>
        <v>9.3000000000000007</v>
      </c>
      <c r="AA119" s="134">
        <f t="shared" si="31"/>
        <v>9.3000000000000007</v>
      </c>
      <c r="AB119" s="134">
        <f t="shared" si="31"/>
        <v>9.3000000000000007</v>
      </c>
      <c r="AC119" s="134">
        <f t="shared" si="31"/>
        <v>9.3000000000000007</v>
      </c>
      <c r="AD119" s="134">
        <f t="shared" si="31"/>
        <v>9.3000000000000007</v>
      </c>
      <c r="AE119" s="134">
        <f t="shared" si="31"/>
        <v>9.3000000000000007</v>
      </c>
      <c r="AF119" s="134">
        <f t="shared" si="31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2"/>
        <v>0</v>
      </c>
      <c r="D120" s="134">
        <f t="shared" si="32"/>
        <v>0</v>
      </c>
      <c r="E120" s="134">
        <f t="shared" si="32"/>
        <v>0</v>
      </c>
      <c r="F120" s="134">
        <f t="shared" si="32"/>
        <v>0</v>
      </c>
      <c r="G120" s="134">
        <f t="shared" si="32"/>
        <v>0</v>
      </c>
      <c r="H120" s="134">
        <f t="shared" si="32"/>
        <v>0</v>
      </c>
      <c r="I120" s="134">
        <f t="shared" si="32"/>
        <v>0</v>
      </c>
      <c r="J120" s="134">
        <f t="shared" si="32"/>
        <v>0</v>
      </c>
      <c r="K120" s="134">
        <f t="shared" si="32"/>
        <v>0</v>
      </c>
      <c r="L120" s="134">
        <f t="shared" si="32"/>
        <v>0</v>
      </c>
      <c r="M120" s="134">
        <f t="shared" si="32"/>
        <v>0</v>
      </c>
      <c r="N120" s="134">
        <f t="shared" si="32"/>
        <v>0</v>
      </c>
      <c r="O120" s="134">
        <f t="shared" si="32"/>
        <v>0</v>
      </c>
      <c r="P120" s="134">
        <f t="shared" si="32"/>
        <v>0</v>
      </c>
      <c r="Q120" s="134">
        <f t="shared" si="32"/>
        <v>0</v>
      </c>
      <c r="R120" s="134">
        <f t="shared" si="32"/>
        <v>0</v>
      </c>
      <c r="S120" s="134">
        <f t="shared" si="31"/>
        <v>0</v>
      </c>
      <c r="T120" s="134">
        <f t="shared" si="31"/>
        <v>0</v>
      </c>
      <c r="U120" s="134">
        <f t="shared" si="31"/>
        <v>0</v>
      </c>
      <c r="V120" s="134">
        <f t="shared" si="31"/>
        <v>0</v>
      </c>
      <c r="W120" s="134">
        <f t="shared" si="31"/>
        <v>0</v>
      </c>
      <c r="X120" s="134">
        <f t="shared" si="31"/>
        <v>0</v>
      </c>
      <c r="Y120" s="134">
        <f t="shared" si="31"/>
        <v>0</v>
      </c>
      <c r="Z120" s="134">
        <f t="shared" si="31"/>
        <v>0</v>
      </c>
      <c r="AA120" s="134">
        <f t="shared" si="31"/>
        <v>0</v>
      </c>
      <c r="AB120" s="134">
        <f t="shared" si="31"/>
        <v>0</v>
      </c>
      <c r="AC120" s="134">
        <f t="shared" si="31"/>
        <v>0</v>
      </c>
      <c r="AD120" s="134">
        <f t="shared" si="31"/>
        <v>0</v>
      </c>
      <c r="AE120" s="134">
        <f t="shared" si="31"/>
        <v>0</v>
      </c>
      <c r="AF120" s="134">
        <f t="shared" si="31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2"/>
        <v>0</v>
      </c>
      <c r="D121" s="134">
        <f t="shared" si="32"/>
        <v>0</v>
      </c>
      <c r="E121" s="134">
        <f t="shared" si="32"/>
        <v>0</v>
      </c>
      <c r="F121" s="134">
        <f t="shared" si="32"/>
        <v>0</v>
      </c>
      <c r="G121" s="134">
        <f t="shared" si="32"/>
        <v>0</v>
      </c>
      <c r="H121" s="134">
        <f t="shared" si="32"/>
        <v>0</v>
      </c>
      <c r="I121" s="134">
        <f t="shared" si="32"/>
        <v>0</v>
      </c>
      <c r="J121" s="134">
        <f t="shared" si="32"/>
        <v>0</v>
      </c>
      <c r="K121" s="134">
        <f t="shared" si="32"/>
        <v>0</v>
      </c>
      <c r="L121" s="134">
        <f t="shared" si="32"/>
        <v>0</v>
      </c>
      <c r="M121" s="134">
        <f t="shared" si="32"/>
        <v>0</v>
      </c>
      <c r="N121" s="134">
        <f t="shared" si="32"/>
        <v>0</v>
      </c>
      <c r="O121" s="134">
        <f t="shared" si="32"/>
        <v>0</v>
      </c>
      <c r="P121" s="134">
        <f t="shared" si="32"/>
        <v>0</v>
      </c>
      <c r="Q121" s="134">
        <f t="shared" si="32"/>
        <v>0</v>
      </c>
      <c r="R121" s="134">
        <f t="shared" si="32"/>
        <v>0</v>
      </c>
      <c r="S121" s="134">
        <f t="shared" si="31"/>
        <v>0</v>
      </c>
      <c r="T121" s="134">
        <f t="shared" si="31"/>
        <v>0</v>
      </c>
      <c r="U121" s="134">
        <f t="shared" si="31"/>
        <v>0</v>
      </c>
      <c r="V121" s="134">
        <f t="shared" si="31"/>
        <v>0</v>
      </c>
      <c r="W121" s="134">
        <f t="shared" si="31"/>
        <v>0</v>
      </c>
      <c r="X121" s="134">
        <f t="shared" si="31"/>
        <v>0</v>
      </c>
      <c r="Y121" s="134">
        <f t="shared" si="31"/>
        <v>0</v>
      </c>
      <c r="Z121" s="134">
        <f t="shared" si="31"/>
        <v>0</v>
      </c>
      <c r="AA121" s="134">
        <f t="shared" si="31"/>
        <v>0</v>
      </c>
      <c r="AB121" s="134">
        <f t="shared" si="31"/>
        <v>0</v>
      </c>
      <c r="AC121" s="134">
        <f t="shared" si="31"/>
        <v>0</v>
      </c>
      <c r="AD121" s="134">
        <f t="shared" si="31"/>
        <v>0</v>
      </c>
      <c r="AE121" s="134">
        <f t="shared" si="31"/>
        <v>0</v>
      </c>
      <c r="AF121" s="134">
        <f t="shared" si="31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2"/>
        <v>5</v>
      </c>
      <c r="D122" s="134">
        <f t="shared" si="32"/>
        <v>5</v>
      </c>
      <c r="E122" s="134">
        <f t="shared" si="32"/>
        <v>5</v>
      </c>
      <c r="F122" s="134">
        <f t="shared" si="32"/>
        <v>5</v>
      </c>
      <c r="G122" s="134">
        <f t="shared" si="32"/>
        <v>5</v>
      </c>
      <c r="H122" s="134">
        <f t="shared" si="32"/>
        <v>5</v>
      </c>
      <c r="I122" s="134">
        <f t="shared" si="32"/>
        <v>5</v>
      </c>
      <c r="J122" s="134">
        <f t="shared" si="32"/>
        <v>5</v>
      </c>
      <c r="K122" s="134">
        <f t="shared" si="32"/>
        <v>5</v>
      </c>
      <c r="L122" s="134">
        <f t="shared" si="32"/>
        <v>5</v>
      </c>
      <c r="M122" s="134">
        <f t="shared" si="32"/>
        <v>5</v>
      </c>
      <c r="N122" s="134">
        <f t="shared" si="32"/>
        <v>5</v>
      </c>
      <c r="O122" s="134">
        <f t="shared" si="32"/>
        <v>5</v>
      </c>
      <c r="P122" s="134">
        <f t="shared" si="32"/>
        <v>5</v>
      </c>
      <c r="Q122" s="134">
        <f t="shared" si="32"/>
        <v>5</v>
      </c>
      <c r="R122" s="134">
        <f t="shared" si="32"/>
        <v>5</v>
      </c>
      <c r="S122" s="134">
        <f t="shared" si="31"/>
        <v>5</v>
      </c>
      <c r="T122" s="134">
        <f t="shared" si="31"/>
        <v>5</v>
      </c>
      <c r="U122" s="134">
        <f t="shared" si="31"/>
        <v>5</v>
      </c>
      <c r="V122" s="134">
        <f t="shared" si="31"/>
        <v>5</v>
      </c>
      <c r="W122" s="134">
        <f t="shared" si="31"/>
        <v>5</v>
      </c>
      <c r="X122" s="134">
        <f t="shared" si="31"/>
        <v>5</v>
      </c>
      <c r="Y122" s="134">
        <f t="shared" si="31"/>
        <v>5</v>
      </c>
      <c r="Z122" s="134">
        <f t="shared" si="31"/>
        <v>5</v>
      </c>
      <c r="AA122" s="134">
        <f t="shared" si="31"/>
        <v>5</v>
      </c>
      <c r="AB122" s="134">
        <f t="shared" si="31"/>
        <v>5</v>
      </c>
      <c r="AC122" s="134">
        <f t="shared" si="31"/>
        <v>5</v>
      </c>
      <c r="AD122" s="134">
        <f t="shared" si="31"/>
        <v>5</v>
      </c>
      <c r="AE122" s="134">
        <f t="shared" si="31"/>
        <v>5</v>
      </c>
      <c r="AF122" s="134">
        <f t="shared" si="31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2"/>
        <v>1</v>
      </c>
      <c r="D123" s="134">
        <f t="shared" si="32"/>
        <v>1</v>
      </c>
      <c r="E123" s="134">
        <f t="shared" si="32"/>
        <v>1</v>
      </c>
      <c r="F123" s="134">
        <f t="shared" si="32"/>
        <v>1</v>
      </c>
      <c r="G123" s="134">
        <f t="shared" si="32"/>
        <v>1</v>
      </c>
      <c r="H123" s="134">
        <f t="shared" si="32"/>
        <v>1</v>
      </c>
      <c r="I123" s="134">
        <f t="shared" si="32"/>
        <v>1</v>
      </c>
      <c r="J123" s="134">
        <f t="shared" si="32"/>
        <v>1</v>
      </c>
      <c r="K123" s="134">
        <f t="shared" si="32"/>
        <v>1</v>
      </c>
      <c r="L123" s="134">
        <f t="shared" si="32"/>
        <v>1</v>
      </c>
      <c r="M123" s="134">
        <f t="shared" si="32"/>
        <v>1</v>
      </c>
      <c r="N123" s="134">
        <f t="shared" si="32"/>
        <v>1</v>
      </c>
      <c r="O123" s="134">
        <f t="shared" si="32"/>
        <v>1</v>
      </c>
      <c r="P123" s="134">
        <f t="shared" si="32"/>
        <v>1</v>
      </c>
      <c r="Q123" s="134">
        <f t="shared" si="32"/>
        <v>1</v>
      </c>
      <c r="R123" s="134">
        <f t="shared" si="32"/>
        <v>1</v>
      </c>
      <c r="S123" s="134">
        <f t="shared" si="31"/>
        <v>1</v>
      </c>
      <c r="T123" s="134">
        <f t="shared" si="31"/>
        <v>1</v>
      </c>
      <c r="U123" s="134">
        <f t="shared" si="31"/>
        <v>1</v>
      </c>
      <c r="V123" s="134">
        <f t="shared" si="31"/>
        <v>1</v>
      </c>
      <c r="W123" s="134">
        <f t="shared" si="31"/>
        <v>1</v>
      </c>
      <c r="X123" s="134">
        <f t="shared" si="31"/>
        <v>1</v>
      </c>
      <c r="Y123" s="134">
        <f t="shared" si="31"/>
        <v>1</v>
      </c>
      <c r="Z123" s="134">
        <f t="shared" si="31"/>
        <v>1</v>
      </c>
      <c r="AA123" s="134">
        <f t="shared" si="31"/>
        <v>1</v>
      </c>
      <c r="AB123" s="134">
        <f t="shared" si="31"/>
        <v>1</v>
      </c>
      <c r="AC123" s="134">
        <f t="shared" si="31"/>
        <v>1</v>
      </c>
      <c r="AD123" s="134">
        <f t="shared" si="31"/>
        <v>1</v>
      </c>
      <c r="AE123" s="134">
        <f t="shared" si="31"/>
        <v>1</v>
      </c>
      <c r="AF123" s="134">
        <f t="shared" si="31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2"/>
        <v>1.58</v>
      </c>
      <c r="D124" s="134">
        <f t="shared" si="32"/>
        <v>1.58</v>
      </c>
      <c r="E124" s="134">
        <f t="shared" si="32"/>
        <v>1.58</v>
      </c>
      <c r="F124" s="134">
        <f t="shared" si="32"/>
        <v>1.58</v>
      </c>
      <c r="G124" s="134">
        <f t="shared" si="32"/>
        <v>1.58</v>
      </c>
      <c r="H124" s="134">
        <f t="shared" si="32"/>
        <v>1.58</v>
      </c>
      <c r="I124" s="134">
        <f t="shared" si="32"/>
        <v>1.58</v>
      </c>
      <c r="J124" s="134">
        <f t="shared" si="32"/>
        <v>1.58</v>
      </c>
      <c r="K124" s="134">
        <f t="shared" si="32"/>
        <v>1.58</v>
      </c>
      <c r="L124" s="134">
        <f t="shared" si="32"/>
        <v>1.58</v>
      </c>
      <c r="M124" s="134">
        <f t="shared" si="32"/>
        <v>1.58</v>
      </c>
      <c r="N124" s="134">
        <f t="shared" si="32"/>
        <v>1.58</v>
      </c>
      <c r="O124" s="134">
        <f t="shared" si="32"/>
        <v>1.58</v>
      </c>
      <c r="P124" s="134">
        <f t="shared" si="32"/>
        <v>1.58</v>
      </c>
      <c r="Q124" s="134">
        <f t="shared" si="32"/>
        <v>1.58</v>
      </c>
      <c r="R124" s="134">
        <f t="shared" si="32"/>
        <v>1.58</v>
      </c>
      <c r="S124" s="134">
        <f t="shared" si="31"/>
        <v>1.58</v>
      </c>
      <c r="T124" s="134">
        <f t="shared" si="31"/>
        <v>1.58</v>
      </c>
      <c r="U124" s="134">
        <f t="shared" si="31"/>
        <v>1.58</v>
      </c>
      <c r="V124" s="134">
        <f t="shared" si="31"/>
        <v>1.58</v>
      </c>
      <c r="W124" s="134">
        <f t="shared" si="31"/>
        <v>1.58</v>
      </c>
      <c r="X124" s="134">
        <f t="shared" si="31"/>
        <v>1.58</v>
      </c>
      <c r="Y124" s="134">
        <f t="shared" si="31"/>
        <v>1.58</v>
      </c>
      <c r="Z124" s="134">
        <f t="shared" si="31"/>
        <v>1.58</v>
      </c>
      <c r="AA124" s="134">
        <f t="shared" si="31"/>
        <v>1.58</v>
      </c>
      <c r="AB124" s="134">
        <f t="shared" si="31"/>
        <v>1.58</v>
      </c>
      <c r="AC124" s="134">
        <f t="shared" si="31"/>
        <v>1.58</v>
      </c>
      <c r="AD124" s="134">
        <f t="shared" si="31"/>
        <v>1.58</v>
      </c>
      <c r="AE124" s="134">
        <f t="shared" si="31"/>
        <v>1.58</v>
      </c>
      <c r="AF124" s="134">
        <f t="shared" si="31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2"/>
        <v>1.46</v>
      </c>
      <c r="D125" s="134">
        <f t="shared" si="32"/>
        <v>1.46</v>
      </c>
      <c r="E125" s="134">
        <f t="shared" si="32"/>
        <v>1.46</v>
      </c>
      <c r="F125" s="134">
        <f t="shared" si="32"/>
        <v>1.46</v>
      </c>
      <c r="G125" s="134">
        <f t="shared" si="32"/>
        <v>1.46</v>
      </c>
      <c r="H125" s="134">
        <f t="shared" si="32"/>
        <v>1.46</v>
      </c>
      <c r="I125" s="134">
        <f t="shared" si="32"/>
        <v>1.46</v>
      </c>
      <c r="J125" s="134">
        <f t="shared" si="32"/>
        <v>1.46</v>
      </c>
      <c r="K125" s="134">
        <f t="shared" si="32"/>
        <v>1.46</v>
      </c>
      <c r="L125" s="134">
        <f t="shared" si="32"/>
        <v>1.46</v>
      </c>
      <c r="M125" s="134">
        <f t="shared" si="32"/>
        <v>1.46</v>
      </c>
      <c r="N125" s="134">
        <f t="shared" si="32"/>
        <v>1.46</v>
      </c>
      <c r="O125" s="134">
        <f t="shared" si="32"/>
        <v>1.46</v>
      </c>
      <c r="P125" s="134">
        <f t="shared" si="32"/>
        <v>1.46</v>
      </c>
      <c r="Q125" s="134">
        <f t="shared" si="32"/>
        <v>1.46</v>
      </c>
      <c r="R125" s="134">
        <f t="shared" si="32"/>
        <v>1.46</v>
      </c>
      <c r="S125" s="134">
        <f t="shared" ref="S125:AF126" si="33">R125</f>
        <v>1.46</v>
      </c>
      <c r="T125" s="134">
        <f t="shared" si="33"/>
        <v>1.46</v>
      </c>
      <c r="U125" s="134">
        <f t="shared" si="33"/>
        <v>1.46</v>
      </c>
      <c r="V125" s="134">
        <f t="shared" si="33"/>
        <v>1.46</v>
      </c>
      <c r="W125" s="134">
        <f t="shared" si="33"/>
        <v>1.46</v>
      </c>
      <c r="X125" s="134">
        <f t="shared" si="33"/>
        <v>1.46</v>
      </c>
      <c r="Y125" s="134">
        <f t="shared" si="33"/>
        <v>1.46</v>
      </c>
      <c r="Z125" s="134">
        <f t="shared" si="33"/>
        <v>1.46</v>
      </c>
      <c r="AA125" s="134">
        <f t="shared" si="33"/>
        <v>1.46</v>
      </c>
      <c r="AB125" s="134">
        <f t="shared" si="33"/>
        <v>1.46</v>
      </c>
      <c r="AC125" s="134">
        <f t="shared" si="33"/>
        <v>1.46</v>
      </c>
      <c r="AD125" s="134">
        <f t="shared" si="33"/>
        <v>1.46</v>
      </c>
      <c r="AE125" s="134">
        <f t="shared" si="33"/>
        <v>1.46</v>
      </c>
      <c r="AF125" s="134">
        <f t="shared" si="33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2"/>
        <v>1.48</v>
      </c>
      <c r="D126" s="134">
        <f t="shared" si="32"/>
        <v>1.48</v>
      </c>
      <c r="E126" s="134">
        <f t="shared" si="32"/>
        <v>1.48</v>
      </c>
      <c r="F126" s="134">
        <f t="shared" si="32"/>
        <v>1.48</v>
      </c>
      <c r="G126" s="134">
        <f t="shared" si="32"/>
        <v>1.48</v>
      </c>
      <c r="H126" s="134">
        <f t="shared" si="32"/>
        <v>1.48</v>
      </c>
      <c r="I126" s="134">
        <f t="shared" si="32"/>
        <v>1.48</v>
      </c>
      <c r="J126" s="134">
        <f t="shared" si="32"/>
        <v>1.48</v>
      </c>
      <c r="K126" s="134">
        <f t="shared" si="32"/>
        <v>1.48</v>
      </c>
      <c r="L126" s="134">
        <f t="shared" si="32"/>
        <v>1.48</v>
      </c>
      <c r="M126" s="134">
        <f t="shared" si="32"/>
        <v>1.48</v>
      </c>
      <c r="N126" s="134">
        <f t="shared" si="32"/>
        <v>1.48</v>
      </c>
      <c r="O126" s="134">
        <f t="shared" si="32"/>
        <v>1.48</v>
      </c>
      <c r="P126" s="134">
        <f t="shared" si="32"/>
        <v>1.48</v>
      </c>
      <c r="Q126" s="134">
        <f t="shared" si="32"/>
        <v>1.48</v>
      </c>
      <c r="R126" s="134">
        <f t="shared" si="32"/>
        <v>1.48</v>
      </c>
      <c r="S126" s="134">
        <f t="shared" si="33"/>
        <v>1.48</v>
      </c>
      <c r="T126" s="134">
        <f t="shared" si="33"/>
        <v>1.48</v>
      </c>
      <c r="U126" s="134">
        <f t="shared" si="33"/>
        <v>1.48</v>
      </c>
      <c r="V126" s="134">
        <f t="shared" si="33"/>
        <v>1.48</v>
      </c>
      <c r="W126" s="134">
        <f t="shared" si="33"/>
        <v>1.48</v>
      </c>
      <c r="X126" s="134">
        <f t="shared" si="33"/>
        <v>1.48</v>
      </c>
      <c r="Y126" s="134">
        <f t="shared" si="33"/>
        <v>1.48</v>
      </c>
      <c r="Z126" s="134">
        <f t="shared" si="33"/>
        <v>1.48</v>
      </c>
      <c r="AA126" s="134">
        <f t="shared" si="33"/>
        <v>1.48</v>
      </c>
      <c r="AB126" s="134">
        <f t="shared" si="33"/>
        <v>1.48</v>
      </c>
      <c r="AC126" s="134">
        <f t="shared" si="33"/>
        <v>1.48</v>
      </c>
      <c r="AD126" s="134">
        <f t="shared" si="33"/>
        <v>1.48</v>
      </c>
      <c r="AE126" s="134">
        <f t="shared" si="33"/>
        <v>1.48</v>
      </c>
      <c r="AF126" s="134">
        <f t="shared" si="33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4">B128</f>
        <v>2.2000000000000002</v>
      </c>
      <c r="D128" s="134">
        <f t="shared" si="34"/>
        <v>2.2000000000000002</v>
      </c>
      <c r="E128" s="134">
        <f t="shared" si="34"/>
        <v>2.2000000000000002</v>
      </c>
      <c r="F128" s="134">
        <f t="shared" si="34"/>
        <v>2.2000000000000002</v>
      </c>
      <c r="G128" s="134">
        <f t="shared" si="34"/>
        <v>2.2000000000000002</v>
      </c>
      <c r="H128" s="134">
        <f t="shared" si="34"/>
        <v>2.2000000000000002</v>
      </c>
      <c r="I128" s="134">
        <f t="shared" si="34"/>
        <v>2.2000000000000002</v>
      </c>
      <c r="J128" s="134">
        <f t="shared" si="34"/>
        <v>2.2000000000000002</v>
      </c>
      <c r="K128" s="134">
        <f t="shared" si="34"/>
        <v>2.2000000000000002</v>
      </c>
      <c r="L128" s="134">
        <f t="shared" si="34"/>
        <v>2.2000000000000002</v>
      </c>
      <c r="M128" s="134">
        <f t="shared" si="34"/>
        <v>2.2000000000000002</v>
      </c>
      <c r="N128" s="134">
        <f t="shared" si="34"/>
        <v>2.2000000000000002</v>
      </c>
      <c r="O128" s="134">
        <f t="shared" si="34"/>
        <v>2.2000000000000002</v>
      </c>
      <c r="P128" s="134">
        <f t="shared" si="34"/>
        <v>2.2000000000000002</v>
      </c>
      <c r="Q128" s="134">
        <f t="shared" si="34"/>
        <v>2.2000000000000002</v>
      </c>
      <c r="R128" s="134">
        <f t="shared" si="34"/>
        <v>2.2000000000000002</v>
      </c>
      <c r="S128" s="134">
        <f t="shared" ref="S128:AF135" si="35">R128</f>
        <v>2.2000000000000002</v>
      </c>
      <c r="T128" s="134">
        <f t="shared" si="35"/>
        <v>2.2000000000000002</v>
      </c>
      <c r="U128" s="134">
        <f t="shared" si="35"/>
        <v>2.2000000000000002</v>
      </c>
      <c r="V128" s="134">
        <f t="shared" si="35"/>
        <v>2.2000000000000002</v>
      </c>
      <c r="W128" s="134">
        <f t="shared" si="35"/>
        <v>2.2000000000000002</v>
      </c>
      <c r="X128" s="134">
        <f t="shared" si="35"/>
        <v>2.2000000000000002</v>
      </c>
      <c r="Y128" s="134">
        <f t="shared" si="35"/>
        <v>2.2000000000000002</v>
      </c>
      <c r="Z128" s="134">
        <f t="shared" si="35"/>
        <v>2.2000000000000002</v>
      </c>
      <c r="AA128" s="134">
        <f t="shared" si="35"/>
        <v>2.2000000000000002</v>
      </c>
      <c r="AB128" s="134">
        <f t="shared" si="35"/>
        <v>2.2000000000000002</v>
      </c>
      <c r="AC128" s="134">
        <f t="shared" si="35"/>
        <v>2.2000000000000002</v>
      </c>
      <c r="AD128" s="134">
        <f t="shared" si="35"/>
        <v>2.2000000000000002</v>
      </c>
      <c r="AE128" s="134">
        <f t="shared" si="35"/>
        <v>2.2000000000000002</v>
      </c>
      <c r="AF128" s="134">
        <f t="shared" si="35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4"/>
        <v>2</v>
      </c>
      <c r="D129" s="134">
        <f t="shared" si="34"/>
        <v>2</v>
      </c>
      <c r="E129" s="134">
        <f t="shared" si="34"/>
        <v>2</v>
      </c>
      <c r="F129" s="134">
        <f t="shared" si="34"/>
        <v>2</v>
      </c>
      <c r="G129" s="134">
        <f t="shared" si="34"/>
        <v>2</v>
      </c>
      <c r="H129" s="134">
        <f t="shared" si="34"/>
        <v>2</v>
      </c>
      <c r="I129" s="134">
        <f t="shared" si="34"/>
        <v>2</v>
      </c>
      <c r="J129" s="134">
        <f t="shared" si="34"/>
        <v>2</v>
      </c>
      <c r="K129" s="134">
        <f t="shared" si="34"/>
        <v>2</v>
      </c>
      <c r="L129" s="134">
        <f t="shared" si="34"/>
        <v>2</v>
      </c>
      <c r="M129" s="134">
        <f t="shared" si="34"/>
        <v>2</v>
      </c>
      <c r="N129" s="134">
        <f t="shared" si="34"/>
        <v>2</v>
      </c>
      <c r="O129" s="134">
        <f t="shared" si="34"/>
        <v>2</v>
      </c>
      <c r="P129" s="134">
        <f t="shared" si="34"/>
        <v>2</v>
      </c>
      <c r="Q129" s="134">
        <f t="shared" si="34"/>
        <v>2</v>
      </c>
      <c r="R129" s="134">
        <f t="shared" si="34"/>
        <v>2</v>
      </c>
      <c r="S129" s="134">
        <f t="shared" si="35"/>
        <v>2</v>
      </c>
      <c r="T129" s="134">
        <f t="shared" si="35"/>
        <v>2</v>
      </c>
      <c r="U129" s="134">
        <f t="shared" si="35"/>
        <v>2</v>
      </c>
      <c r="V129" s="134">
        <f t="shared" si="35"/>
        <v>2</v>
      </c>
      <c r="W129" s="134">
        <f t="shared" si="35"/>
        <v>2</v>
      </c>
      <c r="X129" s="134">
        <f t="shared" si="35"/>
        <v>2</v>
      </c>
      <c r="Y129" s="134">
        <f t="shared" si="35"/>
        <v>2</v>
      </c>
      <c r="Z129" s="134">
        <f t="shared" si="35"/>
        <v>2</v>
      </c>
      <c r="AA129" s="134">
        <f t="shared" si="35"/>
        <v>2</v>
      </c>
      <c r="AB129" s="134">
        <f t="shared" si="35"/>
        <v>2</v>
      </c>
      <c r="AC129" s="134">
        <f t="shared" si="35"/>
        <v>2</v>
      </c>
      <c r="AD129" s="134">
        <f t="shared" si="35"/>
        <v>2</v>
      </c>
      <c r="AE129" s="134">
        <f t="shared" si="35"/>
        <v>2</v>
      </c>
      <c r="AF129" s="134">
        <f t="shared" si="35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4"/>
        <v>1.25</v>
      </c>
      <c r="D130" s="134">
        <f t="shared" si="34"/>
        <v>1.25</v>
      </c>
      <c r="E130" s="134">
        <f t="shared" si="34"/>
        <v>1.25</v>
      </c>
      <c r="F130" s="134">
        <f t="shared" si="34"/>
        <v>1.25</v>
      </c>
      <c r="G130" s="134">
        <f t="shared" si="34"/>
        <v>1.25</v>
      </c>
      <c r="H130" s="134">
        <f t="shared" si="34"/>
        <v>1.25</v>
      </c>
      <c r="I130" s="134">
        <f t="shared" si="34"/>
        <v>1.25</v>
      </c>
      <c r="J130" s="134">
        <f t="shared" si="34"/>
        <v>1.25</v>
      </c>
      <c r="K130" s="134">
        <f t="shared" si="34"/>
        <v>1.25</v>
      </c>
      <c r="L130" s="134">
        <f t="shared" si="34"/>
        <v>1.25</v>
      </c>
      <c r="M130" s="134">
        <f t="shared" si="34"/>
        <v>1.25</v>
      </c>
      <c r="N130" s="134">
        <f t="shared" si="34"/>
        <v>1.25</v>
      </c>
      <c r="O130" s="134">
        <f t="shared" si="34"/>
        <v>1.25</v>
      </c>
      <c r="P130" s="134">
        <f t="shared" si="34"/>
        <v>1.25</v>
      </c>
      <c r="Q130" s="134">
        <f t="shared" si="34"/>
        <v>1.25</v>
      </c>
      <c r="R130" s="134">
        <f t="shared" si="34"/>
        <v>1.25</v>
      </c>
      <c r="S130" s="134">
        <f t="shared" si="35"/>
        <v>1.25</v>
      </c>
      <c r="T130" s="134">
        <f t="shared" si="35"/>
        <v>1.25</v>
      </c>
      <c r="U130" s="134">
        <f t="shared" si="35"/>
        <v>1.25</v>
      </c>
      <c r="V130" s="134">
        <f t="shared" si="35"/>
        <v>1.25</v>
      </c>
      <c r="W130" s="134">
        <f t="shared" si="35"/>
        <v>1.25</v>
      </c>
      <c r="X130" s="134">
        <f t="shared" si="35"/>
        <v>1.25</v>
      </c>
      <c r="Y130" s="134">
        <f t="shared" si="35"/>
        <v>1.25</v>
      </c>
      <c r="Z130" s="134">
        <f t="shared" si="35"/>
        <v>1.25</v>
      </c>
      <c r="AA130" s="134">
        <f t="shared" si="35"/>
        <v>1.25</v>
      </c>
      <c r="AB130" s="134">
        <f t="shared" si="35"/>
        <v>1.25</v>
      </c>
      <c r="AC130" s="134">
        <f t="shared" si="35"/>
        <v>1.25</v>
      </c>
      <c r="AD130" s="134">
        <f t="shared" si="35"/>
        <v>1.25</v>
      </c>
      <c r="AE130" s="134">
        <f t="shared" si="35"/>
        <v>1.25</v>
      </c>
      <c r="AF130" s="134">
        <f t="shared" si="35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4"/>
        <v>1.1499999999999999</v>
      </c>
      <c r="D131" s="134">
        <f t="shared" si="34"/>
        <v>1.1499999999999999</v>
      </c>
      <c r="E131" s="134">
        <f t="shared" si="34"/>
        <v>1.1499999999999999</v>
      </c>
      <c r="F131" s="134">
        <f t="shared" si="34"/>
        <v>1.1499999999999999</v>
      </c>
      <c r="G131" s="134">
        <f t="shared" si="34"/>
        <v>1.1499999999999999</v>
      </c>
      <c r="H131" s="134">
        <f t="shared" si="34"/>
        <v>1.1499999999999999</v>
      </c>
      <c r="I131" s="134">
        <f t="shared" si="34"/>
        <v>1.1499999999999999</v>
      </c>
      <c r="J131" s="134">
        <f t="shared" si="34"/>
        <v>1.1499999999999999</v>
      </c>
      <c r="K131" s="134">
        <f t="shared" si="34"/>
        <v>1.1499999999999999</v>
      </c>
      <c r="L131" s="134">
        <f t="shared" si="34"/>
        <v>1.1499999999999999</v>
      </c>
      <c r="M131" s="134">
        <f t="shared" si="34"/>
        <v>1.1499999999999999</v>
      </c>
      <c r="N131" s="134">
        <f t="shared" si="34"/>
        <v>1.1499999999999999</v>
      </c>
      <c r="O131" s="134">
        <f t="shared" si="34"/>
        <v>1.1499999999999999</v>
      </c>
      <c r="P131" s="134">
        <f t="shared" si="34"/>
        <v>1.1499999999999999</v>
      </c>
      <c r="Q131" s="134">
        <f t="shared" si="34"/>
        <v>1.1499999999999999</v>
      </c>
      <c r="R131" s="134">
        <f t="shared" si="34"/>
        <v>1.1499999999999999</v>
      </c>
      <c r="S131" s="134">
        <f t="shared" si="35"/>
        <v>1.1499999999999999</v>
      </c>
      <c r="T131" s="134">
        <f t="shared" si="35"/>
        <v>1.1499999999999999</v>
      </c>
      <c r="U131" s="134">
        <f t="shared" si="35"/>
        <v>1.1499999999999999</v>
      </c>
      <c r="V131" s="134">
        <f t="shared" si="35"/>
        <v>1.1499999999999999</v>
      </c>
      <c r="W131" s="134">
        <f t="shared" si="35"/>
        <v>1.1499999999999999</v>
      </c>
      <c r="X131" s="134">
        <f t="shared" si="35"/>
        <v>1.1499999999999999</v>
      </c>
      <c r="Y131" s="134">
        <f t="shared" si="35"/>
        <v>1.1499999999999999</v>
      </c>
      <c r="Z131" s="134">
        <f t="shared" si="35"/>
        <v>1.1499999999999999</v>
      </c>
      <c r="AA131" s="134">
        <f t="shared" si="35"/>
        <v>1.1499999999999999</v>
      </c>
      <c r="AB131" s="134">
        <f t="shared" si="35"/>
        <v>1.1499999999999999</v>
      </c>
      <c r="AC131" s="134">
        <f t="shared" si="35"/>
        <v>1.1499999999999999</v>
      </c>
      <c r="AD131" s="134">
        <f t="shared" si="35"/>
        <v>1.1499999999999999</v>
      </c>
      <c r="AE131" s="134">
        <f t="shared" si="35"/>
        <v>1.1499999999999999</v>
      </c>
      <c r="AF131" s="134">
        <f t="shared" si="35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4"/>
        <v>2.133</v>
      </c>
      <c r="D132" s="134">
        <f t="shared" si="34"/>
        <v>2.133</v>
      </c>
      <c r="E132" s="134">
        <f t="shared" si="34"/>
        <v>2.133</v>
      </c>
      <c r="F132" s="134">
        <f t="shared" si="34"/>
        <v>2.133</v>
      </c>
      <c r="G132" s="134">
        <f t="shared" si="34"/>
        <v>2.133</v>
      </c>
      <c r="H132" s="134">
        <f t="shared" si="34"/>
        <v>2.133</v>
      </c>
      <c r="I132" s="134">
        <f t="shared" si="34"/>
        <v>2.133</v>
      </c>
      <c r="J132" s="134">
        <f t="shared" si="34"/>
        <v>2.133</v>
      </c>
      <c r="K132" s="134">
        <f t="shared" si="34"/>
        <v>2.133</v>
      </c>
      <c r="L132" s="134">
        <f t="shared" si="34"/>
        <v>2.133</v>
      </c>
      <c r="M132" s="134">
        <f t="shared" si="34"/>
        <v>2.133</v>
      </c>
      <c r="N132" s="134">
        <f t="shared" si="34"/>
        <v>2.133</v>
      </c>
      <c r="O132" s="134">
        <f t="shared" si="34"/>
        <v>2.133</v>
      </c>
      <c r="P132" s="134">
        <f t="shared" si="34"/>
        <v>2.133</v>
      </c>
      <c r="Q132" s="134">
        <f t="shared" si="34"/>
        <v>2.133</v>
      </c>
      <c r="R132" s="134">
        <f t="shared" si="34"/>
        <v>2.133</v>
      </c>
      <c r="S132" s="134">
        <f t="shared" si="35"/>
        <v>2.133</v>
      </c>
      <c r="T132" s="134">
        <f t="shared" si="35"/>
        <v>2.133</v>
      </c>
      <c r="U132" s="134">
        <f t="shared" si="35"/>
        <v>2.133</v>
      </c>
      <c r="V132" s="134">
        <f t="shared" si="35"/>
        <v>2.133</v>
      </c>
      <c r="W132" s="134">
        <f t="shared" si="35"/>
        <v>2.133</v>
      </c>
      <c r="X132" s="134">
        <f t="shared" si="35"/>
        <v>2.133</v>
      </c>
      <c r="Y132" s="134">
        <f t="shared" si="35"/>
        <v>2.133</v>
      </c>
      <c r="Z132" s="134">
        <f t="shared" si="35"/>
        <v>2.133</v>
      </c>
      <c r="AA132" s="134">
        <f t="shared" si="35"/>
        <v>2.133</v>
      </c>
      <c r="AB132" s="134">
        <f t="shared" si="35"/>
        <v>2.133</v>
      </c>
      <c r="AC132" s="134">
        <f t="shared" si="35"/>
        <v>2.133</v>
      </c>
      <c r="AD132" s="134">
        <f t="shared" si="35"/>
        <v>2.133</v>
      </c>
      <c r="AE132" s="134">
        <f t="shared" si="35"/>
        <v>2.133</v>
      </c>
      <c r="AF132" s="134">
        <f t="shared" si="35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4"/>
        <v>2.09</v>
      </c>
      <c r="D133" s="134">
        <f t="shared" si="34"/>
        <v>2.09</v>
      </c>
      <c r="E133" s="134">
        <f t="shared" si="34"/>
        <v>2.09</v>
      </c>
      <c r="F133" s="134">
        <f t="shared" si="34"/>
        <v>2.09</v>
      </c>
      <c r="G133" s="134">
        <f t="shared" si="34"/>
        <v>2.09</v>
      </c>
      <c r="H133" s="134">
        <f t="shared" si="34"/>
        <v>2.09</v>
      </c>
      <c r="I133" s="134">
        <f t="shared" si="34"/>
        <v>2.09</v>
      </c>
      <c r="J133" s="134">
        <f t="shared" si="34"/>
        <v>2.09</v>
      </c>
      <c r="K133" s="134">
        <f t="shared" si="34"/>
        <v>2.09</v>
      </c>
      <c r="L133" s="134">
        <f t="shared" si="34"/>
        <v>2.09</v>
      </c>
      <c r="M133" s="134">
        <f t="shared" si="34"/>
        <v>2.09</v>
      </c>
      <c r="N133" s="134">
        <f t="shared" si="34"/>
        <v>2.09</v>
      </c>
      <c r="O133" s="134">
        <f t="shared" si="34"/>
        <v>2.09</v>
      </c>
      <c r="P133" s="134">
        <f t="shared" si="34"/>
        <v>2.09</v>
      </c>
      <c r="Q133" s="134">
        <f t="shared" si="34"/>
        <v>2.09</v>
      </c>
      <c r="R133" s="134">
        <f t="shared" si="34"/>
        <v>2.09</v>
      </c>
      <c r="S133" s="134">
        <f t="shared" si="35"/>
        <v>2.09</v>
      </c>
      <c r="T133" s="134">
        <f t="shared" si="35"/>
        <v>2.09</v>
      </c>
      <c r="U133" s="134">
        <f t="shared" si="35"/>
        <v>2.09</v>
      </c>
      <c r="V133" s="134">
        <f t="shared" si="35"/>
        <v>2.09</v>
      </c>
      <c r="W133" s="134">
        <f t="shared" si="35"/>
        <v>2.09</v>
      </c>
      <c r="X133" s="134">
        <f t="shared" si="35"/>
        <v>2.09</v>
      </c>
      <c r="Y133" s="134">
        <f t="shared" si="35"/>
        <v>2.09</v>
      </c>
      <c r="Z133" s="134">
        <f t="shared" si="35"/>
        <v>2.09</v>
      </c>
      <c r="AA133" s="134">
        <f t="shared" si="35"/>
        <v>2.09</v>
      </c>
      <c r="AB133" s="134">
        <f t="shared" si="35"/>
        <v>2.09</v>
      </c>
      <c r="AC133" s="134">
        <f t="shared" si="35"/>
        <v>2.09</v>
      </c>
      <c r="AD133" s="134">
        <f t="shared" si="35"/>
        <v>2.09</v>
      </c>
      <c r="AE133" s="134">
        <f t="shared" si="35"/>
        <v>2.09</v>
      </c>
      <c r="AF133" s="134">
        <f t="shared" si="35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4"/>
        <v>1.1399999999999999</v>
      </c>
      <c r="D134" s="134">
        <f t="shared" si="34"/>
        <v>1.1399999999999999</v>
      </c>
      <c r="E134" s="134">
        <f t="shared" si="34"/>
        <v>1.1399999999999999</v>
      </c>
      <c r="F134" s="134">
        <f t="shared" si="34"/>
        <v>1.1399999999999999</v>
      </c>
      <c r="G134" s="134">
        <f t="shared" si="34"/>
        <v>1.1399999999999999</v>
      </c>
      <c r="H134" s="134">
        <f t="shared" si="34"/>
        <v>1.1399999999999999</v>
      </c>
      <c r="I134" s="134">
        <f t="shared" si="34"/>
        <v>1.1399999999999999</v>
      </c>
      <c r="J134" s="134">
        <f t="shared" si="34"/>
        <v>1.1399999999999999</v>
      </c>
      <c r="K134" s="134">
        <f t="shared" si="34"/>
        <v>1.1399999999999999</v>
      </c>
      <c r="L134" s="134">
        <f t="shared" si="34"/>
        <v>1.1399999999999999</v>
      </c>
      <c r="M134" s="134">
        <f t="shared" si="34"/>
        <v>1.1399999999999999</v>
      </c>
      <c r="N134" s="134">
        <f t="shared" si="34"/>
        <v>1.1399999999999999</v>
      </c>
      <c r="O134" s="134">
        <f t="shared" si="34"/>
        <v>1.1399999999999999</v>
      </c>
      <c r="P134" s="134">
        <f t="shared" si="34"/>
        <v>1.1399999999999999</v>
      </c>
      <c r="Q134" s="134">
        <f t="shared" si="34"/>
        <v>1.1399999999999999</v>
      </c>
      <c r="R134" s="134">
        <f t="shared" si="34"/>
        <v>1.1399999999999999</v>
      </c>
      <c r="S134" s="134">
        <f t="shared" si="35"/>
        <v>1.1399999999999999</v>
      </c>
      <c r="T134" s="134">
        <f t="shared" si="35"/>
        <v>1.1399999999999999</v>
      </c>
      <c r="U134" s="134">
        <f t="shared" si="35"/>
        <v>1.1399999999999999</v>
      </c>
      <c r="V134" s="134">
        <f t="shared" si="35"/>
        <v>1.1399999999999999</v>
      </c>
      <c r="W134" s="134">
        <f t="shared" si="35"/>
        <v>1.1399999999999999</v>
      </c>
      <c r="X134" s="134">
        <f t="shared" si="35"/>
        <v>1.1399999999999999</v>
      </c>
      <c r="Y134" s="134">
        <f t="shared" si="35"/>
        <v>1.1399999999999999</v>
      </c>
      <c r="Z134" s="134">
        <f t="shared" si="35"/>
        <v>1.1399999999999999</v>
      </c>
      <c r="AA134" s="134">
        <f t="shared" si="35"/>
        <v>1.1399999999999999</v>
      </c>
      <c r="AB134" s="134">
        <f t="shared" si="35"/>
        <v>1.1399999999999999</v>
      </c>
      <c r="AC134" s="134">
        <f t="shared" si="35"/>
        <v>1.1399999999999999</v>
      </c>
      <c r="AD134" s="134">
        <f t="shared" si="35"/>
        <v>1.1399999999999999</v>
      </c>
      <c r="AE134" s="134">
        <f t="shared" si="35"/>
        <v>1.1399999999999999</v>
      </c>
      <c r="AF134" s="134">
        <f t="shared" si="35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4"/>
        <v>0.82</v>
      </c>
      <c r="D135" s="134">
        <f t="shared" si="34"/>
        <v>0.82</v>
      </c>
      <c r="E135" s="134">
        <f t="shared" si="34"/>
        <v>0.82</v>
      </c>
      <c r="F135" s="134">
        <f t="shared" si="34"/>
        <v>0.82</v>
      </c>
      <c r="G135" s="134">
        <f t="shared" si="34"/>
        <v>0.82</v>
      </c>
      <c r="H135" s="134">
        <f t="shared" si="34"/>
        <v>0.82</v>
      </c>
      <c r="I135" s="134">
        <f t="shared" si="34"/>
        <v>0.82</v>
      </c>
      <c r="J135" s="134">
        <f t="shared" si="34"/>
        <v>0.82</v>
      </c>
      <c r="K135" s="134">
        <f t="shared" si="34"/>
        <v>0.82</v>
      </c>
      <c r="L135" s="134">
        <f t="shared" si="34"/>
        <v>0.82</v>
      </c>
      <c r="M135" s="134">
        <f t="shared" si="34"/>
        <v>0.82</v>
      </c>
      <c r="N135" s="134">
        <f t="shared" si="34"/>
        <v>0.82</v>
      </c>
      <c r="O135" s="134">
        <f t="shared" si="34"/>
        <v>0.82</v>
      </c>
      <c r="P135" s="134">
        <f t="shared" si="34"/>
        <v>0.82</v>
      </c>
      <c r="Q135" s="134">
        <f t="shared" si="34"/>
        <v>0.82</v>
      </c>
      <c r="R135" s="134">
        <f t="shared" si="34"/>
        <v>0.82</v>
      </c>
      <c r="S135" s="134">
        <f t="shared" si="35"/>
        <v>0.82</v>
      </c>
      <c r="T135" s="134">
        <f t="shared" si="35"/>
        <v>0.82</v>
      </c>
      <c r="U135" s="134">
        <f t="shared" si="35"/>
        <v>0.82</v>
      </c>
      <c r="V135" s="134">
        <f t="shared" si="35"/>
        <v>0.82</v>
      </c>
      <c r="W135" s="134">
        <f t="shared" si="35"/>
        <v>0.82</v>
      </c>
      <c r="X135" s="134">
        <f t="shared" si="35"/>
        <v>0.82</v>
      </c>
      <c r="Y135" s="134">
        <f t="shared" si="35"/>
        <v>0.82</v>
      </c>
      <c r="Z135" s="134">
        <f t="shared" si="35"/>
        <v>0.82</v>
      </c>
      <c r="AA135" s="134">
        <f t="shared" si="35"/>
        <v>0.82</v>
      </c>
      <c r="AB135" s="134">
        <f t="shared" si="35"/>
        <v>0.82</v>
      </c>
      <c r="AC135" s="134">
        <f t="shared" si="35"/>
        <v>0.82</v>
      </c>
      <c r="AD135" s="134">
        <f t="shared" si="35"/>
        <v>0.82</v>
      </c>
      <c r="AE135" s="134">
        <f t="shared" si="35"/>
        <v>0.82</v>
      </c>
      <c r="AF135" s="134">
        <f t="shared" si="35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6">B137</f>
        <v>2</v>
      </c>
      <c r="D137" s="134">
        <f t="shared" si="36"/>
        <v>2</v>
      </c>
      <c r="E137" s="134">
        <f t="shared" si="36"/>
        <v>2</v>
      </c>
      <c r="F137" s="134">
        <f t="shared" si="36"/>
        <v>2</v>
      </c>
      <c r="G137" s="134">
        <f t="shared" si="36"/>
        <v>2</v>
      </c>
      <c r="H137" s="134">
        <f t="shared" si="36"/>
        <v>2</v>
      </c>
      <c r="I137" s="134">
        <f t="shared" si="36"/>
        <v>2</v>
      </c>
      <c r="J137" s="134">
        <f t="shared" si="36"/>
        <v>2</v>
      </c>
      <c r="K137" s="134">
        <f t="shared" si="36"/>
        <v>2</v>
      </c>
      <c r="L137" s="134">
        <f t="shared" si="36"/>
        <v>2</v>
      </c>
      <c r="M137" s="134">
        <f t="shared" si="36"/>
        <v>2</v>
      </c>
      <c r="N137" s="134">
        <f t="shared" si="36"/>
        <v>2</v>
      </c>
      <c r="O137" s="134">
        <f t="shared" si="36"/>
        <v>2</v>
      </c>
      <c r="P137" s="134">
        <f t="shared" si="36"/>
        <v>2</v>
      </c>
      <c r="Q137" s="134">
        <f t="shared" si="36"/>
        <v>2</v>
      </c>
      <c r="R137" s="134">
        <f t="shared" si="36"/>
        <v>2</v>
      </c>
      <c r="S137" s="134">
        <f t="shared" ref="S137:AF143" si="37">R137</f>
        <v>2</v>
      </c>
      <c r="T137" s="134">
        <f t="shared" si="37"/>
        <v>2</v>
      </c>
      <c r="U137" s="134">
        <f t="shared" si="37"/>
        <v>2</v>
      </c>
      <c r="V137" s="134">
        <f t="shared" si="37"/>
        <v>2</v>
      </c>
      <c r="W137" s="134">
        <f t="shared" si="37"/>
        <v>2</v>
      </c>
      <c r="X137" s="134">
        <f t="shared" si="37"/>
        <v>2</v>
      </c>
      <c r="Y137" s="134">
        <f t="shared" si="37"/>
        <v>2</v>
      </c>
      <c r="Z137" s="134">
        <f t="shared" si="37"/>
        <v>2</v>
      </c>
      <c r="AA137" s="134">
        <f t="shared" si="37"/>
        <v>2</v>
      </c>
      <c r="AB137" s="134">
        <f t="shared" si="37"/>
        <v>2</v>
      </c>
      <c r="AC137" s="134">
        <f t="shared" si="37"/>
        <v>2</v>
      </c>
      <c r="AD137" s="134">
        <f t="shared" si="37"/>
        <v>2</v>
      </c>
      <c r="AE137" s="134">
        <f t="shared" si="37"/>
        <v>2</v>
      </c>
      <c r="AF137" s="134">
        <f t="shared" si="37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6"/>
        <v>5.61</v>
      </c>
      <c r="D138" s="134">
        <f t="shared" si="36"/>
        <v>5.61</v>
      </c>
      <c r="E138" s="134">
        <f t="shared" si="36"/>
        <v>5.61</v>
      </c>
      <c r="F138" s="134">
        <f t="shared" si="36"/>
        <v>5.61</v>
      </c>
      <c r="G138" s="134">
        <f t="shared" si="36"/>
        <v>5.61</v>
      </c>
      <c r="H138" s="134">
        <f t="shared" si="36"/>
        <v>5.61</v>
      </c>
      <c r="I138" s="134">
        <f t="shared" si="36"/>
        <v>5.61</v>
      </c>
      <c r="J138" s="134">
        <f t="shared" si="36"/>
        <v>5.61</v>
      </c>
      <c r="K138" s="134">
        <f t="shared" si="36"/>
        <v>5.61</v>
      </c>
      <c r="L138" s="134">
        <f t="shared" si="36"/>
        <v>5.61</v>
      </c>
      <c r="M138" s="134">
        <f t="shared" si="36"/>
        <v>5.61</v>
      </c>
      <c r="N138" s="134">
        <f t="shared" si="36"/>
        <v>5.61</v>
      </c>
      <c r="O138" s="134">
        <f t="shared" si="36"/>
        <v>5.61</v>
      </c>
      <c r="P138" s="134">
        <f t="shared" si="36"/>
        <v>5.61</v>
      </c>
      <c r="Q138" s="134">
        <f t="shared" si="36"/>
        <v>5.61</v>
      </c>
      <c r="R138" s="134">
        <f t="shared" si="36"/>
        <v>5.61</v>
      </c>
      <c r="S138" s="134">
        <f t="shared" si="37"/>
        <v>5.61</v>
      </c>
      <c r="T138" s="134">
        <f t="shared" si="37"/>
        <v>5.61</v>
      </c>
      <c r="U138" s="134">
        <f t="shared" si="37"/>
        <v>5.61</v>
      </c>
      <c r="V138" s="134">
        <f t="shared" si="37"/>
        <v>5.61</v>
      </c>
      <c r="W138" s="134">
        <f t="shared" si="37"/>
        <v>5.61</v>
      </c>
      <c r="X138" s="134">
        <f t="shared" si="37"/>
        <v>5.61</v>
      </c>
      <c r="Y138" s="134">
        <f t="shared" si="37"/>
        <v>5.61</v>
      </c>
      <c r="Z138" s="134">
        <f t="shared" si="37"/>
        <v>5.61</v>
      </c>
      <c r="AA138" s="134">
        <f t="shared" si="37"/>
        <v>5.61</v>
      </c>
      <c r="AB138" s="134">
        <f t="shared" si="37"/>
        <v>5.61</v>
      </c>
      <c r="AC138" s="134">
        <f t="shared" si="37"/>
        <v>5.61</v>
      </c>
      <c r="AD138" s="134">
        <f t="shared" si="37"/>
        <v>5.61</v>
      </c>
      <c r="AE138" s="134">
        <f t="shared" si="37"/>
        <v>5.61</v>
      </c>
      <c r="AF138" s="134">
        <f t="shared" si="37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6"/>
        <v>1.25</v>
      </c>
      <c r="D139" s="134">
        <f t="shared" si="36"/>
        <v>1.25</v>
      </c>
      <c r="E139" s="134">
        <f t="shared" si="36"/>
        <v>1.25</v>
      </c>
      <c r="F139" s="134">
        <f t="shared" si="36"/>
        <v>1.25</v>
      </c>
      <c r="G139" s="134">
        <f t="shared" si="36"/>
        <v>1.25</v>
      </c>
      <c r="H139" s="134">
        <f t="shared" si="36"/>
        <v>1.25</v>
      </c>
      <c r="I139" s="134">
        <f t="shared" si="36"/>
        <v>1.25</v>
      </c>
      <c r="J139" s="134">
        <f t="shared" si="36"/>
        <v>1.25</v>
      </c>
      <c r="K139" s="134">
        <f t="shared" si="36"/>
        <v>1.25</v>
      </c>
      <c r="L139" s="134">
        <f t="shared" si="36"/>
        <v>1.25</v>
      </c>
      <c r="M139" s="134">
        <f t="shared" si="36"/>
        <v>1.25</v>
      </c>
      <c r="N139" s="134">
        <f t="shared" si="36"/>
        <v>1.25</v>
      </c>
      <c r="O139" s="134">
        <f t="shared" si="36"/>
        <v>1.25</v>
      </c>
      <c r="P139" s="134">
        <f t="shared" si="36"/>
        <v>1.25</v>
      </c>
      <c r="Q139" s="134">
        <f t="shared" si="36"/>
        <v>1.25</v>
      </c>
      <c r="R139" s="134">
        <f t="shared" si="36"/>
        <v>1.25</v>
      </c>
      <c r="S139" s="134">
        <f t="shared" si="37"/>
        <v>1.25</v>
      </c>
      <c r="T139" s="134">
        <f t="shared" si="37"/>
        <v>1.25</v>
      </c>
      <c r="U139" s="134">
        <f t="shared" si="37"/>
        <v>1.25</v>
      </c>
      <c r="V139" s="134">
        <f t="shared" si="37"/>
        <v>1.25</v>
      </c>
      <c r="W139" s="134">
        <f t="shared" si="37"/>
        <v>1.25</v>
      </c>
      <c r="X139" s="134">
        <f t="shared" si="37"/>
        <v>1.25</v>
      </c>
      <c r="Y139" s="134">
        <f t="shared" si="37"/>
        <v>1.25</v>
      </c>
      <c r="Z139" s="134">
        <f t="shared" si="37"/>
        <v>1.25</v>
      </c>
      <c r="AA139" s="134">
        <f t="shared" si="37"/>
        <v>1.25</v>
      </c>
      <c r="AB139" s="134">
        <f t="shared" si="37"/>
        <v>1.25</v>
      </c>
      <c r="AC139" s="134">
        <f t="shared" si="37"/>
        <v>1.25</v>
      </c>
      <c r="AD139" s="134">
        <f t="shared" si="37"/>
        <v>1.25</v>
      </c>
      <c r="AE139" s="134">
        <f t="shared" si="37"/>
        <v>1.25</v>
      </c>
      <c r="AF139" s="134">
        <f t="shared" si="37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6"/>
        <v>1.25</v>
      </c>
      <c r="D140" s="134">
        <f t="shared" si="36"/>
        <v>1.25</v>
      </c>
      <c r="E140" s="134">
        <f t="shared" si="36"/>
        <v>1.25</v>
      </c>
      <c r="F140" s="134">
        <f t="shared" si="36"/>
        <v>1.25</v>
      </c>
      <c r="G140" s="134">
        <f t="shared" si="36"/>
        <v>1.25</v>
      </c>
      <c r="H140" s="134">
        <f t="shared" si="36"/>
        <v>1.25</v>
      </c>
      <c r="I140" s="134">
        <f t="shared" si="36"/>
        <v>1.25</v>
      </c>
      <c r="J140" s="134">
        <f t="shared" si="36"/>
        <v>1.25</v>
      </c>
      <c r="K140" s="134">
        <f t="shared" si="36"/>
        <v>1.25</v>
      </c>
      <c r="L140" s="134">
        <f t="shared" si="36"/>
        <v>1.25</v>
      </c>
      <c r="M140" s="134">
        <f t="shared" si="36"/>
        <v>1.25</v>
      </c>
      <c r="N140" s="134">
        <f t="shared" si="36"/>
        <v>1.25</v>
      </c>
      <c r="O140" s="134">
        <f t="shared" si="36"/>
        <v>1.25</v>
      </c>
      <c r="P140" s="134">
        <f t="shared" si="36"/>
        <v>1.25</v>
      </c>
      <c r="Q140" s="134">
        <f t="shared" si="36"/>
        <v>1.25</v>
      </c>
      <c r="R140" s="134">
        <f t="shared" si="36"/>
        <v>1.25</v>
      </c>
      <c r="S140" s="134">
        <f t="shared" si="37"/>
        <v>1.25</v>
      </c>
      <c r="T140" s="134">
        <f t="shared" si="37"/>
        <v>1.25</v>
      </c>
      <c r="U140" s="134">
        <f t="shared" si="37"/>
        <v>1.25</v>
      </c>
      <c r="V140" s="134">
        <f t="shared" si="37"/>
        <v>1.25</v>
      </c>
      <c r="W140" s="134">
        <f t="shared" si="37"/>
        <v>1.25</v>
      </c>
      <c r="X140" s="134">
        <f t="shared" si="37"/>
        <v>1.25</v>
      </c>
      <c r="Y140" s="134">
        <f t="shared" si="37"/>
        <v>1.25</v>
      </c>
      <c r="Z140" s="134">
        <f t="shared" si="37"/>
        <v>1.25</v>
      </c>
      <c r="AA140" s="134">
        <f t="shared" si="37"/>
        <v>1.25</v>
      </c>
      <c r="AB140" s="134">
        <f t="shared" si="37"/>
        <v>1.25</v>
      </c>
      <c r="AC140" s="134">
        <f t="shared" si="37"/>
        <v>1.25</v>
      </c>
      <c r="AD140" s="134">
        <f t="shared" si="37"/>
        <v>1.25</v>
      </c>
      <c r="AE140" s="134">
        <f t="shared" si="37"/>
        <v>1.25</v>
      </c>
      <c r="AF140" s="134">
        <f t="shared" si="37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6"/>
        <v>1.46</v>
      </c>
      <c r="D141" s="134">
        <f t="shared" si="36"/>
        <v>1.46</v>
      </c>
      <c r="E141" s="134">
        <f t="shared" si="36"/>
        <v>1.46</v>
      </c>
      <c r="F141" s="134">
        <f t="shared" si="36"/>
        <v>1.46</v>
      </c>
      <c r="G141" s="134">
        <f t="shared" si="36"/>
        <v>1.46</v>
      </c>
      <c r="H141" s="134">
        <f t="shared" si="36"/>
        <v>1.46</v>
      </c>
      <c r="I141" s="134">
        <f t="shared" si="36"/>
        <v>1.46</v>
      </c>
      <c r="J141" s="134">
        <f t="shared" si="36"/>
        <v>1.46</v>
      </c>
      <c r="K141" s="134">
        <f t="shared" si="36"/>
        <v>1.46</v>
      </c>
      <c r="L141" s="134">
        <f t="shared" si="36"/>
        <v>1.46</v>
      </c>
      <c r="M141" s="134">
        <f t="shared" si="36"/>
        <v>1.46</v>
      </c>
      <c r="N141" s="134">
        <f t="shared" si="36"/>
        <v>1.46</v>
      </c>
      <c r="O141" s="134">
        <f t="shared" si="36"/>
        <v>1.46</v>
      </c>
      <c r="P141" s="134">
        <f t="shared" si="36"/>
        <v>1.46</v>
      </c>
      <c r="Q141" s="134">
        <f t="shared" si="36"/>
        <v>1.46</v>
      </c>
      <c r="R141" s="134">
        <f t="shared" si="36"/>
        <v>1.46</v>
      </c>
      <c r="S141" s="134">
        <f t="shared" si="37"/>
        <v>1.46</v>
      </c>
      <c r="T141" s="134">
        <f t="shared" si="37"/>
        <v>1.46</v>
      </c>
      <c r="U141" s="134">
        <f t="shared" si="37"/>
        <v>1.46</v>
      </c>
      <c r="V141" s="134">
        <f t="shared" si="37"/>
        <v>1.46</v>
      </c>
      <c r="W141" s="134">
        <f t="shared" si="37"/>
        <v>1.46</v>
      </c>
      <c r="X141" s="134">
        <f t="shared" si="37"/>
        <v>1.46</v>
      </c>
      <c r="Y141" s="134">
        <f t="shared" si="37"/>
        <v>1.46</v>
      </c>
      <c r="Z141" s="134">
        <f t="shared" si="37"/>
        <v>1.46</v>
      </c>
      <c r="AA141" s="134">
        <f t="shared" si="37"/>
        <v>1.46</v>
      </c>
      <c r="AB141" s="134">
        <f t="shared" si="37"/>
        <v>1.46</v>
      </c>
      <c r="AC141" s="134">
        <f t="shared" si="37"/>
        <v>1.46</v>
      </c>
      <c r="AD141" s="134">
        <f t="shared" si="37"/>
        <v>1.46</v>
      </c>
      <c r="AE141" s="134">
        <f t="shared" si="37"/>
        <v>1.46</v>
      </c>
      <c r="AF141" s="134">
        <f t="shared" si="37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6"/>
        <v>3</v>
      </c>
      <c r="D142" s="134">
        <f t="shared" si="36"/>
        <v>3</v>
      </c>
      <c r="E142" s="134">
        <f t="shared" si="36"/>
        <v>3</v>
      </c>
      <c r="F142" s="134">
        <f t="shared" si="36"/>
        <v>3</v>
      </c>
      <c r="G142" s="134">
        <f t="shared" si="36"/>
        <v>3</v>
      </c>
      <c r="H142" s="134">
        <f t="shared" si="36"/>
        <v>3</v>
      </c>
      <c r="I142" s="134">
        <f t="shared" si="36"/>
        <v>3</v>
      </c>
      <c r="J142" s="134">
        <f t="shared" si="36"/>
        <v>3</v>
      </c>
      <c r="K142" s="134">
        <f t="shared" si="36"/>
        <v>3</v>
      </c>
      <c r="L142" s="134">
        <f t="shared" si="36"/>
        <v>3</v>
      </c>
      <c r="M142" s="134">
        <f t="shared" si="36"/>
        <v>3</v>
      </c>
      <c r="N142" s="134">
        <f t="shared" si="36"/>
        <v>3</v>
      </c>
      <c r="O142" s="134">
        <f t="shared" si="36"/>
        <v>3</v>
      </c>
      <c r="P142" s="134">
        <f t="shared" si="36"/>
        <v>3</v>
      </c>
      <c r="Q142" s="134">
        <f t="shared" si="36"/>
        <v>3</v>
      </c>
      <c r="R142" s="134">
        <f t="shared" si="36"/>
        <v>3</v>
      </c>
      <c r="S142" s="134">
        <f t="shared" si="37"/>
        <v>3</v>
      </c>
      <c r="T142" s="134">
        <f t="shared" si="37"/>
        <v>3</v>
      </c>
      <c r="U142" s="134">
        <f t="shared" si="37"/>
        <v>3</v>
      </c>
      <c r="V142" s="134">
        <f t="shared" si="37"/>
        <v>3</v>
      </c>
      <c r="W142" s="134">
        <f t="shared" si="37"/>
        <v>3</v>
      </c>
      <c r="X142" s="134">
        <f t="shared" si="37"/>
        <v>3</v>
      </c>
      <c r="Y142" s="134">
        <f t="shared" si="37"/>
        <v>3</v>
      </c>
      <c r="Z142" s="134">
        <f t="shared" si="37"/>
        <v>3</v>
      </c>
      <c r="AA142" s="134">
        <f t="shared" si="37"/>
        <v>3</v>
      </c>
      <c r="AB142" s="134">
        <f t="shared" si="37"/>
        <v>3</v>
      </c>
      <c r="AC142" s="134">
        <f t="shared" si="37"/>
        <v>3</v>
      </c>
      <c r="AD142" s="134">
        <f t="shared" si="37"/>
        <v>3</v>
      </c>
      <c r="AE142" s="134">
        <f t="shared" si="37"/>
        <v>3</v>
      </c>
      <c r="AF142" s="134">
        <f t="shared" si="37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6"/>
        <v>3.3</v>
      </c>
      <c r="D143" s="134">
        <f t="shared" si="36"/>
        <v>3.3</v>
      </c>
      <c r="E143" s="134">
        <f t="shared" si="36"/>
        <v>3.3</v>
      </c>
      <c r="F143" s="134">
        <f t="shared" si="36"/>
        <v>3.3</v>
      </c>
      <c r="G143" s="134">
        <f t="shared" si="36"/>
        <v>3.3</v>
      </c>
      <c r="H143" s="134">
        <f t="shared" si="36"/>
        <v>3.3</v>
      </c>
      <c r="I143" s="134">
        <f t="shared" si="36"/>
        <v>3.3</v>
      </c>
      <c r="J143" s="134">
        <f t="shared" si="36"/>
        <v>3.3</v>
      </c>
      <c r="K143" s="134">
        <f t="shared" si="36"/>
        <v>3.3</v>
      </c>
      <c r="L143" s="134">
        <f t="shared" si="36"/>
        <v>3.3</v>
      </c>
      <c r="M143" s="134">
        <f t="shared" si="36"/>
        <v>3.3</v>
      </c>
      <c r="N143" s="134">
        <f t="shared" si="36"/>
        <v>3.3</v>
      </c>
      <c r="O143" s="134">
        <f t="shared" si="36"/>
        <v>3.3</v>
      </c>
      <c r="P143" s="134">
        <f t="shared" si="36"/>
        <v>3.3</v>
      </c>
      <c r="Q143" s="134">
        <f t="shared" si="36"/>
        <v>3.3</v>
      </c>
      <c r="R143" s="134">
        <f t="shared" si="36"/>
        <v>3.3</v>
      </c>
      <c r="S143" s="134">
        <f t="shared" si="37"/>
        <v>3.3</v>
      </c>
      <c r="T143" s="134">
        <f t="shared" si="37"/>
        <v>3.3</v>
      </c>
      <c r="U143" s="134">
        <f t="shared" si="37"/>
        <v>3.3</v>
      </c>
      <c r="V143" s="134">
        <f t="shared" si="37"/>
        <v>3.3</v>
      </c>
      <c r="W143" s="134">
        <f t="shared" si="37"/>
        <v>3.3</v>
      </c>
      <c r="X143" s="134">
        <f t="shared" si="37"/>
        <v>3.3</v>
      </c>
      <c r="Y143" s="134">
        <f t="shared" si="37"/>
        <v>3.3</v>
      </c>
      <c r="Z143" s="134">
        <f t="shared" si="37"/>
        <v>3.3</v>
      </c>
      <c r="AA143" s="134">
        <f t="shared" si="37"/>
        <v>3.3</v>
      </c>
      <c r="AB143" s="134">
        <f t="shared" si="37"/>
        <v>3.3</v>
      </c>
      <c r="AC143" s="134">
        <f t="shared" si="37"/>
        <v>3.3</v>
      </c>
      <c r="AD143" s="134">
        <f t="shared" si="37"/>
        <v>3.3</v>
      </c>
      <c r="AE143" s="134">
        <f t="shared" si="37"/>
        <v>3.3</v>
      </c>
      <c r="AF143" s="134">
        <f t="shared" si="37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8">B145</f>
        <v>1.76</v>
      </c>
      <c r="D145" s="134">
        <f t="shared" si="38"/>
        <v>1.76</v>
      </c>
      <c r="E145" s="134">
        <f t="shared" si="38"/>
        <v>1.76</v>
      </c>
      <c r="F145" s="134">
        <f t="shared" si="38"/>
        <v>1.76</v>
      </c>
      <c r="G145" s="134">
        <f t="shared" si="38"/>
        <v>1.76</v>
      </c>
      <c r="H145" s="134">
        <f t="shared" si="38"/>
        <v>1.76</v>
      </c>
      <c r="I145" s="134">
        <f t="shared" si="38"/>
        <v>1.76</v>
      </c>
      <c r="J145" s="134">
        <f t="shared" si="38"/>
        <v>1.76</v>
      </c>
      <c r="K145" s="134">
        <f t="shared" si="38"/>
        <v>1.76</v>
      </c>
      <c r="L145" s="134">
        <f t="shared" si="38"/>
        <v>1.76</v>
      </c>
      <c r="M145" s="134">
        <f t="shared" si="38"/>
        <v>1.76</v>
      </c>
      <c r="N145" s="134">
        <f t="shared" si="38"/>
        <v>1.76</v>
      </c>
      <c r="O145" s="134">
        <f t="shared" si="38"/>
        <v>1.76</v>
      </c>
      <c r="P145" s="134">
        <f t="shared" si="38"/>
        <v>1.76</v>
      </c>
      <c r="Q145" s="134">
        <f t="shared" si="38"/>
        <v>1.76</v>
      </c>
      <c r="R145" s="134">
        <f t="shared" si="38"/>
        <v>1.76</v>
      </c>
      <c r="S145" s="134">
        <f t="shared" ref="S145:AF146" si="39">R145</f>
        <v>1.76</v>
      </c>
      <c r="T145" s="134">
        <f t="shared" si="39"/>
        <v>1.76</v>
      </c>
      <c r="U145" s="134">
        <f t="shared" si="39"/>
        <v>1.76</v>
      </c>
      <c r="V145" s="134">
        <f t="shared" si="39"/>
        <v>1.76</v>
      </c>
      <c r="W145" s="134">
        <f t="shared" si="39"/>
        <v>1.76</v>
      </c>
      <c r="X145" s="134">
        <f t="shared" si="39"/>
        <v>1.76</v>
      </c>
      <c r="Y145" s="134">
        <f t="shared" si="39"/>
        <v>1.76</v>
      </c>
      <c r="Z145" s="134">
        <f t="shared" si="39"/>
        <v>1.76</v>
      </c>
      <c r="AA145" s="134">
        <f t="shared" si="39"/>
        <v>1.76</v>
      </c>
      <c r="AB145" s="134">
        <f t="shared" si="39"/>
        <v>1.76</v>
      </c>
      <c r="AC145" s="134">
        <f t="shared" si="39"/>
        <v>1.76</v>
      </c>
      <c r="AD145" s="134">
        <f t="shared" si="39"/>
        <v>1.76</v>
      </c>
      <c r="AE145" s="134">
        <f t="shared" si="39"/>
        <v>1.76</v>
      </c>
      <c r="AF145" s="134">
        <f t="shared" si="39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8"/>
        <v>0</v>
      </c>
      <c r="D146" s="134">
        <f t="shared" si="38"/>
        <v>0</v>
      </c>
      <c r="E146" s="134">
        <f t="shared" si="38"/>
        <v>0</v>
      </c>
      <c r="F146" s="134">
        <f t="shared" si="38"/>
        <v>0</v>
      </c>
      <c r="G146" s="134">
        <f t="shared" si="38"/>
        <v>0</v>
      </c>
      <c r="H146" s="134">
        <f t="shared" si="38"/>
        <v>0</v>
      </c>
      <c r="I146" s="134">
        <f t="shared" si="38"/>
        <v>0</v>
      </c>
      <c r="J146" s="134">
        <f t="shared" si="38"/>
        <v>0</v>
      </c>
      <c r="K146" s="134">
        <f t="shared" si="38"/>
        <v>0</v>
      </c>
      <c r="L146" s="134">
        <f t="shared" si="38"/>
        <v>0</v>
      </c>
      <c r="M146" s="134">
        <f t="shared" si="38"/>
        <v>0</v>
      </c>
      <c r="N146" s="134">
        <f t="shared" si="38"/>
        <v>0</v>
      </c>
      <c r="O146" s="134">
        <f t="shared" si="38"/>
        <v>0</v>
      </c>
      <c r="P146" s="134">
        <f t="shared" si="38"/>
        <v>0</v>
      </c>
      <c r="Q146" s="134">
        <f t="shared" si="38"/>
        <v>0</v>
      </c>
      <c r="R146" s="134">
        <f t="shared" si="38"/>
        <v>0</v>
      </c>
      <c r="S146" s="134">
        <f t="shared" si="39"/>
        <v>0</v>
      </c>
      <c r="T146" s="134">
        <f t="shared" si="39"/>
        <v>0</v>
      </c>
      <c r="U146" s="134">
        <f t="shared" si="39"/>
        <v>0</v>
      </c>
      <c r="V146" s="134">
        <f t="shared" si="39"/>
        <v>0</v>
      </c>
      <c r="W146" s="134">
        <f t="shared" si="39"/>
        <v>0</v>
      </c>
      <c r="X146" s="134">
        <f t="shared" si="39"/>
        <v>0</v>
      </c>
      <c r="Y146" s="134">
        <f t="shared" si="39"/>
        <v>0</v>
      </c>
      <c r="Z146" s="134">
        <f t="shared" si="39"/>
        <v>0</v>
      </c>
      <c r="AA146" s="134">
        <f t="shared" si="39"/>
        <v>0</v>
      </c>
      <c r="AB146" s="134">
        <f t="shared" si="39"/>
        <v>0</v>
      </c>
      <c r="AC146" s="134">
        <f t="shared" si="39"/>
        <v>0</v>
      </c>
      <c r="AD146" s="134">
        <f t="shared" si="39"/>
        <v>0</v>
      </c>
      <c r="AE146" s="134">
        <f t="shared" si="39"/>
        <v>0</v>
      </c>
      <c r="AF146" s="134">
        <f t="shared" si="39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40">B148</f>
        <v>0.1</v>
      </c>
      <c r="D148" s="134">
        <f t="shared" si="40"/>
        <v>0.1</v>
      </c>
      <c r="E148" s="134">
        <f t="shared" si="40"/>
        <v>0.1</v>
      </c>
      <c r="F148" s="134">
        <f t="shared" si="40"/>
        <v>0.1</v>
      </c>
      <c r="G148" s="134">
        <f t="shared" si="40"/>
        <v>0.1</v>
      </c>
      <c r="H148" s="134">
        <f t="shared" si="40"/>
        <v>0.1</v>
      </c>
      <c r="I148" s="134">
        <f t="shared" si="40"/>
        <v>0.1</v>
      </c>
      <c r="J148" s="134">
        <f t="shared" si="40"/>
        <v>0.1</v>
      </c>
      <c r="K148" s="134">
        <f t="shared" si="40"/>
        <v>0.1</v>
      </c>
      <c r="L148" s="134">
        <f t="shared" si="40"/>
        <v>0.1</v>
      </c>
      <c r="M148" s="134">
        <f t="shared" si="40"/>
        <v>0.1</v>
      </c>
      <c r="N148" s="134">
        <f t="shared" si="40"/>
        <v>0.1</v>
      </c>
      <c r="O148" s="134">
        <f t="shared" si="40"/>
        <v>0.1</v>
      </c>
      <c r="P148" s="134">
        <f t="shared" si="40"/>
        <v>0.1</v>
      </c>
      <c r="Q148" s="134">
        <f t="shared" si="40"/>
        <v>0.1</v>
      </c>
      <c r="R148" s="134">
        <f t="shared" si="40"/>
        <v>0.1</v>
      </c>
      <c r="S148" s="134">
        <f t="shared" ref="S148:AF151" si="41">R148</f>
        <v>0.1</v>
      </c>
      <c r="T148" s="134">
        <f t="shared" si="41"/>
        <v>0.1</v>
      </c>
      <c r="U148" s="134">
        <f t="shared" si="41"/>
        <v>0.1</v>
      </c>
      <c r="V148" s="134">
        <f t="shared" si="41"/>
        <v>0.1</v>
      </c>
      <c r="W148" s="134">
        <f t="shared" si="41"/>
        <v>0.1</v>
      </c>
      <c r="X148" s="134">
        <f t="shared" si="41"/>
        <v>0.1</v>
      </c>
      <c r="Y148" s="134">
        <f t="shared" si="41"/>
        <v>0.1</v>
      </c>
      <c r="Z148" s="134">
        <f t="shared" si="41"/>
        <v>0.1</v>
      </c>
      <c r="AA148" s="134">
        <f t="shared" si="41"/>
        <v>0.1</v>
      </c>
      <c r="AB148" s="134">
        <f t="shared" si="41"/>
        <v>0.1</v>
      </c>
      <c r="AC148" s="134">
        <f t="shared" si="41"/>
        <v>0.1</v>
      </c>
      <c r="AD148" s="134">
        <f t="shared" si="41"/>
        <v>0.1</v>
      </c>
      <c r="AE148" s="134">
        <f t="shared" si="41"/>
        <v>0.1</v>
      </c>
      <c r="AF148" s="134">
        <f t="shared" si="41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40"/>
        <v>2.0499999999999998</v>
      </c>
      <c r="D149" s="134">
        <f t="shared" si="40"/>
        <v>2.0499999999999998</v>
      </c>
      <c r="E149" s="134">
        <f t="shared" si="40"/>
        <v>2.0499999999999998</v>
      </c>
      <c r="F149" s="134">
        <f t="shared" si="40"/>
        <v>2.0499999999999998</v>
      </c>
      <c r="G149" s="134">
        <f t="shared" si="40"/>
        <v>2.0499999999999998</v>
      </c>
      <c r="H149" s="134">
        <f t="shared" si="40"/>
        <v>2.0499999999999998</v>
      </c>
      <c r="I149" s="134">
        <f t="shared" si="40"/>
        <v>2.0499999999999998</v>
      </c>
      <c r="J149" s="134">
        <f t="shared" si="40"/>
        <v>2.0499999999999998</v>
      </c>
      <c r="K149" s="134">
        <f t="shared" si="40"/>
        <v>2.0499999999999998</v>
      </c>
      <c r="L149" s="134">
        <f t="shared" si="40"/>
        <v>2.0499999999999998</v>
      </c>
      <c r="M149" s="134">
        <f t="shared" si="40"/>
        <v>2.0499999999999998</v>
      </c>
      <c r="N149" s="134">
        <f t="shared" si="40"/>
        <v>2.0499999999999998</v>
      </c>
      <c r="O149" s="134">
        <f t="shared" si="40"/>
        <v>2.0499999999999998</v>
      </c>
      <c r="P149" s="134">
        <f t="shared" si="40"/>
        <v>2.0499999999999998</v>
      </c>
      <c r="Q149" s="134">
        <f t="shared" si="40"/>
        <v>2.0499999999999998</v>
      </c>
      <c r="R149" s="134">
        <f t="shared" si="40"/>
        <v>2.0499999999999998</v>
      </c>
      <c r="S149" s="134">
        <f t="shared" si="41"/>
        <v>2.0499999999999998</v>
      </c>
      <c r="T149" s="134">
        <f t="shared" si="41"/>
        <v>2.0499999999999998</v>
      </c>
      <c r="U149" s="134">
        <f t="shared" si="41"/>
        <v>2.0499999999999998</v>
      </c>
      <c r="V149" s="134">
        <f t="shared" si="41"/>
        <v>2.0499999999999998</v>
      </c>
      <c r="W149" s="134">
        <f t="shared" si="41"/>
        <v>2.0499999999999998</v>
      </c>
      <c r="X149" s="134">
        <f t="shared" si="41"/>
        <v>2.0499999999999998</v>
      </c>
      <c r="Y149" s="134">
        <f t="shared" si="41"/>
        <v>2.0499999999999998</v>
      </c>
      <c r="Z149" s="134">
        <f t="shared" si="41"/>
        <v>2.0499999999999998</v>
      </c>
      <c r="AA149" s="134">
        <f t="shared" si="41"/>
        <v>2.0499999999999998</v>
      </c>
      <c r="AB149" s="134">
        <f t="shared" si="41"/>
        <v>2.0499999999999998</v>
      </c>
      <c r="AC149" s="134">
        <f t="shared" si="41"/>
        <v>2.0499999999999998</v>
      </c>
      <c r="AD149" s="134">
        <f t="shared" si="41"/>
        <v>2.0499999999999998</v>
      </c>
      <c r="AE149" s="134">
        <f t="shared" si="41"/>
        <v>2.0499999999999998</v>
      </c>
      <c r="AF149" s="134">
        <f t="shared" si="41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40"/>
        <v>2.7</v>
      </c>
      <c r="D150" s="134">
        <f t="shared" si="40"/>
        <v>2.7</v>
      </c>
      <c r="E150" s="134">
        <f t="shared" si="40"/>
        <v>2.7</v>
      </c>
      <c r="F150" s="134">
        <f t="shared" si="40"/>
        <v>2.7</v>
      </c>
      <c r="G150" s="134">
        <f t="shared" si="40"/>
        <v>2.7</v>
      </c>
      <c r="H150" s="134">
        <f t="shared" si="40"/>
        <v>2.7</v>
      </c>
      <c r="I150" s="134">
        <f t="shared" si="40"/>
        <v>2.7</v>
      </c>
      <c r="J150" s="134">
        <f t="shared" si="40"/>
        <v>2.7</v>
      </c>
      <c r="K150" s="134">
        <f t="shared" si="40"/>
        <v>2.7</v>
      </c>
      <c r="L150" s="134">
        <f t="shared" si="40"/>
        <v>2.7</v>
      </c>
      <c r="M150" s="134">
        <f t="shared" si="40"/>
        <v>2.7</v>
      </c>
      <c r="N150" s="134">
        <f t="shared" si="40"/>
        <v>2.7</v>
      </c>
      <c r="O150" s="134">
        <f t="shared" si="40"/>
        <v>2.7</v>
      </c>
      <c r="P150" s="134">
        <f t="shared" si="40"/>
        <v>2.7</v>
      </c>
      <c r="Q150" s="134">
        <f t="shared" si="40"/>
        <v>2.7</v>
      </c>
      <c r="R150" s="134">
        <f t="shared" si="40"/>
        <v>2.7</v>
      </c>
      <c r="S150" s="134">
        <f t="shared" si="41"/>
        <v>2.7</v>
      </c>
      <c r="T150" s="134">
        <f t="shared" si="41"/>
        <v>2.7</v>
      </c>
      <c r="U150" s="134">
        <f t="shared" si="41"/>
        <v>2.7</v>
      </c>
      <c r="V150" s="134">
        <f t="shared" si="41"/>
        <v>2.7</v>
      </c>
      <c r="W150" s="134">
        <f t="shared" si="41"/>
        <v>2.7</v>
      </c>
      <c r="X150" s="134">
        <f t="shared" si="41"/>
        <v>2.7</v>
      </c>
      <c r="Y150" s="134">
        <f t="shared" si="41"/>
        <v>2.7</v>
      </c>
      <c r="Z150" s="134">
        <f t="shared" si="41"/>
        <v>2.7</v>
      </c>
      <c r="AA150" s="134">
        <f t="shared" si="41"/>
        <v>2.7</v>
      </c>
      <c r="AB150" s="134">
        <f t="shared" si="41"/>
        <v>2.7</v>
      </c>
      <c r="AC150" s="134">
        <f t="shared" si="41"/>
        <v>2.7</v>
      </c>
      <c r="AD150" s="134">
        <f t="shared" si="41"/>
        <v>2.7</v>
      </c>
      <c r="AE150" s="134">
        <f t="shared" si="41"/>
        <v>2.7</v>
      </c>
      <c r="AF150" s="134">
        <f t="shared" si="41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40"/>
        <v>2.15</v>
      </c>
      <c r="D151" s="134">
        <f t="shared" si="40"/>
        <v>2.15</v>
      </c>
      <c r="E151" s="134">
        <f t="shared" si="40"/>
        <v>2.15</v>
      </c>
      <c r="F151" s="134">
        <f t="shared" si="40"/>
        <v>2.15</v>
      </c>
      <c r="G151" s="134">
        <f t="shared" si="40"/>
        <v>2.15</v>
      </c>
      <c r="H151" s="134">
        <f t="shared" si="40"/>
        <v>2.15</v>
      </c>
      <c r="I151" s="134">
        <f t="shared" si="40"/>
        <v>2.15</v>
      </c>
      <c r="J151" s="134">
        <f t="shared" si="40"/>
        <v>2.15</v>
      </c>
      <c r="K151" s="134">
        <f t="shared" si="40"/>
        <v>2.15</v>
      </c>
      <c r="L151" s="134">
        <f t="shared" si="40"/>
        <v>2.15</v>
      </c>
      <c r="M151" s="134">
        <f t="shared" si="40"/>
        <v>2.15</v>
      </c>
      <c r="N151" s="134">
        <f t="shared" si="40"/>
        <v>2.15</v>
      </c>
      <c r="O151" s="134">
        <f t="shared" si="40"/>
        <v>2.15</v>
      </c>
      <c r="P151" s="134">
        <f t="shared" si="40"/>
        <v>2.15</v>
      </c>
      <c r="Q151" s="134">
        <f t="shared" si="40"/>
        <v>2.15</v>
      </c>
      <c r="R151" s="134">
        <f t="shared" si="40"/>
        <v>2.15</v>
      </c>
      <c r="S151" s="134">
        <f t="shared" si="41"/>
        <v>2.15</v>
      </c>
      <c r="T151" s="134">
        <f t="shared" si="41"/>
        <v>2.15</v>
      </c>
      <c r="U151" s="134">
        <f t="shared" si="41"/>
        <v>2.15</v>
      </c>
      <c r="V151" s="134">
        <f t="shared" si="41"/>
        <v>2.15</v>
      </c>
      <c r="W151" s="134">
        <f t="shared" si="41"/>
        <v>2.15</v>
      </c>
      <c r="X151" s="134">
        <f t="shared" si="41"/>
        <v>2.15</v>
      </c>
      <c r="Y151" s="134">
        <f t="shared" si="41"/>
        <v>2.15</v>
      </c>
      <c r="Z151" s="134">
        <f t="shared" si="41"/>
        <v>2.15</v>
      </c>
      <c r="AA151" s="134">
        <f t="shared" si="41"/>
        <v>2.15</v>
      </c>
      <c r="AB151" s="134">
        <f t="shared" si="41"/>
        <v>2.15</v>
      </c>
      <c r="AC151" s="134">
        <f t="shared" si="41"/>
        <v>2.15</v>
      </c>
      <c r="AD151" s="134">
        <f t="shared" si="41"/>
        <v>2.15</v>
      </c>
      <c r="AE151" s="134">
        <f t="shared" si="41"/>
        <v>2.15</v>
      </c>
      <c r="AF151" s="134">
        <f t="shared" si="41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2">B153</f>
        <v>0.9</v>
      </c>
      <c r="D153" s="134">
        <f t="shared" si="42"/>
        <v>0.9</v>
      </c>
      <c r="E153" s="134">
        <f t="shared" si="42"/>
        <v>0.9</v>
      </c>
      <c r="F153" s="134">
        <f t="shared" si="42"/>
        <v>0.9</v>
      </c>
      <c r="G153" s="134">
        <f t="shared" si="42"/>
        <v>0.9</v>
      </c>
      <c r="H153" s="134">
        <f t="shared" si="42"/>
        <v>0.9</v>
      </c>
      <c r="I153" s="134">
        <f t="shared" si="42"/>
        <v>0.9</v>
      </c>
      <c r="J153" s="134">
        <f t="shared" si="42"/>
        <v>0.9</v>
      </c>
      <c r="K153" s="134">
        <f t="shared" si="42"/>
        <v>0.9</v>
      </c>
      <c r="L153" s="134">
        <f t="shared" si="42"/>
        <v>0.9</v>
      </c>
      <c r="M153" s="134">
        <f t="shared" si="42"/>
        <v>0.9</v>
      </c>
      <c r="N153" s="134">
        <f t="shared" si="42"/>
        <v>0.9</v>
      </c>
      <c r="O153" s="134">
        <f t="shared" si="42"/>
        <v>0.9</v>
      </c>
      <c r="P153" s="134">
        <f t="shared" si="42"/>
        <v>0.9</v>
      </c>
      <c r="Q153" s="134">
        <f t="shared" si="42"/>
        <v>0.9</v>
      </c>
      <c r="R153" s="134">
        <f t="shared" si="42"/>
        <v>0.9</v>
      </c>
      <c r="S153" s="134">
        <f t="shared" ref="R153:AF165" si="43">R153</f>
        <v>0.9</v>
      </c>
      <c r="T153" s="134">
        <f t="shared" si="43"/>
        <v>0.9</v>
      </c>
      <c r="U153" s="134">
        <f t="shared" si="43"/>
        <v>0.9</v>
      </c>
      <c r="V153" s="134">
        <f t="shared" si="43"/>
        <v>0.9</v>
      </c>
      <c r="W153" s="134">
        <f t="shared" si="43"/>
        <v>0.9</v>
      </c>
      <c r="X153" s="134">
        <f t="shared" si="43"/>
        <v>0.9</v>
      </c>
      <c r="Y153" s="134">
        <f t="shared" si="43"/>
        <v>0.9</v>
      </c>
      <c r="Z153" s="134">
        <f t="shared" si="43"/>
        <v>0.9</v>
      </c>
      <c r="AA153" s="134">
        <f t="shared" si="43"/>
        <v>0.9</v>
      </c>
      <c r="AB153" s="134">
        <f t="shared" si="43"/>
        <v>0.9</v>
      </c>
      <c r="AC153" s="134">
        <f t="shared" si="43"/>
        <v>0.9</v>
      </c>
      <c r="AD153" s="134">
        <f t="shared" si="43"/>
        <v>0.9</v>
      </c>
      <c r="AE153" s="134">
        <f t="shared" si="43"/>
        <v>0.9</v>
      </c>
      <c r="AF153" s="134">
        <f t="shared" si="43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2"/>
        <v>1.08</v>
      </c>
      <c r="D154" s="134">
        <f t="shared" si="42"/>
        <v>1.08</v>
      </c>
      <c r="E154" s="134">
        <f t="shared" si="42"/>
        <v>1.08</v>
      </c>
      <c r="F154" s="134">
        <f t="shared" si="42"/>
        <v>1.08</v>
      </c>
      <c r="G154" s="134">
        <f t="shared" si="42"/>
        <v>1.08</v>
      </c>
      <c r="H154" s="134">
        <f t="shared" si="42"/>
        <v>1.08</v>
      </c>
      <c r="I154" s="134">
        <f t="shared" si="42"/>
        <v>1.08</v>
      </c>
      <c r="J154" s="134">
        <f t="shared" si="42"/>
        <v>1.08</v>
      </c>
      <c r="K154" s="134">
        <f t="shared" si="42"/>
        <v>1.08</v>
      </c>
      <c r="L154" s="134">
        <f t="shared" si="42"/>
        <v>1.08</v>
      </c>
      <c r="M154" s="134">
        <f t="shared" si="42"/>
        <v>1.08</v>
      </c>
      <c r="N154" s="134">
        <f t="shared" si="42"/>
        <v>1.08</v>
      </c>
      <c r="O154" s="134">
        <f t="shared" si="42"/>
        <v>1.08</v>
      </c>
      <c r="P154" s="134">
        <f t="shared" si="42"/>
        <v>1.08</v>
      </c>
      <c r="Q154" s="134">
        <f t="shared" si="42"/>
        <v>1.08</v>
      </c>
      <c r="R154" s="134">
        <f t="shared" si="42"/>
        <v>1.08</v>
      </c>
      <c r="S154" s="134">
        <f t="shared" si="43"/>
        <v>1.08</v>
      </c>
      <c r="T154" s="134">
        <f t="shared" si="43"/>
        <v>1.08</v>
      </c>
      <c r="U154" s="134">
        <f t="shared" si="43"/>
        <v>1.08</v>
      </c>
      <c r="V154" s="134">
        <f t="shared" si="43"/>
        <v>1.08</v>
      </c>
      <c r="W154" s="134">
        <f t="shared" si="43"/>
        <v>1.08</v>
      </c>
      <c r="X154" s="134">
        <f t="shared" si="43"/>
        <v>1.08</v>
      </c>
      <c r="Y154" s="134">
        <f t="shared" si="43"/>
        <v>1.08</v>
      </c>
      <c r="Z154" s="134">
        <f t="shared" si="43"/>
        <v>1.08</v>
      </c>
      <c r="AA154" s="134">
        <f t="shared" si="43"/>
        <v>1.08</v>
      </c>
      <c r="AB154" s="134">
        <f t="shared" si="43"/>
        <v>1.08</v>
      </c>
      <c r="AC154" s="134">
        <f t="shared" si="43"/>
        <v>1.08</v>
      </c>
      <c r="AD154" s="134">
        <f t="shared" si="43"/>
        <v>1.08</v>
      </c>
      <c r="AE154" s="134">
        <f t="shared" si="43"/>
        <v>1.08</v>
      </c>
      <c r="AF154" s="134">
        <f t="shared" si="43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2"/>
        <v>2.37</v>
      </c>
      <c r="D155" s="134">
        <f t="shared" si="42"/>
        <v>2.37</v>
      </c>
      <c r="E155" s="134">
        <f t="shared" si="42"/>
        <v>2.37</v>
      </c>
      <c r="F155" s="134">
        <f t="shared" si="42"/>
        <v>2.37</v>
      </c>
      <c r="G155" s="134">
        <f t="shared" si="42"/>
        <v>2.37</v>
      </c>
      <c r="H155" s="134">
        <f t="shared" si="42"/>
        <v>2.37</v>
      </c>
      <c r="I155" s="134">
        <f t="shared" si="42"/>
        <v>2.37</v>
      </c>
      <c r="J155" s="134">
        <f t="shared" si="42"/>
        <v>2.37</v>
      </c>
      <c r="K155" s="134">
        <f t="shared" si="42"/>
        <v>2.37</v>
      </c>
      <c r="L155" s="134">
        <f t="shared" si="42"/>
        <v>2.37</v>
      </c>
      <c r="M155" s="134">
        <f t="shared" si="42"/>
        <v>2.37</v>
      </c>
      <c r="N155" s="134">
        <f t="shared" si="42"/>
        <v>2.37</v>
      </c>
      <c r="O155" s="134">
        <f t="shared" si="42"/>
        <v>2.37</v>
      </c>
      <c r="P155" s="134">
        <f t="shared" si="42"/>
        <v>2.37</v>
      </c>
      <c r="Q155" s="134">
        <f t="shared" si="42"/>
        <v>2.37</v>
      </c>
      <c r="R155" s="134">
        <f t="shared" si="42"/>
        <v>2.37</v>
      </c>
      <c r="S155" s="134">
        <f t="shared" si="43"/>
        <v>2.37</v>
      </c>
      <c r="T155" s="134">
        <f t="shared" si="43"/>
        <v>2.37</v>
      </c>
      <c r="U155" s="134">
        <f t="shared" si="43"/>
        <v>2.37</v>
      </c>
      <c r="V155" s="134">
        <f t="shared" si="43"/>
        <v>2.37</v>
      </c>
      <c r="W155" s="134">
        <f t="shared" si="43"/>
        <v>2.37</v>
      </c>
      <c r="X155" s="134">
        <f t="shared" si="43"/>
        <v>2.37</v>
      </c>
      <c r="Y155" s="134">
        <f t="shared" si="43"/>
        <v>2.37</v>
      </c>
      <c r="Z155" s="134">
        <f t="shared" si="43"/>
        <v>2.37</v>
      </c>
      <c r="AA155" s="134">
        <f t="shared" si="43"/>
        <v>2.37</v>
      </c>
      <c r="AB155" s="134">
        <f t="shared" si="43"/>
        <v>2.37</v>
      </c>
      <c r="AC155" s="134">
        <f t="shared" si="43"/>
        <v>2.37</v>
      </c>
      <c r="AD155" s="134">
        <f t="shared" si="43"/>
        <v>2.37</v>
      </c>
      <c r="AE155" s="134">
        <f t="shared" si="43"/>
        <v>2.37</v>
      </c>
      <c r="AF155" s="134">
        <f t="shared" si="43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2"/>
        <v>1.81</v>
      </c>
      <c r="D156" s="134">
        <f t="shared" si="42"/>
        <v>1.81</v>
      </c>
      <c r="E156" s="134">
        <f t="shared" si="42"/>
        <v>1.81</v>
      </c>
      <c r="F156" s="134">
        <f t="shared" si="42"/>
        <v>1.81</v>
      </c>
      <c r="G156" s="134">
        <f t="shared" si="42"/>
        <v>1.81</v>
      </c>
      <c r="H156" s="134">
        <f t="shared" si="42"/>
        <v>1.81</v>
      </c>
      <c r="I156" s="134">
        <f t="shared" si="42"/>
        <v>1.81</v>
      </c>
      <c r="J156" s="134">
        <f t="shared" si="42"/>
        <v>1.81</v>
      </c>
      <c r="K156" s="134">
        <f t="shared" si="42"/>
        <v>1.81</v>
      </c>
      <c r="L156" s="134">
        <f t="shared" si="42"/>
        <v>1.81</v>
      </c>
      <c r="M156" s="134">
        <f t="shared" si="42"/>
        <v>1.81</v>
      </c>
      <c r="N156" s="134">
        <f t="shared" si="42"/>
        <v>1.81</v>
      </c>
      <c r="O156" s="134">
        <f t="shared" si="42"/>
        <v>1.81</v>
      </c>
      <c r="P156" s="134">
        <f t="shared" si="42"/>
        <v>1.81</v>
      </c>
      <c r="Q156" s="134">
        <f t="shared" si="42"/>
        <v>1.81</v>
      </c>
      <c r="R156" s="134">
        <f t="shared" si="42"/>
        <v>1.81</v>
      </c>
      <c r="S156" s="134">
        <f t="shared" si="43"/>
        <v>1.81</v>
      </c>
      <c r="T156" s="134">
        <f t="shared" si="43"/>
        <v>1.81</v>
      </c>
      <c r="U156" s="134">
        <f t="shared" si="43"/>
        <v>1.81</v>
      </c>
      <c r="V156" s="134">
        <f t="shared" si="43"/>
        <v>1.81</v>
      </c>
      <c r="W156" s="134">
        <f t="shared" si="43"/>
        <v>1.81</v>
      </c>
      <c r="X156" s="134">
        <f t="shared" si="43"/>
        <v>1.81</v>
      </c>
      <c r="Y156" s="134">
        <f t="shared" si="43"/>
        <v>1.81</v>
      </c>
      <c r="Z156" s="134">
        <f t="shared" si="43"/>
        <v>1.81</v>
      </c>
      <c r="AA156" s="134">
        <f t="shared" si="43"/>
        <v>1.81</v>
      </c>
      <c r="AB156" s="134">
        <f t="shared" si="43"/>
        <v>1.81</v>
      </c>
      <c r="AC156" s="134">
        <f t="shared" si="43"/>
        <v>1.81</v>
      </c>
      <c r="AD156" s="134">
        <f t="shared" si="43"/>
        <v>1.81</v>
      </c>
      <c r="AE156" s="134">
        <f t="shared" si="43"/>
        <v>1.81</v>
      </c>
      <c r="AF156" s="134">
        <f t="shared" si="43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2"/>
        <v>1.0900000000000001</v>
      </c>
      <c r="D157" s="134">
        <f t="shared" si="42"/>
        <v>1.0900000000000001</v>
      </c>
      <c r="E157" s="134">
        <f t="shared" si="42"/>
        <v>1.0900000000000001</v>
      </c>
      <c r="F157" s="134">
        <f t="shared" si="42"/>
        <v>1.0900000000000001</v>
      </c>
      <c r="G157" s="134">
        <f t="shared" si="42"/>
        <v>1.0900000000000001</v>
      </c>
      <c r="H157" s="134">
        <f t="shared" si="42"/>
        <v>1.0900000000000001</v>
      </c>
      <c r="I157" s="134">
        <f t="shared" si="42"/>
        <v>1.0900000000000001</v>
      </c>
      <c r="J157" s="134">
        <f t="shared" si="42"/>
        <v>1.0900000000000001</v>
      </c>
      <c r="K157" s="134">
        <f t="shared" si="42"/>
        <v>1.0900000000000001</v>
      </c>
      <c r="L157" s="134">
        <f t="shared" si="42"/>
        <v>1.0900000000000001</v>
      </c>
      <c r="M157" s="134">
        <f t="shared" si="42"/>
        <v>1.0900000000000001</v>
      </c>
      <c r="N157" s="134">
        <f t="shared" si="42"/>
        <v>1.0900000000000001</v>
      </c>
      <c r="O157" s="134">
        <f t="shared" si="42"/>
        <v>1.0900000000000001</v>
      </c>
      <c r="P157" s="134">
        <f t="shared" si="42"/>
        <v>1.0900000000000001</v>
      </c>
      <c r="Q157" s="134">
        <f t="shared" si="42"/>
        <v>1.0900000000000001</v>
      </c>
      <c r="R157" s="134">
        <f t="shared" si="42"/>
        <v>1.0900000000000001</v>
      </c>
      <c r="S157" s="134">
        <f t="shared" si="43"/>
        <v>1.0900000000000001</v>
      </c>
      <c r="T157" s="134">
        <f t="shared" si="43"/>
        <v>1.0900000000000001</v>
      </c>
      <c r="U157" s="134">
        <f t="shared" si="43"/>
        <v>1.0900000000000001</v>
      </c>
      <c r="V157" s="134">
        <f t="shared" si="43"/>
        <v>1.0900000000000001</v>
      </c>
      <c r="W157" s="134">
        <f t="shared" si="43"/>
        <v>1.0900000000000001</v>
      </c>
      <c r="X157" s="134">
        <f t="shared" si="43"/>
        <v>1.0900000000000001</v>
      </c>
      <c r="Y157" s="134">
        <f t="shared" si="43"/>
        <v>1.0900000000000001</v>
      </c>
      <c r="Z157" s="134">
        <f t="shared" si="43"/>
        <v>1.0900000000000001</v>
      </c>
      <c r="AA157" s="134">
        <f t="shared" si="43"/>
        <v>1.0900000000000001</v>
      </c>
      <c r="AB157" s="134">
        <f t="shared" si="43"/>
        <v>1.0900000000000001</v>
      </c>
      <c r="AC157" s="134">
        <f t="shared" si="43"/>
        <v>1.0900000000000001</v>
      </c>
      <c r="AD157" s="134">
        <f t="shared" si="43"/>
        <v>1.0900000000000001</v>
      </c>
      <c r="AE157" s="134">
        <f t="shared" si="43"/>
        <v>1.0900000000000001</v>
      </c>
      <c r="AF157" s="134">
        <f t="shared" si="43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2"/>
        <v>1.58</v>
      </c>
      <c r="D158" s="134">
        <f t="shared" si="42"/>
        <v>1.58</v>
      </c>
      <c r="E158" s="134">
        <f t="shared" si="42"/>
        <v>1.58</v>
      </c>
      <c r="F158" s="134">
        <f t="shared" si="42"/>
        <v>1.58</v>
      </c>
      <c r="G158" s="134">
        <f t="shared" si="42"/>
        <v>1.58</v>
      </c>
      <c r="H158" s="134">
        <f t="shared" si="42"/>
        <v>1.58</v>
      </c>
      <c r="I158" s="134">
        <f t="shared" si="42"/>
        <v>1.58</v>
      </c>
      <c r="J158" s="134">
        <f t="shared" si="42"/>
        <v>1.58</v>
      </c>
      <c r="K158" s="134">
        <f t="shared" si="42"/>
        <v>1.58</v>
      </c>
      <c r="L158" s="134">
        <f t="shared" si="42"/>
        <v>1.58</v>
      </c>
      <c r="M158" s="134">
        <f t="shared" si="42"/>
        <v>1.58</v>
      </c>
      <c r="N158" s="134">
        <f t="shared" si="42"/>
        <v>1.58</v>
      </c>
      <c r="O158" s="134">
        <f t="shared" si="42"/>
        <v>1.58</v>
      </c>
      <c r="P158" s="134">
        <f t="shared" si="42"/>
        <v>1.58</v>
      </c>
      <c r="Q158" s="134">
        <f t="shared" si="42"/>
        <v>1.58</v>
      </c>
      <c r="R158" s="134">
        <f t="shared" si="42"/>
        <v>1.58</v>
      </c>
      <c r="S158" s="134">
        <f t="shared" si="43"/>
        <v>1.58</v>
      </c>
      <c r="T158" s="134">
        <f t="shared" si="43"/>
        <v>1.58</v>
      </c>
      <c r="U158" s="134">
        <f t="shared" si="43"/>
        <v>1.58</v>
      </c>
      <c r="V158" s="134">
        <f t="shared" si="43"/>
        <v>1.58</v>
      </c>
      <c r="W158" s="134">
        <f t="shared" si="43"/>
        <v>1.58</v>
      </c>
      <c r="X158" s="134">
        <f t="shared" si="43"/>
        <v>1.58</v>
      </c>
      <c r="Y158" s="134">
        <f t="shared" si="43"/>
        <v>1.58</v>
      </c>
      <c r="Z158" s="134">
        <f t="shared" si="43"/>
        <v>1.58</v>
      </c>
      <c r="AA158" s="134">
        <f t="shared" si="43"/>
        <v>1.58</v>
      </c>
      <c r="AB158" s="134">
        <f t="shared" si="43"/>
        <v>1.58</v>
      </c>
      <c r="AC158" s="134">
        <f t="shared" si="43"/>
        <v>1.58</v>
      </c>
      <c r="AD158" s="134">
        <f t="shared" si="43"/>
        <v>1.58</v>
      </c>
      <c r="AE158" s="134">
        <f t="shared" si="43"/>
        <v>1.58</v>
      </c>
      <c r="AF158" s="134">
        <f t="shared" si="43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2"/>
        <v>2</v>
      </c>
      <c r="D159" s="134">
        <f t="shared" si="42"/>
        <v>2</v>
      </c>
      <c r="E159" s="134">
        <f t="shared" si="42"/>
        <v>2</v>
      </c>
      <c r="F159" s="134">
        <f t="shared" si="42"/>
        <v>2</v>
      </c>
      <c r="G159" s="134">
        <f t="shared" si="42"/>
        <v>2</v>
      </c>
      <c r="H159" s="134">
        <f t="shared" si="42"/>
        <v>2</v>
      </c>
      <c r="I159" s="134">
        <f t="shared" si="42"/>
        <v>2</v>
      </c>
      <c r="J159" s="134">
        <f t="shared" si="42"/>
        <v>2</v>
      </c>
      <c r="K159" s="134">
        <f t="shared" si="42"/>
        <v>2</v>
      </c>
      <c r="L159" s="134">
        <f t="shared" si="42"/>
        <v>2</v>
      </c>
      <c r="M159" s="134">
        <f t="shared" si="42"/>
        <v>2</v>
      </c>
      <c r="N159" s="134">
        <f t="shared" si="42"/>
        <v>2</v>
      </c>
      <c r="O159" s="134">
        <f t="shared" si="42"/>
        <v>2</v>
      </c>
      <c r="P159" s="134">
        <f t="shared" si="42"/>
        <v>2</v>
      </c>
      <c r="Q159" s="134">
        <f t="shared" si="42"/>
        <v>2</v>
      </c>
      <c r="R159" s="134">
        <f t="shared" si="42"/>
        <v>2</v>
      </c>
      <c r="S159" s="134">
        <f t="shared" si="43"/>
        <v>2</v>
      </c>
      <c r="T159" s="134">
        <f t="shared" si="43"/>
        <v>2</v>
      </c>
      <c r="U159" s="134">
        <f t="shared" si="43"/>
        <v>2</v>
      </c>
      <c r="V159" s="134">
        <f t="shared" si="43"/>
        <v>2</v>
      </c>
      <c r="W159" s="134">
        <f t="shared" si="43"/>
        <v>2</v>
      </c>
      <c r="X159" s="134">
        <f t="shared" si="43"/>
        <v>2</v>
      </c>
      <c r="Y159" s="134">
        <f t="shared" si="43"/>
        <v>2</v>
      </c>
      <c r="Z159" s="134">
        <f t="shared" si="43"/>
        <v>2</v>
      </c>
      <c r="AA159" s="134">
        <f t="shared" si="43"/>
        <v>2</v>
      </c>
      <c r="AB159" s="134">
        <f t="shared" si="43"/>
        <v>2</v>
      </c>
      <c r="AC159" s="134">
        <f t="shared" si="43"/>
        <v>2</v>
      </c>
      <c r="AD159" s="134">
        <f t="shared" si="43"/>
        <v>2</v>
      </c>
      <c r="AE159" s="134">
        <f t="shared" si="43"/>
        <v>2</v>
      </c>
      <c r="AF159" s="134">
        <f t="shared" si="43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2"/>
        <v>0.47</v>
      </c>
      <c r="D160" s="134">
        <f t="shared" si="42"/>
        <v>0.47</v>
      </c>
      <c r="E160" s="134">
        <f t="shared" si="42"/>
        <v>0.47</v>
      </c>
      <c r="F160" s="134">
        <f t="shared" si="42"/>
        <v>0.47</v>
      </c>
      <c r="G160" s="134">
        <f t="shared" si="42"/>
        <v>0.47</v>
      </c>
      <c r="H160" s="134">
        <f t="shared" si="42"/>
        <v>0.47</v>
      </c>
      <c r="I160" s="134">
        <f t="shared" si="42"/>
        <v>0.47</v>
      </c>
      <c r="J160" s="134">
        <f t="shared" si="42"/>
        <v>0.47</v>
      </c>
      <c r="K160" s="134">
        <f t="shared" si="42"/>
        <v>0.47</v>
      </c>
      <c r="L160" s="134">
        <f t="shared" si="42"/>
        <v>0.47</v>
      </c>
      <c r="M160" s="134">
        <f t="shared" si="42"/>
        <v>0.47</v>
      </c>
      <c r="N160" s="134">
        <f t="shared" si="42"/>
        <v>0.47</v>
      </c>
      <c r="O160" s="134">
        <f t="shared" si="42"/>
        <v>0.47</v>
      </c>
      <c r="P160" s="134">
        <f t="shared" si="42"/>
        <v>0.47</v>
      </c>
      <c r="Q160" s="134">
        <f t="shared" si="42"/>
        <v>0.47</v>
      </c>
      <c r="R160" s="134">
        <f t="shared" si="42"/>
        <v>0.47</v>
      </c>
      <c r="S160" s="134">
        <f t="shared" si="43"/>
        <v>0.47</v>
      </c>
      <c r="T160" s="134">
        <f t="shared" si="43"/>
        <v>0.47</v>
      </c>
      <c r="U160" s="134">
        <f t="shared" si="43"/>
        <v>0.47</v>
      </c>
      <c r="V160" s="134">
        <f t="shared" si="43"/>
        <v>0.47</v>
      </c>
      <c r="W160" s="134">
        <f t="shared" si="43"/>
        <v>0.47</v>
      </c>
      <c r="X160" s="134">
        <f t="shared" si="43"/>
        <v>0.47</v>
      </c>
      <c r="Y160" s="134">
        <f t="shared" si="43"/>
        <v>0.47</v>
      </c>
      <c r="Z160" s="134">
        <f t="shared" si="43"/>
        <v>0.47</v>
      </c>
      <c r="AA160" s="134">
        <f t="shared" si="43"/>
        <v>0.47</v>
      </c>
      <c r="AB160" s="134">
        <f t="shared" si="43"/>
        <v>0.47</v>
      </c>
      <c r="AC160" s="134">
        <f t="shared" si="43"/>
        <v>0.47</v>
      </c>
      <c r="AD160" s="134">
        <f t="shared" si="43"/>
        <v>0.47</v>
      </c>
      <c r="AE160" s="134">
        <f t="shared" si="43"/>
        <v>0.47</v>
      </c>
      <c r="AF160" s="134">
        <f t="shared" si="43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2"/>
        <v>0</v>
      </c>
      <c r="D161" s="134">
        <f t="shared" si="42"/>
        <v>0</v>
      </c>
      <c r="E161" s="134">
        <f t="shared" si="42"/>
        <v>0</v>
      </c>
      <c r="F161" s="134">
        <f t="shared" si="42"/>
        <v>0</v>
      </c>
      <c r="G161" s="134">
        <f t="shared" si="42"/>
        <v>0</v>
      </c>
      <c r="H161" s="134">
        <f t="shared" si="42"/>
        <v>0</v>
      </c>
      <c r="I161" s="134">
        <f t="shared" si="42"/>
        <v>0</v>
      </c>
      <c r="J161" s="134">
        <f t="shared" si="42"/>
        <v>0</v>
      </c>
      <c r="K161" s="134">
        <f t="shared" si="42"/>
        <v>0</v>
      </c>
      <c r="L161" s="134">
        <f t="shared" si="42"/>
        <v>0</v>
      </c>
      <c r="M161" s="134">
        <f t="shared" si="42"/>
        <v>0</v>
      </c>
      <c r="N161" s="134">
        <f t="shared" si="42"/>
        <v>0</v>
      </c>
      <c r="O161" s="134">
        <f t="shared" si="42"/>
        <v>0</v>
      </c>
      <c r="P161" s="134">
        <f t="shared" si="42"/>
        <v>0</v>
      </c>
      <c r="Q161" s="134">
        <f t="shared" si="42"/>
        <v>0</v>
      </c>
      <c r="R161" s="134">
        <f t="shared" si="42"/>
        <v>0</v>
      </c>
      <c r="S161" s="134">
        <f t="shared" si="43"/>
        <v>0</v>
      </c>
      <c r="T161" s="134">
        <f t="shared" si="43"/>
        <v>0</v>
      </c>
      <c r="U161" s="134">
        <f t="shared" si="43"/>
        <v>0</v>
      </c>
      <c r="V161" s="134">
        <f t="shared" si="43"/>
        <v>0</v>
      </c>
      <c r="W161" s="134">
        <f t="shared" si="43"/>
        <v>0</v>
      </c>
      <c r="X161" s="134">
        <f t="shared" si="43"/>
        <v>0</v>
      </c>
      <c r="Y161" s="134">
        <f t="shared" si="43"/>
        <v>0</v>
      </c>
      <c r="Z161" s="134">
        <f t="shared" si="43"/>
        <v>0</v>
      </c>
      <c r="AA161" s="134">
        <f t="shared" si="43"/>
        <v>0</v>
      </c>
      <c r="AB161" s="134">
        <f t="shared" si="43"/>
        <v>0</v>
      </c>
      <c r="AC161" s="134">
        <f t="shared" si="43"/>
        <v>0</v>
      </c>
      <c r="AD161" s="134">
        <f t="shared" si="43"/>
        <v>0</v>
      </c>
      <c r="AE161" s="134">
        <f t="shared" si="43"/>
        <v>0</v>
      </c>
      <c r="AF161" s="134">
        <f t="shared" si="43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2"/>
        <v>0</v>
      </c>
      <c r="D162" s="134">
        <f t="shared" si="42"/>
        <v>0</v>
      </c>
      <c r="E162" s="134">
        <f t="shared" si="42"/>
        <v>0</v>
      </c>
      <c r="F162" s="134">
        <f t="shared" si="42"/>
        <v>0</v>
      </c>
      <c r="G162" s="134">
        <f t="shared" si="42"/>
        <v>0</v>
      </c>
      <c r="H162" s="134">
        <f t="shared" si="42"/>
        <v>0</v>
      </c>
      <c r="I162" s="134">
        <f t="shared" si="42"/>
        <v>0</v>
      </c>
      <c r="J162" s="134">
        <f t="shared" si="42"/>
        <v>0</v>
      </c>
      <c r="K162" s="134">
        <f t="shared" si="42"/>
        <v>0</v>
      </c>
      <c r="L162" s="134">
        <f t="shared" si="42"/>
        <v>0</v>
      </c>
      <c r="M162" s="134">
        <f t="shared" si="42"/>
        <v>0</v>
      </c>
      <c r="N162" s="134">
        <f t="shared" si="42"/>
        <v>0</v>
      </c>
      <c r="O162" s="134">
        <f t="shared" si="42"/>
        <v>0</v>
      </c>
      <c r="P162" s="134">
        <f t="shared" si="42"/>
        <v>0</v>
      </c>
      <c r="Q162" s="134">
        <f t="shared" si="42"/>
        <v>0</v>
      </c>
      <c r="R162" s="134">
        <f t="shared" si="43"/>
        <v>0</v>
      </c>
      <c r="S162" s="134">
        <f t="shared" si="43"/>
        <v>0</v>
      </c>
      <c r="T162" s="134">
        <f t="shared" si="43"/>
        <v>0</v>
      </c>
      <c r="U162" s="134">
        <f t="shared" si="43"/>
        <v>0</v>
      </c>
      <c r="V162" s="134">
        <f t="shared" si="43"/>
        <v>0</v>
      </c>
      <c r="W162" s="134">
        <f t="shared" si="43"/>
        <v>0</v>
      </c>
      <c r="X162" s="134">
        <f t="shared" si="43"/>
        <v>0</v>
      </c>
      <c r="Y162" s="134">
        <f t="shared" si="43"/>
        <v>0</v>
      </c>
      <c r="Z162" s="134">
        <f t="shared" si="43"/>
        <v>0</v>
      </c>
      <c r="AA162" s="134">
        <f t="shared" si="43"/>
        <v>0</v>
      </c>
      <c r="AB162" s="134">
        <f t="shared" si="43"/>
        <v>0</v>
      </c>
      <c r="AC162" s="134">
        <f t="shared" si="43"/>
        <v>0</v>
      </c>
      <c r="AD162" s="134">
        <f t="shared" si="43"/>
        <v>0</v>
      </c>
      <c r="AE162" s="134">
        <f t="shared" si="43"/>
        <v>0</v>
      </c>
      <c r="AF162" s="134">
        <f t="shared" si="43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2"/>
        <v>0.8</v>
      </c>
      <c r="D163" s="134">
        <f t="shared" si="42"/>
        <v>0.8</v>
      </c>
      <c r="E163" s="134">
        <f t="shared" si="42"/>
        <v>0.8</v>
      </c>
      <c r="F163" s="134">
        <f t="shared" si="42"/>
        <v>0.8</v>
      </c>
      <c r="G163" s="134">
        <f t="shared" si="42"/>
        <v>0.8</v>
      </c>
      <c r="H163" s="134">
        <f t="shared" si="42"/>
        <v>0.8</v>
      </c>
      <c r="I163" s="134">
        <f t="shared" si="42"/>
        <v>0.8</v>
      </c>
      <c r="J163" s="134">
        <f t="shared" si="42"/>
        <v>0.8</v>
      </c>
      <c r="K163" s="134">
        <f t="shared" si="42"/>
        <v>0.8</v>
      </c>
      <c r="L163" s="134">
        <f t="shared" si="42"/>
        <v>0.8</v>
      </c>
      <c r="M163" s="134">
        <f t="shared" si="42"/>
        <v>0.8</v>
      </c>
      <c r="N163" s="134">
        <f t="shared" si="42"/>
        <v>0.8</v>
      </c>
      <c r="O163" s="134">
        <f t="shared" si="42"/>
        <v>0.8</v>
      </c>
      <c r="P163" s="134">
        <f t="shared" si="42"/>
        <v>0.8</v>
      </c>
      <c r="Q163" s="134">
        <f t="shared" si="42"/>
        <v>0.8</v>
      </c>
      <c r="R163" s="134">
        <f t="shared" si="43"/>
        <v>0.8</v>
      </c>
      <c r="S163" s="134">
        <f t="shared" si="43"/>
        <v>0.8</v>
      </c>
      <c r="T163" s="134">
        <f t="shared" si="43"/>
        <v>0.8</v>
      </c>
      <c r="U163" s="134">
        <f t="shared" si="43"/>
        <v>0.8</v>
      </c>
      <c r="V163" s="134">
        <f t="shared" si="43"/>
        <v>0.8</v>
      </c>
      <c r="W163" s="134">
        <f t="shared" si="43"/>
        <v>0.8</v>
      </c>
      <c r="X163" s="134">
        <f t="shared" si="43"/>
        <v>0.8</v>
      </c>
      <c r="Y163" s="134">
        <f t="shared" si="43"/>
        <v>0.8</v>
      </c>
      <c r="Z163" s="134">
        <f t="shared" si="43"/>
        <v>0.8</v>
      </c>
      <c r="AA163" s="134">
        <f t="shared" si="43"/>
        <v>0.8</v>
      </c>
      <c r="AB163" s="134">
        <f t="shared" si="43"/>
        <v>0.8</v>
      </c>
      <c r="AC163" s="134">
        <f t="shared" si="43"/>
        <v>0.8</v>
      </c>
      <c r="AD163" s="134">
        <f t="shared" si="43"/>
        <v>0.8</v>
      </c>
      <c r="AE163" s="134">
        <f t="shared" si="43"/>
        <v>0.8</v>
      </c>
      <c r="AF163" s="134">
        <f t="shared" si="43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2"/>
        <v>1.5</v>
      </c>
      <c r="D164" s="134">
        <f t="shared" si="42"/>
        <v>1.5</v>
      </c>
      <c r="E164" s="134">
        <f t="shared" si="42"/>
        <v>1.5</v>
      </c>
      <c r="F164" s="134">
        <f t="shared" si="42"/>
        <v>1.5</v>
      </c>
      <c r="G164" s="134">
        <f t="shared" si="42"/>
        <v>1.5</v>
      </c>
      <c r="H164" s="134">
        <f t="shared" si="42"/>
        <v>1.5</v>
      </c>
      <c r="I164" s="134">
        <f t="shared" si="42"/>
        <v>1.5</v>
      </c>
      <c r="J164" s="134">
        <f t="shared" si="42"/>
        <v>1.5</v>
      </c>
      <c r="K164" s="134">
        <f t="shared" si="42"/>
        <v>1.5</v>
      </c>
      <c r="L164" s="134">
        <f t="shared" si="42"/>
        <v>1.5</v>
      </c>
      <c r="M164" s="134">
        <f t="shared" si="42"/>
        <v>1.5</v>
      </c>
      <c r="N164" s="134">
        <f t="shared" si="42"/>
        <v>1.5</v>
      </c>
      <c r="O164" s="134">
        <f t="shared" si="42"/>
        <v>1.5</v>
      </c>
      <c r="P164" s="134">
        <f t="shared" si="42"/>
        <v>1.5</v>
      </c>
      <c r="Q164" s="134">
        <f t="shared" si="42"/>
        <v>1.5</v>
      </c>
      <c r="R164" s="134">
        <f t="shared" si="43"/>
        <v>1.5</v>
      </c>
      <c r="S164" s="134">
        <f t="shared" si="43"/>
        <v>1.5</v>
      </c>
      <c r="T164" s="134">
        <f t="shared" si="43"/>
        <v>1.5</v>
      </c>
      <c r="U164" s="134">
        <f t="shared" si="43"/>
        <v>1.5</v>
      </c>
      <c r="V164" s="134">
        <f t="shared" si="43"/>
        <v>1.5</v>
      </c>
      <c r="W164" s="134">
        <f t="shared" si="43"/>
        <v>1.5</v>
      </c>
      <c r="X164" s="134">
        <f t="shared" si="43"/>
        <v>1.5</v>
      </c>
      <c r="Y164" s="134">
        <f t="shared" si="43"/>
        <v>1.5</v>
      </c>
      <c r="Z164" s="134">
        <f t="shared" si="43"/>
        <v>1.5</v>
      </c>
      <c r="AA164" s="134">
        <f t="shared" si="43"/>
        <v>1.5</v>
      </c>
      <c r="AB164" s="134">
        <f t="shared" si="43"/>
        <v>1.5</v>
      </c>
      <c r="AC164" s="134">
        <f t="shared" si="43"/>
        <v>1.5</v>
      </c>
      <c r="AD164" s="134">
        <f t="shared" si="43"/>
        <v>1.5</v>
      </c>
      <c r="AE164" s="134">
        <f t="shared" si="43"/>
        <v>1.5</v>
      </c>
      <c r="AF164" s="134">
        <f t="shared" si="43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2"/>
        <v>1</v>
      </c>
      <c r="D165" s="134">
        <f t="shared" si="42"/>
        <v>1</v>
      </c>
      <c r="E165" s="134">
        <f t="shared" si="42"/>
        <v>1</v>
      </c>
      <c r="F165" s="134">
        <f t="shared" si="42"/>
        <v>1</v>
      </c>
      <c r="G165" s="134">
        <f t="shared" si="42"/>
        <v>1</v>
      </c>
      <c r="H165" s="134">
        <f t="shared" si="42"/>
        <v>1</v>
      </c>
      <c r="I165" s="134">
        <f t="shared" si="42"/>
        <v>1</v>
      </c>
      <c r="J165" s="134">
        <f t="shared" si="42"/>
        <v>1</v>
      </c>
      <c r="K165" s="134">
        <f t="shared" si="42"/>
        <v>1</v>
      </c>
      <c r="L165" s="134">
        <f t="shared" si="42"/>
        <v>1</v>
      </c>
      <c r="M165" s="134">
        <f t="shared" si="42"/>
        <v>1</v>
      </c>
      <c r="N165" s="134">
        <f t="shared" si="42"/>
        <v>1</v>
      </c>
      <c r="O165" s="134">
        <f t="shared" si="42"/>
        <v>1</v>
      </c>
      <c r="P165" s="134">
        <f t="shared" si="42"/>
        <v>1</v>
      </c>
      <c r="Q165" s="134">
        <f t="shared" si="42"/>
        <v>1</v>
      </c>
      <c r="R165" s="134">
        <f t="shared" si="43"/>
        <v>1</v>
      </c>
      <c r="S165" s="134">
        <f t="shared" si="43"/>
        <v>1</v>
      </c>
      <c r="T165" s="134">
        <f t="shared" si="43"/>
        <v>1</v>
      </c>
      <c r="U165" s="134">
        <f t="shared" si="43"/>
        <v>1</v>
      </c>
      <c r="V165" s="134">
        <f t="shared" si="43"/>
        <v>1</v>
      </c>
      <c r="W165" s="134">
        <f t="shared" si="43"/>
        <v>1</v>
      </c>
      <c r="X165" s="134">
        <f t="shared" si="43"/>
        <v>1</v>
      </c>
      <c r="Y165" s="134">
        <f t="shared" si="43"/>
        <v>1</v>
      </c>
      <c r="Z165" s="134">
        <f t="shared" si="43"/>
        <v>1</v>
      </c>
      <c r="AA165" s="134">
        <f t="shared" si="43"/>
        <v>1</v>
      </c>
      <c r="AB165" s="134">
        <f t="shared" si="43"/>
        <v>1</v>
      </c>
      <c r="AC165" s="134">
        <f t="shared" si="43"/>
        <v>1</v>
      </c>
      <c r="AD165" s="134">
        <f t="shared" si="43"/>
        <v>1</v>
      </c>
      <c r="AE165" s="134">
        <f t="shared" si="43"/>
        <v>1</v>
      </c>
      <c r="AF165" s="134">
        <f t="shared" si="43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4">B167</f>
        <v>1</v>
      </c>
      <c r="D167" s="134">
        <f t="shared" si="44"/>
        <v>1</v>
      </c>
      <c r="E167" s="134">
        <f t="shared" si="44"/>
        <v>1</v>
      </c>
      <c r="F167" s="134">
        <f t="shared" si="44"/>
        <v>1</v>
      </c>
      <c r="G167" s="134">
        <f t="shared" si="44"/>
        <v>1</v>
      </c>
      <c r="H167" s="134">
        <f t="shared" si="44"/>
        <v>1</v>
      </c>
      <c r="I167" s="134">
        <f t="shared" si="44"/>
        <v>1</v>
      </c>
      <c r="J167" s="134">
        <f t="shared" si="44"/>
        <v>1</v>
      </c>
      <c r="K167" s="134">
        <f t="shared" si="44"/>
        <v>1</v>
      </c>
      <c r="L167" s="134">
        <f t="shared" si="44"/>
        <v>1</v>
      </c>
      <c r="M167" s="134">
        <f t="shared" si="44"/>
        <v>1</v>
      </c>
      <c r="N167" s="134">
        <f t="shared" si="44"/>
        <v>1</v>
      </c>
      <c r="O167" s="134">
        <f t="shared" si="44"/>
        <v>1</v>
      </c>
      <c r="P167" s="134">
        <f t="shared" si="44"/>
        <v>1</v>
      </c>
      <c r="Q167" s="134">
        <f t="shared" si="44"/>
        <v>1</v>
      </c>
      <c r="R167" s="134">
        <f t="shared" si="44"/>
        <v>1</v>
      </c>
      <c r="S167" s="134">
        <f t="shared" ref="R167:AF174" si="45">R167</f>
        <v>1</v>
      </c>
      <c r="T167" s="134">
        <f t="shared" si="45"/>
        <v>1</v>
      </c>
      <c r="U167" s="134">
        <f t="shared" si="45"/>
        <v>1</v>
      </c>
      <c r="V167" s="134">
        <f t="shared" si="45"/>
        <v>1</v>
      </c>
      <c r="W167" s="134">
        <f t="shared" si="45"/>
        <v>1</v>
      </c>
      <c r="X167" s="134">
        <f t="shared" si="45"/>
        <v>1</v>
      </c>
      <c r="Y167" s="134">
        <f t="shared" si="45"/>
        <v>1</v>
      </c>
      <c r="Z167" s="134">
        <f t="shared" si="45"/>
        <v>1</v>
      </c>
      <c r="AA167" s="134">
        <f t="shared" si="45"/>
        <v>1</v>
      </c>
      <c r="AB167" s="134">
        <f t="shared" si="45"/>
        <v>1</v>
      </c>
      <c r="AC167" s="134">
        <f t="shared" si="45"/>
        <v>1</v>
      </c>
      <c r="AD167" s="134">
        <f t="shared" si="45"/>
        <v>1</v>
      </c>
      <c r="AE167" s="134">
        <f t="shared" si="45"/>
        <v>1</v>
      </c>
      <c r="AF167" s="134">
        <f t="shared" si="45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4"/>
        <v>0.42</v>
      </c>
      <c r="D168" s="134">
        <f t="shared" si="44"/>
        <v>0.42</v>
      </c>
      <c r="E168" s="134">
        <f t="shared" si="44"/>
        <v>0.42</v>
      </c>
      <c r="F168" s="134">
        <f t="shared" si="44"/>
        <v>0.42</v>
      </c>
      <c r="G168" s="134">
        <f t="shared" si="44"/>
        <v>0.42</v>
      </c>
      <c r="H168" s="134">
        <f t="shared" si="44"/>
        <v>0.42</v>
      </c>
      <c r="I168" s="134">
        <f t="shared" si="44"/>
        <v>0.42</v>
      </c>
      <c r="J168" s="134">
        <f t="shared" si="44"/>
        <v>0.42</v>
      </c>
      <c r="K168" s="134">
        <f t="shared" si="44"/>
        <v>0.42</v>
      </c>
      <c r="L168" s="134">
        <f t="shared" si="44"/>
        <v>0.42</v>
      </c>
      <c r="M168" s="134">
        <f t="shared" si="44"/>
        <v>0.42</v>
      </c>
      <c r="N168" s="134">
        <f t="shared" si="44"/>
        <v>0.42</v>
      </c>
      <c r="O168" s="134">
        <f t="shared" si="44"/>
        <v>0.42</v>
      </c>
      <c r="P168" s="134">
        <f t="shared" si="44"/>
        <v>0.42</v>
      </c>
      <c r="Q168" s="134">
        <f t="shared" si="44"/>
        <v>0.42</v>
      </c>
      <c r="R168" s="134">
        <f t="shared" si="45"/>
        <v>0.42</v>
      </c>
      <c r="S168" s="134">
        <f t="shared" si="45"/>
        <v>0.42</v>
      </c>
      <c r="T168" s="134">
        <f t="shared" si="45"/>
        <v>0.42</v>
      </c>
      <c r="U168" s="134">
        <f t="shared" si="45"/>
        <v>0.42</v>
      </c>
      <c r="V168" s="134">
        <f t="shared" si="45"/>
        <v>0.42</v>
      </c>
      <c r="W168" s="134">
        <f t="shared" si="45"/>
        <v>0.42</v>
      </c>
      <c r="X168" s="134">
        <f t="shared" si="45"/>
        <v>0.42</v>
      </c>
      <c r="Y168" s="134">
        <f t="shared" si="45"/>
        <v>0.42</v>
      </c>
      <c r="Z168" s="134">
        <f t="shared" si="45"/>
        <v>0.42</v>
      </c>
      <c r="AA168" s="134">
        <f t="shared" si="45"/>
        <v>0.42</v>
      </c>
      <c r="AB168" s="134">
        <f t="shared" si="45"/>
        <v>0.42</v>
      </c>
      <c r="AC168" s="134">
        <f t="shared" si="45"/>
        <v>0.42</v>
      </c>
      <c r="AD168" s="134">
        <f t="shared" si="45"/>
        <v>0.42</v>
      </c>
      <c r="AE168" s="134">
        <f t="shared" si="45"/>
        <v>0.42</v>
      </c>
      <c r="AF168" s="134">
        <f t="shared" si="45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4"/>
        <v>0.46</v>
      </c>
      <c r="D169" s="134">
        <f t="shared" si="44"/>
        <v>0.46</v>
      </c>
      <c r="E169" s="134">
        <f t="shared" si="44"/>
        <v>0.46</v>
      </c>
      <c r="F169" s="134">
        <f t="shared" si="44"/>
        <v>0.46</v>
      </c>
      <c r="G169" s="134">
        <f t="shared" si="44"/>
        <v>0.46</v>
      </c>
      <c r="H169" s="134">
        <f t="shared" si="44"/>
        <v>0.46</v>
      </c>
      <c r="I169" s="134">
        <f t="shared" si="44"/>
        <v>0.46</v>
      </c>
      <c r="J169" s="134">
        <f t="shared" si="44"/>
        <v>0.46</v>
      </c>
      <c r="K169" s="134">
        <f t="shared" si="44"/>
        <v>0.46</v>
      </c>
      <c r="L169" s="134">
        <f t="shared" si="44"/>
        <v>0.46</v>
      </c>
      <c r="M169" s="134">
        <f t="shared" si="44"/>
        <v>0.46</v>
      </c>
      <c r="N169" s="134">
        <f t="shared" si="44"/>
        <v>0.46</v>
      </c>
      <c r="O169" s="134">
        <f t="shared" si="44"/>
        <v>0.46</v>
      </c>
      <c r="P169" s="134">
        <f t="shared" si="44"/>
        <v>0.46</v>
      </c>
      <c r="Q169" s="134">
        <f t="shared" si="44"/>
        <v>0.46</v>
      </c>
      <c r="R169" s="134">
        <f t="shared" si="45"/>
        <v>0.46</v>
      </c>
      <c r="S169" s="134">
        <f t="shared" si="45"/>
        <v>0.46</v>
      </c>
      <c r="T169" s="134">
        <f t="shared" si="45"/>
        <v>0.46</v>
      </c>
      <c r="U169" s="134">
        <f t="shared" si="45"/>
        <v>0.46</v>
      </c>
      <c r="V169" s="134">
        <f t="shared" si="45"/>
        <v>0.46</v>
      </c>
      <c r="W169" s="134">
        <f t="shared" si="45"/>
        <v>0.46</v>
      </c>
      <c r="X169" s="134">
        <f t="shared" si="45"/>
        <v>0.46</v>
      </c>
      <c r="Y169" s="134">
        <f t="shared" si="45"/>
        <v>0.46</v>
      </c>
      <c r="Z169" s="134">
        <f t="shared" si="45"/>
        <v>0.46</v>
      </c>
      <c r="AA169" s="134">
        <f t="shared" si="45"/>
        <v>0.46</v>
      </c>
      <c r="AB169" s="134">
        <f t="shared" si="45"/>
        <v>0.46</v>
      </c>
      <c r="AC169" s="134">
        <f t="shared" si="45"/>
        <v>0.46</v>
      </c>
      <c r="AD169" s="134">
        <f t="shared" si="45"/>
        <v>0.46</v>
      </c>
      <c r="AE169" s="134">
        <f t="shared" si="45"/>
        <v>0.46</v>
      </c>
      <c r="AF169" s="134">
        <f t="shared" si="45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4"/>
        <v>0.85</v>
      </c>
      <c r="D170" s="134">
        <f t="shared" si="44"/>
        <v>0.85</v>
      </c>
      <c r="E170" s="134">
        <f t="shared" si="44"/>
        <v>0.85</v>
      </c>
      <c r="F170" s="134">
        <f t="shared" si="44"/>
        <v>0.85</v>
      </c>
      <c r="G170" s="134">
        <f t="shared" si="44"/>
        <v>0.85</v>
      </c>
      <c r="H170" s="134">
        <f t="shared" si="44"/>
        <v>0.85</v>
      </c>
      <c r="I170" s="134">
        <f t="shared" si="44"/>
        <v>0.85</v>
      </c>
      <c r="J170" s="134">
        <f t="shared" si="44"/>
        <v>0.85</v>
      </c>
      <c r="K170" s="134">
        <f t="shared" si="44"/>
        <v>0.85</v>
      </c>
      <c r="L170" s="134">
        <f t="shared" si="44"/>
        <v>0.85</v>
      </c>
      <c r="M170" s="134">
        <f t="shared" si="44"/>
        <v>0.85</v>
      </c>
      <c r="N170" s="134">
        <f t="shared" si="44"/>
        <v>0.85</v>
      </c>
      <c r="O170" s="134">
        <f t="shared" si="44"/>
        <v>0.85</v>
      </c>
      <c r="P170" s="134">
        <f t="shared" si="44"/>
        <v>0.85</v>
      </c>
      <c r="Q170" s="134">
        <f t="shared" si="44"/>
        <v>0.85</v>
      </c>
      <c r="R170" s="134">
        <f t="shared" si="45"/>
        <v>0.85</v>
      </c>
      <c r="S170" s="134">
        <f t="shared" si="45"/>
        <v>0.85</v>
      </c>
      <c r="T170" s="134">
        <f t="shared" si="45"/>
        <v>0.85</v>
      </c>
      <c r="U170" s="134">
        <f t="shared" si="45"/>
        <v>0.85</v>
      </c>
      <c r="V170" s="134">
        <f t="shared" si="45"/>
        <v>0.85</v>
      </c>
      <c r="W170" s="134">
        <f t="shared" si="45"/>
        <v>0.85</v>
      </c>
      <c r="X170" s="134">
        <f t="shared" si="45"/>
        <v>0.85</v>
      </c>
      <c r="Y170" s="134">
        <f t="shared" si="45"/>
        <v>0.85</v>
      </c>
      <c r="Z170" s="134">
        <f t="shared" si="45"/>
        <v>0.85</v>
      </c>
      <c r="AA170" s="134">
        <f t="shared" si="45"/>
        <v>0.85</v>
      </c>
      <c r="AB170" s="134">
        <f t="shared" si="45"/>
        <v>0.85</v>
      </c>
      <c r="AC170" s="134">
        <f t="shared" si="45"/>
        <v>0.85</v>
      </c>
      <c r="AD170" s="134">
        <f t="shared" si="45"/>
        <v>0.85</v>
      </c>
      <c r="AE170" s="134">
        <f t="shared" si="45"/>
        <v>0.85</v>
      </c>
      <c r="AF170" s="134">
        <f t="shared" si="45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4"/>
        <v>0.9</v>
      </c>
      <c r="D171" s="134">
        <f t="shared" si="44"/>
        <v>0.9</v>
      </c>
      <c r="E171" s="134">
        <f t="shared" si="44"/>
        <v>0.9</v>
      </c>
      <c r="F171" s="134">
        <f t="shared" si="44"/>
        <v>0.9</v>
      </c>
      <c r="G171" s="134">
        <f t="shared" si="44"/>
        <v>0.9</v>
      </c>
      <c r="H171" s="134">
        <f t="shared" si="44"/>
        <v>0.9</v>
      </c>
      <c r="I171" s="134">
        <f t="shared" si="44"/>
        <v>0.9</v>
      </c>
      <c r="J171" s="134">
        <f t="shared" si="44"/>
        <v>0.9</v>
      </c>
      <c r="K171" s="134">
        <f t="shared" si="44"/>
        <v>0.9</v>
      </c>
      <c r="L171" s="134">
        <f t="shared" si="44"/>
        <v>0.9</v>
      </c>
      <c r="M171" s="134">
        <f t="shared" si="44"/>
        <v>0.9</v>
      </c>
      <c r="N171" s="134">
        <f t="shared" si="44"/>
        <v>0.9</v>
      </c>
      <c r="O171" s="134">
        <f t="shared" si="44"/>
        <v>0.9</v>
      </c>
      <c r="P171" s="134">
        <f t="shared" si="44"/>
        <v>0.9</v>
      </c>
      <c r="Q171" s="134">
        <f t="shared" si="44"/>
        <v>0.9</v>
      </c>
      <c r="R171" s="134">
        <f t="shared" si="45"/>
        <v>0.9</v>
      </c>
      <c r="S171" s="134">
        <f t="shared" si="45"/>
        <v>0.9</v>
      </c>
      <c r="T171" s="134">
        <f t="shared" si="45"/>
        <v>0.9</v>
      </c>
      <c r="U171" s="134">
        <f t="shared" si="45"/>
        <v>0.9</v>
      </c>
      <c r="V171" s="134">
        <f t="shared" si="45"/>
        <v>0.9</v>
      </c>
      <c r="W171" s="134">
        <f t="shared" si="45"/>
        <v>0.9</v>
      </c>
      <c r="X171" s="134">
        <f t="shared" si="45"/>
        <v>0.9</v>
      </c>
      <c r="Y171" s="134">
        <f t="shared" si="45"/>
        <v>0.9</v>
      </c>
      <c r="Z171" s="134">
        <f t="shared" si="45"/>
        <v>0.9</v>
      </c>
      <c r="AA171" s="134">
        <f t="shared" si="45"/>
        <v>0.9</v>
      </c>
      <c r="AB171" s="134">
        <f t="shared" si="45"/>
        <v>0.9</v>
      </c>
      <c r="AC171" s="134">
        <f t="shared" si="45"/>
        <v>0.9</v>
      </c>
      <c r="AD171" s="134">
        <f t="shared" si="45"/>
        <v>0.9</v>
      </c>
      <c r="AE171" s="134">
        <f t="shared" si="45"/>
        <v>0.9</v>
      </c>
      <c r="AF171" s="134">
        <f t="shared" si="45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4"/>
        <v>0.44</v>
      </c>
      <c r="D172" s="134">
        <f t="shared" si="44"/>
        <v>0.44</v>
      </c>
      <c r="E172" s="134">
        <f t="shared" si="44"/>
        <v>0.44</v>
      </c>
      <c r="F172" s="134">
        <f t="shared" si="44"/>
        <v>0.44</v>
      </c>
      <c r="G172" s="134">
        <f t="shared" si="44"/>
        <v>0.44</v>
      </c>
      <c r="H172" s="134">
        <f t="shared" si="44"/>
        <v>0.44</v>
      </c>
      <c r="I172" s="134">
        <f t="shared" si="44"/>
        <v>0.44</v>
      </c>
      <c r="J172" s="134">
        <f t="shared" si="44"/>
        <v>0.44</v>
      </c>
      <c r="K172" s="134">
        <f t="shared" si="44"/>
        <v>0.44</v>
      </c>
      <c r="L172" s="134">
        <f t="shared" si="44"/>
        <v>0.44</v>
      </c>
      <c r="M172" s="134">
        <f t="shared" si="44"/>
        <v>0.44</v>
      </c>
      <c r="N172" s="134">
        <f t="shared" si="44"/>
        <v>0.44</v>
      </c>
      <c r="O172" s="134">
        <f t="shared" si="44"/>
        <v>0.44</v>
      </c>
      <c r="P172" s="134">
        <f t="shared" si="44"/>
        <v>0.44</v>
      </c>
      <c r="Q172" s="134">
        <f t="shared" si="44"/>
        <v>0.44</v>
      </c>
      <c r="R172" s="134">
        <f t="shared" si="45"/>
        <v>0.44</v>
      </c>
      <c r="S172" s="134">
        <f t="shared" si="45"/>
        <v>0.44</v>
      </c>
      <c r="T172" s="134">
        <f t="shared" si="45"/>
        <v>0.44</v>
      </c>
      <c r="U172" s="134">
        <f t="shared" si="45"/>
        <v>0.44</v>
      </c>
      <c r="V172" s="134">
        <f t="shared" si="45"/>
        <v>0.44</v>
      </c>
      <c r="W172" s="134">
        <f t="shared" si="45"/>
        <v>0.44</v>
      </c>
      <c r="X172" s="134">
        <f t="shared" si="45"/>
        <v>0.44</v>
      </c>
      <c r="Y172" s="134">
        <f t="shared" si="45"/>
        <v>0.44</v>
      </c>
      <c r="Z172" s="134">
        <f t="shared" si="45"/>
        <v>0.44</v>
      </c>
      <c r="AA172" s="134">
        <f t="shared" si="45"/>
        <v>0.44</v>
      </c>
      <c r="AB172" s="134">
        <f t="shared" si="45"/>
        <v>0.44</v>
      </c>
      <c r="AC172" s="134">
        <f t="shared" si="45"/>
        <v>0.44</v>
      </c>
      <c r="AD172" s="134">
        <f t="shared" si="45"/>
        <v>0.44</v>
      </c>
      <c r="AE172" s="134">
        <f t="shared" si="45"/>
        <v>0.44</v>
      </c>
      <c r="AF172" s="134">
        <f t="shared" si="45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4"/>
        <v>2.1</v>
      </c>
      <c r="D173" s="134">
        <f t="shared" si="44"/>
        <v>2.1</v>
      </c>
      <c r="E173" s="134">
        <f t="shared" si="44"/>
        <v>2.1</v>
      </c>
      <c r="F173" s="134">
        <f t="shared" si="44"/>
        <v>2.1</v>
      </c>
      <c r="G173" s="134">
        <f t="shared" si="44"/>
        <v>2.1</v>
      </c>
      <c r="H173" s="134">
        <f t="shared" si="44"/>
        <v>2.1</v>
      </c>
      <c r="I173" s="134">
        <f t="shared" si="44"/>
        <v>2.1</v>
      </c>
      <c r="J173" s="134">
        <f t="shared" si="44"/>
        <v>2.1</v>
      </c>
      <c r="K173" s="134">
        <f t="shared" si="44"/>
        <v>2.1</v>
      </c>
      <c r="L173" s="134">
        <f t="shared" si="44"/>
        <v>2.1</v>
      </c>
      <c r="M173" s="134">
        <f t="shared" si="44"/>
        <v>2.1</v>
      </c>
      <c r="N173" s="134">
        <f t="shared" si="44"/>
        <v>2.1</v>
      </c>
      <c r="O173" s="134">
        <f t="shared" si="44"/>
        <v>2.1</v>
      </c>
      <c r="P173" s="134">
        <f t="shared" si="44"/>
        <v>2.1</v>
      </c>
      <c r="Q173" s="134">
        <f t="shared" si="44"/>
        <v>2.1</v>
      </c>
      <c r="R173" s="134">
        <f t="shared" si="45"/>
        <v>2.1</v>
      </c>
      <c r="S173" s="134">
        <f t="shared" si="45"/>
        <v>2.1</v>
      </c>
      <c r="T173" s="134">
        <f t="shared" si="45"/>
        <v>2.1</v>
      </c>
      <c r="U173" s="134">
        <f t="shared" si="45"/>
        <v>2.1</v>
      </c>
      <c r="V173" s="134">
        <f t="shared" si="45"/>
        <v>2.1</v>
      </c>
      <c r="W173" s="134">
        <f t="shared" si="45"/>
        <v>2.1</v>
      </c>
      <c r="X173" s="134">
        <f t="shared" si="45"/>
        <v>2.1</v>
      </c>
      <c r="Y173" s="134">
        <f t="shared" si="45"/>
        <v>2.1</v>
      </c>
      <c r="Z173" s="134">
        <f t="shared" si="45"/>
        <v>2.1</v>
      </c>
      <c r="AA173" s="134">
        <f t="shared" si="45"/>
        <v>2.1</v>
      </c>
      <c r="AB173" s="134">
        <f t="shared" si="45"/>
        <v>2.1</v>
      </c>
      <c r="AC173" s="134">
        <f t="shared" si="45"/>
        <v>2.1</v>
      </c>
      <c r="AD173" s="134">
        <f t="shared" si="45"/>
        <v>2.1</v>
      </c>
      <c r="AE173" s="134">
        <f t="shared" si="45"/>
        <v>2.1</v>
      </c>
      <c r="AF173" s="134">
        <f t="shared" si="45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4"/>
        <v>0.9</v>
      </c>
      <c r="D174" s="134">
        <f t="shared" si="44"/>
        <v>0.9</v>
      </c>
      <c r="E174" s="134">
        <f t="shared" si="44"/>
        <v>0.9</v>
      </c>
      <c r="F174" s="134">
        <f t="shared" si="44"/>
        <v>0.9</v>
      </c>
      <c r="G174" s="134">
        <f t="shared" si="44"/>
        <v>0.9</v>
      </c>
      <c r="H174" s="134">
        <f t="shared" si="44"/>
        <v>0.9</v>
      </c>
      <c r="I174" s="134">
        <f t="shared" si="44"/>
        <v>0.9</v>
      </c>
      <c r="J174" s="134">
        <f t="shared" si="44"/>
        <v>0.9</v>
      </c>
      <c r="K174" s="134">
        <f t="shared" si="44"/>
        <v>0.9</v>
      </c>
      <c r="L174" s="134">
        <f t="shared" si="44"/>
        <v>0.9</v>
      </c>
      <c r="M174" s="134">
        <f t="shared" si="44"/>
        <v>0.9</v>
      </c>
      <c r="N174" s="134">
        <f t="shared" si="44"/>
        <v>0.9</v>
      </c>
      <c r="O174" s="134">
        <f t="shared" si="44"/>
        <v>0.9</v>
      </c>
      <c r="P174" s="134">
        <f t="shared" si="44"/>
        <v>0.9</v>
      </c>
      <c r="Q174" s="134">
        <f t="shared" si="44"/>
        <v>0.9</v>
      </c>
      <c r="R174" s="134">
        <f t="shared" si="45"/>
        <v>0.9</v>
      </c>
      <c r="S174" s="134">
        <f t="shared" si="45"/>
        <v>0.9</v>
      </c>
      <c r="T174" s="134">
        <f t="shared" si="45"/>
        <v>0.9</v>
      </c>
      <c r="U174" s="134">
        <f t="shared" si="45"/>
        <v>0.9</v>
      </c>
      <c r="V174" s="134">
        <f t="shared" si="45"/>
        <v>0.9</v>
      </c>
      <c r="W174" s="134">
        <f t="shared" si="45"/>
        <v>0.9</v>
      </c>
      <c r="X174" s="134">
        <f t="shared" si="45"/>
        <v>0.9</v>
      </c>
      <c r="Y174" s="134">
        <f t="shared" si="45"/>
        <v>0.9</v>
      </c>
      <c r="Z174" s="134">
        <f t="shared" si="45"/>
        <v>0.9</v>
      </c>
      <c r="AA174" s="134">
        <f t="shared" si="45"/>
        <v>0.9</v>
      </c>
      <c r="AB174" s="134">
        <f t="shared" si="45"/>
        <v>0.9</v>
      </c>
      <c r="AC174" s="134">
        <f t="shared" si="45"/>
        <v>0.9</v>
      </c>
      <c r="AD174" s="134">
        <f t="shared" si="45"/>
        <v>0.9</v>
      </c>
      <c r="AE174" s="134">
        <f t="shared" si="45"/>
        <v>0.9</v>
      </c>
      <c r="AF174" s="134">
        <f t="shared" si="45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6">B176</f>
        <v>0.57999999999999996</v>
      </c>
      <c r="D176" s="134">
        <f t="shared" si="46"/>
        <v>0.57999999999999996</v>
      </c>
      <c r="E176" s="134">
        <f t="shared" si="46"/>
        <v>0.57999999999999996</v>
      </c>
      <c r="F176" s="134">
        <f t="shared" si="46"/>
        <v>0.57999999999999996</v>
      </c>
      <c r="G176" s="134">
        <f t="shared" si="46"/>
        <v>0.57999999999999996</v>
      </c>
      <c r="H176" s="134">
        <f t="shared" si="46"/>
        <v>0.57999999999999996</v>
      </c>
      <c r="I176" s="134">
        <f t="shared" si="46"/>
        <v>0.57999999999999996</v>
      </c>
      <c r="J176" s="134">
        <f t="shared" si="46"/>
        <v>0.57999999999999996</v>
      </c>
      <c r="K176" s="134">
        <f t="shared" si="46"/>
        <v>0.57999999999999996</v>
      </c>
      <c r="L176" s="134">
        <f t="shared" si="46"/>
        <v>0.57999999999999996</v>
      </c>
      <c r="M176" s="134">
        <f t="shared" si="46"/>
        <v>0.57999999999999996</v>
      </c>
      <c r="N176" s="134">
        <f t="shared" si="46"/>
        <v>0.57999999999999996</v>
      </c>
      <c r="O176" s="134">
        <f t="shared" si="46"/>
        <v>0.57999999999999996</v>
      </c>
      <c r="P176" s="134">
        <f t="shared" si="46"/>
        <v>0.57999999999999996</v>
      </c>
      <c r="Q176" s="134">
        <f t="shared" si="46"/>
        <v>0.57999999999999996</v>
      </c>
      <c r="R176" s="134">
        <f t="shared" si="46"/>
        <v>0.57999999999999996</v>
      </c>
      <c r="S176" s="134">
        <f t="shared" ref="R176:AF188" si="47">R176</f>
        <v>0.57999999999999996</v>
      </c>
      <c r="T176" s="134">
        <f t="shared" si="47"/>
        <v>0.57999999999999996</v>
      </c>
      <c r="U176" s="134">
        <f t="shared" si="47"/>
        <v>0.57999999999999996</v>
      </c>
      <c r="V176" s="134">
        <f t="shared" si="47"/>
        <v>0.57999999999999996</v>
      </c>
      <c r="W176" s="134">
        <f t="shared" si="47"/>
        <v>0.57999999999999996</v>
      </c>
      <c r="X176" s="134">
        <f t="shared" si="47"/>
        <v>0.57999999999999996</v>
      </c>
      <c r="Y176" s="134">
        <f t="shared" si="47"/>
        <v>0.57999999999999996</v>
      </c>
      <c r="Z176" s="134">
        <f t="shared" si="47"/>
        <v>0.57999999999999996</v>
      </c>
      <c r="AA176" s="134">
        <f t="shared" si="47"/>
        <v>0.57999999999999996</v>
      </c>
      <c r="AB176" s="134">
        <f t="shared" si="47"/>
        <v>0.57999999999999996</v>
      </c>
      <c r="AC176" s="134">
        <f t="shared" si="47"/>
        <v>0.57999999999999996</v>
      </c>
      <c r="AD176" s="134">
        <f t="shared" si="47"/>
        <v>0.57999999999999996</v>
      </c>
      <c r="AE176" s="134">
        <f t="shared" si="47"/>
        <v>0.57999999999999996</v>
      </c>
      <c r="AF176" s="134">
        <f t="shared" si="47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6"/>
        <v>0.8</v>
      </c>
      <c r="D177" s="134">
        <f t="shared" si="46"/>
        <v>0.8</v>
      </c>
      <c r="E177" s="134">
        <f t="shared" si="46"/>
        <v>0.8</v>
      </c>
      <c r="F177" s="134">
        <f t="shared" si="46"/>
        <v>0.8</v>
      </c>
      <c r="G177" s="134">
        <f t="shared" si="46"/>
        <v>0.8</v>
      </c>
      <c r="H177" s="134">
        <f t="shared" si="46"/>
        <v>0.8</v>
      </c>
      <c r="I177" s="134">
        <f t="shared" si="46"/>
        <v>0.8</v>
      </c>
      <c r="J177" s="134">
        <f t="shared" si="46"/>
        <v>0.8</v>
      </c>
      <c r="K177" s="134">
        <f t="shared" si="46"/>
        <v>0.8</v>
      </c>
      <c r="L177" s="134">
        <f t="shared" si="46"/>
        <v>0.8</v>
      </c>
      <c r="M177" s="134">
        <f t="shared" si="46"/>
        <v>0.8</v>
      </c>
      <c r="N177" s="134">
        <f t="shared" si="46"/>
        <v>0.8</v>
      </c>
      <c r="O177" s="134">
        <f t="shared" si="46"/>
        <v>0.8</v>
      </c>
      <c r="P177" s="134">
        <f t="shared" si="46"/>
        <v>0.8</v>
      </c>
      <c r="Q177" s="134">
        <f t="shared" si="46"/>
        <v>0.8</v>
      </c>
      <c r="R177" s="134">
        <f t="shared" si="46"/>
        <v>0.8</v>
      </c>
      <c r="S177" s="134">
        <f t="shared" si="47"/>
        <v>0.8</v>
      </c>
      <c r="T177" s="134">
        <f t="shared" si="47"/>
        <v>0.8</v>
      </c>
      <c r="U177" s="134">
        <f t="shared" si="47"/>
        <v>0.8</v>
      </c>
      <c r="V177" s="134">
        <f t="shared" si="47"/>
        <v>0.8</v>
      </c>
      <c r="W177" s="134">
        <f t="shared" si="47"/>
        <v>0.8</v>
      </c>
      <c r="X177" s="134">
        <f t="shared" si="47"/>
        <v>0.8</v>
      </c>
      <c r="Y177" s="134">
        <f t="shared" si="47"/>
        <v>0.8</v>
      </c>
      <c r="Z177" s="134">
        <f t="shared" si="47"/>
        <v>0.8</v>
      </c>
      <c r="AA177" s="134">
        <f t="shared" si="47"/>
        <v>0.8</v>
      </c>
      <c r="AB177" s="134">
        <f t="shared" si="47"/>
        <v>0.8</v>
      </c>
      <c r="AC177" s="134">
        <f t="shared" si="47"/>
        <v>0.8</v>
      </c>
      <c r="AD177" s="134">
        <f t="shared" si="47"/>
        <v>0.8</v>
      </c>
      <c r="AE177" s="134">
        <f t="shared" si="47"/>
        <v>0.8</v>
      </c>
      <c r="AF177" s="134">
        <f t="shared" si="47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6"/>
        <v>0</v>
      </c>
      <c r="D178" s="134">
        <f t="shared" si="46"/>
        <v>0</v>
      </c>
      <c r="E178" s="134">
        <f t="shared" si="46"/>
        <v>0</v>
      </c>
      <c r="F178" s="134">
        <f t="shared" si="46"/>
        <v>0</v>
      </c>
      <c r="G178" s="134">
        <f t="shared" si="46"/>
        <v>0</v>
      </c>
      <c r="H178" s="134">
        <f t="shared" si="46"/>
        <v>0</v>
      </c>
      <c r="I178" s="134">
        <f t="shared" si="46"/>
        <v>0</v>
      </c>
      <c r="J178" s="134">
        <f t="shared" si="46"/>
        <v>0</v>
      </c>
      <c r="K178" s="134">
        <f t="shared" si="46"/>
        <v>0</v>
      </c>
      <c r="L178" s="134">
        <f t="shared" si="46"/>
        <v>0</v>
      </c>
      <c r="M178" s="134">
        <f t="shared" si="46"/>
        <v>0</v>
      </c>
      <c r="N178" s="134">
        <f t="shared" si="46"/>
        <v>0</v>
      </c>
      <c r="O178" s="134">
        <f t="shared" si="46"/>
        <v>0</v>
      </c>
      <c r="P178" s="134">
        <f t="shared" si="46"/>
        <v>0</v>
      </c>
      <c r="Q178" s="134">
        <f t="shared" si="46"/>
        <v>0</v>
      </c>
      <c r="R178" s="134">
        <f t="shared" si="46"/>
        <v>0</v>
      </c>
      <c r="S178" s="134">
        <f t="shared" si="47"/>
        <v>0</v>
      </c>
      <c r="T178" s="134">
        <f t="shared" si="47"/>
        <v>0</v>
      </c>
      <c r="U178" s="134">
        <f t="shared" si="47"/>
        <v>0</v>
      </c>
      <c r="V178" s="134">
        <f t="shared" si="47"/>
        <v>0</v>
      </c>
      <c r="W178" s="134">
        <f t="shared" si="47"/>
        <v>0</v>
      </c>
      <c r="X178" s="134">
        <f t="shared" si="47"/>
        <v>0</v>
      </c>
      <c r="Y178" s="134">
        <f t="shared" si="47"/>
        <v>0</v>
      </c>
      <c r="Z178" s="134">
        <f t="shared" si="47"/>
        <v>0</v>
      </c>
      <c r="AA178" s="134">
        <f t="shared" si="47"/>
        <v>0</v>
      </c>
      <c r="AB178" s="134">
        <f t="shared" si="47"/>
        <v>0</v>
      </c>
      <c r="AC178" s="134">
        <f t="shared" si="47"/>
        <v>0</v>
      </c>
      <c r="AD178" s="134">
        <f t="shared" si="47"/>
        <v>0</v>
      </c>
      <c r="AE178" s="134">
        <f t="shared" si="47"/>
        <v>0</v>
      </c>
      <c r="AF178" s="134">
        <f t="shared" si="47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6"/>
        <v>0.6</v>
      </c>
      <c r="D179" s="134">
        <f t="shared" si="46"/>
        <v>0.6</v>
      </c>
      <c r="E179" s="134">
        <f t="shared" si="46"/>
        <v>0.6</v>
      </c>
      <c r="F179" s="134">
        <f t="shared" si="46"/>
        <v>0.6</v>
      </c>
      <c r="G179" s="134">
        <f t="shared" si="46"/>
        <v>0.6</v>
      </c>
      <c r="H179" s="134">
        <f t="shared" si="46"/>
        <v>0.6</v>
      </c>
      <c r="I179" s="134">
        <f t="shared" si="46"/>
        <v>0.6</v>
      </c>
      <c r="J179" s="134">
        <f t="shared" si="46"/>
        <v>0.6</v>
      </c>
      <c r="K179" s="134">
        <f t="shared" si="46"/>
        <v>0.6</v>
      </c>
      <c r="L179" s="134">
        <f t="shared" si="46"/>
        <v>0.6</v>
      </c>
      <c r="M179" s="134">
        <f t="shared" si="46"/>
        <v>0.6</v>
      </c>
      <c r="N179" s="134">
        <f t="shared" si="46"/>
        <v>0.6</v>
      </c>
      <c r="O179" s="134">
        <f t="shared" si="46"/>
        <v>0.6</v>
      </c>
      <c r="P179" s="134">
        <f t="shared" si="46"/>
        <v>0.6</v>
      </c>
      <c r="Q179" s="134">
        <f t="shared" si="46"/>
        <v>0.6</v>
      </c>
      <c r="R179" s="134">
        <f t="shared" si="46"/>
        <v>0.6</v>
      </c>
      <c r="S179" s="134">
        <f t="shared" si="47"/>
        <v>0.6</v>
      </c>
      <c r="T179" s="134">
        <f t="shared" si="47"/>
        <v>0.6</v>
      </c>
      <c r="U179" s="134">
        <f t="shared" si="47"/>
        <v>0.6</v>
      </c>
      <c r="V179" s="134">
        <f t="shared" si="47"/>
        <v>0.6</v>
      </c>
      <c r="W179" s="134">
        <f t="shared" si="47"/>
        <v>0.6</v>
      </c>
      <c r="X179" s="134">
        <f t="shared" si="47"/>
        <v>0.6</v>
      </c>
      <c r="Y179" s="134">
        <f t="shared" si="47"/>
        <v>0.6</v>
      </c>
      <c r="Z179" s="134">
        <f t="shared" si="47"/>
        <v>0.6</v>
      </c>
      <c r="AA179" s="134">
        <f t="shared" si="47"/>
        <v>0.6</v>
      </c>
      <c r="AB179" s="134">
        <f t="shared" si="47"/>
        <v>0.6</v>
      </c>
      <c r="AC179" s="134">
        <f t="shared" si="47"/>
        <v>0.6</v>
      </c>
      <c r="AD179" s="134">
        <f t="shared" si="47"/>
        <v>0.6</v>
      </c>
      <c r="AE179" s="134">
        <f t="shared" si="47"/>
        <v>0.6</v>
      </c>
      <c r="AF179" s="134">
        <f t="shared" si="47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6"/>
        <v>0.6</v>
      </c>
      <c r="D180" s="134">
        <f t="shared" si="46"/>
        <v>0.6</v>
      </c>
      <c r="E180" s="134">
        <f t="shared" si="46"/>
        <v>0.6</v>
      </c>
      <c r="F180" s="134">
        <f t="shared" si="46"/>
        <v>0.6</v>
      </c>
      <c r="G180" s="134">
        <f t="shared" si="46"/>
        <v>0.6</v>
      </c>
      <c r="H180" s="134">
        <f t="shared" si="46"/>
        <v>0.6</v>
      </c>
      <c r="I180" s="134">
        <f t="shared" si="46"/>
        <v>0.6</v>
      </c>
      <c r="J180" s="134">
        <f t="shared" si="46"/>
        <v>0.6</v>
      </c>
      <c r="K180" s="134">
        <f t="shared" si="46"/>
        <v>0.6</v>
      </c>
      <c r="L180" s="134">
        <f t="shared" si="46"/>
        <v>0.6</v>
      </c>
      <c r="M180" s="134">
        <f t="shared" si="46"/>
        <v>0.6</v>
      </c>
      <c r="N180" s="134">
        <f t="shared" si="46"/>
        <v>0.6</v>
      </c>
      <c r="O180" s="134">
        <f t="shared" si="46"/>
        <v>0.6</v>
      </c>
      <c r="P180" s="134">
        <f t="shared" si="46"/>
        <v>0.6</v>
      </c>
      <c r="Q180" s="134">
        <f t="shared" si="46"/>
        <v>0.6</v>
      </c>
      <c r="R180" s="134">
        <f t="shared" si="46"/>
        <v>0.6</v>
      </c>
      <c r="S180" s="134">
        <f t="shared" si="47"/>
        <v>0.6</v>
      </c>
      <c r="T180" s="134">
        <f t="shared" si="47"/>
        <v>0.6</v>
      </c>
      <c r="U180" s="134">
        <f t="shared" si="47"/>
        <v>0.6</v>
      </c>
      <c r="V180" s="134">
        <f t="shared" si="47"/>
        <v>0.6</v>
      </c>
      <c r="W180" s="134">
        <f t="shared" si="47"/>
        <v>0.6</v>
      </c>
      <c r="X180" s="134">
        <f t="shared" si="47"/>
        <v>0.6</v>
      </c>
      <c r="Y180" s="134">
        <f t="shared" si="47"/>
        <v>0.6</v>
      </c>
      <c r="Z180" s="134">
        <f t="shared" si="47"/>
        <v>0.6</v>
      </c>
      <c r="AA180" s="134">
        <f t="shared" si="47"/>
        <v>0.6</v>
      </c>
      <c r="AB180" s="134">
        <f t="shared" si="47"/>
        <v>0.6</v>
      </c>
      <c r="AC180" s="134">
        <f t="shared" si="47"/>
        <v>0.6</v>
      </c>
      <c r="AD180" s="134">
        <f t="shared" si="47"/>
        <v>0.6</v>
      </c>
      <c r="AE180" s="134">
        <f t="shared" si="47"/>
        <v>0.6</v>
      </c>
      <c r="AF180" s="134">
        <f t="shared" si="47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6"/>
        <v>0.35</v>
      </c>
      <c r="D181" s="134">
        <f t="shared" si="46"/>
        <v>0.35</v>
      </c>
      <c r="E181" s="134">
        <f t="shared" si="46"/>
        <v>0.35</v>
      </c>
      <c r="F181" s="134">
        <f t="shared" si="46"/>
        <v>0.35</v>
      </c>
      <c r="G181" s="134">
        <f t="shared" si="46"/>
        <v>0.35</v>
      </c>
      <c r="H181" s="134">
        <f t="shared" si="46"/>
        <v>0.35</v>
      </c>
      <c r="I181" s="134">
        <f t="shared" si="46"/>
        <v>0.35</v>
      </c>
      <c r="J181" s="134">
        <f t="shared" si="46"/>
        <v>0.35</v>
      </c>
      <c r="K181" s="134">
        <f t="shared" si="46"/>
        <v>0.35</v>
      </c>
      <c r="L181" s="134">
        <f t="shared" si="46"/>
        <v>0.35</v>
      </c>
      <c r="M181" s="134">
        <f t="shared" si="46"/>
        <v>0.35</v>
      </c>
      <c r="N181" s="134">
        <f t="shared" si="46"/>
        <v>0.35</v>
      </c>
      <c r="O181" s="134">
        <f t="shared" si="46"/>
        <v>0.35</v>
      </c>
      <c r="P181" s="134">
        <f t="shared" si="46"/>
        <v>0.35</v>
      </c>
      <c r="Q181" s="134">
        <f t="shared" si="46"/>
        <v>0.35</v>
      </c>
      <c r="R181" s="134">
        <f t="shared" si="46"/>
        <v>0.35</v>
      </c>
      <c r="S181" s="134">
        <f t="shared" si="47"/>
        <v>0.35</v>
      </c>
      <c r="T181" s="134">
        <f t="shared" si="47"/>
        <v>0.35</v>
      </c>
      <c r="U181" s="134">
        <f t="shared" si="47"/>
        <v>0.35</v>
      </c>
      <c r="V181" s="134">
        <f t="shared" si="47"/>
        <v>0.35</v>
      </c>
      <c r="W181" s="134">
        <f t="shared" si="47"/>
        <v>0.35</v>
      </c>
      <c r="X181" s="134">
        <f t="shared" si="47"/>
        <v>0.35</v>
      </c>
      <c r="Y181" s="134">
        <f t="shared" si="47"/>
        <v>0.35</v>
      </c>
      <c r="Z181" s="134">
        <f t="shared" si="47"/>
        <v>0.35</v>
      </c>
      <c r="AA181" s="134">
        <f t="shared" si="47"/>
        <v>0.35</v>
      </c>
      <c r="AB181" s="134">
        <f t="shared" si="47"/>
        <v>0.35</v>
      </c>
      <c r="AC181" s="134">
        <f t="shared" si="47"/>
        <v>0.35</v>
      </c>
      <c r="AD181" s="134">
        <f t="shared" si="47"/>
        <v>0.35</v>
      </c>
      <c r="AE181" s="134">
        <f t="shared" si="47"/>
        <v>0.35</v>
      </c>
      <c r="AF181" s="134">
        <f t="shared" si="47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6"/>
        <v>0.28999999999999998</v>
      </c>
      <c r="D182" s="134">
        <f t="shared" si="46"/>
        <v>0.28999999999999998</v>
      </c>
      <c r="E182" s="134">
        <f t="shared" si="46"/>
        <v>0.28999999999999998</v>
      </c>
      <c r="F182" s="134">
        <f t="shared" si="46"/>
        <v>0.28999999999999998</v>
      </c>
      <c r="G182" s="134">
        <f t="shared" si="46"/>
        <v>0.28999999999999998</v>
      </c>
      <c r="H182" s="134">
        <f t="shared" si="46"/>
        <v>0.28999999999999998</v>
      </c>
      <c r="I182" s="134">
        <f t="shared" si="46"/>
        <v>0.28999999999999998</v>
      </c>
      <c r="J182" s="134">
        <f t="shared" si="46"/>
        <v>0.28999999999999998</v>
      </c>
      <c r="K182" s="134">
        <f t="shared" si="46"/>
        <v>0.28999999999999998</v>
      </c>
      <c r="L182" s="134">
        <f t="shared" si="46"/>
        <v>0.28999999999999998</v>
      </c>
      <c r="M182" s="134">
        <f t="shared" si="46"/>
        <v>0.28999999999999998</v>
      </c>
      <c r="N182" s="134">
        <f t="shared" si="46"/>
        <v>0.28999999999999998</v>
      </c>
      <c r="O182" s="134">
        <f t="shared" si="46"/>
        <v>0.28999999999999998</v>
      </c>
      <c r="P182" s="134">
        <f t="shared" si="46"/>
        <v>0.28999999999999998</v>
      </c>
      <c r="Q182" s="134">
        <f t="shared" si="46"/>
        <v>0.28999999999999998</v>
      </c>
      <c r="R182" s="134">
        <f t="shared" si="46"/>
        <v>0.28999999999999998</v>
      </c>
      <c r="S182" s="134">
        <f t="shared" si="47"/>
        <v>0.28999999999999998</v>
      </c>
      <c r="T182" s="134">
        <f t="shared" si="47"/>
        <v>0.28999999999999998</v>
      </c>
      <c r="U182" s="134">
        <f t="shared" si="47"/>
        <v>0.28999999999999998</v>
      </c>
      <c r="V182" s="134">
        <f t="shared" si="47"/>
        <v>0.28999999999999998</v>
      </c>
      <c r="W182" s="134">
        <f t="shared" si="47"/>
        <v>0.28999999999999998</v>
      </c>
      <c r="X182" s="134">
        <f t="shared" si="47"/>
        <v>0.28999999999999998</v>
      </c>
      <c r="Y182" s="134">
        <f t="shared" si="47"/>
        <v>0.28999999999999998</v>
      </c>
      <c r="Z182" s="134">
        <f t="shared" si="47"/>
        <v>0.28999999999999998</v>
      </c>
      <c r="AA182" s="134">
        <f t="shared" si="47"/>
        <v>0.28999999999999998</v>
      </c>
      <c r="AB182" s="134">
        <f t="shared" si="47"/>
        <v>0.28999999999999998</v>
      </c>
      <c r="AC182" s="134">
        <f t="shared" si="47"/>
        <v>0.28999999999999998</v>
      </c>
      <c r="AD182" s="134">
        <f t="shared" si="47"/>
        <v>0.28999999999999998</v>
      </c>
      <c r="AE182" s="134">
        <f t="shared" si="47"/>
        <v>0.28999999999999998</v>
      </c>
      <c r="AF182" s="134">
        <f t="shared" si="47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6"/>
        <v>0.06</v>
      </c>
      <c r="D183" s="134">
        <f t="shared" si="46"/>
        <v>0.06</v>
      </c>
      <c r="E183" s="134">
        <f t="shared" si="46"/>
        <v>0.06</v>
      </c>
      <c r="F183" s="134">
        <f t="shared" si="46"/>
        <v>0.06</v>
      </c>
      <c r="G183" s="134">
        <f t="shared" si="46"/>
        <v>0.06</v>
      </c>
      <c r="H183" s="134">
        <f t="shared" si="46"/>
        <v>0.06</v>
      </c>
      <c r="I183" s="134">
        <f t="shared" si="46"/>
        <v>0.06</v>
      </c>
      <c r="J183" s="134">
        <f t="shared" si="46"/>
        <v>0.06</v>
      </c>
      <c r="K183" s="134">
        <f t="shared" si="46"/>
        <v>0.06</v>
      </c>
      <c r="L183" s="134">
        <f t="shared" si="46"/>
        <v>0.06</v>
      </c>
      <c r="M183" s="134">
        <f t="shared" si="46"/>
        <v>0.06</v>
      </c>
      <c r="N183" s="134">
        <f t="shared" si="46"/>
        <v>0.06</v>
      </c>
      <c r="O183" s="134">
        <f t="shared" si="46"/>
        <v>0.06</v>
      </c>
      <c r="P183" s="134">
        <f t="shared" si="46"/>
        <v>0.06</v>
      </c>
      <c r="Q183" s="134">
        <f t="shared" si="46"/>
        <v>0.06</v>
      </c>
      <c r="R183" s="134">
        <f t="shared" si="46"/>
        <v>0.06</v>
      </c>
      <c r="S183" s="134">
        <f t="shared" si="47"/>
        <v>0.06</v>
      </c>
      <c r="T183" s="134">
        <f t="shared" si="47"/>
        <v>0.06</v>
      </c>
      <c r="U183" s="134">
        <f t="shared" si="47"/>
        <v>0.06</v>
      </c>
      <c r="V183" s="134">
        <f t="shared" si="47"/>
        <v>0.06</v>
      </c>
      <c r="W183" s="134">
        <f t="shared" si="47"/>
        <v>0.06</v>
      </c>
      <c r="X183" s="134">
        <f t="shared" si="47"/>
        <v>0.06</v>
      </c>
      <c r="Y183" s="134">
        <f t="shared" si="47"/>
        <v>0.06</v>
      </c>
      <c r="Z183" s="134">
        <f t="shared" si="47"/>
        <v>0.06</v>
      </c>
      <c r="AA183" s="134">
        <f t="shared" si="47"/>
        <v>0.06</v>
      </c>
      <c r="AB183" s="134">
        <f t="shared" si="47"/>
        <v>0.06</v>
      </c>
      <c r="AC183" s="134">
        <f t="shared" si="47"/>
        <v>0.06</v>
      </c>
      <c r="AD183" s="134">
        <f t="shared" si="47"/>
        <v>0.06</v>
      </c>
      <c r="AE183" s="134">
        <f t="shared" si="47"/>
        <v>0.06</v>
      </c>
      <c r="AF183" s="134">
        <f t="shared" si="47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6"/>
        <v>0.11</v>
      </c>
      <c r="D184" s="134">
        <f t="shared" si="46"/>
        <v>0.11</v>
      </c>
      <c r="E184" s="134">
        <f t="shared" si="46"/>
        <v>0.11</v>
      </c>
      <c r="F184" s="134">
        <f t="shared" si="46"/>
        <v>0.11</v>
      </c>
      <c r="G184" s="134">
        <f t="shared" si="46"/>
        <v>0.11</v>
      </c>
      <c r="H184" s="134">
        <f t="shared" si="46"/>
        <v>0.11</v>
      </c>
      <c r="I184" s="134">
        <f t="shared" si="46"/>
        <v>0.11</v>
      </c>
      <c r="J184" s="134">
        <f t="shared" si="46"/>
        <v>0.11</v>
      </c>
      <c r="K184" s="134">
        <f t="shared" si="46"/>
        <v>0.11</v>
      </c>
      <c r="L184" s="134">
        <f t="shared" si="46"/>
        <v>0.11</v>
      </c>
      <c r="M184" s="134">
        <f t="shared" si="46"/>
        <v>0.11</v>
      </c>
      <c r="N184" s="134">
        <f t="shared" si="46"/>
        <v>0.11</v>
      </c>
      <c r="O184" s="134">
        <f t="shared" si="46"/>
        <v>0.11</v>
      </c>
      <c r="P184" s="134">
        <f t="shared" si="46"/>
        <v>0.11</v>
      </c>
      <c r="Q184" s="134">
        <f t="shared" si="46"/>
        <v>0.11</v>
      </c>
      <c r="R184" s="134">
        <f t="shared" si="46"/>
        <v>0.11</v>
      </c>
      <c r="S184" s="134">
        <f t="shared" si="47"/>
        <v>0.11</v>
      </c>
      <c r="T184" s="134">
        <f t="shared" si="47"/>
        <v>0.11</v>
      </c>
      <c r="U184" s="134">
        <f t="shared" si="47"/>
        <v>0.11</v>
      </c>
      <c r="V184" s="134">
        <f t="shared" si="47"/>
        <v>0.11</v>
      </c>
      <c r="W184" s="134">
        <f t="shared" si="47"/>
        <v>0.11</v>
      </c>
      <c r="X184" s="134">
        <f t="shared" si="47"/>
        <v>0.11</v>
      </c>
      <c r="Y184" s="134">
        <f t="shared" si="47"/>
        <v>0.11</v>
      </c>
      <c r="Z184" s="134">
        <f t="shared" si="47"/>
        <v>0.11</v>
      </c>
      <c r="AA184" s="134">
        <f t="shared" si="47"/>
        <v>0.11</v>
      </c>
      <c r="AB184" s="134">
        <f t="shared" si="47"/>
        <v>0.11</v>
      </c>
      <c r="AC184" s="134">
        <f t="shared" si="47"/>
        <v>0.11</v>
      </c>
      <c r="AD184" s="134">
        <f t="shared" si="47"/>
        <v>0.11</v>
      </c>
      <c r="AE184" s="134">
        <f t="shared" si="47"/>
        <v>0.11</v>
      </c>
      <c r="AF184" s="134">
        <f t="shared" si="47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6"/>
        <v>0.1</v>
      </c>
      <c r="D185" s="134">
        <f t="shared" si="46"/>
        <v>0.1</v>
      </c>
      <c r="E185" s="134">
        <f t="shared" si="46"/>
        <v>0.1</v>
      </c>
      <c r="F185" s="134">
        <f t="shared" si="46"/>
        <v>0.1</v>
      </c>
      <c r="G185" s="134">
        <f t="shared" si="46"/>
        <v>0.1</v>
      </c>
      <c r="H185" s="134">
        <f t="shared" si="46"/>
        <v>0.1</v>
      </c>
      <c r="I185" s="134">
        <f t="shared" si="46"/>
        <v>0.1</v>
      </c>
      <c r="J185" s="134">
        <f t="shared" si="46"/>
        <v>0.1</v>
      </c>
      <c r="K185" s="134">
        <f t="shared" si="46"/>
        <v>0.1</v>
      </c>
      <c r="L185" s="134">
        <f t="shared" si="46"/>
        <v>0.1</v>
      </c>
      <c r="M185" s="134">
        <f t="shared" si="46"/>
        <v>0.1</v>
      </c>
      <c r="N185" s="134">
        <f t="shared" si="46"/>
        <v>0.1</v>
      </c>
      <c r="O185" s="134">
        <f t="shared" si="46"/>
        <v>0.1</v>
      </c>
      <c r="P185" s="134">
        <f t="shared" si="46"/>
        <v>0.1</v>
      </c>
      <c r="Q185" s="134">
        <f t="shared" si="46"/>
        <v>0.1</v>
      </c>
      <c r="R185" s="134">
        <f t="shared" si="47"/>
        <v>0.1</v>
      </c>
      <c r="S185" s="134">
        <f t="shared" si="47"/>
        <v>0.1</v>
      </c>
      <c r="T185" s="134">
        <f t="shared" si="47"/>
        <v>0.1</v>
      </c>
      <c r="U185" s="134">
        <f t="shared" si="47"/>
        <v>0.1</v>
      </c>
      <c r="V185" s="134">
        <f t="shared" si="47"/>
        <v>0.1</v>
      </c>
      <c r="W185" s="134">
        <f t="shared" si="47"/>
        <v>0.1</v>
      </c>
      <c r="X185" s="134">
        <f t="shared" si="47"/>
        <v>0.1</v>
      </c>
      <c r="Y185" s="134">
        <f t="shared" si="47"/>
        <v>0.1</v>
      </c>
      <c r="Z185" s="134">
        <f t="shared" si="47"/>
        <v>0.1</v>
      </c>
      <c r="AA185" s="134">
        <f t="shared" si="47"/>
        <v>0.1</v>
      </c>
      <c r="AB185" s="134">
        <f t="shared" si="47"/>
        <v>0.1</v>
      </c>
      <c r="AC185" s="134">
        <f t="shared" si="47"/>
        <v>0.1</v>
      </c>
      <c r="AD185" s="134">
        <f t="shared" si="47"/>
        <v>0.1</v>
      </c>
      <c r="AE185" s="134">
        <f t="shared" si="47"/>
        <v>0.1</v>
      </c>
      <c r="AF185" s="134">
        <f t="shared" si="47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6"/>
        <v>0.09</v>
      </c>
      <c r="D186" s="134">
        <f t="shared" si="46"/>
        <v>0.09</v>
      </c>
      <c r="E186" s="134">
        <f t="shared" si="46"/>
        <v>0.09</v>
      </c>
      <c r="F186" s="134">
        <f t="shared" si="46"/>
        <v>0.09</v>
      </c>
      <c r="G186" s="134">
        <f t="shared" si="46"/>
        <v>0.09</v>
      </c>
      <c r="H186" s="134">
        <f t="shared" si="46"/>
        <v>0.09</v>
      </c>
      <c r="I186" s="134">
        <f t="shared" si="46"/>
        <v>0.09</v>
      </c>
      <c r="J186" s="134">
        <f t="shared" si="46"/>
        <v>0.09</v>
      </c>
      <c r="K186" s="134">
        <f t="shared" si="46"/>
        <v>0.09</v>
      </c>
      <c r="L186" s="134">
        <f t="shared" si="46"/>
        <v>0.09</v>
      </c>
      <c r="M186" s="134">
        <f t="shared" si="46"/>
        <v>0.09</v>
      </c>
      <c r="N186" s="134">
        <f t="shared" si="46"/>
        <v>0.09</v>
      </c>
      <c r="O186" s="134">
        <f t="shared" si="46"/>
        <v>0.09</v>
      </c>
      <c r="P186" s="134">
        <f t="shared" si="46"/>
        <v>0.09</v>
      </c>
      <c r="Q186" s="134">
        <f t="shared" si="46"/>
        <v>0.09</v>
      </c>
      <c r="R186" s="134">
        <f t="shared" si="47"/>
        <v>0.09</v>
      </c>
      <c r="S186" s="134">
        <f t="shared" si="47"/>
        <v>0.09</v>
      </c>
      <c r="T186" s="134">
        <f t="shared" si="47"/>
        <v>0.09</v>
      </c>
      <c r="U186" s="134">
        <f t="shared" si="47"/>
        <v>0.09</v>
      </c>
      <c r="V186" s="134">
        <f t="shared" si="47"/>
        <v>0.09</v>
      </c>
      <c r="W186" s="134">
        <f t="shared" si="47"/>
        <v>0.09</v>
      </c>
      <c r="X186" s="134">
        <f t="shared" si="47"/>
        <v>0.09</v>
      </c>
      <c r="Y186" s="134">
        <f t="shared" si="47"/>
        <v>0.09</v>
      </c>
      <c r="Z186" s="134">
        <f t="shared" si="47"/>
        <v>0.09</v>
      </c>
      <c r="AA186" s="134">
        <f t="shared" si="47"/>
        <v>0.09</v>
      </c>
      <c r="AB186" s="134">
        <f t="shared" si="47"/>
        <v>0.09</v>
      </c>
      <c r="AC186" s="134">
        <f t="shared" si="47"/>
        <v>0.09</v>
      </c>
      <c r="AD186" s="134">
        <f t="shared" si="47"/>
        <v>0.09</v>
      </c>
      <c r="AE186" s="134">
        <f t="shared" si="47"/>
        <v>0.09</v>
      </c>
      <c r="AF186" s="134">
        <f t="shared" si="47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6"/>
        <v>0.04</v>
      </c>
      <c r="D187" s="134">
        <f t="shared" si="46"/>
        <v>0.04</v>
      </c>
      <c r="E187" s="134">
        <f t="shared" si="46"/>
        <v>0.04</v>
      </c>
      <c r="F187" s="134">
        <f t="shared" si="46"/>
        <v>0.04</v>
      </c>
      <c r="G187" s="134">
        <f t="shared" si="46"/>
        <v>0.04</v>
      </c>
      <c r="H187" s="134">
        <f t="shared" si="46"/>
        <v>0.04</v>
      </c>
      <c r="I187" s="134">
        <f t="shared" si="46"/>
        <v>0.04</v>
      </c>
      <c r="J187" s="134">
        <f t="shared" si="46"/>
        <v>0.04</v>
      </c>
      <c r="K187" s="134">
        <f t="shared" si="46"/>
        <v>0.04</v>
      </c>
      <c r="L187" s="134">
        <f t="shared" si="46"/>
        <v>0.04</v>
      </c>
      <c r="M187" s="134">
        <f t="shared" si="46"/>
        <v>0.04</v>
      </c>
      <c r="N187" s="134">
        <f t="shared" si="46"/>
        <v>0.04</v>
      </c>
      <c r="O187" s="134">
        <f t="shared" si="46"/>
        <v>0.04</v>
      </c>
      <c r="P187" s="134">
        <f t="shared" si="46"/>
        <v>0.04</v>
      </c>
      <c r="Q187" s="134">
        <f t="shared" si="46"/>
        <v>0.04</v>
      </c>
      <c r="R187" s="134">
        <f t="shared" si="47"/>
        <v>0.04</v>
      </c>
      <c r="S187" s="134">
        <f t="shared" si="47"/>
        <v>0.04</v>
      </c>
      <c r="T187" s="134">
        <f t="shared" si="47"/>
        <v>0.04</v>
      </c>
      <c r="U187" s="134">
        <f t="shared" si="47"/>
        <v>0.04</v>
      </c>
      <c r="V187" s="134">
        <f t="shared" si="47"/>
        <v>0.04</v>
      </c>
      <c r="W187" s="134">
        <f t="shared" si="47"/>
        <v>0.04</v>
      </c>
      <c r="X187" s="134">
        <f t="shared" si="47"/>
        <v>0.04</v>
      </c>
      <c r="Y187" s="134">
        <f t="shared" si="47"/>
        <v>0.04</v>
      </c>
      <c r="Z187" s="134">
        <f t="shared" si="47"/>
        <v>0.04</v>
      </c>
      <c r="AA187" s="134">
        <f t="shared" si="47"/>
        <v>0.04</v>
      </c>
      <c r="AB187" s="134">
        <f t="shared" si="47"/>
        <v>0.04</v>
      </c>
      <c r="AC187" s="134">
        <f t="shared" si="47"/>
        <v>0.04</v>
      </c>
      <c r="AD187" s="134">
        <f t="shared" si="47"/>
        <v>0.04</v>
      </c>
      <c r="AE187" s="134">
        <f t="shared" si="47"/>
        <v>0.04</v>
      </c>
      <c r="AF187" s="134">
        <f t="shared" si="47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6"/>
        <v>2.3E-2</v>
      </c>
      <c r="E188" s="134">
        <f t="shared" si="46"/>
        <v>2.3E-2</v>
      </c>
      <c r="F188" s="134">
        <f t="shared" si="46"/>
        <v>2.3E-2</v>
      </c>
      <c r="G188" s="134">
        <f t="shared" si="46"/>
        <v>2.3E-2</v>
      </c>
      <c r="H188" s="134">
        <f t="shared" si="46"/>
        <v>2.3E-2</v>
      </c>
      <c r="I188" s="134">
        <f t="shared" si="46"/>
        <v>2.3E-2</v>
      </c>
      <c r="J188" s="134">
        <f t="shared" si="46"/>
        <v>2.3E-2</v>
      </c>
      <c r="K188" s="134">
        <f t="shared" si="46"/>
        <v>2.3E-2</v>
      </c>
      <c r="L188" s="134">
        <f t="shared" si="46"/>
        <v>2.3E-2</v>
      </c>
      <c r="M188" s="134">
        <f t="shared" si="46"/>
        <v>2.3E-2</v>
      </c>
      <c r="N188" s="134">
        <f t="shared" si="46"/>
        <v>2.3E-2</v>
      </c>
      <c r="O188" s="134">
        <f t="shared" si="46"/>
        <v>2.3E-2</v>
      </c>
      <c r="P188" s="134">
        <f t="shared" si="46"/>
        <v>2.3E-2</v>
      </c>
      <c r="Q188" s="134">
        <f t="shared" si="46"/>
        <v>2.3E-2</v>
      </c>
      <c r="R188" s="134">
        <f t="shared" si="47"/>
        <v>2.3E-2</v>
      </c>
      <c r="S188" s="134">
        <f t="shared" si="47"/>
        <v>2.3E-2</v>
      </c>
      <c r="T188" s="134">
        <f t="shared" si="47"/>
        <v>2.3E-2</v>
      </c>
      <c r="U188" s="134">
        <f t="shared" si="47"/>
        <v>2.3E-2</v>
      </c>
      <c r="V188" s="134">
        <f t="shared" si="47"/>
        <v>2.3E-2</v>
      </c>
      <c r="W188" s="134">
        <f t="shared" si="47"/>
        <v>2.3E-2</v>
      </c>
      <c r="X188" s="134">
        <f t="shared" si="47"/>
        <v>2.3E-2</v>
      </c>
      <c r="Y188" s="134">
        <f t="shared" si="47"/>
        <v>2.3E-2</v>
      </c>
      <c r="Z188" s="134">
        <f t="shared" si="47"/>
        <v>2.3E-2</v>
      </c>
      <c r="AA188" s="134">
        <f t="shared" si="47"/>
        <v>2.3E-2</v>
      </c>
      <c r="AB188" s="134">
        <f t="shared" si="47"/>
        <v>2.3E-2</v>
      </c>
      <c r="AC188" s="134">
        <f t="shared" si="47"/>
        <v>2.3E-2</v>
      </c>
      <c r="AD188" s="134">
        <f t="shared" si="47"/>
        <v>2.3E-2</v>
      </c>
      <c r="AE188" s="134">
        <f t="shared" si="47"/>
        <v>2.3E-2</v>
      </c>
      <c r="AF188" s="134">
        <f t="shared" si="47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8">SUM(B99:B188)</f>
        <v>194.70600000000002</v>
      </c>
      <c r="C189" s="138">
        <f t="shared" si="48"/>
        <v>194.70600000000002</v>
      </c>
      <c r="D189" s="138">
        <f t="shared" si="48"/>
        <v>194.70600000000002</v>
      </c>
      <c r="E189" s="138">
        <f t="shared" si="48"/>
        <v>194.70600000000002</v>
      </c>
      <c r="F189" s="138">
        <f t="shared" si="48"/>
        <v>194.70600000000002</v>
      </c>
      <c r="G189" s="138">
        <f t="shared" si="48"/>
        <v>194.70600000000002</v>
      </c>
      <c r="H189" s="138">
        <f t="shared" si="48"/>
        <v>194.70600000000002</v>
      </c>
      <c r="I189" s="138">
        <f t="shared" si="48"/>
        <v>192.10600000000005</v>
      </c>
      <c r="J189" s="138">
        <f t="shared" si="48"/>
        <v>192.10600000000005</v>
      </c>
      <c r="K189" s="138">
        <f t="shared" si="48"/>
        <v>192.10600000000005</v>
      </c>
      <c r="L189" s="138">
        <f t="shared" si="48"/>
        <v>192.10600000000005</v>
      </c>
      <c r="M189" s="138">
        <f t="shared" si="48"/>
        <v>192.10600000000005</v>
      </c>
      <c r="N189" s="138">
        <f t="shared" si="48"/>
        <v>192.10600000000005</v>
      </c>
      <c r="O189" s="138">
        <f t="shared" si="48"/>
        <v>192.10600000000005</v>
      </c>
      <c r="P189" s="138">
        <f t="shared" si="48"/>
        <v>192.10600000000005</v>
      </c>
      <c r="Q189" s="138">
        <f t="shared" si="48"/>
        <v>192.10600000000005</v>
      </c>
      <c r="R189" s="138">
        <f t="shared" si="48"/>
        <v>192.10600000000005</v>
      </c>
      <c r="S189" s="138">
        <f t="shared" si="48"/>
        <v>192.10600000000005</v>
      </c>
      <c r="T189" s="138">
        <f t="shared" si="48"/>
        <v>192.10600000000005</v>
      </c>
      <c r="U189" s="138">
        <f t="shared" si="48"/>
        <v>192.10600000000005</v>
      </c>
      <c r="V189" s="138">
        <f t="shared" si="48"/>
        <v>192.10600000000005</v>
      </c>
      <c r="W189" s="138">
        <f t="shared" si="48"/>
        <v>192.10600000000005</v>
      </c>
      <c r="X189" s="138">
        <f t="shared" si="48"/>
        <v>192.10600000000005</v>
      </c>
      <c r="Y189" s="138">
        <f t="shared" si="48"/>
        <v>192.10600000000005</v>
      </c>
      <c r="Z189" s="138">
        <f t="shared" si="48"/>
        <v>192.10600000000005</v>
      </c>
      <c r="AA189" s="138">
        <f t="shared" si="48"/>
        <v>192.10600000000005</v>
      </c>
      <c r="AB189" s="138">
        <f t="shared" si="48"/>
        <v>192.10600000000005</v>
      </c>
      <c r="AC189" s="138">
        <f t="shared" si="48"/>
        <v>192.10600000000005</v>
      </c>
      <c r="AD189" s="138">
        <f t="shared" si="48"/>
        <v>192.10600000000005</v>
      </c>
      <c r="AE189" s="138">
        <f t="shared" si="48"/>
        <v>192.10600000000005</v>
      </c>
      <c r="AF189" s="138">
        <f t="shared" si="48"/>
        <v>192.10600000000005</v>
      </c>
      <c r="AG189" s="139">
        <f t="shared" si="48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9">B191</f>
        <v>0.3</v>
      </c>
      <c r="D191" s="140">
        <f t="shared" si="49"/>
        <v>0.3</v>
      </c>
      <c r="E191" s="140">
        <f t="shared" si="49"/>
        <v>0.3</v>
      </c>
      <c r="F191" s="140">
        <f t="shared" si="49"/>
        <v>0.3</v>
      </c>
      <c r="G191" s="140">
        <f t="shared" si="49"/>
        <v>0.3</v>
      </c>
      <c r="H191" s="140">
        <f t="shared" si="49"/>
        <v>0.3</v>
      </c>
      <c r="I191" s="140">
        <f t="shared" si="49"/>
        <v>0.3</v>
      </c>
      <c r="J191" s="140">
        <f t="shared" si="49"/>
        <v>0.3</v>
      </c>
      <c r="K191" s="140">
        <f t="shared" si="49"/>
        <v>0.3</v>
      </c>
      <c r="L191" s="140">
        <f t="shared" si="49"/>
        <v>0.3</v>
      </c>
      <c r="M191" s="140">
        <f t="shared" si="49"/>
        <v>0.3</v>
      </c>
      <c r="N191" s="140">
        <f t="shared" si="49"/>
        <v>0.3</v>
      </c>
      <c r="O191" s="140">
        <f t="shared" si="49"/>
        <v>0.3</v>
      </c>
      <c r="P191" s="140">
        <f t="shared" si="49"/>
        <v>0.3</v>
      </c>
      <c r="Q191" s="140">
        <f t="shared" si="49"/>
        <v>0.3</v>
      </c>
      <c r="R191" s="140">
        <f t="shared" si="49"/>
        <v>0.3</v>
      </c>
      <c r="S191" s="140">
        <f t="shared" ref="S191:AF196" si="50">R191</f>
        <v>0.3</v>
      </c>
      <c r="T191" s="140">
        <f t="shared" si="50"/>
        <v>0.3</v>
      </c>
      <c r="U191" s="140">
        <f t="shared" si="50"/>
        <v>0.3</v>
      </c>
      <c r="V191" s="140">
        <f t="shared" si="50"/>
        <v>0.3</v>
      </c>
      <c r="W191" s="140">
        <f t="shared" si="50"/>
        <v>0.3</v>
      </c>
      <c r="X191" s="140">
        <f t="shared" si="50"/>
        <v>0.3</v>
      </c>
      <c r="Y191" s="140">
        <f t="shared" si="50"/>
        <v>0.3</v>
      </c>
      <c r="Z191" s="140">
        <f t="shared" si="50"/>
        <v>0.3</v>
      </c>
      <c r="AA191" s="140">
        <f t="shared" si="50"/>
        <v>0.3</v>
      </c>
      <c r="AB191" s="140">
        <f t="shared" si="50"/>
        <v>0.3</v>
      </c>
      <c r="AC191" s="140">
        <f t="shared" si="50"/>
        <v>0.3</v>
      </c>
      <c r="AD191" s="140">
        <f t="shared" si="50"/>
        <v>0.3</v>
      </c>
      <c r="AE191" s="140">
        <f t="shared" si="50"/>
        <v>0.3</v>
      </c>
      <c r="AF191" s="140">
        <f t="shared" si="50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9"/>
        <v>0.4</v>
      </c>
      <c r="D192" s="134">
        <f t="shared" si="49"/>
        <v>0.4</v>
      </c>
      <c r="E192" s="134">
        <f t="shared" si="49"/>
        <v>0.4</v>
      </c>
      <c r="F192" s="134">
        <f t="shared" si="49"/>
        <v>0.4</v>
      </c>
      <c r="G192" s="134">
        <f t="shared" si="49"/>
        <v>0.4</v>
      </c>
      <c r="H192" s="134">
        <f t="shared" si="49"/>
        <v>0.4</v>
      </c>
      <c r="I192" s="134">
        <f t="shared" si="49"/>
        <v>0.4</v>
      </c>
      <c r="J192" s="134">
        <f t="shared" si="49"/>
        <v>0.4</v>
      </c>
      <c r="K192" s="134">
        <f t="shared" si="49"/>
        <v>0.4</v>
      </c>
      <c r="L192" s="134">
        <f t="shared" si="49"/>
        <v>0.4</v>
      </c>
      <c r="M192" s="134">
        <f t="shared" si="49"/>
        <v>0.4</v>
      </c>
      <c r="N192" s="134">
        <f t="shared" si="49"/>
        <v>0.4</v>
      </c>
      <c r="O192" s="134">
        <f t="shared" si="49"/>
        <v>0.4</v>
      </c>
      <c r="P192" s="134">
        <f t="shared" si="49"/>
        <v>0.4</v>
      </c>
      <c r="Q192" s="134">
        <f t="shared" si="49"/>
        <v>0.4</v>
      </c>
      <c r="R192" s="134">
        <f t="shared" si="49"/>
        <v>0.4</v>
      </c>
      <c r="S192" s="134">
        <f t="shared" si="50"/>
        <v>0.4</v>
      </c>
      <c r="T192" s="134">
        <f t="shared" si="50"/>
        <v>0.4</v>
      </c>
      <c r="U192" s="134">
        <f t="shared" si="50"/>
        <v>0.4</v>
      </c>
      <c r="V192" s="134">
        <f>U192</f>
        <v>0.4</v>
      </c>
      <c r="W192" s="134">
        <f>V192</f>
        <v>0.4</v>
      </c>
      <c r="X192" s="134">
        <f t="shared" si="50"/>
        <v>0.4</v>
      </c>
      <c r="Y192" s="134">
        <f t="shared" si="50"/>
        <v>0.4</v>
      </c>
      <c r="Z192" s="134">
        <f t="shared" si="50"/>
        <v>0.4</v>
      </c>
      <c r="AA192" s="134">
        <f t="shared" si="50"/>
        <v>0.4</v>
      </c>
      <c r="AB192" s="134">
        <f t="shared" si="50"/>
        <v>0.4</v>
      </c>
      <c r="AC192" s="134">
        <f t="shared" si="50"/>
        <v>0.4</v>
      </c>
      <c r="AD192" s="134">
        <f t="shared" si="50"/>
        <v>0.4</v>
      </c>
      <c r="AE192" s="134">
        <f t="shared" si="50"/>
        <v>0.4</v>
      </c>
      <c r="AF192" s="134">
        <f t="shared" si="50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9"/>
        <v>1.5</v>
      </c>
      <c r="D193" s="134">
        <f t="shared" si="49"/>
        <v>1.5</v>
      </c>
      <c r="E193" s="134">
        <f t="shared" si="49"/>
        <v>1.5</v>
      </c>
      <c r="F193" s="134">
        <f t="shared" si="49"/>
        <v>1.5</v>
      </c>
      <c r="G193" s="134">
        <f t="shared" si="49"/>
        <v>1.5</v>
      </c>
      <c r="H193" s="134">
        <f t="shared" si="49"/>
        <v>1.5</v>
      </c>
      <c r="I193" s="134">
        <f t="shared" si="49"/>
        <v>1.5</v>
      </c>
      <c r="J193" s="134">
        <f t="shared" si="49"/>
        <v>1.5</v>
      </c>
      <c r="K193" s="134">
        <f t="shared" si="49"/>
        <v>1.5</v>
      </c>
      <c r="L193" s="134">
        <f t="shared" si="49"/>
        <v>1.5</v>
      </c>
      <c r="M193" s="134">
        <f t="shared" si="49"/>
        <v>1.5</v>
      </c>
      <c r="N193" s="134">
        <f t="shared" si="49"/>
        <v>1.5</v>
      </c>
      <c r="O193" s="134">
        <f t="shared" si="49"/>
        <v>1.5</v>
      </c>
      <c r="P193" s="134">
        <f t="shared" si="49"/>
        <v>1.5</v>
      </c>
      <c r="Q193" s="134">
        <f t="shared" si="49"/>
        <v>1.5</v>
      </c>
      <c r="R193" s="134">
        <f t="shared" si="49"/>
        <v>1.5</v>
      </c>
      <c r="S193" s="134">
        <f t="shared" si="50"/>
        <v>1.5</v>
      </c>
      <c r="T193" s="134">
        <f t="shared" si="50"/>
        <v>1.5</v>
      </c>
      <c r="U193" s="134">
        <f t="shared" si="50"/>
        <v>1.5</v>
      </c>
      <c r="V193" s="134">
        <f t="shared" si="50"/>
        <v>1.5</v>
      </c>
      <c r="W193" s="134">
        <f t="shared" si="50"/>
        <v>1.5</v>
      </c>
      <c r="X193" s="134">
        <f t="shared" si="50"/>
        <v>1.5</v>
      </c>
      <c r="Y193" s="134">
        <f t="shared" si="50"/>
        <v>1.5</v>
      </c>
      <c r="Z193" s="134">
        <f t="shared" si="50"/>
        <v>1.5</v>
      </c>
      <c r="AA193" s="134">
        <f t="shared" si="50"/>
        <v>1.5</v>
      </c>
      <c r="AB193" s="134">
        <f t="shared" si="50"/>
        <v>1.5</v>
      </c>
      <c r="AC193" s="134">
        <f t="shared" si="50"/>
        <v>1.5</v>
      </c>
      <c r="AD193" s="134">
        <f t="shared" si="50"/>
        <v>1.5</v>
      </c>
      <c r="AE193" s="134">
        <f t="shared" si="50"/>
        <v>1.5</v>
      </c>
      <c r="AF193" s="134">
        <f t="shared" si="50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9"/>
        <v>0.3</v>
      </c>
      <c r="D194" s="134">
        <f t="shared" si="49"/>
        <v>0.3</v>
      </c>
      <c r="E194" s="134">
        <f t="shared" si="49"/>
        <v>0.3</v>
      </c>
      <c r="F194" s="134">
        <f t="shared" si="49"/>
        <v>0.3</v>
      </c>
      <c r="G194" s="134">
        <f t="shared" si="49"/>
        <v>0.3</v>
      </c>
      <c r="H194" s="134">
        <f t="shared" si="49"/>
        <v>0.3</v>
      </c>
      <c r="I194" s="134">
        <f t="shared" si="49"/>
        <v>0.3</v>
      </c>
      <c r="J194" s="134">
        <f t="shared" si="49"/>
        <v>0.3</v>
      </c>
      <c r="K194" s="134">
        <f t="shared" si="49"/>
        <v>0.3</v>
      </c>
      <c r="L194" s="134">
        <f t="shared" si="49"/>
        <v>0.3</v>
      </c>
      <c r="M194" s="134">
        <f t="shared" si="49"/>
        <v>0.3</v>
      </c>
      <c r="N194" s="134">
        <f t="shared" si="49"/>
        <v>0.3</v>
      </c>
      <c r="O194" s="134">
        <f t="shared" si="49"/>
        <v>0.3</v>
      </c>
      <c r="P194" s="134">
        <f t="shared" si="49"/>
        <v>0.3</v>
      </c>
      <c r="Q194" s="134">
        <f t="shared" si="49"/>
        <v>0.3</v>
      </c>
      <c r="R194" s="134">
        <f t="shared" si="49"/>
        <v>0.3</v>
      </c>
      <c r="S194" s="134">
        <f t="shared" si="50"/>
        <v>0.3</v>
      </c>
      <c r="T194" s="134">
        <f t="shared" si="50"/>
        <v>0.3</v>
      </c>
      <c r="U194" s="134">
        <f t="shared" si="50"/>
        <v>0.3</v>
      </c>
      <c r="V194" s="134">
        <f t="shared" si="50"/>
        <v>0.3</v>
      </c>
      <c r="W194" s="134">
        <f t="shared" si="50"/>
        <v>0.3</v>
      </c>
      <c r="X194" s="134">
        <f t="shared" si="50"/>
        <v>0.3</v>
      </c>
      <c r="Y194" s="134">
        <f t="shared" si="50"/>
        <v>0.3</v>
      </c>
      <c r="Z194" s="134">
        <f t="shared" si="50"/>
        <v>0.3</v>
      </c>
      <c r="AA194" s="134">
        <f t="shared" si="50"/>
        <v>0.3</v>
      </c>
      <c r="AB194" s="134">
        <f t="shared" si="50"/>
        <v>0.3</v>
      </c>
      <c r="AC194" s="134">
        <f t="shared" si="50"/>
        <v>0.3</v>
      </c>
      <c r="AD194" s="134">
        <f t="shared" si="50"/>
        <v>0.3</v>
      </c>
      <c r="AE194" s="134">
        <f t="shared" si="50"/>
        <v>0.3</v>
      </c>
      <c r="AF194" s="134">
        <f t="shared" si="50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9"/>
        <v>0.4</v>
      </c>
      <c r="D195" s="134">
        <f t="shared" si="49"/>
        <v>0.4</v>
      </c>
      <c r="E195" s="134">
        <f t="shared" si="49"/>
        <v>0.4</v>
      </c>
      <c r="F195" s="134">
        <f t="shared" si="49"/>
        <v>0.4</v>
      </c>
      <c r="G195" s="134">
        <f t="shared" si="49"/>
        <v>0.4</v>
      </c>
      <c r="H195" s="134">
        <f t="shared" si="49"/>
        <v>0.4</v>
      </c>
      <c r="I195" s="134">
        <f t="shared" si="49"/>
        <v>0.4</v>
      </c>
      <c r="J195" s="134">
        <f t="shared" si="49"/>
        <v>0.4</v>
      </c>
      <c r="K195" s="134">
        <f t="shared" si="49"/>
        <v>0.4</v>
      </c>
      <c r="L195" s="134">
        <f t="shared" si="49"/>
        <v>0.4</v>
      </c>
      <c r="M195" s="134">
        <f t="shared" si="49"/>
        <v>0.4</v>
      </c>
      <c r="N195" s="134">
        <f t="shared" si="49"/>
        <v>0.4</v>
      </c>
      <c r="O195" s="134">
        <f t="shared" si="49"/>
        <v>0.4</v>
      </c>
      <c r="P195" s="134">
        <f t="shared" si="49"/>
        <v>0.4</v>
      </c>
      <c r="Q195" s="134">
        <f t="shared" si="49"/>
        <v>0.4</v>
      </c>
      <c r="R195" s="134">
        <f t="shared" si="49"/>
        <v>0.4</v>
      </c>
      <c r="S195" s="134">
        <f t="shared" si="50"/>
        <v>0.4</v>
      </c>
      <c r="T195" s="134">
        <f t="shared" si="50"/>
        <v>0.4</v>
      </c>
      <c r="U195" s="134">
        <f t="shared" si="50"/>
        <v>0.4</v>
      </c>
      <c r="V195" s="134">
        <f t="shared" si="50"/>
        <v>0.4</v>
      </c>
      <c r="W195" s="134">
        <f t="shared" si="50"/>
        <v>0.4</v>
      </c>
      <c r="X195" s="134">
        <f t="shared" si="50"/>
        <v>0.4</v>
      </c>
      <c r="Y195" s="134">
        <f t="shared" si="50"/>
        <v>0.4</v>
      </c>
      <c r="Z195" s="134">
        <f t="shared" si="50"/>
        <v>0.4</v>
      </c>
      <c r="AA195" s="134">
        <f t="shared" si="50"/>
        <v>0.4</v>
      </c>
      <c r="AB195" s="134">
        <f t="shared" si="50"/>
        <v>0.4</v>
      </c>
      <c r="AC195" s="134">
        <f t="shared" si="50"/>
        <v>0.4</v>
      </c>
      <c r="AD195" s="134">
        <f t="shared" si="50"/>
        <v>0.4</v>
      </c>
      <c r="AE195" s="134">
        <f t="shared" si="50"/>
        <v>0.4</v>
      </c>
      <c r="AF195" s="134">
        <f t="shared" si="50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9"/>
        <v>0.64</v>
      </c>
      <c r="D196" s="143">
        <f t="shared" si="49"/>
        <v>0.64</v>
      </c>
      <c r="E196" s="143">
        <f t="shared" si="49"/>
        <v>0.64</v>
      </c>
      <c r="F196" s="143">
        <f t="shared" si="49"/>
        <v>0.64</v>
      </c>
      <c r="G196" s="143">
        <f t="shared" si="49"/>
        <v>0.64</v>
      </c>
      <c r="H196" s="143">
        <f t="shared" si="49"/>
        <v>0.64</v>
      </c>
      <c r="I196" s="143">
        <f t="shared" si="49"/>
        <v>0.64</v>
      </c>
      <c r="J196" s="143">
        <f t="shared" si="49"/>
        <v>0.64</v>
      </c>
      <c r="K196" s="143">
        <f t="shared" si="49"/>
        <v>0.64</v>
      </c>
      <c r="L196" s="143">
        <f t="shared" si="49"/>
        <v>0.64</v>
      </c>
      <c r="M196" s="143">
        <f t="shared" si="49"/>
        <v>0.64</v>
      </c>
      <c r="N196" s="143">
        <f t="shared" si="49"/>
        <v>0.64</v>
      </c>
      <c r="O196" s="143">
        <f t="shared" si="49"/>
        <v>0.64</v>
      </c>
      <c r="P196" s="143">
        <f t="shared" si="49"/>
        <v>0.64</v>
      </c>
      <c r="Q196" s="143">
        <f t="shared" si="49"/>
        <v>0.64</v>
      </c>
      <c r="R196" s="143">
        <f t="shared" si="49"/>
        <v>0.64</v>
      </c>
      <c r="S196" s="143">
        <f t="shared" si="50"/>
        <v>0.64</v>
      </c>
      <c r="T196" s="143">
        <f t="shared" si="50"/>
        <v>0.64</v>
      </c>
      <c r="U196" s="143">
        <f t="shared" si="50"/>
        <v>0.64</v>
      </c>
      <c r="V196" s="143">
        <f t="shared" si="50"/>
        <v>0.64</v>
      </c>
      <c r="W196" s="143">
        <f t="shared" si="50"/>
        <v>0.64</v>
      </c>
      <c r="X196" s="143">
        <f t="shared" si="50"/>
        <v>0.64</v>
      </c>
      <c r="Y196" s="143">
        <f t="shared" si="50"/>
        <v>0.64</v>
      </c>
      <c r="Z196" s="143">
        <f t="shared" si="50"/>
        <v>0.64</v>
      </c>
      <c r="AA196" s="143">
        <f t="shared" si="50"/>
        <v>0.64</v>
      </c>
      <c r="AB196" s="143">
        <f t="shared" si="50"/>
        <v>0.64</v>
      </c>
      <c r="AC196" s="143">
        <f t="shared" si="50"/>
        <v>0.64</v>
      </c>
      <c r="AD196" s="143">
        <f t="shared" si="50"/>
        <v>0.64</v>
      </c>
      <c r="AE196" s="143">
        <f t="shared" si="50"/>
        <v>0.64</v>
      </c>
      <c r="AF196" s="143">
        <f t="shared" si="50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51">SUM(C191:C196)</f>
        <v>3.54</v>
      </c>
      <c r="D197" s="146">
        <f t="shared" si="51"/>
        <v>3.54</v>
      </c>
      <c r="E197" s="146">
        <f t="shared" si="51"/>
        <v>3.54</v>
      </c>
      <c r="F197" s="146">
        <f t="shared" si="51"/>
        <v>3.54</v>
      </c>
      <c r="G197" s="146">
        <f t="shared" si="51"/>
        <v>3.54</v>
      </c>
      <c r="H197" s="146">
        <f t="shared" si="51"/>
        <v>3.54</v>
      </c>
      <c r="I197" s="146">
        <f t="shared" si="51"/>
        <v>3.54</v>
      </c>
      <c r="J197" s="146">
        <f t="shared" si="51"/>
        <v>3.54</v>
      </c>
      <c r="K197" s="146">
        <f t="shared" si="51"/>
        <v>3.54</v>
      </c>
      <c r="L197" s="146">
        <f>SUM(L191:L196)</f>
        <v>3.54</v>
      </c>
      <c r="M197" s="146">
        <f t="shared" ref="M197:R197" si="52">SUM(M191:M196)</f>
        <v>3.54</v>
      </c>
      <c r="N197" s="146">
        <f t="shared" si="52"/>
        <v>3.54</v>
      </c>
      <c r="O197" s="146">
        <f t="shared" si="52"/>
        <v>3.54</v>
      </c>
      <c r="P197" s="146">
        <f t="shared" si="52"/>
        <v>3.54</v>
      </c>
      <c r="Q197" s="146">
        <f t="shared" si="52"/>
        <v>3.54</v>
      </c>
      <c r="R197" s="146">
        <f t="shared" si="52"/>
        <v>3.54</v>
      </c>
      <c r="S197" s="146">
        <f>SUM(S191:S196)</f>
        <v>3.54</v>
      </c>
      <c r="T197" s="146">
        <f t="shared" ref="T197:AG197" si="53">SUM(T191:T196)</f>
        <v>3.54</v>
      </c>
      <c r="U197" s="146">
        <f t="shared" si="53"/>
        <v>3.54</v>
      </c>
      <c r="V197" s="146">
        <f t="shared" si="53"/>
        <v>3.54</v>
      </c>
      <c r="W197" s="146">
        <f t="shared" si="53"/>
        <v>3.54</v>
      </c>
      <c r="X197" s="146">
        <f t="shared" si="53"/>
        <v>3.54</v>
      </c>
      <c r="Y197" s="146">
        <f t="shared" si="53"/>
        <v>3.54</v>
      </c>
      <c r="Z197" s="146">
        <f t="shared" si="53"/>
        <v>3.54</v>
      </c>
      <c r="AA197" s="146">
        <f t="shared" si="53"/>
        <v>3.54</v>
      </c>
      <c r="AB197" s="146">
        <f t="shared" si="53"/>
        <v>3.54</v>
      </c>
      <c r="AC197" s="146">
        <f t="shared" si="53"/>
        <v>3.54</v>
      </c>
      <c r="AD197" s="146">
        <f t="shared" si="53"/>
        <v>3.54</v>
      </c>
      <c r="AE197" s="146">
        <f t="shared" si="53"/>
        <v>3.54</v>
      </c>
      <c r="AF197" s="146">
        <f t="shared" si="53"/>
        <v>3.54</v>
      </c>
      <c r="AG197" s="147">
        <f t="shared" si="53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1192.24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18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2078/04/18)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2078/04/18)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4">B73</f>
        <v>1020.2400000000001</v>
      </c>
      <c r="U211" s="170">
        <f t="shared" si="54"/>
        <v>1022.3400000000001</v>
      </c>
      <c r="V211" s="170">
        <f t="shared" si="54"/>
        <v>982.54000000000008</v>
      </c>
      <c r="W211" s="170">
        <f t="shared" si="54"/>
        <v>976.24</v>
      </c>
      <c r="X211" s="170">
        <f t="shared" si="54"/>
        <v>988.04000000000019</v>
      </c>
      <c r="Y211" s="170">
        <f t="shared" si="54"/>
        <v>1004.44</v>
      </c>
      <c r="Z211" s="170">
        <f t="shared" si="54"/>
        <v>1025.3400000000001</v>
      </c>
      <c r="AA211" s="170">
        <f t="shared" si="54"/>
        <v>1088.6400000000001</v>
      </c>
      <c r="AB211" s="170">
        <f t="shared" si="54"/>
        <v>1142.74</v>
      </c>
      <c r="AC211" s="170">
        <f t="shared" si="54"/>
        <v>1178.4399999999998</v>
      </c>
      <c r="AD211" s="170">
        <f t="shared" si="54"/>
        <v>1175.54</v>
      </c>
      <c r="AE211" s="170">
        <f t="shared" si="54"/>
        <v>1192.24</v>
      </c>
      <c r="AF211" s="170">
        <f t="shared" si="54"/>
        <v>1247.6400000000001</v>
      </c>
      <c r="AG211" s="170">
        <f t="shared" si="54"/>
        <v>1224.44</v>
      </c>
      <c r="AH211" s="170">
        <f t="shared" si="54"/>
        <v>1223.8400000000001</v>
      </c>
      <c r="AI211" s="170">
        <f t="shared" si="54"/>
        <v>1283.04</v>
      </c>
      <c r="AJ211" s="170">
        <f t="shared" si="54"/>
        <v>1289.74</v>
      </c>
      <c r="AK211" s="170">
        <f t="shared" si="54"/>
        <v>1278.54</v>
      </c>
      <c r="AL211" s="170">
        <f t="shared" si="54"/>
        <v>1265.04</v>
      </c>
      <c r="AM211" s="170">
        <f t="shared" si="54"/>
        <v>1239.97</v>
      </c>
      <c r="AN211" s="170">
        <f t="shared" si="54"/>
        <v>1271.04</v>
      </c>
      <c r="AO211" s="170">
        <f t="shared" si="54"/>
        <v>1550.44</v>
      </c>
      <c r="AP211" s="170">
        <f t="shared" si="54"/>
        <v>1560.44</v>
      </c>
      <c r="AQ211" s="170">
        <f t="shared" si="54"/>
        <v>1463.3400000000001</v>
      </c>
      <c r="AR211" s="170">
        <f t="shared" si="54"/>
        <v>1461.44</v>
      </c>
      <c r="AS211" s="170">
        <f t="shared" si="54"/>
        <v>1421.3400000000001</v>
      </c>
      <c r="AT211" s="170">
        <f t="shared" si="54"/>
        <v>1392.04</v>
      </c>
      <c r="AU211" s="170">
        <f t="shared" si="54"/>
        <v>1353.8400000000001</v>
      </c>
      <c r="AV211" s="170">
        <f t="shared" si="54"/>
        <v>1216.94</v>
      </c>
      <c r="AW211" s="170">
        <f t="shared" si="54"/>
        <v>1192.94</v>
      </c>
      <c r="AX211" s="170">
        <f t="shared" si="54"/>
        <v>1131.8400000000001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5">B196</f>
        <v>0.64</v>
      </c>
      <c r="C232" s="173">
        <f t="shared" si="55"/>
        <v>0.64</v>
      </c>
      <c r="D232" s="173">
        <f t="shared" si="55"/>
        <v>0.64</v>
      </c>
      <c r="E232" s="173">
        <f t="shared" si="55"/>
        <v>0.64</v>
      </c>
      <c r="F232" s="173">
        <f t="shared" si="55"/>
        <v>0.64</v>
      </c>
      <c r="G232" s="173">
        <f t="shared" si="55"/>
        <v>0.64</v>
      </c>
      <c r="H232" s="173">
        <f t="shared" si="55"/>
        <v>0.64</v>
      </c>
      <c r="I232" s="173">
        <f t="shared" si="55"/>
        <v>0.64</v>
      </c>
      <c r="J232" s="173">
        <f t="shared" si="55"/>
        <v>0.64</v>
      </c>
      <c r="K232" s="173">
        <f t="shared" si="55"/>
        <v>0.64</v>
      </c>
      <c r="L232" s="173">
        <f t="shared" si="55"/>
        <v>0.64</v>
      </c>
      <c r="M232" s="173">
        <f t="shared" si="55"/>
        <v>0.64</v>
      </c>
      <c r="N232" s="173">
        <f t="shared" si="55"/>
        <v>0.64</v>
      </c>
      <c r="O232" s="173">
        <f t="shared" si="55"/>
        <v>0.64</v>
      </c>
      <c r="P232" s="173">
        <f t="shared" si="55"/>
        <v>0.64</v>
      </c>
      <c r="Q232" s="173">
        <f t="shared" si="55"/>
        <v>0.64</v>
      </c>
      <c r="R232" s="173">
        <f t="shared" si="55"/>
        <v>0.64</v>
      </c>
      <c r="S232" s="173">
        <f t="shared" si="55"/>
        <v>0.64</v>
      </c>
      <c r="T232" s="173">
        <f t="shared" si="55"/>
        <v>0.64</v>
      </c>
      <c r="U232" s="173">
        <f t="shared" si="55"/>
        <v>0.64</v>
      </c>
      <c r="V232" s="173">
        <f t="shared" si="55"/>
        <v>0.64</v>
      </c>
      <c r="W232" s="173">
        <f t="shared" si="55"/>
        <v>0.64</v>
      </c>
      <c r="X232" s="173">
        <f t="shared" si="55"/>
        <v>0.64</v>
      </c>
      <c r="Y232" s="173">
        <f t="shared" si="55"/>
        <v>0.64</v>
      </c>
      <c r="Z232" s="173">
        <f t="shared" si="55"/>
        <v>0.64</v>
      </c>
      <c r="AA232" s="173">
        <f t="shared" si="55"/>
        <v>0.64</v>
      </c>
      <c r="AB232" s="173">
        <f t="shared" si="55"/>
        <v>0.64</v>
      </c>
      <c r="AC232" s="173">
        <f t="shared" si="55"/>
        <v>0.64</v>
      </c>
      <c r="AD232" s="173">
        <f t="shared" si="55"/>
        <v>0.64</v>
      </c>
      <c r="AE232" s="173">
        <f t="shared" si="55"/>
        <v>0.64</v>
      </c>
      <c r="AF232" s="173">
        <f t="shared" si="55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6">IF(C200&lt;100,"",C200-520)</f>
        <v/>
      </c>
      <c r="D233" s="117" t="str">
        <f t="shared" si="56"/>
        <v/>
      </c>
      <c r="E233" s="117" t="str">
        <f t="shared" si="56"/>
        <v/>
      </c>
      <c r="F233" s="117" t="str">
        <f t="shared" si="56"/>
        <v/>
      </c>
      <c r="G233" s="117" t="str">
        <f t="shared" si="56"/>
        <v/>
      </c>
      <c r="H233" s="117" t="str">
        <f t="shared" si="56"/>
        <v/>
      </c>
      <c r="I233" s="117" t="str">
        <f t="shared" si="56"/>
        <v/>
      </c>
      <c r="J233" s="117" t="str">
        <f t="shared" si="56"/>
        <v/>
      </c>
      <c r="K233" s="117" t="str">
        <f t="shared" si="56"/>
        <v/>
      </c>
      <c r="L233" s="117" t="str">
        <f t="shared" si="56"/>
        <v/>
      </c>
      <c r="M233" s="117" t="str">
        <f t="shared" si="56"/>
        <v/>
      </c>
      <c r="N233" s="117" t="str">
        <f t="shared" si="56"/>
        <v/>
      </c>
      <c r="O233" s="117" t="str">
        <f t="shared" si="56"/>
        <v/>
      </c>
      <c r="P233" s="117" t="str">
        <f t="shared" si="56"/>
        <v/>
      </c>
      <c r="Q233" s="117" t="str">
        <f t="shared" si="56"/>
        <v/>
      </c>
      <c r="R233" s="117" t="str">
        <f t="shared" si="56"/>
        <v/>
      </c>
      <c r="S233" s="117" t="str">
        <f t="shared" si="56"/>
        <v/>
      </c>
      <c r="T233" s="117" t="str">
        <f t="shared" si="56"/>
        <v/>
      </c>
      <c r="U233" s="117" t="str">
        <f t="shared" si="56"/>
        <v/>
      </c>
      <c r="V233" s="117" t="str">
        <f t="shared" si="56"/>
        <v/>
      </c>
      <c r="W233" s="117" t="str">
        <f t="shared" si="56"/>
        <v/>
      </c>
      <c r="X233" s="117" t="str">
        <f t="shared" si="56"/>
        <v/>
      </c>
      <c r="Y233" s="117" t="str">
        <f t="shared" si="56"/>
        <v/>
      </c>
      <c r="Z233" s="117" t="str">
        <f t="shared" si="56"/>
        <v/>
      </c>
      <c r="AA233" s="117" t="str">
        <f t="shared" si="56"/>
        <v/>
      </c>
      <c r="AB233" s="117" t="str">
        <f t="shared" si="56"/>
        <v/>
      </c>
      <c r="AC233" s="117" t="str">
        <f t="shared" si="56"/>
        <v/>
      </c>
      <c r="AD233" s="117" t="str">
        <f t="shared" si="56"/>
        <v/>
      </c>
      <c r="AE233" s="117" t="str">
        <f t="shared" si="56"/>
        <v/>
      </c>
      <c r="AF233" s="117" t="str">
        <f t="shared" si="56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7">IF(B201&lt;100,"",B201-620)</f>
        <v/>
      </c>
      <c r="C234" s="117" t="str">
        <f t="shared" si="57"/>
        <v/>
      </c>
      <c r="D234" s="117" t="str">
        <f t="shared" si="57"/>
        <v/>
      </c>
      <c r="E234" s="117" t="str">
        <f t="shared" si="57"/>
        <v/>
      </c>
      <c r="F234" s="117" t="str">
        <f t="shared" si="57"/>
        <v/>
      </c>
      <c r="G234" s="117" t="str">
        <f t="shared" si="57"/>
        <v/>
      </c>
      <c r="H234" s="117" t="str">
        <f t="shared" si="57"/>
        <v/>
      </c>
      <c r="I234" s="117" t="str">
        <f t="shared" si="57"/>
        <v/>
      </c>
      <c r="J234" s="117" t="str">
        <f t="shared" si="57"/>
        <v/>
      </c>
      <c r="K234" s="117" t="str">
        <f t="shared" si="57"/>
        <v/>
      </c>
      <c r="L234" s="117" t="str">
        <f t="shared" si="57"/>
        <v/>
      </c>
      <c r="M234" s="117" t="str">
        <f t="shared" si="57"/>
        <v/>
      </c>
      <c r="N234" s="117" t="str">
        <f t="shared" si="57"/>
        <v/>
      </c>
      <c r="O234" s="117" t="str">
        <f t="shared" si="57"/>
        <v/>
      </c>
      <c r="P234" s="117" t="str">
        <f t="shared" si="57"/>
        <v/>
      </c>
      <c r="Q234" s="117" t="str">
        <f t="shared" si="57"/>
        <v/>
      </c>
      <c r="R234" s="117" t="str">
        <f t="shared" si="57"/>
        <v/>
      </c>
      <c r="S234" s="117" t="str">
        <f t="shared" si="57"/>
        <v/>
      </c>
      <c r="T234" s="117" t="str">
        <f t="shared" si="57"/>
        <v/>
      </c>
      <c r="U234" s="117" t="str">
        <f t="shared" si="57"/>
        <v/>
      </c>
      <c r="V234" s="117" t="str">
        <f t="shared" si="57"/>
        <v/>
      </c>
      <c r="W234" s="117" t="str">
        <f t="shared" si="57"/>
        <v/>
      </c>
      <c r="X234" s="117" t="str">
        <f t="shared" si="57"/>
        <v/>
      </c>
      <c r="Y234" s="117" t="str">
        <f t="shared" si="57"/>
        <v/>
      </c>
      <c r="Z234" s="117" t="str">
        <f t="shared" si="57"/>
        <v/>
      </c>
      <c r="AA234" s="117" t="str">
        <f t="shared" si="57"/>
        <v/>
      </c>
      <c r="AB234" s="117" t="str">
        <f t="shared" si="57"/>
        <v/>
      </c>
      <c r="AC234" s="117" t="str">
        <f t="shared" si="57"/>
        <v/>
      </c>
      <c r="AD234" s="117" t="str">
        <f t="shared" si="57"/>
        <v/>
      </c>
      <c r="AE234" s="117" t="str">
        <f t="shared" si="57"/>
        <v/>
      </c>
      <c r="AF234" s="117" t="str">
        <f t="shared" si="57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8">IF(B202&lt;100,"",B202-330)</f>
        <v/>
      </c>
      <c r="C235" s="117" t="str">
        <f t="shared" si="58"/>
        <v/>
      </c>
      <c r="D235" s="117" t="str">
        <f t="shared" si="58"/>
        <v/>
      </c>
      <c r="E235" s="117" t="str">
        <f t="shared" si="58"/>
        <v/>
      </c>
      <c r="F235" s="117" t="str">
        <f t="shared" si="58"/>
        <v/>
      </c>
      <c r="G235" s="117" t="str">
        <f t="shared" si="58"/>
        <v/>
      </c>
      <c r="H235" s="117" t="str">
        <f t="shared" si="58"/>
        <v/>
      </c>
      <c r="I235" s="117" t="str">
        <f t="shared" si="58"/>
        <v/>
      </c>
      <c r="J235" s="117" t="str">
        <f t="shared" si="58"/>
        <v/>
      </c>
      <c r="K235" s="117" t="str">
        <f t="shared" si="58"/>
        <v/>
      </c>
      <c r="L235" s="117" t="str">
        <f t="shared" si="58"/>
        <v/>
      </c>
      <c r="M235" s="117" t="str">
        <f t="shared" si="58"/>
        <v/>
      </c>
      <c r="N235" s="117" t="str">
        <f t="shared" si="58"/>
        <v/>
      </c>
      <c r="O235" s="117" t="str">
        <f t="shared" si="58"/>
        <v/>
      </c>
      <c r="P235" s="117" t="str">
        <f t="shared" si="58"/>
        <v/>
      </c>
      <c r="Q235" s="117" t="str">
        <f t="shared" si="58"/>
        <v/>
      </c>
      <c r="R235" s="117" t="str">
        <f t="shared" si="58"/>
        <v/>
      </c>
      <c r="S235" s="117" t="str">
        <f t="shared" si="58"/>
        <v/>
      </c>
      <c r="T235" s="117" t="str">
        <f t="shared" si="58"/>
        <v/>
      </c>
      <c r="U235" s="117" t="str">
        <f t="shared" si="58"/>
        <v/>
      </c>
      <c r="V235" s="117" t="str">
        <f t="shared" si="58"/>
        <v/>
      </c>
      <c r="W235" s="117" t="str">
        <f t="shared" si="58"/>
        <v/>
      </c>
      <c r="X235" s="117" t="str">
        <f t="shared" si="58"/>
        <v/>
      </c>
      <c r="Y235" s="117" t="str">
        <f t="shared" si="58"/>
        <v/>
      </c>
      <c r="Z235" s="117" t="str">
        <f t="shared" si="58"/>
        <v/>
      </c>
      <c r="AA235" s="117" t="str">
        <f t="shared" si="58"/>
        <v/>
      </c>
      <c r="AB235" s="117" t="str">
        <f t="shared" si="58"/>
        <v/>
      </c>
      <c r="AC235" s="117" t="str">
        <f t="shared" si="58"/>
        <v/>
      </c>
      <c r="AD235" s="117" t="str">
        <f t="shared" si="58"/>
        <v/>
      </c>
      <c r="AE235" s="117" t="str">
        <f t="shared" si="58"/>
        <v/>
      </c>
      <c r="AF235" s="117" t="str">
        <f t="shared" si="58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9">IF(C203&lt;100,"",C203-1500)</f>
        <v/>
      </c>
      <c r="D236" s="117" t="str">
        <f t="shared" si="59"/>
        <v/>
      </c>
      <c r="E236" s="117" t="str">
        <f t="shared" si="59"/>
        <v/>
      </c>
      <c r="F236" s="117" t="str">
        <f t="shared" si="59"/>
        <v/>
      </c>
      <c r="G236" s="117" t="str">
        <f t="shared" si="59"/>
        <v/>
      </c>
      <c r="H236" s="117" t="str">
        <f t="shared" si="59"/>
        <v/>
      </c>
      <c r="I236" s="117" t="str">
        <f t="shared" si="59"/>
        <v/>
      </c>
      <c r="J236" s="117" t="str">
        <f t="shared" si="59"/>
        <v/>
      </c>
      <c r="K236" s="117" t="str">
        <f t="shared" si="59"/>
        <v/>
      </c>
      <c r="L236" s="117" t="str">
        <f t="shared" si="59"/>
        <v/>
      </c>
      <c r="M236" s="117" t="str">
        <f t="shared" si="59"/>
        <v/>
      </c>
      <c r="N236" s="117" t="str">
        <f t="shared" si="59"/>
        <v/>
      </c>
      <c r="O236" s="117" t="str">
        <f t="shared" si="59"/>
        <v/>
      </c>
      <c r="P236" s="117" t="str">
        <f t="shared" si="59"/>
        <v/>
      </c>
      <c r="Q236" s="117" t="str">
        <f t="shared" si="59"/>
        <v/>
      </c>
      <c r="R236" s="117" t="str">
        <f t="shared" si="59"/>
        <v/>
      </c>
      <c r="S236" s="117" t="str">
        <f t="shared" si="59"/>
        <v/>
      </c>
      <c r="T236" s="117" t="str">
        <f t="shared" si="59"/>
        <v/>
      </c>
      <c r="U236" s="117" t="str">
        <f t="shared" si="59"/>
        <v/>
      </c>
      <c r="V236" s="117" t="str">
        <f t="shared" si="59"/>
        <v/>
      </c>
      <c r="W236" s="117" t="str">
        <f t="shared" si="59"/>
        <v/>
      </c>
      <c r="X236" s="117" t="str">
        <f t="shared" si="59"/>
        <v/>
      </c>
      <c r="Y236" s="117" t="str">
        <f t="shared" si="59"/>
        <v/>
      </c>
      <c r="Z236" s="117" t="str">
        <f t="shared" si="59"/>
        <v/>
      </c>
      <c r="AA236" s="117" t="str">
        <f t="shared" si="59"/>
        <v/>
      </c>
      <c r="AB236" s="117" t="str">
        <f t="shared" si="59"/>
        <v/>
      </c>
      <c r="AC236" s="117" t="str">
        <f t="shared" si="59"/>
        <v/>
      </c>
      <c r="AD236" s="117" t="str">
        <f t="shared" si="59"/>
        <v/>
      </c>
      <c r="AE236" s="117" t="str">
        <f t="shared" si="59"/>
        <v/>
      </c>
      <c r="AF236" s="117" t="str">
        <f t="shared" si="59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75" priority="350">
      <formula>S$9&gt;=20/24</formula>
    </cfRule>
    <cfRule type="expression" dxfId="5274" priority="351">
      <formula>AND(S$9&gt;=14/24,S$9&lt;20/24)</formula>
    </cfRule>
    <cfRule type="expression" dxfId="5273" priority="352">
      <formula>AND(S$9&gt;=8/24,S$9&lt;14/24)</formula>
    </cfRule>
    <cfRule type="expression" dxfId="5272" priority="353">
      <formula>S$9&lt;8/24</formula>
    </cfRule>
  </conditionalFormatting>
  <conditionalFormatting sqref="AA79:AF79 B79:Q79 B54:AF54 B80:AF80 C191:AF197 AE55:AF58 B66:AF70 T210:AX210 O15:Q16 Q17:Q31 W83:Z89 AC23:AD23 AD38:AD41 AA82:AF89 B72:AF76 B78:AF78 B55:K59 B61:K65 N56:V57 L56:M59 N58:N59 O58:Q65 M35:R35 L11:R13 R15:R31 L37:R40 O43:R46 S17:T31 S38:T39 AD11:AD13 B8:AF10 L51:AF53 AD15:AD22 U17:AC19 S11:AC11 AC25:AD25 AD24 U38:AC40 AE12:AE13 AE15:AE25 AD27:AF30 AF16:AF25">
    <cfRule type="expression" dxfId="5271" priority="346">
      <formula>B$9&gt;=20/24</formula>
    </cfRule>
    <cfRule type="expression" dxfId="5270" priority="347">
      <formula>AND(B$9&gt;=14/24,B$9&lt;20/24)</formula>
    </cfRule>
    <cfRule type="expression" dxfId="5269" priority="348">
      <formula>AND(B$9&gt;=8/24,B$9&lt;14/24)</formula>
    </cfRule>
    <cfRule type="expression" dxfId="5268" priority="349">
      <formula>B$9&lt;8/24</formula>
    </cfRule>
  </conditionalFormatting>
  <conditionalFormatting sqref="B189:AF189">
    <cfRule type="expression" dxfId="5267" priority="342">
      <formula>B$9&gt;=20/24</formula>
    </cfRule>
    <cfRule type="expression" dxfId="5266" priority="343">
      <formula>AND(B$9&gt;=14/24,B$9&lt;20/24)</formula>
    </cfRule>
    <cfRule type="expression" dxfId="5265" priority="344">
      <formula>AND(B$9&gt;=8/24,B$9&lt;14/24)</formula>
    </cfRule>
    <cfRule type="expression" dxfId="5264" priority="345">
      <formula>B$9&lt;8/24</formula>
    </cfRule>
  </conditionalFormatting>
  <conditionalFormatting sqref="AL4:AL6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5263" priority="337">
      <formula>L$9&gt;=20/24</formula>
    </cfRule>
    <cfRule type="expression" dxfId="5262" priority="338">
      <formula>AND(L$9&gt;=14/24,L$9&lt;20/24)</formula>
    </cfRule>
    <cfRule type="expression" dxfId="5261" priority="339">
      <formula>AND(L$9&gt;=8/24,L$9&lt;14/24)</formula>
    </cfRule>
    <cfRule type="expression" dxfId="5260" priority="340">
      <formula>L$9&lt;8/24</formula>
    </cfRule>
  </conditionalFormatting>
  <conditionalFormatting sqref="L41:R41">
    <cfRule type="expression" dxfId="5259" priority="333">
      <formula>L$9&gt;=20/24</formula>
    </cfRule>
    <cfRule type="expression" dxfId="5258" priority="334">
      <formula>AND(L$9&gt;=14/24,L$9&lt;20/24)</formula>
    </cfRule>
    <cfRule type="expression" dxfId="5257" priority="335">
      <formula>AND(L$9&gt;=8/24,L$9&lt;14/24)</formula>
    </cfRule>
    <cfRule type="expression" dxfId="5256" priority="336">
      <formula>L$9&lt;8/24</formula>
    </cfRule>
  </conditionalFormatting>
  <conditionalFormatting sqref="AD31:AF31">
    <cfRule type="expression" dxfId="5255" priority="329">
      <formula>AD$9&gt;=20/24</formula>
    </cfRule>
    <cfRule type="expression" dxfId="5254" priority="330">
      <formula>AND(AD$9&gt;=14/24,AD$9&lt;20/24)</formula>
    </cfRule>
    <cfRule type="expression" dxfId="5253" priority="331">
      <formula>AND(AD$9&gt;=8/24,AD$9&lt;14/24)</formula>
    </cfRule>
    <cfRule type="expression" dxfId="5252" priority="332">
      <formula>AD$9&lt;8/24</formula>
    </cfRule>
  </conditionalFormatting>
  <conditionalFormatting sqref="S37:AD37">
    <cfRule type="expression" dxfId="5251" priority="325">
      <formula>S$9&gt;=20/24</formula>
    </cfRule>
    <cfRule type="expression" dxfId="5250" priority="326">
      <formula>AND(S$9&gt;=14/24,S$9&lt;20/24)</formula>
    </cfRule>
    <cfRule type="expression" dxfId="5249" priority="327">
      <formula>AND(S$9&gt;=8/24,S$9&lt;14/24)</formula>
    </cfRule>
    <cfRule type="expression" dxfId="5248" priority="328">
      <formula>S$9&lt;8/24</formula>
    </cfRule>
  </conditionalFormatting>
  <conditionalFormatting sqref="R55:AD55">
    <cfRule type="expression" dxfId="5247" priority="321">
      <formula>R$9&gt;=20/24</formula>
    </cfRule>
    <cfRule type="expression" dxfId="5246" priority="322">
      <formula>AND(R$9&gt;=14/24,R$9&lt;20/24)</formula>
    </cfRule>
    <cfRule type="expression" dxfId="5245" priority="323">
      <formula>AND(R$9&gt;=8/24,R$9&lt;14/24)</formula>
    </cfRule>
    <cfRule type="expression" dxfId="5244" priority="324">
      <formula>R$9&lt;8/24</formula>
    </cfRule>
  </conditionalFormatting>
  <conditionalFormatting sqref="R79:Z79">
    <cfRule type="expression" dxfId="5243" priority="317">
      <formula>R$9&gt;=20/24</formula>
    </cfRule>
    <cfRule type="expression" dxfId="5242" priority="318">
      <formula>AND(R$9&gt;=14/24,R$9&lt;20/24)</formula>
    </cfRule>
    <cfRule type="expression" dxfId="5241" priority="319">
      <formula>AND(R$9&gt;=8/24,R$9&lt;14/24)</formula>
    </cfRule>
    <cfRule type="expression" dxfId="5240" priority="320">
      <formula>R$9&lt;8/24</formula>
    </cfRule>
  </conditionalFormatting>
  <conditionalFormatting sqref="T82:Z82">
    <cfRule type="expression" dxfId="5239" priority="313">
      <formula>T$9&gt;=20/24</formula>
    </cfRule>
    <cfRule type="expression" dxfId="5238" priority="314">
      <formula>AND(T$9&gt;=14/24,T$9&lt;20/24)</formula>
    </cfRule>
    <cfRule type="expression" dxfId="5237" priority="315">
      <formula>AND(T$9&gt;=8/24,T$9&lt;14/24)</formula>
    </cfRule>
    <cfRule type="expression" dxfId="5236" priority="316">
      <formula>T$9&lt;8/24</formula>
    </cfRule>
  </conditionalFormatting>
  <conditionalFormatting sqref="Q33:T33">
    <cfRule type="expression" dxfId="5235" priority="309">
      <formula>Q$9&gt;=20/24</formula>
    </cfRule>
    <cfRule type="expression" dxfId="5234" priority="310">
      <formula>AND(Q$9&gt;=14/24,Q$9&lt;20/24)</formula>
    </cfRule>
    <cfRule type="expression" dxfId="5233" priority="311">
      <formula>AND(Q$9&gt;=8/24,Q$9&lt;14/24)</formula>
    </cfRule>
    <cfRule type="expression" dxfId="5232" priority="312">
      <formula>Q$9&lt;8/24</formula>
    </cfRule>
  </conditionalFormatting>
  <conditionalFormatting sqref="L47:T47">
    <cfRule type="expression" dxfId="5231" priority="305">
      <formula>L$9&gt;=20/24</formula>
    </cfRule>
    <cfRule type="expression" dxfId="5230" priority="306">
      <formula>AND(L$9&gt;=14/24,L$9&lt;20/24)</formula>
    </cfRule>
    <cfRule type="expression" dxfId="5229" priority="307">
      <formula>AND(L$9&gt;=8/24,L$9&lt;14/24)</formula>
    </cfRule>
    <cfRule type="expression" dxfId="5228" priority="308">
      <formula>L$9&lt;8/24</formula>
    </cfRule>
  </conditionalFormatting>
  <conditionalFormatting sqref="L48:R48">
    <cfRule type="expression" dxfId="5227" priority="301">
      <formula>L$9&gt;=20/24</formula>
    </cfRule>
    <cfRule type="expression" dxfId="5226" priority="302">
      <formula>AND(L$9&gt;=14/24,L$9&lt;20/24)</formula>
    </cfRule>
    <cfRule type="expression" dxfId="5225" priority="303">
      <formula>AND(L$9&gt;=8/24,L$9&lt;14/24)</formula>
    </cfRule>
    <cfRule type="expression" dxfId="5224" priority="304">
      <formula>L$9&lt;8/24</formula>
    </cfRule>
  </conditionalFormatting>
  <conditionalFormatting sqref="L43:R46">
    <cfRule type="expression" dxfId="5223" priority="297">
      <formula>L$9&gt;=20/24</formula>
    </cfRule>
    <cfRule type="expression" dxfId="5222" priority="298">
      <formula>AND(L$9&gt;=14/24,L$9&lt;20/24)</formula>
    </cfRule>
    <cfRule type="expression" dxfId="5221" priority="299">
      <formula>AND(L$9&gt;=8/24,L$9&lt;14/24)</formula>
    </cfRule>
    <cfRule type="expression" dxfId="5220" priority="300">
      <formula>L$9&lt;8/24</formula>
    </cfRule>
  </conditionalFormatting>
  <conditionalFormatting sqref="S35:AE35">
    <cfRule type="expression" dxfId="5219" priority="293">
      <formula>S$9&gt;=20/24</formula>
    </cfRule>
    <cfRule type="expression" dxfId="5218" priority="294">
      <formula>AND(S$9&gt;=14/24,S$9&lt;20/24)</formula>
    </cfRule>
    <cfRule type="expression" dxfId="5217" priority="295">
      <formula>AND(S$9&gt;=8/24,S$9&lt;14/24)</formula>
    </cfRule>
    <cfRule type="expression" dxfId="5216" priority="296">
      <formula>S$9&lt;8/24</formula>
    </cfRule>
  </conditionalFormatting>
  <conditionalFormatting sqref="AD33:AF33">
    <cfRule type="expression" dxfId="5215" priority="289">
      <formula>AD$9&gt;=20/24</formula>
    </cfRule>
    <cfRule type="expression" dxfId="5214" priority="290">
      <formula>AND(AD$9&gt;=14/24,AD$9&lt;20/24)</formula>
    </cfRule>
    <cfRule type="expression" dxfId="5213" priority="291">
      <formula>AND(AD$9&gt;=8/24,AD$9&lt;14/24)</formula>
    </cfRule>
    <cfRule type="expression" dxfId="5212" priority="292">
      <formula>AD$9&lt;8/24</formula>
    </cfRule>
  </conditionalFormatting>
  <conditionalFormatting sqref="S40:T41 U41:AC41 S43:AF46">
    <cfRule type="expression" dxfId="5211" priority="285">
      <formula>S$9&gt;=20/24</formula>
    </cfRule>
    <cfRule type="expression" dxfId="5210" priority="286">
      <formula>AND(S$9&gt;=14/24,S$9&lt;20/24)</formula>
    </cfRule>
    <cfRule type="expression" dxfId="5209" priority="287">
      <formula>AND(S$9&gt;=8/24,S$9&lt;14/24)</formula>
    </cfRule>
    <cfRule type="expression" dxfId="5208" priority="288">
      <formula>S$9&lt;8/24</formula>
    </cfRule>
  </conditionalFormatting>
  <conditionalFormatting sqref="S47:AF47">
    <cfRule type="expression" dxfId="5207" priority="281">
      <formula>S$9&gt;=20/24</formula>
    </cfRule>
    <cfRule type="expression" dxfId="5206" priority="282">
      <formula>AND(S$9&gt;=14/24,S$9&lt;20/24)</formula>
    </cfRule>
    <cfRule type="expression" dxfId="5205" priority="283">
      <formula>AND(S$9&gt;=8/24,S$9&lt;14/24)</formula>
    </cfRule>
    <cfRule type="expression" dxfId="5204" priority="284">
      <formula>S$9&lt;8/24</formula>
    </cfRule>
  </conditionalFormatting>
  <conditionalFormatting sqref="S48:AF48">
    <cfRule type="expression" dxfId="5203" priority="277">
      <formula>S$9&gt;=20/24</formula>
    </cfRule>
    <cfRule type="expression" dxfId="5202" priority="278">
      <formula>AND(S$9&gt;=14/24,S$9&lt;20/24)</formula>
    </cfRule>
    <cfRule type="expression" dxfId="5201" priority="279">
      <formula>AND(S$9&gt;=8/24,S$9&lt;14/24)</formula>
    </cfRule>
    <cfRule type="expression" dxfId="5200" priority="280">
      <formula>S$9&lt;8/24</formula>
    </cfRule>
  </conditionalFormatting>
  <conditionalFormatting sqref="R58:S65 W58:AD65 AE59:AF65">
    <cfRule type="expression" dxfId="5199" priority="273">
      <formula>R$9&gt;=20/24</formula>
    </cfRule>
    <cfRule type="expression" dxfId="5198" priority="274">
      <formula>AND(R$9&gt;=14/24,R$9&lt;20/24)</formula>
    </cfRule>
    <cfRule type="expression" dxfId="5197" priority="275">
      <formula>AND(R$9&gt;=8/24,R$9&lt;14/24)</formula>
    </cfRule>
    <cfRule type="expression" dxfId="5196" priority="276">
      <formula>R$9&lt;8/24</formula>
    </cfRule>
  </conditionalFormatting>
  <conditionalFormatting sqref="AA92:AF95">
    <cfRule type="expression" dxfId="5195" priority="269">
      <formula>AA$9&gt;=20/24</formula>
    </cfRule>
    <cfRule type="expression" dxfId="5194" priority="270">
      <formula>AND(AA$9&gt;=14/24,AA$9&lt;20/24)</formula>
    </cfRule>
    <cfRule type="expression" dxfId="5193" priority="271">
      <formula>AND(AA$9&gt;=8/24,AA$9&lt;14/24)</formula>
    </cfRule>
    <cfRule type="expression" dxfId="5192" priority="272">
      <formula>AA$9&lt;8/24</formula>
    </cfRule>
  </conditionalFormatting>
  <conditionalFormatting sqref="B60:K60">
    <cfRule type="expression" dxfId="5191" priority="265">
      <formula>B$9&gt;=20/24</formula>
    </cfRule>
    <cfRule type="expression" dxfId="5190" priority="266">
      <formula>AND(B$9&gt;=14/24,B$9&lt;20/24)</formula>
    </cfRule>
    <cfRule type="expression" dxfId="5189" priority="267">
      <formula>AND(B$9&gt;=8/24,B$9&lt;14/24)</formula>
    </cfRule>
    <cfRule type="expression" dxfId="5188" priority="268">
      <formula>B$9&lt;8/24</formula>
    </cfRule>
  </conditionalFormatting>
  <conditionalFormatting sqref="T92:Z95">
    <cfRule type="expression" dxfId="5187" priority="261">
      <formula>T$9&gt;=20/24</formula>
    </cfRule>
    <cfRule type="expression" dxfId="5186" priority="262">
      <formula>AND(T$9&gt;=14/24,T$9&lt;20/24)</formula>
    </cfRule>
    <cfRule type="expression" dxfId="5185" priority="263">
      <formula>AND(T$9&gt;=8/24,T$9&lt;14/24)</formula>
    </cfRule>
    <cfRule type="expression" dxfId="5184" priority="264">
      <formula>T$9&lt;8/24</formula>
    </cfRule>
  </conditionalFormatting>
  <conditionalFormatting sqref="AG49 Q17:Q31 O15:Q16 B15:K31 B33:K35 R15:R31 B11:R13 Q33:T34 S20:T31 AC23:AD23 AD15:AD22 S11:AF11 S17:AC19 AC25:AD25 AD24 AD26:AD31 M35:AF35 AD12:AF13 AD33:AF34 AE15:AF31 B43:AF54 B36:AF41">
    <cfRule type="expression" dxfId="5183" priority="260">
      <formula>B11&gt;$AG11</formula>
    </cfRule>
  </conditionalFormatting>
  <conditionalFormatting sqref="A98:A154 A82:A95 A11:A13 A15:A31 A43:A70 A78:A80 A72:A76 A33:A41 A167:A198">
    <cfRule type="expression" dxfId="5182" priority="259">
      <formula>$AH11=0</formula>
    </cfRule>
  </conditionalFormatting>
  <conditionalFormatting sqref="AA96:AF96">
    <cfRule type="expression" dxfId="5181" priority="255">
      <formula>AA$9&gt;=20/24</formula>
    </cfRule>
    <cfRule type="expression" dxfId="5180" priority="256">
      <formula>AND(AA$9&gt;=14/24,AA$9&lt;20/24)</formula>
    </cfRule>
    <cfRule type="expression" dxfId="5179" priority="257">
      <formula>AND(AA$9&gt;=8/24,AA$9&lt;14/24)</formula>
    </cfRule>
    <cfRule type="expression" dxfId="5178" priority="258">
      <formula>AA$9&lt;8/24</formula>
    </cfRule>
  </conditionalFormatting>
  <conditionalFormatting sqref="T96:Z96">
    <cfRule type="expression" dxfId="5177" priority="251">
      <formula>T$9&gt;=20/24</formula>
    </cfRule>
    <cfRule type="expression" dxfId="5176" priority="252">
      <formula>AND(T$9&gt;=14/24,T$9&lt;20/24)</formula>
    </cfRule>
    <cfRule type="expression" dxfId="5175" priority="253">
      <formula>AND(T$9&gt;=8/24,T$9&lt;14/24)</formula>
    </cfRule>
    <cfRule type="expression" dxfId="5174" priority="254">
      <formula>T$9&lt;8/24</formula>
    </cfRule>
  </conditionalFormatting>
  <conditionalFormatting sqref="A96">
    <cfRule type="expression" dxfId="5173" priority="250">
      <formula>$AH96=0</formula>
    </cfRule>
  </conditionalFormatting>
  <conditionalFormatting sqref="Q34:T34 AD34:AF34">
    <cfRule type="expression" dxfId="5172" priority="246">
      <formula>Q$9&gt;=20/24</formula>
    </cfRule>
    <cfRule type="expression" dxfId="5171" priority="247">
      <formula>AND(Q$9&gt;=14/24,Q$9&lt;20/24)</formula>
    </cfRule>
    <cfRule type="expression" dxfId="5170" priority="248">
      <formula>AND(Q$9&gt;=8/24,Q$9&lt;14/24)</formula>
    </cfRule>
    <cfRule type="expression" dxfId="5169" priority="249">
      <formula>Q$9&lt;8/24</formula>
    </cfRule>
  </conditionalFormatting>
  <conditionalFormatting sqref="AD34:AF34">
    <cfRule type="expression" dxfId="5168" priority="242">
      <formula>AD$9&gt;=20/24</formula>
    </cfRule>
    <cfRule type="expression" dxfId="5167" priority="243">
      <formula>AND(AD$9&gt;=14/24,AD$9&lt;20/24)</formula>
    </cfRule>
    <cfRule type="expression" dxfId="5166" priority="244">
      <formula>AND(AD$9&gt;=8/24,AD$9&lt;14/24)</formula>
    </cfRule>
    <cfRule type="expression" dxfId="5165" priority="245">
      <formula>AD$9&lt;8/24</formula>
    </cfRule>
  </conditionalFormatting>
  <conditionalFormatting sqref="B34:K34">
    <cfRule type="expression" dxfId="5164" priority="238">
      <formula>B$9&gt;=20/24</formula>
    </cfRule>
    <cfRule type="expression" dxfId="5163" priority="239">
      <formula>AND(B$9&gt;=14/24,B$9&lt;20/24)</formula>
    </cfRule>
    <cfRule type="expression" dxfId="5162" priority="240">
      <formula>AND(B$9&gt;=8/24,B$9&lt;14/24)</formula>
    </cfRule>
    <cfRule type="expression" dxfId="5161" priority="241">
      <formula>B$9&lt;8/24</formula>
    </cfRule>
  </conditionalFormatting>
  <conditionalFormatting sqref="L60:N65">
    <cfRule type="expression" dxfId="5160" priority="230">
      <formula>L$9&gt;=20/24</formula>
    </cfRule>
    <cfRule type="expression" dxfId="5159" priority="231">
      <formula>AND(L$9&gt;=14/24,L$9&lt;20/24)</formula>
    </cfRule>
    <cfRule type="expression" dxfId="5158" priority="232">
      <formula>AND(L$9&gt;=8/24,L$9&lt;14/24)</formula>
    </cfRule>
    <cfRule type="expression" dxfId="5157" priority="233">
      <formula>L$9&lt;8/24</formula>
    </cfRule>
  </conditionalFormatting>
  <conditionalFormatting sqref="AD32:AF32">
    <cfRule type="expression" dxfId="5156" priority="225">
      <formula>AD$9&gt;=20/24</formula>
    </cfRule>
    <cfRule type="expression" dxfId="5155" priority="226">
      <formula>AND(AD$9&gt;=14/24,AD$9&lt;20/24)</formula>
    </cfRule>
    <cfRule type="expression" dxfId="5154" priority="227">
      <formula>AND(AD$9&gt;=8/24,AD$9&lt;14/24)</formula>
    </cfRule>
    <cfRule type="expression" dxfId="5153" priority="228">
      <formula>AD$9&lt;8/24</formula>
    </cfRule>
  </conditionalFormatting>
  <conditionalFormatting sqref="Q32:T32">
    <cfRule type="expression" dxfId="5152" priority="221">
      <formula>Q$9&gt;=20/24</formula>
    </cfRule>
    <cfRule type="expression" dxfId="5151" priority="222">
      <formula>AND(Q$9&gt;=14/24,Q$9&lt;20/24)</formula>
    </cfRule>
    <cfRule type="expression" dxfId="5150" priority="223">
      <formula>AND(Q$9&gt;=8/24,Q$9&lt;14/24)</formula>
    </cfRule>
    <cfRule type="expression" dxfId="5149" priority="224">
      <formula>Q$9&lt;8/24</formula>
    </cfRule>
  </conditionalFormatting>
  <conditionalFormatting sqref="B32:K32 Q32:T32 AD32:AF32">
    <cfRule type="expression" dxfId="5148" priority="216">
      <formula>B32&gt;$AG32</formula>
    </cfRule>
  </conditionalFormatting>
  <conditionalFormatting sqref="A32">
    <cfRule type="expression" dxfId="5147" priority="215">
      <formula>$AH32=0</formula>
    </cfRule>
  </conditionalFormatting>
  <conditionalFormatting sqref="B81:AF81">
    <cfRule type="expression" dxfId="5146" priority="211">
      <formula>B$9&gt;=20/24</formula>
    </cfRule>
    <cfRule type="expression" dxfId="5145" priority="212">
      <formula>AND(B$9&gt;=14/24,B$9&lt;20/24)</formula>
    </cfRule>
    <cfRule type="expression" dxfId="5144" priority="213">
      <formula>AND(B$9&gt;=8/24,B$9&lt;14/24)</formula>
    </cfRule>
    <cfRule type="expression" dxfId="5143" priority="214">
      <formula>B$9&lt;8/24</formula>
    </cfRule>
  </conditionalFormatting>
  <conditionalFormatting sqref="A81">
    <cfRule type="expression" dxfId="5142" priority="210">
      <formula>$AH81=0</formula>
    </cfRule>
  </conditionalFormatting>
  <conditionalFormatting sqref="AD14:AE14">
    <cfRule type="expression" dxfId="5141" priority="206">
      <formula>AD$9&gt;=20/24</formula>
    </cfRule>
    <cfRule type="expression" dxfId="5140" priority="207">
      <formula>AND(AD$9&gt;=14/24,AD$9&lt;20/24)</formula>
    </cfRule>
    <cfRule type="expression" dxfId="5139" priority="208">
      <formula>AND(AD$9&gt;=8/24,AD$9&lt;14/24)</formula>
    </cfRule>
    <cfRule type="expression" dxfId="5138" priority="209">
      <formula>AD$9&lt;8/24</formula>
    </cfRule>
  </conditionalFormatting>
  <conditionalFormatting sqref="M14:R14">
    <cfRule type="expression" dxfId="5137" priority="202">
      <formula>M$9&gt;=20/24</formula>
    </cfRule>
    <cfRule type="expression" dxfId="5136" priority="203">
      <formula>AND(M$9&gt;=14/24,M$9&lt;20/24)</formula>
    </cfRule>
    <cfRule type="expression" dxfId="5135" priority="204">
      <formula>AND(M$9&gt;=8/24,M$9&lt;14/24)</formula>
    </cfRule>
    <cfRule type="expression" dxfId="5134" priority="205">
      <formula>M$9&lt;8/24</formula>
    </cfRule>
  </conditionalFormatting>
  <conditionalFormatting sqref="B14:K14 M14:R14 AD14:AF14">
    <cfRule type="expression" dxfId="5133" priority="201">
      <formula>B14&gt;$AG14</formula>
    </cfRule>
  </conditionalFormatting>
  <conditionalFormatting sqref="A14">
    <cfRule type="expression" dxfId="5132" priority="200">
      <formula>$AH14=0</formula>
    </cfRule>
  </conditionalFormatting>
  <conditionalFormatting sqref="A161:A166">
    <cfRule type="expression" dxfId="5131" priority="199">
      <formula>$AH161=0</formula>
    </cfRule>
  </conditionalFormatting>
  <conditionalFormatting sqref="A155:A160">
    <cfRule type="expression" dxfId="5130" priority="198">
      <formula>$AH155=0</formula>
    </cfRule>
  </conditionalFormatting>
  <conditionalFormatting sqref="AD42:AF42">
    <cfRule type="expression" dxfId="5129" priority="194">
      <formula>AD$9&gt;=20/24</formula>
    </cfRule>
    <cfRule type="expression" dxfId="5128" priority="195">
      <formula>AND(AD$9&gt;=14/24,AD$9&lt;20/24)</formula>
    </cfRule>
    <cfRule type="expression" dxfId="5127" priority="196">
      <formula>AND(AD$9&gt;=8/24,AD$9&lt;14/24)</formula>
    </cfRule>
    <cfRule type="expression" dxfId="5126" priority="197">
      <formula>AD$9&lt;8/24</formula>
    </cfRule>
  </conditionalFormatting>
  <conditionalFormatting sqref="L42:R42">
    <cfRule type="expression" dxfId="5125" priority="190">
      <formula>L$9&gt;=20/24</formula>
    </cfRule>
    <cfRule type="expression" dxfId="5124" priority="191">
      <formula>AND(L$9&gt;=14/24,L$9&lt;20/24)</formula>
    </cfRule>
    <cfRule type="expression" dxfId="5123" priority="192">
      <formula>AND(L$9&gt;=8/24,L$9&lt;14/24)</formula>
    </cfRule>
    <cfRule type="expression" dxfId="5122" priority="193">
      <formula>L$9&lt;8/24</formula>
    </cfRule>
  </conditionalFormatting>
  <conditionalFormatting sqref="S42:AC42">
    <cfRule type="expression" dxfId="5121" priority="186">
      <formula>S$9&gt;=20/24</formula>
    </cfRule>
    <cfRule type="expression" dxfId="5120" priority="187">
      <formula>AND(S$9&gt;=14/24,S$9&lt;20/24)</formula>
    </cfRule>
    <cfRule type="expression" dxfId="5119" priority="188">
      <formula>AND(S$9&gt;=8/24,S$9&lt;14/24)</formula>
    </cfRule>
    <cfRule type="expression" dxfId="5118" priority="189">
      <formula>S$9&lt;8/24</formula>
    </cfRule>
  </conditionalFormatting>
  <conditionalFormatting sqref="B42:AF42">
    <cfRule type="expression" dxfId="5117" priority="185">
      <formula>B42&gt;$AG42</formula>
    </cfRule>
  </conditionalFormatting>
  <conditionalFormatting sqref="A42">
    <cfRule type="expression" dxfId="5116" priority="184">
      <formula>$AH42=0</formula>
    </cfRule>
  </conditionalFormatting>
  <conditionalFormatting sqref="B77:AF77">
    <cfRule type="expression" dxfId="5115" priority="180">
      <formula>B$9&gt;=20/24</formula>
    </cfRule>
    <cfRule type="expression" dxfId="5114" priority="181">
      <formula>AND(B$9&gt;=14/24,B$9&lt;20/24)</formula>
    </cfRule>
    <cfRule type="expression" dxfId="5113" priority="182">
      <formula>AND(B$9&gt;=8/24,B$9&lt;14/24)</formula>
    </cfRule>
    <cfRule type="expression" dxfId="5112" priority="183">
      <formula>B$9&lt;8/24</formula>
    </cfRule>
  </conditionalFormatting>
  <conditionalFormatting sqref="A77">
    <cfRule type="expression" dxfId="5111" priority="179">
      <formula>$AH77=0</formula>
    </cfRule>
  </conditionalFormatting>
  <conditionalFormatting sqref="B71:AG71">
    <cfRule type="expression" dxfId="5110" priority="175">
      <formula>B$9&gt;=20/24</formula>
    </cfRule>
    <cfRule type="expression" dxfId="5109" priority="176">
      <formula>AND(B$9&gt;=14/24,B$9&lt;20/24)</formula>
    </cfRule>
    <cfRule type="expression" dxfId="5108" priority="177">
      <formula>AND(B$9&gt;=8/24,B$9&lt;14/24)</formula>
    </cfRule>
    <cfRule type="expression" dxfId="5107" priority="178">
      <formula>B$9&lt;8/24</formula>
    </cfRule>
  </conditionalFormatting>
  <conditionalFormatting sqref="A71">
    <cfRule type="expression" dxfId="5106" priority="174">
      <formula>$AH71=0</formula>
    </cfRule>
  </conditionalFormatting>
  <conditionalFormatting sqref="AL7:AL10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5105" priority="170">
      <formula>T$9&gt;=20/24</formula>
    </cfRule>
    <cfRule type="expression" dxfId="5104" priority="171">
      <formula>AND(T$9&gt;=14/24,T$9&lt;20/24)</formula>
    </cfRule>
    <cfRule type="expression" dxfId="5103" priority="172">
      <formula>AND(T$9&gt;=8/24,T$9&lt;14/24)</formula>
    </cfRule>
    <cfRule type="expression" dxfId="5102" priority="173">
      <formula>T$9&lt;8/24</formula>
    </cfRule>
  </conditionalFormatting>
  <conditionalFormatting sqref="T83:V89">
    <cfRule type="expression" dxfId="5101" priority="166">
      <formula>T$9&gt;=20/24</formula>
    </cfRule>
    <cfRule type="expression" dxfId="5100" priority="167">
      <formula>AND(T$9&gt;=14/24,T$9&lt;20/24)</formula>
    </cfRule>
    <cfRule type="expression" dxfId="5099" priority="168">
      <formula>AND(T$9&gt;=8/24,T$9&lt;14/24)</formula>
    </cfRule>
    <cfRule type="expression" dxfId="5098" priority="169">
      <formula>T$9&lt;8/24</formula>
    </cfRule>
  </conditionalFormatting>
  <conditionalFormatting sqref="S83:S89 B82:R89">
    <cfRule type="expression" dxfId="5097" priority="162">
      <formula>B$9&gt;=20/24</formula>
    </cfRule>
    <cfRule type="expression" dxfId="5096" priority="163">
      <formula>AND(B$9&gt;=14/24,B$9&lt;20/24)</formula>
    </cfRule>
    <cfRule type="expression" dxfId="5095" priority="164">
      <formula>AND(B$9&gt;=8/24,B$9&lt;14/24)</formula>
    </cfRule>
    <cfRule type="expression" dxfId="5094" priority="165">
      <formula>B$9&lt;8/24</formula>
    </cfRule>
  </conditionalFormatting>
  <conditionalFormatting sqref="S82">
    <cfRule type="expression" dxfId="5093" priority="158">
      <formula>S$9&gt;=20/24</formula>
    </cfRule>
    <cfRule type="expression" dxfId="5092" priority="159">
      <formula>AND(S$9&gt;=14/24,S$9&lt;20/24)</formula>
    </cfRule>
    <cfRule type="expression" dxfId="5091" priority="160">
      <formula>AND(S$9&gt;=8/24,S$9&lt;14/24)</formula>
    </cfRule>
    <cfRule type="expression" dxfId="5090" priority="161">
      <formula>S$9&lt;8/24</formula>
    </cfRule>
  </conditionalFormatting>
  <conditionalFormatting sqref="B93:L95 B92:E92">
    <cfRule type="expression" dxfId="5089" priority="154">
      <formula>B$9&gt;=20/24</formula>
    </cfRule>
    <cfRule type="expression" dxfId="5088" priority="155">
      <formula>AND(B$9&gt;=14/24,B$9&lt;20/24)</formula>
    </cfRule>
    <cfRule type="expression" dxfId="5087" priority="156">
      <formula>AND(B$9&gt;=8/24,B$9&lt;14/24)</formula>
    </cfRule>
    <cfRule type="expression" dxfId="5086" priority="157">
      <formula>B$9&lt;8/24</formula>
    </cfRule>
  </conditionalFormatting>
  <conditionalFormatting sqref="M93:Q95 N92:Q92 R92:R95">
    <cfRule type="expression" dxfId="5085" priority="150">
      <formula>M$9&gt;=20/24</formula>
    </cfRule>
    <cfRule type="expression" dxfId="5084" priority="151">
      <formula>AND(M$9&gt;=14/24,M$9&lt;20/24)</formula>
    </cfRule>
    <cfRule type="expression" dxfId="5083" priority="152">
      <formula>AND(M$9&gt;=8/24,M$9&lt;14/24)</formula>
    </cfRule>
    <cfRule type="expression" dxfId="5082" priority="153">
      <formula>M$9&lt;8/24</formula>
    </cfRule>
  </conditionalFormatting>
  <conditionalFormatting sqref="S92:S95">
    <cfRule type="expression" dxfId="5081" priority="146">
      <formula>S$9&gt;=20/24</formula>
    </cfRule>
    <cfRule type="expression" dxfId="5080" priority="147">
      <formula>AND(S$9&gt;=14/24,S$9&lt;20/24)</formula>
    </cfRule>
    <cfRule type="expression" dxfId="5079" priority="148">
      <formula>AND(S$9&gt;=8/24,S$9&lt;14/24)</formula>
    </cfRule>
    <cfRule type="expression" dxfId="5078" priority="149">
      <formula>S$9&lt;8/24</formula>
    </cfRule>
  </conditionalFormatting>
  <conditionalFormatting sqref="B96:L96">
    <cfRule type="expression" dxfId="5077" priority="142">
      <formula>B$9&gt;=20/24</formula>
    </cfRule>
    <cfRule type="expression" dxfId="5076" priority="143">
      <formula>AND(B$9&gt;=14/24,B$9&lt;20/24)</formula>
    </cfRule>
    <cfRule type="expression" dxfId="5075" priority="144">
      <formula>AND(B$9&gt;=8/24,B$9&lt;14/24)</formula>
    </cfRule>
    <cfRule type="expression" dxfId="5074" priority="145">
      <formula>B$9&lt;8/24</formula>
    </cfRule>
  </conditionalFormatting>
  <conditionalFormatting sqref="M96:R96">
    <cfRule type="expression" dxfId="5073" priority="138">
      <formula>M$9&gt;=20/24</formula>
    </cfRule>
    <cfRule type="expression" dxfId="5072" priority="139">
      <formula>AND(M$9&gt;=14/24,M$9&lt;20/24)</formula>
    </cfRule>
    <cfRule type="expression" dxfId="5071" priority="140">
      <formula>AND(M$9&gt;=8/24,M$9&lt;14/24)</formula>
    </cfRule>
    <cfRule type="expression" dxfId="5070" priority="141">
      <formula>M$9&lt;8/24</formula>
    </cfRule>
  </conditionalFormatting>
  <conditionalFormatting sqref="S96">
    <cfRule type="expression" dxfId="5069" priority="134">
      <formula>S$9&gt;=20/24</formula>
    </cfRule>
    <cfRule type="expression" dxfId="5068" priority="135">
      <formula>AND(S$9&gt;=14/24,S$9&lt;20/24)</formula>
    </cfRule>
    <cfRule type="expression" dxfId="5067" priority="136">
      <formula>AND(S$9&gt;=8/24,S$9&lt;14/24)</formula>
    </cfRule>
    <cfRule type="expression" dxfId="5066" priority="137">
      <formula>S$9&lt;8/24</formula>
    </cfRule>
  </conditionalFormatting>
  <conditionalFormatting sqref="L92:M92">
    <cfRule type="expression" dxfId="5065" priority="130">
      <formula>L$9&gt;=20/24</formula>
    </cfRule>
    <cfRule type="expression" dxfId="5064" priority="131">
      <formula>AND(L$9&gt;=14/24,L$9&lt;20/24)</formula>
    </cfRule>
    <cfRule type="expression" dxfId="5063" priority="132">
      <formula>AND(L$9&gt;=8/24,L$9&lt;14/24)</formula>
    </cfRule>
    <cfRule type="expression" dxfId="5062" priority="133">
      <formula>L$9&lt;8/24</formula>
    </cfRule>
  </conditionalFormatting>
  <conditionalFormatting sqref="F92:K92">
    <cfRule type="expression" dxfId="5061" priority="126">
      <formula>F$9&gt;=20/24</formula>
    </cfRule>
    <cfRule type="expression" dxfId="5060" priority="127">
      <formula>AND(F$9&gt;=14/24,F$9&lt;20/24)</formula>
    </cfRule>
    <cfRule type="expression" dxfId="5059" priority="128">
      <formula>AND(F$9&gt;=8/24,F$9&lt;14/24)</formula>
    </cfRule>
    <cfRule type="expression" dxfId="5058" priority="129">
      <formula>F$9&lt;8/24</formula>
    </cfRule>
  </conditionalFormatting>
  <conditionalFormatting sqref="T92:V92">
    <cfRule type="expression" dxfId="5057" priority="122">
      <formula>T$9&gt;=20/24</formula>
    </cfRule>
    <cfRule type="expression" dxfId="5056" priority="123">
      <formula>AND(T$9&gt;=14/24,T$9&lt;20/24)</formula>
    </cfRule>
    <cfRule type="expression" dxfId="5055" priority="124">
      <formula>AND(T$9&gt;=8/24,T$9&lt;14/24)</formula>
    </cfRule>
    <cfRule type="expression" dxfId="5054" priority="125">
      <formula>T$9&lt;8/24</formula>
    </cfRule>
  </conditionalFormatting>
  <conditionalFormatting sqref="M92:S92">
    <cfRule type="expression" dxfId="5053" priority="118">
      <formula>M$9&gt;=20/24</formula>
    </cfRule>
    <cfRule type="expression" dxfId="5052" priority="119">
      <formula>AND(M$9&gt;=14/24,M$9&lt;20/24)</formula>
    </cfRule>
    <cfRule type="expression" dxfId="5051" priority="120">
      <formula>AND(M$9&gt;=8/24,M$9&lt;14/24)</formula>
    </cfRule>
    <cfRule type="expression" dxfId="5050" priority="121">
      <formula>M$9&lt;8/24</formula>
    </cfRule>
  </conditionalFormatting>
  <conditionalFormatting sqref="AA97:AF97">
    <cfRule type="expression" dxfId="5049" priority="114">
      <formula>AA$9&gt;=20/24</formula>
    </cfRule>
    <cfRule type="expression" dxfId="5048" priority="115">
      <formula>AND(AA$9&gt;=14/24,AA$9&lt;20/24)</formula>
    </cfRule>
    <cfRule type="expression" dxfId="5047" priority="116">
      <formula>AND(AA$9&gt;=8/24,AA$9&lt;14/24)</formula>
    </cfRule>
    <cfRule type="expression" dxfId="5046" priority="117">
      <formula>AA$9&lt;8/24</formula>
    </cfRule>
  </conditionalFormatting>
  <conditionalFormatting sqref="T97:Z97">
    <cfRule type="expression" dxfId="5045" priority="110">
      <formula>T$9&gt;=20/24</formula>
    </cfRule>
    <cfRule type="expression" dxfId="5044" priority="111">
      <formula>AND(T$9&gt;=14/24,T$9&lt;20/24)</formula>
    </cfRule>
    <cfRule type="expression" dxfId="5043" priority="112">
      <formula>AND(T$9&gt;=8/24,T$9&lt;14/24)</formula>
    </cfRule>
    <cfRule type="expression" dxfId="5042" priority="113">
      <formula>T$9&lt;8/24</formula>
    </cfRule>
  </conditionalFormatting>
  <conditionalFormatting sqref="A97">
    <cfRule type="expression" dxfId="5041" priority="109">
      <formula>$AH97=0</formula>
    </cfRule>
  </conditionalFormatting>
  <conditionalFormatting sqref="B97:L97">
    <cfRule type="expression" dxfId="5040" priority="105">
      <formula>B$9&gt;=20/24</formula>
    </cfRule>
    <cfRule type="expression" dxfId="5039" priority="106">
      <formula>AND(B$9&gt;=14/24,B$9&lt;20/24)</formula>
    </cfRule>
    <cfRule type="expression" dxfId="5038" priority="107">
      <formula>AND(B$9&gt;=8/24,B$9&lt;14/24)</formula>
    </cfRule>
    <cfRule type="expression" dxfId="5037" priority="108">
      <formula>B$9&lt;8/24</formula>
    </cfRule>
  </conditionalFormatting>
  <conditionalFormatting sqref="M97:R97">
    <cfRule type="expression" dxfId="5036" priority="101">
      <formula>M$9&gt;=20/24</formula>
    </cfRule>
    <cfRule type="expression" dxfId="5035" priority="102">
      <formula>AND(M$9&gt;=14/24,M$9&lt;20/24)</formula>
    </cfRule>
    <cfRule type="expression" dxfId="5034" priority="103">
      <formula>AND(M$9&gt;=8/24,M$9&lt;14/24)</formula>
    </cfRule>
    <cfRule type="expression" dxfId="5033" priority="104">
      <formula>M$9&lt;8/24</formula>
    </cfRule>
  </conditionalFormatting>
  <conditionalFormatting sqref="S97">
    <cfRule type="expression" dxfId="5032" priority="97">
      <formula>S$9&gt;=20/24</formula>
    </cfRule>
    <cfRule type="expression" dxfId="5031" priority="98">
      <formula>AND(S$9&gt;=14/24,S$9&lt;20/24)</formula>
    </cfRule>
    <cfRule type="expression" dxfId="5030" priority="99">
      <formula>AND(S$9&gt;=8/24,S$9&lt;14/24)</formula>
    </cfRule>
    <cfRule type="expression" dxfId="5029" priority="100">
      <formula>S$9&lt;8/24</formula>
    </cfRule>
  </conditionalFormatting>
  <conditionalFormatting sqref="S12:AC15">
    <cfRule type="expression" dxfId="5028" priority="93">
      <formula>S$9&gt;=20/24</formula>
    </cfRule>
    <cfRule type="expression" dxfId="5027" priority="94">
      <formula>AND(S$9&gt;=14/24,S$9&lt;20/24)</formula>
    </cfRule>
    <cfRule type="expression" dxfId="5026" priority="95">
      <formula>AND(S$9&gt;=8/24,S$9&lt;14/24)</formula>
    </cfRule>
    <cfRule type="expression" dxfId="5025" priority="96">
      <formula>S$9&lt;8/24</formula>
    </cfRule>
  </conditionalFormatting>
  <conditionalFormatting sqref="S16:AC16">
    <cfRule type="expression" dxfId="5024" priority="89">
      <formula>S$9&gt;=20/24</formula>
    </cfRule>
    <cfRule type="expression" dxfId="5023" priority="90">
      <formula>AND(S$9&gt;=14/24,S$9&lt;20/24)</formula>
    </cfRule>
    <cfRule type="expression" dxfId="5022" priority="91">
      <formula>AND(S$9&gt;=8/24,S$9&lt;14/24)</formula>
    </cfRule>
    <cfRule type="expression" dxfId="5021" priority="92">
      <formula>S$9&lt;8/24</formula>
    </cfRule>
  </conditionalFormatting>
  <conditionalFormatting sqref="S12:AC12">
    <cfRule type="expression" dxfId="5020" priority="85">
      <formula>S$9&gt;=20/24</formula>
    </cfRule>
    <cfRule type="expression" dxfId="5019" priority="86">
      <formula>AND(S$9&gt;=14/24,S$9&lt;20/24)</formula>
    </cfRule>
    <cfRule type="expression" dxfId="5018" priority="87">
      <formula>AND(S$9&gt;=8/24,S$9&lt;14/24)</formula>
    </cfRule>
    <cfRule type="expression" dxfId="5017" priority="88">
      <formula>S$9&lt;8/24</formula>
    </cfRule>
  </conditionalFormatting>
  <conditionalFormatting sqref="AA56:AD57">
    <cfRule type="expression" dxfId="5016" priority="81">
      <formula>AA$9&gt;=20/24</formula>
    </cfRule>
    <cfRule type="expression" dxfId="5015" priority="82">
      <formula>AND(AA$9&gt;=14/24,AA$9&lt;20/24)</formula>
    </cfRule>
    <cfRule type="expression" dxfId="5014" priority="83">
      <formula>AND(AA$9&gt;=8/24,AA$9&lt;14/24)</formula>
    </cfRule>
    <cfRule type="expression" dxfId="5013" priority="84">
      <formula>AA$9&lt;8/24</formula>
    </cfRule>
  </conditionalFormatting>
  <conditionalFormatting sqref="AL31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32:AL33 AL11:AL16 AL29:AL30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37:AL42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L35 L15:N31">
    <cfRule type="expression" dxfId="5012" priority="74">
      <formula>L$9&gt;=20/24</formula>
    </cfRule>
    <cfRule type="expression" dxfId="5011" priority="75">
      <formula>AND(L$9&gt;=14/24,L$9&lt;20/24)</formula>
    </cfRule>
    <cfRule type="expression" dxfId="5010" priority="76">
      <formula>AND(L$9&gt;=8/24,L$9&lt;14/24)</formula>
    </cfRule>
    <cfRule type="expression" dxfId="5009" priority="77">
      <formula>L$9&lt;8/24</formula>
    </cfRule>
  </conditionalFormatting>
  <conditionalFormatting sqref="L33:N33">
    <cfRule type="expression" dxfId="5008" priority="70">
      <formula>L$9&gt;=20/24</formula>
    </cfRule>
    <cfRule type="expression" dxfId="5007" priority="71">
      <formula>AND(L$9&gt;=14/24,L$9&lt;20/24)</formula>
    </cfRule>
    <cfRule type="expression" dxfId="5006" priority="72">
      <formula>AND(L$9&gt;=8/24,L$9&lt;14/24)</formula>
    </cfRule>
    <cfRule type="expression" dxfId="5005" priority="73">
      <formula>L$9&lt;8/24</formula>
    </cfRule>
  </conditionalFormatting>
  <conditionalFormatting sqref="L33:L35 L15:N31 M33:N34">
    <cfRule type="expression" dxfId="5004" priority="69">
      <formula>L15&gt;$AG15</formula>
    </cfRule>
  </conditionalFormatting>
  <conditionalFormatting sqref="L34:N34">
    <cfRule type="expression" dxfId="5003" priority="65">
      <formula>L$9&gt;=20/24</formula>
    </cfRule>
    <cfRule type="expression" dxfId="5002" priority="66">
      <formula>AND(L$9&gt;=14/24,L$9&lt;20/24)</formula>
    </cfRule>
    <cfRule type="expression" dxfId="5001" priority="67">
      <formula>AND(L$9&gt;=8/24,L$9&lt;14/24)</formula>
    </cfRule>
    <cfRule type="expression" dxfId="5000" priority="68">
      <formula>L$9&lt;8/24</formula>
    </cfRule>
  </conditionalFormatting>
  <conditionalFormatting sqref="L32:N32">
    <cfRule type="expression" dxfId="4999" priority="61">
      <formula>L$9&gt;=20/24</formula>
    </cfRule>
    <cfRule type="expression" dxfId="4998" priority="62">
      <formula>AND(L$9&gt;=14/24,L$9&lt;20/24)</formula>
    </cfRule>
    <cfRule type="expression" dxfId="4997" priority="63">
      <formula>AND(L$9&gt;=8/24,L$9&lt;14/24)</formula>
    </cfRule>
    <cfRule type="expression" dxfId="4996" priority="64">
      <formula>L$9&lt;8/24</formula>
    </cfRule>
  </conditionalFormatting>
  <conditionalFormatting sqref="L32:N32">
    <cfRule type="expression" dxfId="4995" priority="60">
      <formula>L32&gt;$AG32</formula>
    </cfRule>
  </conditionalFormatting>
  <conditionalFormatting sqref="L14">
    <cfRule type="expression" dxfId="4994" priority="56">
      <formula>L$9&gt;=20/24</formula>
    </cfRule>
    <cfRule type="expression" dxfId="4993" priority="57">
      <formula>AND(L$9&gt;=14/24,L$9&lt;20/24)</formula>
    </cfRule>
    <cfRule type="expression" dxfId="4992" priority="58">
      <formula>AND(L$9&gt;=8/24,L$9&lt;14/24)</formula>
    </cfRule>
    <cfRule type="expression" dxfId="4991" priority="59">
      <formula>L$9&lt;8/24</formula>
    </cfRule>
  </conditionalFormatting>
  <conditionalFormatting sqref="L14">
    <cfRule type="expression" dxfId="4990" priority="55">
      <formula>L14&gt;$AG14</formula>
    </cfRule>
  </conditionalFormatting>
  <conditionalFormatting sqref="O17:O31">
    <cfRule type="expression" dxfId="4989" priority="51">
      <formula>O$9&gt;=20/24</formula>
    </cfRule>
    <cfRule type="expression" dxfId="4988" priority="52">
      <formula>AND(O$9&gt;=14/24,O$9&lt;20/24)</formula>
    </cfRule>
    <cfRule type="expression" dxfId="4987" priority="53">
      <formula>AND(O$9&gt;=8/24,O$9&lt;14/24)</formula>
    </cfRule>
    <cfRule type="expression" dxfId="4986" priority="54">
      <formula>O$9&lt;8/24</formula>
    </cfRule>
  </conditionalFormatting>
  <conditionalFormatting sqref="O33">
    <cfRule type="expression" dxfId="4985" priority="47">
      <formula>O$9&gt;=20/24</formula>
    </cfRule>
    <cfRule type="expression" dxfId="4984" priority="48">
      <formula>AND(O$9&gt;=14/24,O$9&lt;20/24)</formula>
    </cfRule>
    <cfRule type="expression" dxfId="4983" priority="49">
      <formula>AND(O$9&gt;=8/24,O$9&lt;14/24)</formula>
    </cfRule>
    <cfRule type="expression" dxfId="4982" priority="50">
      <formula>O$9&lt;8/24</formula>
    </cfRule>
  </conditionalFormatting>
  <conditionalFormatting sqref="O17:O31 O33:O34">
    <cfRule type="expression" dxfId="4981" priority="46">
      <formula>O17&gt;$AG17</formula>
    </cfRule>
  </conditionalFormatting>
  <conditionalFormatting sqref="O34">
    <cfRule type="expression" dxfId="4980" priority="42">
      <formula>O$9&gt;=20/24</formula>
    </cfRule>
    <cfRule type="expression" dxfId="4979" priority="43">
      <formula>AND(O$9&gt;=14/24,O$9&lt;20/24)</formula>
    </cfRule>
    <cfRule type="expression" dxfId="4978" priority="44">
      <formula>AND(O$9&gt;=8/24,O$9&lt;14/24)</formula>
    </cfRule>
    <cfRule type="expression" dxfId="4977" priority="45">
      <formula>O$9&lt;8/24</formula>
    </cfRule>
  </conditionalFormatting>
  <conditionalFormatting sqref="O32">
    <cfRule type="expression" dxfId="4976" priority="38">
      <formula>O$9&gt;=20/24</formula>
    </cfRule>
    <cfRule type="expression" dxfId="4975" priority="39">
      <formula>AND(O$9&gt;=14/24,O$9&lt;20/24)</formula>
    </cfRule>
    <cfRule type="expression" dxfId="4974" priority="40">
      <formula>AND(O$9&gt;=8/24,O$9&lt;14/24)</formula>
    </cfRule>
    <cfRule type="expression" dxfId="4973" priority="41">
      <formula>O$9&lt;8/24</formula>
    </cfRule>
  </conditionalFormatting>
  <conditionalFormatting sqref="O32">
    <cfRule type="expression" dxfId="4972" priority="37">
      <formula>O32&gt;$AG32</formula>
    </cfRule>
  </conditionalFormatting>
  <conditionalFormatting sqref="P17:P31">
    <cfRule type="expression" dxfId="4971" priority="33">
      <formula>P$9&gt;=20/24</formula>
    </cfRule>
    <cfRule type="expression" dxfId="4970" priority="34">
      <formula>AND(P$9&gt;=14/24,P$9&lt;20/24)</formula>
    </cfRule>
    <cfRule type="expression" dxfId="4969" priority="35">
      <formula>AND(P$9&gt;=8/24,P$9&lt;14/24)</formula>
    </cfRule>
    <cfRule type="expression" dxfId="4968" priority="36">
      <formula>P$9&lt;8/24</formula>
    </cfRule>
  </conditionalFormatting>
  <conditionalFormatting sqref="P33">
    <cfRule type="expression" dxfId="4967" priority="29">
      <formula>P$9&gt;=20/24</formula>
    </cfRule>
    <cfRule type="expression" dxfId="4966" priority="30">
      <formula>AND(P$9&gt;=14/24,P$9&lt;20/24)</formula>
    </cfRule>
    <cfRule type="expression" dxfId="4965" priority="31">
      <formula>AND(P$9&gt;=8/24,P$9&lt;14/24)</formula>
    </cfRule>
    <cfRule type="expression" dxfId="4964" priority="32">
      <formula>P$9&lt;8/24</formula>
    </cfRule>
  </conditionalFormatting>
  <conditionalFormatting sqref="P17:P31 P33:P34">
    <cfRule type="expression" dxfId="4963" priority="28">
      <formula>P17&gt;$AG17</formula>
    </cfRule>
  </conditionalFormatting>
  <conditionalFormatting sqref="P34">
    <cfRule type="expression" dxfId="4962" priority="24">
      <formula>P$9&gt;=20/24</formula>
    </cfRule>
    <cfRule type="expression" dxfId="4961" priority="25">
      <formula>AND(P$9&gt;=14/24,P$9&lt;20/24)</formula>
    </cfRule>
    <cfRule type="expression" dxfId="4960" priority="26">
      <formula>AND(P$9&gt;=8/24,P$9&lt;14/24)</formula>
    </cfRule>
    <cfRule type="expression" dxfId="4959" priority="27">
      <formula>P$9&lt;8/24</formula>
    </cfRule>
  </conditionalFormatting>
  <conditionalFormatting sqref="P32">
    <cfRule type="expression" dxfId="4958" priority="20">
      <formula>P$9&gt;=20/24</formula>
    </cfRule>
    <cfRule type="expression" dxfId="4957" priority="21">
      <formula>AND(P$9&gt;=14/24,P$9&lt;20/24)</formula>
    </cfRule>
    <cfRule type="expression" dxfId="4956" priority="22">
      <formula>AND(P$9&gt;=8/24,P$9&lt;14/24)</formula>
    </cfRule>
    <cfRule type="expression" dxfId="4955" priority="23">
      <formula>P$9&lt;8/24</formula>
    </cfRule>
  </conditionalFormatting>
  <conditionalFormatting sqref="P32">
    <cfRule type="expression" dxfId="4954" priority="19">
      <formula>P32&gt;$AG32</formula>
    </cfRule>
  </conditionalFormatting>
  <conditionalFormatting sqref="U20:AB31 AC20:AC22 AC24 AC26:AC31">
    <cfRule type="expression" dxfId="4953" priority="15">
      <formula>U$9&gt;=20/24</formula>
    </cfRule>
    <cfRule type="expression" dxfId="4952" priority="16">
      <formula>AND(U$9&gt;=14/24,U$9&lt;20/24)</formula>
    </cfRule>
    <cfRule type="expression" dxfId="4951" priority="17">
      <formula>AND(U$9&gt;=8/24,U$9&lt;14/24)</formula>
    </cfRule>
    <cfRule type="expression" dxfId="4950" priority="18">
      <formula>U$9&lt;8/24</formula>
    </cfRule>
  </conditionalFormatting>
  <conditionalFormatting sqref="U33:AC33">
    <cfRule type="expression" dxfId="4949" priority="11">
      <formula>U$9&gt;=20/24</formula>
    </cfRule>
    <cfRule type="expression" dxfId="4948" priority="12">
      <formula>AND(U$9&gt;=14/24,U$9&lt;20/24)</formula>
    </cfRule>
    <cfRule type="expression" dxfId="4947" priority="13">
      <formula>AND(U$9&gt;=8/24,U$9&lt;14/24)</formula>
    </cfRule>
    <cfRule type="expression" dxfId="4946" priority="14">
      <formula>U$9&lt;8/24</formula>
    </cfRule>
  </conditionalFormatting>
  <conditionalFormatting sqref="U20:AB31 AC20:AC22 AC24 U33:AC34 AC26:AC31">
    <cfRule type="expression" dxfId="4945" priority="10">
      <formula>U20&gt;$AG20</formula>
    </cfRule>
  </conditionalFormatting>
  <conditionalFormatting sqref="U34:AC34">
    <cfRule type="expression" dxfId="4944" priority="6">
      <formula>U$9&gt;=20/24</formula>
    </cfRule>
    <cfRule type="expression" dxfId="4943" priority="7">
      <formula>AND(U$9&gt;=14/24,U$9&lt;20/24)</formula>
    </cfRule>
    <cfRule type="expression" dxfId="4942" priority="8">
      <formula>AND(U$9&gt;=8/24,U$9&lt;14/24)</formula>
    </cfRule>
    <cfRule type="expression" dxfId="4941" priority="9">
      <formula>U$9&lt;8/24</formula>
    </cfRule>
  </conditionalFormatting>
  <conditionalFormatting sqref="U32:AC32">
    <cfRule type="expression" dxfId="4940" priority="2">
      <formula>U$9&gt;=20/24</formula>
    </cfRule>
    <cfRule type="expression" dxfId="4939" priority="3">
      <formula>AND(U$9&gt;=14/24,U$9&lt;20/24)</formula>
    </cfRule>
    <cfRule type="expression" dxfId="4938" priority="4">
      <formula>AND(U$9&gt;=8/24,U$9&lt;14/24)</formula>
    </cfRule>
    <cfRule type="expression" dxfId="4937" priority="5">
      <formula>U$9&lt;8/24</formula>
    </cfRule>
  </conditionalFormatting>
  <conditionalFormatting sqref="U32:AC32">
    <cfRule type="expression" dxfId="4936" priority="1">
      <formula>U32&gt;$AG32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Z58" sqref="Z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2078/04/19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-211.20000000000002</v>
      </c>
      <c r="C5" s="32">
        <f t="shared" ref="C5:AF5" si="0">C66</f>
        <v>-261.10000000000002</v>
      </c>
      <c r="D5" s="32">
        <f t="shared" si="0"/>
        <v>-207.5</v>
      </c>
      <c r="E5" s="32">
        <f t="shared" si="0"/>
        <v>-258.5</v>
      </c>
      <c r="F5" s="32">
        <f t="shared" si="0"/>
        <v>-236.4</v>
      </c>
      <c r="G5" s="32">
        <f t="shared" si="0"/>
        <v>-232.5</v>
      </c>
      <c r="H5" s="32">
        <f t="shared" si="0"/>
        <v>-231.3</v>
      </c>
      <c r="I5" s="32">
        <f t="shared" si="0"/>
        <v>-167.8</v>
      </c>
      <c r="J5" s="32">
        <f t="shared" si="0"/>
        <v>-167.7</v>
      </c>
      <c r="K5" s="32">
        <f t="shared" si="0"/>
        <v>-115.69999999999999</v>
      </c>
      <c r="L5" s="32">
        <f t="shared" si="0"/>
        <v>-136.4</v>
      </c>
      <c r="M5" s="32">
        <f t="shared" si="0"/>
        <v>-182.96</v>
      </c>
      <c r="N5" s="32">
        <f t="shared" si="0"/>
        <v>-53.8</v>
      </c>
      <c r="O5" s="32">
        <f t="shared" si="0"/>
        <v>63.699999999999996</v>
      </c>
      <c r="P5" s="32">
        <f t="shared" si="0"/>
        <v>18.399999999999999</v>
      </c>
      <c r="Q5" s="32">
        <f t="shared" si="0"/>
        <v>20.3</v>
      </c>
      <c r="R5" s="32">
        <f t="shared" si="0"/>
        <v>92</v>
      </c>
      <c r="S5" s="32">
        <f t="shared" si="0"/>
        <v>83.3</v>
      </c>
      <c r="T5" s="32">
        <f t="shared" si="0"/>
        <v>77</v>
      </c>
      <c r="U5" s="32">
        <f t="shared" si="0"/>
        <v>82.9</v>
      </c>
      <c r="V5" s="32">
        <f t="shared" si="0"/>
        <v>82.9</v>
      </c>
      <c r="W5" s="32">
        <f t="shared" si="0"/>
        <v>42.8</v>
      </c>
      <c r="X5" s="32">
        <f t="shared" si="0"/>
        <v>-20.700000000000003</v>
      </c>
      <c r="Y5" s="32">
        <f t="shared" si="0"/>
        <v>-86.44</v>
      </c>
      <c r="Z5" s="32">
        <f t="shared" si="0"/>
        <v>-152.4</v>
      </c>
      <c r="AA5" s="32">
        <f t="shared" si="0"/>
        <v>-191.2</v>
      </c>
      <c r="AB5" s="32">
        <f t="shared" si="0"/>
        <v>-227</v>
      </c>
      <c r="AC5" s="32">
        <f t="shared" si="0"/>
        <v>-229</v>
      </c>
      <c r="AD5" s="32">
        <f t="shared" si="0"/>
        <v>-180</v>
      </c>
      <c r="AE5" s="32">
        <f t="shared" si="0"/>
        <v>-213</v>
      </c>
      <c r="AF5" s="32">
        <f t="shared" si="0"/>
        <v>-199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1239MW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Load=1039</v>
      </c>
      <c r="B7" s="37">
        <f t="shared" ref="B7:AF7" si="1">B73</f>
        <v>1126.6399999999999</v>
      </c>
      <c r="C7" s="37">
        <f t="shared" si="1"/>
        <v>1097.44</v>
      </c>
      <c r="D7" s="37">
        <f t="shared" si="1"/>
        <v>1073.04</v>
      </c>
      <c r="E7" s="37">
        <f t="shared" si="1"/>
        <v>1039.04</v>
      </c>
      <c r="F7" s="37">
        <f t="shared" si="1"/>
        <v>1080.1400000000001</v>
      </c>
      <c r="G7" s="37">
        <f t="shared" si="1"/>
        <v>1063.04</v>
      </c>
      <c r="H7" s="37">
        <f t="shared" si="1"/>
        <v>1076.2399999999998</v>
      </c>
      <c r="I7" s="37">
        <f t="shared" si="1"/>
        <v>1091.7399999999998</v>
      </c>
      <c r="J7" s="37">
        <f t="shared" si="1"/>
        <v>1181.8400000000001</v>
      </c>
      <c r="K7" s="37">
        <f t="shared" si="1"/>
        <v>1200.04</v>
      </c>
      <c r="L7" s="37">
        <f>L73</f>
        <v>1239.04</v>
      </c>
      <c r="M7" s="37">
        <f t="shared" si="1"/>
        <v>1233.3799999999999</v>
      </c>
      <c r="N7" s="37">
        <f t="shared" si="1"/>
        <v>1257.54</v>
      </c>
      <c r="O7" s="37">
        <f t="shared" si="1"/>
        <v>1218.8400000000001</v>
      </c>
      <c r="P7" s="37">
        <f t="shared" si="1"/>
        <v>1187.6399999999999</v>
      </c>
      <c r="Q7" s="37">
        <f t="shared" si="1"/>
        <v>1185.74</v>
      </c>
      <c r="R7" s="37">
        <f t="shared" si="1"/>
        <v>1236.6399999999999</v>
      </c>
      <c r="S7" s="37">
        <f t="shared" si="1"/>
        <v>1207.24</v>
      </c>
      <c r="T7" s="37">
        <f t="shared" si="1"/>
        <v>1227.04</v>
      </c>
      <c r="U7" s="37">
        <f t="shared" si="1"/>
        <v>1219.04</v>
      </c>
      <c r="V7" s="37">
        <f t="shared" si="1"/>
        <v>1219.04</v>
      </c>
      <c r="W7" s="37">
        <f t="shared" si="1"/>
        <v>1432.6399999999999</v>
      </c>
      <c r="X7" s="37">
        <f t="shared" si="1"/>
        <v>1506.44</v>
      </c>
      <c r="Y7" s="37">
        <f t="shared" si="1"/>
        <v>1472.6</v>
      </c>
      <c r="Z7" s="37">
        <f t="shared" si="1"/>
        <v>1412.94</v>
      </c>
      <c r="AA7" s="37">
        <f t="shared" si="1"/>
        <v>1381.04</v>
      </c>
      <c r="AB7" s="37">
        <f t="shared" si="1"/>
        <v>1317.74</v>
      </c>
      <c r="AC7" s="37">
        <f t="shared" si="1"/>
        <v>1315.74</v>
      </c>
      <c r="AD7" s="37">
        <f t="shared" si="1"/>
        <v>1223.54</v>
      </c>
      <c r="AE7" s="37">
        <f t="shared" si="1"/>
        <v>1154.6400000000001</v>
      </c>
      <c r="AF7" s="37">
        <f t="shared" si="1"/>
        <v>1138.6399999999999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320</v>
      </c>
      <c r="C11" s="49">
        <v>340</v>
      </c>
      <c r="D11" s="49">
        <v>270</v>
      </c>
      <c r="E11" s="49">
        <v>290</v>
      </c>
      <c r="F11" s="49">
        <v>350</v>
      </c>
      <c r="G11" s="49">
        <v>320</v>
      </c>
      <c r="H11" s="49">
        <v>300</v>
      </c>
      <c r="I11" s="49">
        <v>250</v>
      </c>
      <c r="J11" s="49">
        <v>320</v>
      </c>
      <c r="K11" s="49">
        <v>320</v>
      </c>
      <c r="L11" s="50">
        <v>350</v>
      </c>
      <c r="M11" s="50">
        <v>350</v>
      </c>
      <c r="N11" s="50">
        <v>300</v>
      </c>
      <c r="O11" s="50">
        <v>10.8</v>
      </c>
      <c r="P11" s="50">
        <v>0</v>
      </c>
      <c r="Q11" s="50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291</v>
      </c>
      <c r="X11" s="52">
        <v>390</v>
      </c>
      <c r="Y11" s="53">
        <v>420</v>
      </c>
      <c r="Z11" s="115">
        <v>451</v>
      </c>
      <c r="AA11" s="115">
        <v>452</v>
      </c>
      <c r="AB11" s="115">
        <v>456</v>
      </c>
      <c r="AC11" s="115">
        <v>456</v>
      </c>
      <c r="AD11" s="115">
        <v>390</v>
      </c>
      <c r="AE11" s="49">
        <v>350</v>
      </c>
      <c r="AF11" s="49">
        <v>320</v>
      </c>
      <c r="AG11" s="54">
        <v>456</v>
      </c>
      <c r="AH11" s="55">
        <f>MAX(B11:AF11)</f>
        <v>456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48</v>
      </c>
      <c r="C12" s="49">
        <v>48</v>
      </c>
      <c r="D12" s="49">
        <v>48</v>
      </c>
      <c r="E12" s="49">
        <v>48</v>
      </c>
      <c r="F12" s="49">
        <v>48</v>
      </c>
      <c r="G12" s="49">
        <v>48</v>
      </c>
      <c r="H12" s="49">
        <v>48</v>
      </c>
      <c r="I12" s="49">
        <v>48</v>
      </c>
      <c r="J12" s="49">
        <v>60</v>
      </c>
      <c r="K12" s="49">
        <v>60</v>
      </c>
      <c r="L12" s="49">
        <v>60</v>
      </c>
      <c r="M12" s="49">
        <v>60</v>
      </c>
      <c r="N12" s="49">
        <v>48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37.200000000000003</v>
      </c>
      <c r="C14" s="62">
        <v>37.200000000000003</v>
      </c>
      <c r="D14" s="62">
        <v>37.200000000000003</v>
      </c>
      <c r="E14" s="62">
        <v>37.200000000000003</v>
      </c>
      <c r="F14" s="62">
        <v>45.9</v>
      </c>
      <c r="G14" s="62">
        <v>45.9</v>
      </c>
      <c r="H14" s="62">
        <v>45.9</v>
      </c>
      <c r="I14" s="62">
        <v>45.9</v>
      </c>
      <c r="J14" s="62">
        <v>45.9</v>
      </c>
      <c r="K14" s="62">
        <v>45.9</v>
      </c>
      <c r="L14" s="50">
        <v>45.9</v>
      </c>
      <c r="M14" s="50">
        <v>45.9</v>
      </c>
      <c r="N14" s="50">
        <v>37</v>
      </c>
      <c r="O14" s="50">
        <v>45.7</v>
      </c>
      <c r="P14" s="50">
        <v>45.8</v>
      </c>
      <c r="Q14" s="50">
        <v>46</v>
      </c>
      <c r="R14" s="61">
        <v>45.8</v>
      </c>
      <c r="S14" s="61">
        <v>45.8</v>
      </c>
      <c r="T14" s="61">
        <v>45.7</v>
      </c>
      <c r="U14" s="61">
        <v>45.7</v>
      </c>
      <c r="V14" s="61">
        <v>45.7</v>
      </c>
      <c r="W14" s="61">
        <v>45</v>
      </c>
      <c r="X14" s="61">
        <v>45</v>
      </c>
      <c r="Y14" s="50">
        <v>45.8</v>
      </c>
      <c r="Z14" s="50">
        <v>45.6</v>
      </c>
      <c r="AA14" s="50">
        <v>45.6</v>
      </c>
      <c r="AB14" s="50">
        <v>45.6</v>
      </c>
      <c r="AC14" s="50">
        <v>45.6</v>
      </c>
      <c r="AD14" s="50">
        <v>45.6</v>
      </c>
      <c r="AE14" s="50">
        <v>45.6</v>
      </c>
      <c r="AF14" s="50">
        <v>45.6</v>
      </c>
      <c r="AG14" s="63">
        <v>45</v>
      </c>
      <c r="AH14" s="55">
        <f t="shared" si="2"/>
        <v>46</v>
      </c>
      <c r="AI14" s="56">
        <f t="shared" si="3"/>
        <v>37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22</v>
      </c>
      <c r="C15" s="49">
        <v>22</v>
      </c>
      <c r="D15" s="49">
        <v>22</v>
      </c>
      <c r="E15" s="49">
        <v>22</v>
      </c>
      <c r="F15" s="49">
        <v>0</v>
      </c>
      <c r="G15" s="49">
        <v>0</v>
      </c>
      <c r="H15" s="49">
        <v>22</v>
      </c>
      <c r="I15" s="49">
        <v>22</v>
      </c>
      <c r="J15" s="49">
        <v>22</v>
      </c>
      <c r="K15" s="49">
        <v>22</v>
      </c>
      <c r="L15" s="50">
        <v>22</v>
      </c>
      <c r="M15" s="50">
        <v>22</v>
      </c>
      <c r="N15" s="50">
        <v>22</v>
      </c>
      <c r="O15" s="50">
        <v>26</v>
      </c>
      <c r="P15" s="50">
        <v>26</v>
      </c>
      <c r="Q15" s="50">
        <v>26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84">
        <v>26</v>
      </c>
      <c r="Z15" s="84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21</v>
      </c>
      <c r="E16" s="49">
        <v>21</v>
      </c>
      <c r="F16" s="49">
        <v>21</v>
      </c>
      <c r="G16" s="49">
        <v>21</v>
      </c>
      <c r="H16" s="49">
        <v>21</v>
      </c>
      <c r="I16" s="49">
        <v>21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61">
        <v>25</v>
      </c>
      <c r="Z16" s="61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25.2</v>
      </c>
      <c r="E18" s="49">
        <v>25.2</v>
      </c>
      <c r="F18" s="49">
        <v>25.2</v>
      </c>
      <c r="G18" s="49">
        <v>25.2</v>
      </c>
      <c r="H18" s="49">
        <v>25.2</v>
      </c>
      <c r="I18" s="49">
        <v>25.2</v>
      </c>
      <c r="J18" s="49">
        <v>25.2</v>
      </c>
      <c r="K18" s="49">
        <v>25.2</v>
      </c>
      <c r="L18" s="50">
        <v>25.3</v>
      </c>
      <c r="M18" s="50">
        <v>25.3</v>
      </c>
      <c r="N18" s="50">
        <v>25.3</v>
      </c>
      <c r="O18" s="50">
        <v>25.5</v>
      </c>
      <c r="P18" s="50">
        <v>25.5</v>
      </c>
      <c r="Q18" s="50">
        <v>25.5</v>
      </c>
      <c r="R18" s="50">
        <v>25.5</v>
      </c>
      <c r="S18" s="50">
        <v>25.5</v>
      </c>
      <c r="T18" s="50">
        <v>25.5</v>
      </c>
      <c r="U18" s="50">
        <v>25.5</v>
      </c>
      <c r="V18" s="50">
        <v>25.5</v>
      </c>
      <c r="W18" s="50">
        <v>25.5</v>
      </c>
      <c r="X18" s="50">
        <v>25.5</v>
      </c>
      <c r="Y18" s="50">
        <v>25.5</v>
      </c>
      <c r="Z18" s="50">
        <v>25.5</v>
      </c>
      <c r="AA18" s="50">
        <v>25.5</v>
      </c>
      <c r="AB18" s="50">
        <v>25.5</v>
      </c>
      <c r="AC18" s="50">
        <v>25.5</v>
      </c>
      <c r="AD18" s="50">
        <v>25.5</v>
      </c>
      <c r="AE18" s="50">
        <v>25.5</v>
      </c>
      <c r="AF18" s="50">
        <v>25.5</v>
      </c>
      <c r="AG18" s="60">
        <v>30</v>
      </c>
      <c r="AH18" s="55">
        <f t="shared" si="2"/>
        <v>25.5</v>
      </c>
      <c r="AI18" s="56">
        <f t="shared" si="3"/>
        <v>25.2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22.1</v>
      </c>
      <c r="C22" s="49">
        <v>22.1</v>
      </c>
      <c r="D22" s="49">
        <v>22.1</v>
      </c>
      <c r="E22" s="49">
        <v>22.1</v>
      </c>
      <c r="F22" s="49">
        <v>22.1</v>
      </c>
      <c r="G22" s="49">
        <v>22.1</v>
      </c>
      <c r="H22" s="49">
        <v>22.1</v>
      </c>
      <c r="I22" s="49">
        <v>22.1</v>
      </c>
      <c r="J22" s="49">
        <v>22.1</v>
      </c>
      <c r="K22" s="49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0">
        <v>25</v>
      </c>
      <c r="AH22" s="55">
        <f t="shared" si="2"/>
        <v>22.1</v>
      </c>
      <c r="AI22" s="56">
        <f t="shared" si="3"/>
        <v>22.1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18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11</v>
      </c>
      <c r="G25" s="49">
        <v>20</v>
      </c>
      <c r="H25" s="49">
        <v>20</v>
      </c>
      <c r="I25" s="49">
        <v>20</v>
      </c>
      <c r="J25" s="49">
        <v>20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14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15</v>
      </c>
      <c r="AA25" s="50">
        <v>15</v>
      </c>
      <c r="AB25" s="50">
        <v>15</v>
      </c>
      <c r="AC25" s="50">
        <v>15</v>
      </c>
      <c r="AD25" s="50">
        <v>15</v>
      </c>
      <c r="AE25" s="50">
        <v>10</v>
      </c>
      <c r="AF25" s="50">
        <v>10</v>
      </c>
      <c r="AG25" s="60">
        <v>20</v>
      </c>
      <c r="AH25" s="55">
        <f t="shared" si="2"/>
        <v>20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>
        <v>0</v>
      </c>
      <c r="AE26" s="49">
        <v>14.9</v>
      </c>
      <c r="AF26" s="49">
        <v>14.9</v>
      </c>
      <c r="AG26" s="60">
        <v>23.5</v>
      </c>
      <c r="AH26" s="55">
        <f t="shared" si="2"/>
        <v>14.9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12.3</v>
      </c>
      <c r="C28" s="49">
        <v>12.3</v>
      </c>
      <c r="D28" s="49">
        <v>12.3</v>
      </c>
      <c r="E28" s="49">
        <v>12.3</v>
      </c>
      <c r="F28" s="49">
        <v>12.3</v>
      </c>
      <c r="G28" s="49">
        <v>12.3</v>
      </c>
      <c r="H28" s="49">
        <v>12.3</v>
      </c>
      <c r="I28" s="49">
        <v>12.3</v>
      </c>
      <c r="J28" s="49">
        <v>12.3</v>
      </c>
      <c r="K28" s="49">
        <v>12.3</v>
      </c>
      <c r="L28" s="50">
        <v>12.3</v>
      </c>
      <c r="M28" s="50">
        <v>12.3</v>
      </c>
      <c r="N28" s="50">
        <v>12.3</v>
      </c>
      <c r="O28" s="50">
        <v>12.3</v>
      </c>
      <c r="P28" s="50">
        <v>12.3</v>
      </c>
      <c r="Q28" s="50">
        <v>12.3</v>
      </c>
      <c r="R28" s="50">
        <v>12.3</v>
      </c>
      <c r="S28" s="50">
        <v>12.3</v>
      </c>
      <c r="T28" s="50">
        <v>12.3</v>
      </c>
      <c r="U28" s="50">
        <v>12.3</v>
      </c>
      <c r="V28" s="50">
        <v>12.3</v>
      </c>
      <c r="W28" s="50">
        <v>12.3</v>
      </c>
      <c r="X28" s="50">
        <v>12.3</v>
      </c>
      <c r="Y28" s="50">
        <v>12.3</v>
      </c>
      <c r="Z28" s="50">
        <v>12.3</v>
      </c>
      <c r="AA28" s="50">
        <v>12.3</v>
      </c>
      <c r="AB28" s="50">
        <v>12.3</v>
      </c>
      <c r="AC28" s="50">
        <v>12.3</v>
      </c>
      <c r="AD28" s="50">
        <v>12.3</v>
      </c>
      <c r="AE28" s="50">
        <v>12.3</v>
      </c>
      <c r="AF28" s="50">
        <v>12.3</v>
      </c>
      <c r="AG28" s="60">
        <v>22.1</v>
      </c>
      <c r="AH28" s="55">
        <f t="shared" si="2"/>
        <v>12.3</v>
      </c>
      <c r="AI28" s="56">
        <f t="shared" si="3"/>
        <v>12.3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172</v>
      </c>
      <c r="C35" s="62">
        <v>170</v>
      </c>
      <c r="D35" s="62">
        <v>161</v>
      </c>
      <c r="E35" s="62">
        <v>158.80000000000001</v>
      </c>
      <c r="F35" s="62">
        <v>162.5</v>
      </c>
      <c r="G35" s="62">
        <v>162</v>
      </c>
      <c r="H35" s="62">
        <v>161.5</v>
      </c>
      <c r="I35" s="62">
        <v>159.19999999999999</v>
      </c>
      <c r="J35" s="62">
        <v>167.5</v>
      </c>
      <c r="K35" s="62">
        <v>164</v>
      </c>
      <c r="L35" s="70">
        <f>74.2+92.6</f>
        <v>166.8</v>
      </c>
      <c r="M35" s="70">
        <f>73.9+91</f>
        <v>164.9</v>
      </c>
      <c r="N35" s="70">
        <f>73.9+91</f>
        <v>164.9</v>
      </c>
      <c r="O35" s="70">
        <f>73.1+93.8</f>
        <v>166.89999999999998</v>
      </c>
      <c r="P35" s="70">
        <f>72.6+93.7</f>
        <v>166.3</v>
      </c>
      <c r="Q35" s="70">
        <f>72.8+93.1</f>
        <v>165.89999999999998</v>
      </c>
      <c r="R35" s="70">
        <f>72.7+93.6</f>
        <v>166.3</v>
      </c>
      <c r="S35" s="70">
        <f>72.7+93.6</f>
        <v>166.3</v>
      </c>
      <c r="T35" s="70">
        <f>72.7+93.6</f>
        <v>166.3</v>
      </c>
      <c r="U35" s="70">
        <f>91+72.1</f>
        <v>163.1</v>
      </c>
      <c r="V35" s="70">
        <f>91+72.1</f>
        <v>163.1</v>
      </c>
      <c r="W35" s="70">
        <f>90.1+71.1</f>
        <v>161.19999999999999</v>
      </c>
      <c r="X35" s="70">
        <f>90.1+71.1</f>
        <v>161.19999999999999</v>
      </c>
      <c r="Y35" s="70">
        <f>90.8+71.1</f>
        <v>161.89999999999998</v>
      </c>
      <c r="Z35" s="70">
        <f>90.8+71.1</f>
        <v>161.89999999999998</v>
      </c>
      <c r="AA35" s="70">
        <v>161.89999999999998</v>
      </c>
      <c r="AB35" s="70">
        <v>161.89999999999998</v>
      </c>
      <c r="AC35" s="70">
        <v>161.89999999999998</v>
      </c>
      <c r="AD35" s="70">
        <v>161.89999999999998</v>
      </c>
      <c r="AE35" s="70">
        <v>168</v>
      </c>
      <c r="AF35" s="70">
        <v>168</v>
      </c>
      <c r="AG35" s="67">
        <v>240</v>
      </c>
      <c r="AH35" s="55">
        <f t="shared" si="2"/>
        <v>172</v>
      </c>
      <c r="AI35" s="56">
        <f t="shared" si="3"/>
        <v>158.80000000000001</v>
      </c>
      <c r="AK35" s="57"/>
    </row>
    <row r="36" spans="1:88" ht="15.75" thickBot="1" x14ac:dyDescent="0.3">
      <c r="A36" s="71" t="s">
        <v>43</v>
      </c>
      <c r="B36" s="72">
        <f>SUM(B11:B34)</f>
        <v>898.89999999999986</v>
      </c>
      <c r="C36" s="72">
        <f t="shared" ref="C36:AF36" si="4">SUM(C11:C34)</f>
        <v>918.9</v>
      </c>
      <c r="D36" s="72">
        <f t="shared" si="4"/>
        <v>840.9</v>
      </c>
      <c r="E36" s="72">
        <f t="shared" si="4"/>
        <v>860.89999999999986</v>
      </c>
      <c r="F36" s="72">
        <f t="shared" si="4"/>
        <v>886.6</v>
      </c>
      <c r="G36" s="72">
        <f t="shared" si="4"/>
        <v>865.59999999999991</v>
      </c>
      <c r="H36" s="72">
        <f t="shared" si="4"/>
        <v>867.59999999999991</v>
      </c>
      <c r="I36" s="72">
        <f t="shared" si="4"/>
        <v>817.59999999999991</v>
      </c>
      <c r="J36" s="72">
        <f t="shared" si="4"/>
        <v>907.6</v>
      </c>
      <c r="K36" s="72">
        <f t="shared" si="4"/>
        <v>897.6</v>
      </c>
      <c r="L36" s="72">
        <f t="shared" si="4"/>
        <v>949.69999999999993</v>
      </c>
      <c r="M36" s="72">
        <f t="shared" si="4"/>
        <v>949.69999999999993</v>
      </c>
      <c r="N36" s="72">
        <f t="shared" si="4"/>
        <v>878.8</v>
      </c>
      <c r="O36" s="72">
        <f t="shared" si="4"/>
        <v>614.5</v>
      </c>
      <c r="P36" s="72">
        <f t="shared" si="4"/>
        <v>607.79999999999995</v>
      </c>
      <c r="Q36" s="72">
        <f t="shared" si="4"/>
        <v>604</v>
      </c>
      <c r="R36" s="72">
        <f t="shared" si="4"/>
        <v>603.79999999999995</v>
      </c>
      <c r="S36" s="72">
        <f t="shared" si="4"/>
        <v>603.79999999999995</v>
      </c>
      <c r="T36" s="72">
        <f t="shared" si="4"/>
        <v>603.70000000000005</v>
      </c>
      <c r="U36" s="72">
        <f t="shared" si="4"/>
        <v>603.70000000000005</v>
      </c>
      <c r="V36" s="72">
        <f t="shared" si="4"/>
        <v>603.70000000000005</v>
      </c>
      <c r="W36" s="72">
        <f t="shared" si="4"/>
        <v>894</v>
      </c>
      <c r="X36" s="72">
        <f t="shared" si="4"/>
        <v>993</v>
      </c>
      <c r="Y36" s="72">
        <f t="shared" si="4"/>
        <v>1023.8</v>
      </c>
      <c r="Z36" s="72">
        <f t="shared" si="4"/>
        <v>1034.5999999999999</v>
      </c>
      <c r="AA36" s="72">
        <f t="shared" si="4"/>
        <v>1035.5999999999999</v>
      </c>
      <c r="AB36" s="72">
        <f t="shared" si="4"/>
        <v>1039.5999999999999</v>
      </c>
      <c r="AC36" s="72">
        <f t="shared" si="4"/>
        <v>1039.5999999999999</v>
      </c>
      <c r="AD36" s="72">
        <f t="shared" si="4"/>
        <v>958.7</v>
      </c>
      <c r="AE36" s="72">
        <f t="shared" si="4"/>
        <v>928.6</v>
      </c>
      <c r="AF36" s="72">
        <f t="shared" si="4"/>
        <v>898.59999999999991</v>
      </c>
      <c r="AG36" s="67">
        <f>SUM(AG11:AG35)</f>
        <v>1431.83</v>
      </c>
      <c r="AH36" s="55">
        <f t="shared" si="2"/>
        <v>1039.5999999999999</v>
      </c>
      <c r="AI36" s="56">
        <f t="shared" si="3"/>
        <v>603.70000000000005</v>
      </c>
      <c r="AK36" s="57"/>
    </row>
    <row r="37" spans="1:88" x14ac:dyDescent="0.25">
      <c r="A37" s="58" t="s">
        <v>44</v>
      </c>
      <c r="B37" s="62">
        <v>144.6</v>
      </c>
      <c r="C37" s="62">
        <v>144.9</v>
      </c>
      <c r="D37" s="62">
        <v>144.9</v>
      </c>
      <c r="E37" s="62">
        <v>144.9</v>
      </c>
      <c r="F37" s="62">
        <v>144.9</v>
      </c>
      <c r="G37" s="62">
        <v>144.9</v>
      </c>
      <c r="H37" s="62">
        <v>144.9</v>
      </c>
      <c r="I37" s="62">
        <v>144.9</v>
      </c>
      <c r="J37" s="62">
        <v>144.9</v>
      </c>
      <c r="K37" s="62">
        <v>121.1</v>
      </c>
      <c r="L37" s="50">
        <v>129.4</v>
      </c>
      <c r="M37" s="50">
        <v>121.2</v>
      </c>
      <c r="N37" s="50">
        <v>121.2</v>
      </c>
      <c r="O37" s="50">
        <v>139.4</v>
      </c>
      <c r="P37" s="50">
        <v>140.5</v>
      </c>
      <c r="Q37" s="50">
        <v>140.19999999999999</v>
      </c>
      <c r="R37" s="50">
        <v>144.6</v>
      </c>
      <c r="S37" s="50">
        <v>137</v>
      </c>
      <c r="T37" s="50">
        <v>141.4</v>
      </c>
      <c r="U37" s="50">
        <v>141.4</v>
      </c>
      <c r="V37" s="50">
        <v>141.4</v>
      </c>
      <c r="W37" s="50">
        <v>141.5</v>
      </c>
      <c r="X37" s="50">
        <v>141.5</v>
      </c>
      <c r="Y37" s="50">
        <v>141.4</v>
      </c>
      <c r="Z37" s="50">
        <v>141.5</v>
      </c>
      <c r="AA37" s="50">
        <v>144.1</v>
      </c>
      <c r="AB37" s="50">
        <v>143.80000000000001</v>
      </c>
      <c r="AC37" s="50">
        <v>143.80000000000001</v>
      </c>
      <c r="AD37" s="50">
        <v>143.80000000000001</v>
      </c>
      <c r="AE37" s="49">
        <v>145</v>
      </c>
      <c r="AF37" s="49">
        <v>145</v>
      </c>
      <c r="AG37" s="63">
        <v>144</v>
      </c>
      <c r="AH37" s="55">
        <f t="shared" si="2"/>
        <v>145</v>
      </c>
      <c r="AI37" s="56">
        <f t="shared" si="3"/>
        <v>121.1</v>
      </c>
      <c r="AK37" s="57"/>
    </row>
    <row r="38" spans="1:88" x14ac:dyDescent="0.25">
      <c r="A38" s="66" t="s">
        <v>45</v>
      </c>
      <c r="B38" s="62">
        <v>70.8</v>
      </c>
      <c r="C38" s="62">
        <v>70.8</v>
      </c>
      <c r="D38" s="62">
        <v>70.8</v>
      </c>
      <c r="E38" s="62">
        <v>70.8</v>
      </c>
      <c r="F38" s="62">
        <v>70.8</v>
      </c>
      <c r="G38" s="62">
        <v>70.8</v>
      </c>
      <c r="H38" s="62">
        <v>70.8</v>
      </c>
      <c r="I38" s="62">
        <v>70.8</v>
      </c>
      <c r="J38" s="62">
        <v>70.8</v>
      </c>
      <c r="K38" s="62">
        <v>70.8</v>
      </c>
      <c r="L38" s="52">
        <v>70.099999999999994</v>
      </c>
      <c r="M38" s="52">
        <v>70</v>
      </c>
      <c r="N38" s="52">
        <v>65.8</v>
      </c>
      <c r="O38" s="52">
        <v>65.7</v>
      </c>
      <c r="P38" s="52">
        <v>71.8</v>
      </c>
      <c r="Q38" s="52">
        <v>69.599999999999994</v>
      </c>
      <c r="R38" s="52">
        <v>71</v>
      </c>
      <c r="S38" s="52">
        <v>71</v>
      </c>
      <c r="T38" s="52">
        <v>71.2</v>
      </c>
      <c r="U38" s="52">
        <v>71.5</v>
      </c>
      <c r="V38" s="52">
        <v>71.5</v>
      </c>
      <c r="W38" s="52">
        <v>71.900000000000006</v>
      </c>
      <c r="X38" s="52">
        <v>71.900000000000006</v>
      </c>
      <c r="Y38" s="52">
        <v>72.8</v>
      </c>
      <c r="Z38" s="52">
        <v>71</v>
      </c>
      <c r="AA38" s="52">
        <v>69.7</v>
      </c>
      <c r="AB38" s="52">
        <v>69.3</v>
      </c>
      <c r="AC38" s="52">
        <v>69.3</v>
      </c>
      <c r="AD38" s="52">
        <v>69.3</v>
      </c>
      <c r="AE38" s="62">
        <v>70.3</v>
      </c>
      <c r="AF38" s="62">
        <v>70.3</v>
      </c>
      <c r="AG38" s="67">
        <v>70</v>
      </c>
      <c r="AH38" s="55">
        <f t="shared" si="2"/>
        <v>72.8</v>
      </c>
      <c r="AI38" s="56">
        <f t="shared" si="3"/>
        <v>65.7</v>
      </c>
      <c r="AK38" s="57"/>
    </row>
    <row r="39" spans="1:88" x14ac:dyDescent="0.25">
      <c r="A39" s="66" t="s">
        <v>46</v>
      </c>
      <c r="B39" s="62">
        <v>69.900000000000006</v>
      </c>
      <c r="C39" s="62">
        <v>70.3</v>
      </c>
      <c r="D39" s="62">
        <v>70.3</v>
      </c>
      <c r="E39" s="62">
        <v>70.3</v>
      </c>
      <c r="F39" s="62">
        <v>70.3</v>
      </c>
      <c r="G39" s="62">
        <v>70.3</v>
      </c>
      <c r="H39" s="62">
        <v>70.3</v>
      </c>
      <c r="I39" s="62">
        <v>70.3</v>
      </c>
      <c r="J39" s="62">
        <v>70.3</v>
      </c>
      <c r="K39" s="62">
        <v>70.3</v>
      </c>
      <c r="L39" s="52">
        <v>70.2</v>
      </c>
      <c r="M39" s="52">
        <v>70.099999999999994</v>
      </c>
      <c r="N39" s="52">
        <v>61.6</v>
      </c>
      <c r="O39" s="52">
        <v>70.5</v>
      </c>
      <c r="P39" s="52">
        <v>69.8</v>
      </c>
      <c r="Q39" s="52">
        <v>69</v>
      </c>
      <c r="R39" s="52">
        <v>69.7</v>
      </c>
      <c r="S39" s="52">
        <v>69.900000000000006</v>
      </c>
      <c r="T39" s="52">
        <v>70</v>
      </c>
      <c r="U39" s="52">
        <v>69.900000000000006</v>
      </c>
      <c r="V39" s="52">
        <v>69.900000000000006</v>
      </c>
      <c r="W39" s="52">
        <v>70.5</v>
      </c>
      <c r="X39" s="52">
        <v>70</v>
      </c>
      <c r="Y39" s="52">
        <v>68.8</v>
      </c>
      <c r="Z39" s="52">
        <v>69.099999999999994</v>
      </c>
      <c r="AA39" s="52">
        <v>69</v>
      </c>
      <c r="AB39" s="52">
        <v>70</v>
      </c>
      <c r="AC39" s="52">
        <v>70</v>
      </c>
      <c r="AD39" s="52">
        <v>70</v>
      </c>
      <c r="AE39" s="62">
        <v>70</v>
      </c>
      <c r="AF39" s="62">
        <v>70</v>
      </c>
      <c r="AG39" s="67">
        <v>69</v>
      </c>
      <c r="AH39" s="55">
        <f t="shared" si="2"/>
        <v>70.5</v>
      </c>
      <c r="AI39" s="56">
        <f t="shared" si="3"/>
        <v>61.6</v>
      </c>
      <c r="AK39" s="57"/>
    </row>
    <row r="40" spans="1:88" x14ac:dyDescent="0.25">
      <c r="A40" s="66" t="s">
        <v>47</v>
      </c>
      <c r="B40" s="62">
        <v>61</v>
      </c>
      <c r="C40" s="62">
        <v>61</v>
      </c>
      <c r="D40" s="62">
        <v>61</v>
      </c>
      <c r="E40" s="62">
        <v>61</v>
      </c>
      <c r="F40" s="62">
        <v>61</v>
      </c>
      <c r="G40" s="62">
        <v>61</v>
      </c>
      <c r="H40" s="62">
        <v>61</v>
      </c>
      <c r="I40" s="62">
        <v>61</v>
      </c>
      <c r="J40" s="62">
        <v>61</v>
      </c>
      <c r="K40" s="62">
        <v>61</v>
      </c>
      <c r="L40" s="52">
        <v>59.5</v>
      </c>
      <c r="M40" s="52">
        <v>59.5</v>
      </c>
      <c r="N40" s="52">
        <v>38</v>
      </c>
      <c r="O40" s="52">
        <v>45.3</v>
      </c>
      <c r="P40" s="52">
        <v>58</v>
      </c>
      <c r="Q40" s="52">
        <v>58.2</v>
      </c>
      <c r="R40" s="52">
        <v>60.4</v>
      </c>
      <c r="S40" s="52">
        <v>60.7</v>
      </c>
      <c r="T40" s="52">
        <v>71.2</v>
      </c>
      <c r="U40" s="52">
        <v>60.7</v>
      </c>
      <c r="V40" s="52">
        <v>60.7</v>
      </c>
      <c r="W40" s="52">
        <v>60.7</v>
      </c>
      <c r="X40" s="52">
        <v>60.7</v>
      </c>
      <c r="Y40" s="52">
        <v>61</v>
      </c>
      <c r="Z40" s="52">
        <v>61</v>
      </c>
      <c r="AA40" s="52">
        <v>61</v>
      </c>
      <c r="AB40" s="52">
        <v>61</v>
      </c>
      <c r="AC40" s="52">
        <v>61</v>
      </c>
      <c r="AD40" s="52">
        <v>61</v>
      </c>
      <c r="AE40" s="62">
        <v>60</v>
      </c>
      <c r="AF40" s="62">
        <v>60</v>
      </c>
      <c r="AG40" s="67">
        <v>60</v>
      </c>
      <c r="AH40" s="55">
        <f t="shared" si="2"/>
        <v>71.2</v>
      </c>
      <c r="AI40" s="56">
        <f t="shared" si="3"/>
        <v>38</v>
      </c>
      <c r="AK40" s="57"/>
    </row>
    <row r="41" spans="1:88" x14ac:dyDescent="0.25">
      <c r="A41" s="66" t="s">
        <v>48</v>
      </c>
      <c r="B41" s="62">
        <v>30</v>
      </c>
      <c r="C41" s="62">
        <v>30</v>
      </c>
      <c r="D41" s="62">
        <v>30</v>
      </c>
      <c r="E41" s="62">
        <v>30</v>
      </c>
      <c r="F41" s="62">
        <v>30</v>
      </c>
      <c r="G41" s="62">
        <v>30</v>
      </c>
      <c r="H41" s="62">
        <v>30</v>
      </c>
      <c r="I41" s="62">
        <v>30</v>
      </c>
      <c r="J41" s="62">
        <v>30</v>
      </c>
      <c r="K41" s="62">
        <v>30</v>
      </c>
      <c r="L41" s="50">
        <v>29.8</v>
      </c>
      <c r="M41" s="50">
        <v>29.8</v>
      </c>
      <c r="N41" s="50">
        <v>29.8</v>
      </c>
      <c r="O41" s="50">
        <v>29.8</v>
      </c>
      <c r="P41" s="50">
        <v>29.8</v>
      </c>
      <c r="Q41" s="50">
        <v>29.8</v>
      </c>
      <c r="R41" s="50">
        <v>29.8</v>
      </c>
      <c r="S41" s="50">
        <v>29.8</v>
      </c>
      <c r="T41" s="50">
        <v>29.8</v>
      </c>
      <c r="U41" s="50">
        <v>29.8</v>
      </c>
      <c r="V41" s="50">
        <v>29.8</v>
      </c>
      <c r="W41" s="50">
        <v>29.8</v>
      </c>
      <c r="X41" s="50">
        <v>29.8</v>
      </c>
      <c r="Y41" s="50">
        <v>29.8</v>
      </c>
      <c r="Z41" s="50">
        <v>29.8</v>
      </c>
      <c r="AA41" s="52">
        <v>29.9</v>
      </c>
      <c r="AB41" s="52">
        <v>29.8</v>
      </c>
      <c r="AC41" s="52">
        <v>29.8</v>
      </c>
      <c r="AD41" s="52">
        <v>29.8</v>
      </c>
      <c r="AE41" s="52">
        <v>29.8</v>
      </c>
      <c r="AF41" s="52">
        <v>29.8</v>
      </c>
      <c r="AG41" s="67">
        <v>30</v>
      </c>
      <c r="AH41" s="55">
        <f t="shared" si="2"/>
        <v>30</v>
      </c>
      <c r="AI41" s="56">
        <f t="shared" si="3"/>
        <v>29.8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18.2</v>
      </c>
      <c r="C43" s="73">
        <v>18.2</v>
      </c>
      <c r="D43" s="73">
        <v>18.2</v>
      </c>
      <c r="E43" s="73">
        <v>18.2</v>
      </c>
      <c r="F43" s="73">
        <v>18.2</v>
      </c>
      <c r="G43" s="73">
        <v>18.2</v>
      </c>
      <c r="H43" s="73">
        <v>18.2</v>
      </c>
      <c r="I43" s="73">
        <v>18.2</v>
      </c>
      <c r="J43" s="73">
        <v>18.2</v>
      </c>
      <c r="K43" s="73">
        <v>18.2</v>
      </c>
      <c r="L43" s="50">
        <v>18.2</v>
      </c>
      <c r="M43" s="50">
        <v>18.2</v>
      </c>
      <c r="N43" s="50">
        <v>18.2</v>
      </c>
      <c r="O43" s="50">
        <v>18.2</v>
      </c>
      <c r="P43" s="50">
        <v>18.2</v>
      </c>
      <c r="Q43" s="50">
        <v>18.2</v>
      </c>
      <c r="R43" s="50">
        <v>18.2</v>
      </c>
      <c r="S43" s="50">
        <v>18.2</v>
      </c>
      <c r="T43" s="50">
        <v>18.2</v>
      </c>
      <c r="U43" s="50">
        <v>18.2</v>
      </c>
      <c r="V43" s="50">
        <v>18.2</v>
      </c>
      <c r="W43" s="50">
        <v>18.2</v>
      </c>
      <c r="X43" s="50">
        <v>18.2</v>
      </c>
      <c r="Y43" s="50">
        <v>18.2</v>
      </c>
      <c r="Z43" s="50">
        <v>18.2</v>
      </c>
      <c r="AA43" s="50">
        <v>18.2</v>
      </c>
      <c r="AB43" s="50">
        <v>18.2</v>
      </c>
      <c r="AC43" s="50">
        <v>18.2</v>
      </c>
      <c r="AD43" s="50">
        <v>18.2</v>
      </c>
      <c r="AE43" s="50">
        <v>18.2</v>
      </c>
      <c r="AF43" s="50">
        <v>18.2</v>
      </c>
      <c r="AG43" s="67">
        <v>24</v>
      </c>
      <c r="AH43" s="55">
        <f t="shared" si="2"/>
        <v>18.2</v>
      </c>
      <c r="AI43" s="56">
        <f t="shared" si="3"/>
        <v>18.2</v>
      </c>
      <c r="AK43" s="57"/>
    </row>
    <row r="44" spans="1:88" x14ac:dyDescent="0.25">
      <c r="A44" s="66" t="s">
        <v>51</v>
      </c>
      <c r="B44" s="62">
        <v>3.1</v>
      </c>
      <c r="C44" s="62">
        <v>3.1</v>
      </c>
      <c r="D44" s="62">
        <v>3.1</v>
      </c>
      <c r="E44" s="62">
        <v>3.1</v>
      </c>
      <c r="F44" s="62">
        <v>3.4</v>
      </c>
      <c r="G44" s="62">
        <v>3.4</v>
      </c>
      <c r="H44" s="62">
        <v>3.4</v>
      </c>
      <c r="I44" s="62">
        <v>3.4</v>
      </c>
      <c r="J44" s="62">
        <v>3.4</v>
      </c>
      <c r="K44" s="62">
        <v>3.4</v>
      </c>
      <c r="L44" s="50">
        <v>3.2</v>
      </c>
      <c r="M44" s="50">
        <v>3.2</v>
      </c>
      <c r="N44" s="50">
        <v>3.2</v>
      </c>
      <c r="O44" s="50">
        <v>0</v>
      </c>
      <c r="P44" s="50">
        <v>0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3.4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10</v>
      </c>
      <c r="C46" s="73">
        <v>10</v>
      </c>
      <c r="D46" s="73">
        <v>10</v>
      </c>
      <c r="E46" s="73">
        <v>7</v>
      </c>
      <c r="F46" s="73">
        <v>0</v>
      </c>
      <c r="G46" s="73">
        <v>0</v>
      </c>
      <c r="H46" s="73">
        <v>10</v>
      </c>
      <c r="I46" s="73">
        <v>12</v>
      </c>
      <c r="J46" s="73">
        <v>12</v>
      </c>
      <c r="K46" s="73">
        <v>12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10</v>
      </c>
      <c r="V46" s="50">
        <v>10</v>
      </c>
      <c r="W46" s="50">
        <v>10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0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6.8</v>
      </c>
      <c r="Y47" s="50">
        <v>6.8</v>
      </c>
      <c r="Z47" s="50">
        <v>6.8</v>
      </c>
      <c r="AA47" s="50">
        <v>6.8</v>
      </c>
      <c r="AB47" s="50">
        <v>6.8</v>
      </c>
      <c r="AC47" s="50">
        <v>6.8</v>
      </c>
      <c r="AD47" s="50">
        <v>6.8</v>
      </c>
      <c r="AE47" s="50">
        <v>6.8</v>
      </c>
      <c r="AF47" s="50">
        <v>6.8</v>
      </c>
      <c r="AG47" s="67">
        <v>10.050000000000001</v>
      </c>
      <c r="AH47" s="55">
        <f t="shared" si="2"/>
        <v>9.6</v>
      </c>
      <c r="AI47" s="56">
        <f t="shared" si="3"/>
        <v>6.8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438.94</v>
      </c>
      <c r="C50" s="72">
        <f t="shared" ref="C50:AF50" si="6">SUM(C37:C49)</f>
        <v>439.64000000000004</v>
      </c>
      <c r="D50" s="72">
        <f t="shared" si="6"/>
        <v>439.64000000000004</v>
      </c>
      <c r="E50" s="72">
        <f t="shared" si="6"/>
        <v>436.64000000000004</v>
      </c>
      <c r="F50" s="72">
        <f t="shared" si="6"/>
        <v>429.94</v>
      </c>
      <c r="G50" s="72">
        <f t="shared" si="6"/>
        <v>429.94</v>
      </c>
      <c r="H50" s="72">
        <f t="shared" si="6"/>
        <v>439.94</v>
      </c>
      <c r="I50" s="72">
        <f t="shared" si="6"/>
        <v>441.94</v>
      </c>
      <c r="J50" s="72">
        <f t="shared" si="6"/>
        <v>441.94</v>
      </c>
      <c r="K50" s="72">
        <f t="shared" si="6"/>
        <v>418.14</v>
      </c>
      <c r="L50" s="72">
        <f t="shared" si="6"/>
        <v>425.74</v>
      </c>
      <c r="M50" s="72">
        <f t="shared" si="6"/>
        <v>417.34</v>
      </c>
      <c r="N50" s="72">
        <f t="shared" si="6"/>
        <v>383.14000000000004</v>
      </c>
      <c r="O50" s="72">
        <f t="shared" si="6"/>
        <v>414.24000000000007</v>
      </c>
      <c r="P50" s="72">
        <f t="shared" si="6"/>
        <v>433.44000000000005</v>
      </c>
      <c r="Q50" s="72">
        <f t="shared" si="6"/>
        <v>433.53999999999996</v>
      </c>
      <c r="R50" s="72">
        <f t="shared" si="6"/>
        <v>442.24</v>
      </c>
      <c r="S50" s="72">
        <f t="shared" si="6"/>
        <v>435.14</v>
      </c>
      <c r="T50" s="72">
        <f t="shared" si="6"/>
        <v>450.34000000000003</v>
      </c>
      <c r="U50" s="72">
        <f t="shared" si="6"/>
        <v>436.04</v>
      </c>
      <c r="V50" s="72">
        <f t="shared" si="6"/>
        <v>436.04</v>
      </c>
      <c r="W50" s="72">
        <f t="shared" si="6"/>
        <v>437.14</v>
      </c>
      <c r="X50" s="72">
        <f t="shared" si="6"/>
        <v>437.84</v>
      </c>
      <c r="Y50" s="72">
        <f t="shared" si="6"/>
        <v>437.74</v>
      </c>
      <c r="Z50" s="72">
        <f t="shared" si="6"/>
        <v>436.34000000000003</v>
      </c>
      <c r="AA50" s="72">
        <f t="shared" si="6"/>
        <v>437.64</v>
      </c>
      <c r="AB50" s="72">
        <f t="shared" si="6"/>
        <v>437.84000000000003</v>
      </c>
      <c r="AC50" s="72">
        <f t="shared" si="6"/>
        <v>437.84000000000003</v>
      </c>
      <c r="AD50" s="72">
        <f t="shared" si="6"/>
        <v>437.84000000000003</v>
      </c>
      <c r="AE50" s="72">
        <f t="shared" si="6"/>
        <v>439.04</v>
      </c>
      <c r="AF50" s="72">
        <f t="shared" si="6"/>
        <v>439.04</v>
      </c>
      <c r="AG50" s="77">
        <f>SUM(AG37:AG49)</f>
        <v>489.91</v>
      </c>
      <c r="AH50" s="55">
        <f t="shared" si="2"/>
        <v>450.34000000000003</v>
      </c>
      <c r="AI50" s="56">
        <f t="shared" si="3"/>
        <v>383.14000000000004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30</v>
      </c>
      <c r="N51" s="174">
        <v>29.4</v>
      </c>
      <c r="O51" s="174">
        <v>59.5</v>
      </c>
      <c r="P51" s="50">
        <v>59.8</v>
      </c>
      <c r="Q51" s="50">
        <v>59.6</v>
      </c>
      <c r="R51" s="50">
        <v>60</v>
      </c>
      <c r="S51" s="50">
        <v>50</v>
      </c>
      <c r="T51" s="50">
        <v>58.7</v>
      </c>
      <c r="U51" s="50">
        <v>59.8</v>
      </c>
      <c r="V51" s="50">
        <v>59.8</v>
      </c>
      <c r="W51" s="50">
        <v>40.4</v>
      </c>
      <c r="X51" s="50">
        <v>59.6</v>
      </c>
      <c r="Y51" s="50">
        <v>60</v>
      </c>
      <c r="Z51" s="50">
        <v>60</v>
      </c>
      <c r="AA51" s="50">
        <v>60.1</v>
      </c>
      <c r="AB51" s="50">
        <v>40</v>
      </c>
      <c r="AC51" s="50">
        <v>40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60.1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14</v>
      </c>
      <c r="N52" s="174">
        <v>14.7</v>
      </c>
      <c r="O52" s="174">
        <v>27</v>
      </c>
      <c r="P52" s="52">
        <v>28</v>
      </c>
      <c r="Q52" s="52">
        <v>28.1</v>
      </c>
      <c r="R52" s="50">
        <v>28.3</v>
      </c>
      <c r="S52" s="50">
        <v>25</v>
      </c>
      <c r="T52" s="50">
        <v>27.3</v>
      </c>
      <c r="U52" s="52">
        <v>26.8</v>
      </c>
      <c r="V52" s="52">
        <v>26.8</v>
      </c>
      <c r="W52" s="52">
        <v>13.4</v>
      </c>
      <c r="X52" s="52">
        <v>26.9</v>
      </c>
      <c r="Y52" s="52">
        <v>27.5</v>
      </c>
      <c r="Z52" s="52">
        <v>25.2</v>
      </c>
      <c r="AA52" s="52">
        <v>28.5</v>
      </c>
      <c r="AB52" s="52">
        <v>20</v>
      </c>
      <c r="AC52" s="52">
        <v>20</v>
      </c>
      <c r="AD52" s="52">
        <v>5</v>
      </c>
      <c r="AE52" s="52">
        <v>0</v>
      </c>
      <c r="AF52" s="52">
        <v>0</v>
      </c>
      <c r="AG52" s="67">
        <v>32</v>
      </c>
      <c r="AH52" s="55">
        <f t="shared" si="2"/>
        <v>28.5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5.3</v>
      </c>
      <c r="N53" s="175">
        <v>5.3</v>
      </c>
      <c r="O53" s="175">
        <v>9.9</v>
      </c>
      <c r="P53" s="78">
        <v>10.199999999999999</v>
      </c>
      <c r="Q53" s="78">
        <v>10.199999999999999</v>
      </c>
      <c r="R53" s="50">
        <v>10.3</v>
      </c>
      <c r="S53" s="50">
        <v>10</v>
      </c>
      <c r="T53" s="50">
        <v>10</v>
      </c>
      <c r="U53" s="78">
        <v>9.8000000000000007</v>
      </c>
      <c r="V53" s="78">
        <v>9.8000000000000007</v>
      </c>
      <c r="W53" s="78">
        <v>4.9000000000000004</v>
      </c>
      <c r="X53" s="78">
        <v>9.8000000000000007</v>
      </c>
      <c r="Y53" s="78">
        <v>10</v>
      </c>
      <c r="Z53" s="78">
        <v>9.1999999999999993</v>
      </c>
      <c r="AA53" s="78">
        <v>10.4</v>
      </c>
      <c r="AB53" s="78">
        <v>7.3</v>
      </c>
      <c r="AC53" s="78">
        <v>7.3</v>
      </c>
      <c r="AD53" s="78">
        <v>2</v>
      </c>
      <c r="AE53" s="78">
        <v>0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49.3</v>
      </c>
      <c r="N54" s="72">
        <f t="shared" si="7"/>
        <v>49.399999999999991</v>
      </c>
      <c r="O54" s="72">
        <f t="shared" si="7"/>
        <v>96.4</v>
      </c>
      <c r="P54" s="72">
        <f t="shared" si="7"/>
        <v>98</v>
      </c>
      <c r="Q54" s="72">
        <f t="shared" si="7"/>
        <v>97.9</v>
      </c>
      <c r="R54" s="72">
        <f t="shared" si="7"/>
        <v>98.6</v>
      </c>
      <c r="S54" s="72">
        <f t="shared" si="7"/>
        <v>85</v>
      </c>
      <c r="T54" s="72">
        <f t="shared" si="7"/>
        <v>96</v>
      </c>
      <c r="U54" s="72">
        <f t="shared" si="7"/>
        <v>96.399999999999991</v>
      </c>
      <c r="V54" s="72">
        <f t="shared" si="7"/>
        <v>96.399999999999991</v>
      </c>
      <c r="W54" s="72">
        <f t="shared" si="7"/>
        <v>58.699999999999996</v>
      </c>
      <c r="X54" s="72">
        <f t="shared" si="7"/>
        <v>96.3</v>
      </c>
      <c r="Y54" s="72">
        <f t="shared" si="7"/>
        <v>97.5</v>
      </c>
      <c r="Z54" s="72">
        <f t="shared" si="7"/>
        <v>94.4</v>
      </c>
      <c r="AA54" s="72">
        <f t="shared" si="7"/>
        <v>99</v>
      </c>
      <c r="AB54" s="72">
        <f t="shared" si="7"/>
        <v>67.3</v>
      </c>
      <c r="AC54" s="72">
        <f t="shared" si="7"/>
        <v>67.3</v>
      </c>
      <c r="AD54" s="72">
        <f t="shared" si="7"/>
        <v>7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2.6</v>
      </c>
      <c r="G55" s="50">
        <v>-1.3</v>
      </c>
      <c r="H55" s="50">
        <v>-1.8</v>
      </c>
      <c r="I55" s="50">
        <v>-10</v>
      </c>
      <c r="J55" s="50">
        <v>-12.1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56.3</v>
      </c>
      <c r="Y55" s="50">
        <v>16.3</v>
      </c>
      <c r="Z55" s="50">
        <v>16.899999999999999</v>
      </c>
      <c r="AA55" s="50">
        <v>16.5</v>
      </c>
      <c r="AB55" s="50">
        <v>16</v>
      </c>
      <c r="AC55" s="50">
        <v>14</v>
      </c>
      <c r="AD55" s="50">
        <v>0</v>
      </c>
      <c r="AE55" s="50">
        <v>0</v>
      </c>
      <c r="AF55" s="50">
        <v>0</v>
      </c>
      <c r="AG55" s="63"/>
      <c r="AH55" s="55">
        <f t="shared" si="2"/>
        <v>56.3</v>
      </c>
      <c r="AI55" s="56">
        <f t="shared" si="3"/>
        <v>-12.1</v>
      </c>
      <c r="AK55" s="57"/>
    </row>
    <row r="56" spans="1:37" x14ac:dyDescent="0.25">
      <c r="A56" s="66" t="s">
        <v>63</v>
      </c>
      <c r="B56" s="52">
        <v>-91.8</v>
      </c>
      <c r="C56" s="52">
        <v>-87.1</v>
      </c>
      <c r="D56" s="52">
        <v>-100</v>
      </c>
      <c r="E56" s="52">
        <v>-98.2</v>
      </c>
      <c r="F56" s="52">
        <v>-74.7</v>
      </c>
      <c r="G56" s="52">
        <v>-77</v>
      </c>
      <c r="H56" s="52">
        <v>-62.7</v>
      </c>
      <c r="I56" s="52">
        <v>-49</v>
      </c>
      <c r="J56" s="52">
        <v>-48.9</v>
      </c>
      <c r="K56" s="52">
        <v>-48.6</v>
      </c>
      <c r="L56" s="50">
        <v>-45.2</v>
      </c>
      <c r="M56" s="50">
        <v>-47.36</v>
      </c>
      <c r="N56" s="50">
        <v>-4.9000000000000004</v>
      </c>
      <c r="O56" s="50">
        <v>0</v>
      </c>
      <c r="P56" s="50">
        <v>0</v>
      </c>
      <c r="Q56" s="50">
        <v>0</v>
      </c>
      <c r="R56" s="50">
        <v>51.8</v>
      </c>
      <c r="S56" s="50">
        <v>51</v>
      </c>
      <c r="T56" s="50">
        <v>36.9</v>
      </c>
      <c r="U56" s="50">
        <v>48.5</v>
      </c>
      <c r="V56" s="50">
        <v>48.5</v>
      </c>
      <c r="W56" s="80">
        <v>0</v>
      </c>
      <c r="X56" s="80">
        <v>0</v>
      </c>
      <c r="Y56" s="80">
        <v>-0.2</v>
      </c>
      <c r="Z56" s="80">
        <v>-71</v>
      </c>
      <c r="AA56" s="52">
        <v>-89.3</v>
      </c>
      <c r="AB56" s="52">
        <v>-96</v>
      </c>
      <c r="AC56" s="52">
        <v>-96</v>
      </c>
      <c r="AD56" s="52">
        <v>-100</v>
      </c>
      <c r="AE56" s="52">
        <v>-94</v>
      </c>
      <c r="AF56" s="52">
        <v>-93</v>
      </c>
      <c r="AG56" s="67"/>
      <c r="AH56" s="55">
        <f t="shared" si="2"/>
        <v>51.8</v>
      </c>
      <c r="AI56" s="56">
        <f t="shared" si="3"/>
        <v>-100</v>
      </c>
      <c r="AK56" s="57"/>
    </row>
    <row r="57" spans="1:37" x14ac:dyDescent="0.25">
      <c r="A57" s="66" t="s">
        <v>64</v>
      </c>
      <c r="B57" s="52">
        <v>-20</v>
      </c>
      <c r="C57" s="52">
        <v>-73</v>
      </c>
      <c r="D57" s="52">
        <v>-9.5</v>
      </c>
      <c r="E57" s="52">
        <v>-55.8</v>
      </c>
      <c r="F57" s="52">
        <v>-62.7</v>
      </c>
      <c r="G57" s="50">
        <v>-53.1</v>
      </c>
      <c r="H57" s="50">
        <v>-69.8</v>
      </c>
      <c r="I57" s="50">
        <v>-32.299999999999997</v>
      </c>
      <c r="J57" s="50">
        <v>-30.4</v>
      </c>
      <c r="K57" s="50">
        <v>-6</v>
      </c>
      <c r="L57" s="52">
        <v>-30.8</v>
      </c>
      <c r="M57" s="52">
        <v>-76.3</v>
      </c>
      <c r="N57" s="52">
        <v>-30.9</v>
      </c>
      <c r="O57" s="52">
        <v>81.8</v>
      </c>
      <c r="P57" s="52">
        <v>18.399999999999999</v>
      </c>
      <c r="Q57" s="52">
        <v>17.2</v>
      </c>
      <c r="R57" s="52">
        <v>5.4</v>
      </c>
      <c r="S57" s="52">
        <v>0</v>
      </c>
      <c r="T57" s="52">
        <v>4.7</v>
      </c>
      <c r="U57" s="52">
        <v>0</v>
      </c>
      <c r="V57" s="52">
        <v>0</v>
      </c>
      <c r="W57" s="81">
        <v>0</v>
      </c>
      <c r="X57" s="81">
        <v>-77</v>
      </c>
      <c r="Y57" s="81">
        <v>-33.54</v>
      </c>
      <c r="Z57" s="81">
        <v>-10.3</v>
      </c>
      <c r="AA57" s="52">
        <v>-22.9</v>
      </c>
      <c r="AB57" s="52">
        <v>-49</v>
      </c>
      <c r="AC57" s="52">
        <v>-49</v>
      </c>
      <c r="AD57" s="52">
        <v>-20</v>
      </c>
      <c r="AE57" s="52">
        <v>-22</v>
      </c>
      <c r="AF57" s="52">
        <v>-9</v>
      </c>
      <c r="AG57" s="82"/>
      <c r="AH57" s="55">
        <f t="shared" si="2"/>
        <v>81.8</v>
      </c>
      <c r="AI57" s="56">
        <f t="shared" si="3"/>
        <v>-77</v>
      </c>
      <c r="AK57" s="57"/>
    </row>
    <row r="58" spans="1:37" x14ac:dyDescent="0.25">
      <c r="A58" s="66" t="s">
        <v>65</v>
      </c>
      <c r="B58" s="59">
        <v>-42</v>
      </c>
      <c r="C58" s="59">
        <v>-44</v>
      </c>
      <c r="D58" s="59">
        <v>-42</v>
      </c>
      <c r="E58" s="59">
        <v>-40</v>
      </c>
      <c r="F58" s="59">
        <v>-40</v>
      </c>
      <c r="G58" s="59">
        <v>-40</v>
      </c>
      <c r="H58" s="59">
        <v>-40</v>
      </c>
      <c r="I58" s="59">
        <v>-30</v>
      </c>
      <c r="J58" s="59">
        <v>-32</v>
      </c>
      <c r="K58" s="59">
        <v>-26</v>
      </c>
      <c r="L58" s="52">
        <v>-23.4</v>
      </c>
      <c r="M58" s="52">
        <v>-21.3</v>
      </c>
      <c r="N58" s="52">
        <v>-18</v>
      </c>
      <c r="O58" s="52">
        <v>-18.100000000000001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-28</v>
      </c>
      <c r="AA58" s="52">
        <v>-35</v>
      </c>
      <c r="AB58" s="52">
        <v>-35</v>
      </c>
      <c r="AC58" s="52">
        <v>-35</v>
      </c>
      <c r="AD58" s="52">
        <v>0</v>
      </c>
      <c r="AE58" s="59">
        <v>-35</v>
      </c>
      <c r="AF58" s="59">
        <v>-35</v>
      </c>
      <c r="AG58" s="82"/>
      <c r="AH58" s="55">
        <f t="shared" si="2"/>
        <v>0</v>
      </c>
      <c r="AI58" s="56">
        <f t="shared" si="3"/>
        <v>-44</v>
      </c>
      <c r="AK58" s="57"/>
    </row>
    <row r="59" spans="1:37" x14ac:dyDescent="0.25">
      <c r="A59" s="66" t="s">
        <v>66</v>
      </c>
      <c r="B59" s="59">
        <v>-67.400000000000006</v>
      </c>
      <c r="C59" s="59">
        <v>-67</v>
      </c>
      <c r="D59" s="59">
        <v>-66</v>
      </c>
      <c r="E59" s="59">
        <v>-64.5</v>
      </c>
      <c r="F59" s="59">
        <v>-61.6</v>
      </c>
      <c r="G59" s="59">
        <v>-61.1</v>
      </c>
      <c r="H59" s="59">
        <v>-57</v>
      </c>
      <c r="I59" s="59">
        <v>-46.5</v>
      </c>
      <c r="J59" s="59">
        <v>-44.3</v>
      </c>
      <c r="K59" s="59">
        <v>-35.1</v>
      </c>
      <c r="L59" s="50">
        <v>-37</v>
      </c>
      <c r="M59" s="50">
        <v>-38</v>
      </c>
      <c r="N59" s="50">
        <v>0</v>
      </c>
      <c r="O59" s="50">
        <v>0</v>
      </c>
      <c r="P59" s="50">
        <v>0</v>
      </c>
      <c r="Q59" s="50">
        <v>3.1</v>
      </c>
      <c r="R59" s="50">
        <v>34.799999999999997</v>
      </c>
      <c r="S59" s="50">
        <v>32.299999999999997</v>
      </c>
      <c r="T59" s="50">
        <v>35.4</v>
      </c>
      <c r="U59" s="50">
        <v>34.4</v>
      </c>
      <c r="V59" s="50">
        <v>34.4</v>
      </c>
      <c r="W59" s="50">
        <v>42.8</v>
      </c>
      <c r="X59" s="52">
        <v>0</v>
      </c>
      <c r="Y59" s="50">
        <v>-69</v>
      </c>
      <c r="Z59" s="50">
        <v>-70</v>
      </c>
      <c r="AA59" s="50">
        <v>-70.5</v>
      </c>
      <c r="AB59" s="50">
        <v>-73</v>
      </c>
      <c r="AC59" s="50">
        <v>-73</v>
      </c>
      <c r="AD59" s="50">
        <v>-70</v>
      </c>
      <c r="AE59" s="50">
        <v>-72</v>
      </c>
      <c r="AF59" s="50">
        <v>-72</v>
      </c>
      <c r="AG59" s="82"/>
      <c r="AH59" s="55">
        <f t="shared" si="2"/>
        <v>42.8</v>
      </c>
      <c r="AI59" s="56">
        <f t="shared" si="3"/>
        <v>-73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52">
        <v>0</v>
      </c>
      <c r="Y60" s="52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52">
        <v>0</v>
      </c>
      <c r="Y61" s="52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10</v>
      </c>
      <c r="C62" s="59">
        <v>10</v>
      </c>
      <c r="D62" s="59">
        <v>10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2">
        <v>0</v>
      </c>
      <c r="Y62" s="52">
        <v>0</v>
      </c>
      <c r="Z62" s="59">
        <v>10</v>
      </c>
      <c r="AA62" s="59">
        <v>10</v>
      </c>
      <c r="AB62" s="59">
        <v>10</v>
      </c>
      <c r="AC62" s="59">
        <v>10</v>
      </c>
      <c r="AD62" s="59">
        <v>10</v>
      </c>
      <c r="AE62" s="59">
        <v>10</v>
      </c>
      <c r="AF62" s="59">
        <v>10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2">
        <v>0</v>
      </c>
      <c r="Y63" s="52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52">
        <v>0</v>
      </c>
      <c r="Y64" s="52">
        <v>0</v>
      </c>
      <c r="Z64" s="59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52">
        <v>0</v>
      </c>
      <c r="Y65" s="52">
        <v>0</v>
      </c>
      <c r="Z65" s="59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-211.20000000000002</v>
      </c>
      <c r="C66" s="72">
        <f t="shared" ref="C66:AF66" si="8">SUM(C55:C65)</f>
        <v>-261.10000000000002</v>
      </c>
      <c r="D66" s="72">
        <f t="shared" si="8"/>
        <v>-207.5</v>
      </c>
      <c r="E66" s="72">
        <f t="shared" si="8"/>
        <v>-258.5</v>
      </c>
      <c r="F66" s="72">
        <f t="shared" si="8"/>
        <v>-236.4</v>
      </c>
      <c r="G66" s="72">
        <f t="shared" si="8"/>
        <v>-232.5</v>
      </c>
      <c r="H66" s="72">
        <f t="shared" si="8"/>
        <v>-231.3</v>
      </c>
      <c r="I66" s="72">
        <f t="shared" si="8"/>
        <v>-167.8</v>
      </c>
      <c r="J66" s="72">
        <f t="shared" si="8"/>
        <v>-167.7</v>
      </c>
      <c r="K66" s="72">
        <f t="shared" si="8"/>
        <v>-115.69999999999999</v>
      </c>
      <c r="L66" s="72">
        <f t="shared" si="8"/>
        <v>-136.4</v>
      </c>
      <c r="M66" s="72">
        <f t="shared" si="8"/>
        <v>-182.96</v>
      </c>
      <c r="N66" s="72">
        <f t="shared" si="8"/>
        <v>-53.8</v>
      </c>
      <c r="O66" s="72">
        <f t="shared" si="8"/>
        <v>63.699999999999996</v>
      </c>
      <c r="P66" s="72">
        <f t="shared" si="8"/>
        <v>18.399999999999999</v>
      </c>
      <c r="Q66" s="72">
        <f t="shared" si="8"/>
        <v>20.3</v>
      </c>
      <c r="R66" s="72">
        <f t="shared" si="8"/>
        <v>92</v>
      </c>
      <c r="S66" s="72">
        <f t="shared" si="8"/>
        <v>83.3</v>
      </c>
      <c r="T66" s="72">
        <f t="shared" si="8"/>
        <v>77</v>
      </c>
      <c r="U66" s="72">
        <f t="shared" si="8"/>
        <v>82.9</v>
      </c>
      <c r="V66" s="72">
        <f t="shared" si="8"/>
        <v>82.9</v>
      </c>
      <c r="W66" s="72">
        <f t="shared" si="8"/>
        <v>42.8</v>
      </c>
      <c r="X66" s="72">
        <f t="shared" si="8"/>
        <v>-20.700000000000003</v>
      </c>
      <c r="Y66" s="72">
        <f t="shared" si="8"/>
        <v>-86.44</v>
      </c>
      <c r="Z66" s="72">
        <f t="shared" si="8"/>
        <v>-152.4</v>
      </c>
      <c r="AA66" s="72">
        <f t="shared" si="8"/>
        <v>-191.2</v>
      </c>
      <c r="AB66" s="72">
        <f t="shared" si="8"/>
        <v>-227</v>
      </c>
      <c r="AC66" s="72">
        <f t="shared" si="8"/>
        <v>-229</v>
      </c>
      <c r="AD66" s="72">
        <f t="shared" si="8"/>
        <v>-180</v>
      </c>
      <c r="AE66" s="72">
        <f t="shared" si="8"/>
        <v>-213</v>
      </c>
      <c r="AF66" s="72">
        <f t="shared" si="8"/>
        <v>-199</v>
      </c>
      <c r="AG66" s="77">
        <f>SUM(AG55:AG65)</f>
        <v>0</v>
      </c>
      <c r="AH66" s="55">
        <f t="shared" si="2"/>
        <v>92</v>
      </c>
      <c r="AI66" s="56">
        <f t="shared" si="3"/>
        <v>-261.10000000000002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1126.6399999999999</v>
      </c>
      <c r="C71" s="87">
        <f t="shared" ref="C71:AG71" si="10">C66+C54+C50+C36+C70</f>
        <v>1097.44</v>
      </c>
      <c r="D71" s="87">
        <f t="shared" si="10"/>
        <v>1073.04</v>
      </c>
      <c r="E71" s="87">
        <f t="shared" si="10"/>
        <v>1039.04</v>
      </c>
      <c r="F71" s="87">
        <f t="shared" si="10"/>
        <v>1080.1400000000001</v>
      </c>
      <c r="G71" s="87">
        <f t="shared" si="10"/>
        <v>1063.04</v>
      </c>
      <c r="H71" s="87">
        <f t="shared" si="10"/>
        <v>1076.2399999999998</v>
      </c>
      <c r="I71" s="87">
        <f t="shared" si="10"/>
        <v>1091.7399999999998</v>
      </c>
      <c r="J71" s="87">
        <f t="shared" si="10"/>
        <v>1181.8400000000001</v>
      </c>
      <c r="K71" s="87">
        <f t="shared" si="10"/>
        <v>1200.04</v>
      </c>
      <c r="L71" s="87">
        <f t="shared" si="10"/>
        <v>1239.04</v>
      </c>
      <c r="M71" s="87">
        <f t="shared" si="10"/>
        <v>1233.3799999999999</v>
      </c>
      <c r="N71" s="87">
        <f t="shared" si="10"/>
        <v>1257.54</v>
      </c>
      <c r="O71" s="87">
        <f t="shared" si="10"/>
        <v>1188.8400000000001</v>
      </c>
      <c r="P71" s="87">
        <f t="shared" si="10"/>
        <v>1157.6399999999999</v>
      </c>
      <c r="Q71" s="87">
        <f t="shared" si="10"/>
        <v>1155.74</v>
      </c>
      <c r="R71" s="87">
        <f t="shared" si="10"/>
        <v>1236.6399999999999</v>
      </c>
      <c r="S71" s="87">
        <f t="shared" si="10"/>
        <v>1207.24</v>
      </c>
      <c r="T71" s="87">
        <f t="shared" si="10"/>
        <v>1227.04</v>
      </c>
      <c r="U71" s="87">
        <f t="shared" si="10"/>
        <v>1219.04</v>
      </c>
      <c r="V71" s="87">
        <f t="shared" si="10"/>
        <v>1219.04</v>
      </c>
      <c r="W71" s="87">
        <f t="shared" si="10"/>
        <v>1432.6399999999999</v>
      </c>
      <c r="X71" s="87">
        <f t="shared" si="10"/>
        <v>1506.44</v>
      </c>
      <c r="Y71" s="87">
        <f t="shared" si="10"/>
        <v>1472.6</v>
      </c>
      <c r="Z71" s="87">
        <f t="shared" si="10"/>
        <v>1412.94</v>
      </c>
      <c r="AA71" s="87">
        <f t="shared" si="10"/>
        <v>1381.04</v>
      </c>
      <c r="AB71" s="87">
        <f t="shared" si="10"/>
        <v>1317.74</v>
      </c>
      <c r="AC71" s="87">
        <f t="shared" si="10"/>
        <v>1315.74</v>
      </c>
      <c r="AD71" s="87">
        <f t="shared" si="10"/>
        <v>1223.54</v>
      </c>
      <c r="AE71" s="87">
        <f t="shared" si="10"/>
        <v>1154.6400000000001</v>
      </c>
      <c r="AF71" s="87">
        <f t="shared" si="10"/>
        <v>1138.6399999999999</v>
      </c>
      <c r="AG71" s="87">
        <f t="shared" si="10"/>
        <v>2083.14</v>
      </c>
      <c r="AH71" s="55">
        <f t="shared" si="2"/>
        <v>1506.44</v>
      </c>
      <c r="AI71" s="56">
        <f t="shared" si="3"/>
        <v>1039.04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>
        <v>30</v>
      </c>
      <c r="P72" s="89">
        <v>30</v>
      </c>
      <c r="Q72" s="89">
        <v>30</v>
      </c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30</v>
      </c>
      <c r="AI72" s="56">
        <f t="shared" si="3"/>
        <v>30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1126.6399999999999</v>
      </c>
      <c r="C73" s="87">
        <f t="shared" ref="C73:AF73" si="11">C70+C66+C54+C50+C36+C72</f>
        <v>1097.44</v>
      </c>
      <c r="D73" s="87">
        <f t="shared" si="11"/>
        <v>1073.04</v>
      </c>
      <c r="E73" s="87">
        <f t="shared" si="11"/>
        <v>1039.04</v>
      </c>
      <c r="F73" s="87">
        <f t="shared" si="11"/>
        <v>1080.1400000000001</v>
      </c>
      <c r="G73" s="87">
        <f t="shared" si="11"/>
        <v>1063.04</v>
      </c>
      <c r="H73" s="87">
        <f t="shared" si="11"/>
        <v>1076.2399999999998</v>
      </c>
      <c r="I73" s="87">
        <f t="shared" si="11"/>
        <v>1091.7399999999998</v>
      </c>
      <c r="J73" s="87">
        <f t="shared" si="11"/>
        <v>1181.8400000000001</v>
      </c>
      <c r="K73" s="87">
        <f t="shared" si="11"/>
        <v>1200.04</v>
      </c>
      <c r="L73" s="87">
        <f t="shared" si="11"/>
        <v>1239.04</v>
      </c>
      <c r="M73" s="87">
        <f t="shared" si="11"/>
        <v>1233.3799999999999</v>
      </c>
      <c r="N73" s="87">
        <f t="shared" si="11"/>
        <v>1257.54</v>
      </c>
      <c r="O73" s="87">
        <f t="shared" si="11"/>
        <v>1218.8400000000001</v>
      </c>
      <c r="P73" s="87">
        <f t="shared" si="11"/>
        <v>1187.6399999999999</v>
      </c>
      <c r="Q73" s="87">
        <f t="shared" si="11"/>
        <v>1185.74</v>
      </c>
      <c r="R73" s="87">
        <f t="shared" si="11"/>
        <v>1236.6399999999999</v>
      </c>
      <c r="S73" s="87">
        <f t="shared" si="11"/>
        <v>1207.24</v>
      </c>
      <c r="T73" s="87">
        <f t="shared" si="11"/>
        <v>1227.04</v>
      </c>
      <c r="U73" s="87">
        <f t="shared" si="11"/>
        <v>1219.04</v>
      </c>
      <c r="V73" s="87">
        <f t="shared" si="11"/>
        <v>1219.04</v>
      </c>
      <c r="W73" s="87">
        <f t="shared" si="11"/>
        <v>1432.6399999999999</v>
      </c>
      <c r="X73" s="87">
        <f t="shared" si="11"/>
        <v>1506.44</v>
      </c>
      <c r="Y73" s="87">
        <f t="shared" si="11"/>
        <v>1472.6</v>
      </c>
      <c r="Z73" s="87">
        <f t="shared" si="11"/>
        <v>1412.94</v>
      </c>
      <c r="AA73" s="87">
        <f t="shared" si="11"/>
        <v>1381.04</v>
      </c>
      <c r="AB73" s="87">
        <f t="shared" si="11"/>
        <v>1317.74</v>
      </c>
      <c r="AC73" s="87">
        <f t="shared" si="11"/>
        <v>1315.74</v>
      </c>
      <c r="AD73" s="87">
        <f t="shared" si="11"/>
        <v>1223.54</v>
      </c>
      <c r="AE73" s="87">
        <f t="shared" si="11"/>
        <v>1154.6400000000001</v>
      </c>
      <c r="AF73" s="87">
        <f t="shared" si="11"/>
        <v>1138.6399999999999</v>
      </c>
      <c r="AG73" s="77">
        <f>AG70+AG66+AG54+AG50+AG36+AG72</f>
        <v>2083.14</v>
      </c>
      <c r="AH73" s="55">
        <f t="shared" si="2"/>
        <v>1506.44</v>
      </c>
      <c r="AI73" s="56">
        <f t="shared" si="3"/>
        <v>1039.04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42</v>
      </c>
      <c r="C74" s="59">
        <f t="shared" ref="C74:AF74" si="12">IF(C58&lt;0,C58*-1,0)</f>
        <v>44</v>
      </c>
      <c r="D74" s="59">
        <f t="shared" si="12"/>
        <v>42</v>
      </c>
      <c r="E74" s="59">
        <f t="shared" si="12"/>
        <v>40</v>
      </c>
      <c r="F74" s="59">
        <f t="shared" si="12"/>
        <v>40</v>
      </c>
      <c r="G74" s="59">
        <f t="shared" si="12"/>
        <v>40</v>
      </c>
      <c r="H74" s="59">
        <f t="shared" si="12"/>
        <v>40</v>
      </c>
      <c r="I74" s="59">
        <f t="shared" si="12"/>
        <v>30</v>
      </c>
      <c r="J74" s="59">
        <f t="shared" si="12"/>
        <v>32</v>
      </c>
      <c r="K74" s="59">
        <f t="shared" si="12"/>
        <v>26</v>
      </c>
      <c r="L74" s="59">
        <f t="shared" si="12"/>
        <v>23.4</v>
      </c>
      <c r="M74" s="59">
        <f t="shared" si="12"/>
        <v>21.3</v>
      </c>
      <c r="N74" s="59">
        <f t="shared" si="12"/>
        <v>18</v>
      </c>
      <c r="O74" s="59">
        <f t="shared" si="12"/>
        <v>18.100000000000001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28</v>
      </c>
      <c r="AA74" s="59">
        <f t="shared" si="12"/>
        <v>35</v>
      </c>
      <c r="AB74" s="59">
        <f t="shared" si="12"/>
        <v>35</v>
      </c>
      <c r="AC74" s="59">
        <f t="shared" si="12"/>
        <v>35</v>
      </c>
      <c r="AD74" s="59">
        <f t="shared" si="12"/>
        <v>0</v>
      </c>
      <c r="AE74" s="59">
        <f t="shared" si="12"/>
        <v>35</v>
      </c>
      <c r="AF74" s="59">
        <f t="shared" si="12"/>
        <v>35</v>
      </c>
      <c r="AG74" s="63"/>
      <c r="AH74" s="55">
        <f t="shared" si="2"/>
        <v>44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91.8</v>
      </c>
      <c r="C75" s="59">
        <f t="shared" ref="C75:AF75" si="13">IF(C56&lt;0,C56*-1,0)</f>
        <v>87.1</v>
      </c>
      <c r="D75" s="59">
        <f t="shared" si="13"/>
        <v>100</v>
      </c>
      <c r="E75" s="59">
        <f t="shared" si="13"/>
        <v>98.2</v>
      </c>
      <c r="F75" s="59">
        <f t="shared" si="13"/>
        <v>74.7</v>
      </c>
      <c r="G75" s="59">
        <f t="shared" si="13"/>
        <v>77</v>
      </c>
      <c r="H75" s="59">
        <f t="shared" si="13"/>
        <v>62.7</v>
      </c>
      <c r="I75" s="59">
        <f t="shared" si="13"/>
        <v>49</v>
      </c>
      <c r="J75" s="59">
        <f t="shared" si="13"/>
        <v>48.9</v>
      </c>
      <c r="K75" s="59">
        <f t="shared" si="13"/>
        <v>48.6</v>
      </c>
      <c r="L75" s="59">
        <f t="shared" si="13"/>
        <v>45.2</v>
      </c>
      <c r="M75" s="59">
        <f t="shared" si="13"/>
        <v>47.36</v>
      </c>
      <c r="N75" s="59">
        <f t="shared" si="13"/>
        <v>4.9000000000000004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0.2</v>
      </c>
      <c r="Z75" s="59">
        <f t="shared" si="13"/>
        <v>71</v>
      </c>
      <c r="AA75" s="59">
        <f t="shared" si="13"/>
        <v>89.3</v>
      </c>
      <c r="AB75" s="59">
        <f t="shared" si="13"/>
        <v>96</v>
      </c>
      <c r="AC75" s="59">
        <f t="shared" si="13"/>
        <v>96</v>
      </c>
      <c r="AD75" s="59">
        <f t="shared" si="13"/>
        <v>100</v>
      </c>
      <c r="AE75" s="59">
        <f t="shared" si="13"/>
        <v>94</v>
      </c>
      <c r="AF75" s="59">
        <f t="shared" si="13"/>
        <v>93</v>
      </c>
      <c r="AG75" s="67"/>
      <c r="AH75" s="55">
        <f t="shared" si="2"/>
        <v>100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67.400000000000006</v>
      </c>
      <c r="C76" s="59">
        <f t="shared" ref="C76:AF76" si="14">IF(C59&lt;0,C59*-1,0)</f>
        <v>67</v>
      </c>
      <c r="D76" s="59">
        <f t="shared" si="14"/>
        <v>66</v>
      </c>
      <c r="E76" s="59">
        <f t="shared" si="14"/>
        <v>64.5</v>
      </c>
      <c r="F76" s="59">
        <f t="shared" si="14"/>
        <v>61.6</v>
      </c>
      <c r="G76" s="59">
        <f t="shared" si="14"/>
        <v>61.1</v>
      </c>
      <c r="H76" s="59">
        <f t="shared" si="14"/>
        <v>57</v>
      </c>
      <c r="I76" s="59">
        <f t="shared" si="14"/>
        <v>46.5</v>
      </c>
      <c r="J76" s="59">
        <f t="shared" si="14"/>
        <v>44.3</v>
      </c>
      <c r="K76" s="59">
        <f t="shared" si="14"/>
        <v>35.1</v>
      </c>
      <c r="L76" s="59">
        <f t="shared" si="14"/>
        <v>37</v>
      </c>
      <c r="M76" s="59">
        <f t="shared" si="14"/>
        <v>38</v>
      </c>
      <c r="N76" s="59">
        <f t="shared" si="14"/>
        <v>0</v>
      </c>
      <c r="O76" s="59">
        <f t="shared" si="14"/>
        <v>0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69</v>
      </c>
      <c r="Z76" s="59">
        <f t="shared" si="14"/>
        <v>70</v>
      </c>
      <c r="AA76" s="59">
        <f t="shared" si="14"/>
        <v>70.5</v>
      </c>
      <c r="AB76" s="59">
        <f t="shared" si="14"/>
        <v>73</v>
      </c>
      <c r="AC76" s="59">
        <f t="shared" si="14"/>
        <v>73</v>
      </c>
      <c r="AD76" s="59">
        <f t="shared" si="14"/>
        <v>70</v>
      </c>
      <c r="AE76" s="59">
        <f t="shared" si="14"/>
        <v>72</v>
      </c>
      <c r="AF76" s="59">
        <f t="shared" si="14"/>
        <v>72</v>
      </c>
      <c r="AG76" s="90"/>
      <c r="AH76" s="55">
        <f t="shared" si="2"/>
        <v>73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20</v>
      </c>
      <c r="C77" s="59">
        <f t="shared" ref="C77:AF77" si="15">IF(C57&lt;0,C57*-1,0)</f>
        <v>73</v>
      </c>
      <c r="D77" s="59">
        <f t="shared" si="15"/>
        <v>9.5</v>
      </c>
      <c r="E77" s="59">
        <f t="shared" si="15"/>
        <v>55.8</v>
      </c>
      <c r="F77" s="59">
        <f t="shared" si="15"/>
        <v>62.7</v>
      </c>
      <c r="G77" s="59">
        <f t="shared" si="15"/>
        <v>53.1</v>
      </c>
      <c r="H77" s="59">
        <f t="shared" si="15"/>
        <v>69.8</v>
      </c>
      <c r="I77" s="59">
        <f t="shared" si="15"/>
        <v>32.299999999999997</v>
      </c>
      <c r="J77" s="59">
        <f t="shared" si="15"/>
        <v>30.4</v>
      </c>
      <c r="K77" s="59">
        <f t="shared" si="15"/>
        <v>6</v>
      </c>
      <c r="L77" s="59">
        <f t="shared" si="15"/>
        <v>30.8</v>
      </c>
      <c r="M77" s="59">
        <f t="shared" si="15"/>
        <v>76.3</v>
      </c>
      <c r="N77" s="59">
        <f t="shared" si="15"/>
        <v>30.9</v>
      </c>
      <c r="O77" s="59">
        <f t="shared" si="15"/>
        <v>0</v>
      </c>
      <c r="P77" s="59">
        <f t="shared" si="15"/>
        <v>0</v>
      </c>
      <c r="Q77" s="59">
        <f t="shared" si="15"/>
        <v>0</v>
      </c>
      <c r="R77" s="59">
        <f t="shared" si="15"/>
        <v>0</v>
      </c>
      <c r="S77" s="59">
        <f t="shared" si="15"/>
        <v>0</v>
      </c>
      <c r="T77" s="59">
        <f t="shared" si="15"/>
        <v>0</v>
      </c>
      <c r="U77" s="59">
        <f t="shared" si="15"/>
        <v>0</v>
      </c>
      <c r="V77" s="59">
        <f t="shared" si="15"/>
        <v>0</v>
      </c>
      <c r="W77" s="59">
        <f t="shared" si="15"/>
        <v>0</v>
      </c>
      <c r="X77" s="59">
        <f t="shared" si="15"/>
        <v>77</v>
      </c>
      <c r="Y77" s="59">
        <f t="shared" si="15"/>
        <v>33.54</v>
      </c>
      <c r="Z77" s="59">
        <f t="shared" si="15"/>
        <v>10.3</v>
      </c>
      <c r="AA77" s="59">
        <f t="shared" si="15"/>
        <v>22.9</v>
      </c>
      <c r="AB77" s="59">
        <f t="shared" si="15"/>
        <v>49</v>
      </c>
      <c r="AC77" s="59">
        <f t="shared" si="15"/>
        <v>49</v>
      </c>
      <c r="AD77" s="59">
        <f t="shared" si="15"/>
        <v>20</v>
      </c>
      <c r="AE77" s="59">
        <f t="shared" si="15"/>
        <v>22</v>
      </c>
      <c r="AF77" s="59">
        <f t="shared" si="15"/>
        <v>9</v>
      </c>
      <c r="AG77" s="90"/>
      <c r="AH77" s="55">
        <f t="shared" ref="AH77:AH89" si="16">MAX(B77:AF77)</f>
        <v>77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1.3</v>
      </c>
      <c r="H78" s="59">
        <f t="shared" si="18"/>
        <v>1.8</v>
      </c>
      <c r="I78" s="59">
        <f t="shared" si="18"/>
        <v>10</v>
      </c>
      <c r="J78" s="59">
        <f t="shared" si="18"/>
        <v>12.1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12.1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221.20000000000002</v>
      </c>
      <c r="C80" s="72">
        <f t="shared" ref="C80:AG80" si="19">SUM(C74:C79)</f>
        <v>271.10000000000002</v>
      </c>
      <c r="D80" s="72">
        <f t="shared" si="19"/>
        <v>217.5</v>
      </c>
      <c r="E80" s="72">
        <f t="shared" si="19"/>
        <v>258.5</v>
      </c>
      <c r="F80" s="72">
        <f t="shared" si="19"/>
        <v>239</v>
      </c>
      <c r="G80" s="72">
        <f t="shared" si="19"/>
        <v>232.5</v>
      </c>
      <c r="H80" s="72">
        <f t="shared" si="19"/>
        <v>231.3</v>
      </c>
      <c r="I80" s="72">
        <f t="shared" si="19"/>
        <v>167.8</v>
      </c>
      <c r="J80" s="72">
        <f t="shared" si="19"/>
        <v>167.7</v>
      </c>
      <c r="K80" s="72">
        <f t="shared" si="19"/>
        <v>115.69999999999999</v>
      </c>
      <c r="L80" s="72">
        <f t="shared" si="19"/>
        <v>136.4</v>
      </c>
      <c r="M80" s="72">
        <f t="shared" si="19"/>
        <v>182.95999999999998</v>
      </c>
      <c r="N80" s="72">
        <f t="shared" si="19"/>
        <v>53.8</v>
      </c>
      <c r="O80" s="72">
        <f t="shared" si="19"/>
        <v>18.100000000000001</v>
      </c>
      <c r="P80" s="72">
        <f t="shared" si="19"/>
        <v>0</v>
      </c>
      <c r="Q80" s="72">
        <f t="shared" si="19"/>
        <v>0</v>
      </c>
      <c r="R80" s="72">
        <f t="shared" si="19"/>
        <v>0</v>
      </c>
      <c r="S80" s="72">
        <f t="shared" si="19"/>
        <v>0</v>
      </c>
      <c r="T80" s="72">
        <f t="shared" si="19"/>
        <v>0</v>
      </c>
      <c r="U80" s="72">
        <f t="shared" si="19"/>
        <v>0</v>
      </c>
      <c r="V80" s="72">
        <f t="shared" si="19"/>
        <v>0</v>
      </c>
      <c r="W80" s="72">
        <f t="shared" si="19"/>
        <v>0</v>
      </c>
      <c r="X80" s="72">
        <f t="shared" si="19"/>
        <v>77</v>
      </c>
      <c r="Y80" s="72">
        <f t="shared" si="19"/>
        <v>102.74000000000001</v>
      </c>
      <c r="Z80" s="72">
        <f t="shared" si="19"/>
        <v>179.3</v>
      </c>
      <c r="AA80" s="72">
        <f t="shared" si="19"/>
        <v>217.70000000000002</v>
      </c>
      <c r="AB80" s="72">
        <f t="shared" si="19"/>
        <v>253</v>
      </c>
      <c r="AC80" s="72">
        <f t="shared" si="19"/>
        <v>253</v>
      </c>
      <c r="AD80" s="72">
        <f t="shared" si="19"/>
        <v>190</v>
      </c>
      <c r="AE80" s="72">
        <f t="shared" si="19"/>
        <v>223</v>
      </c>
      <c r="AF80" s="72">
        <f t="shared" si="19"/>
        <v>209</v>
      </c>
      <c r="AG80" s="77">
        <f t="shared" si="19"/>
        <v>0</v>
      </c>
      <c r="AH80" s="55">
        <f t="shared" si="16"/>
        <v>271.10000000000002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2695.68</v>
      </c>
      <c r="C81" s="72">
        <f t="shared" ref="C81:AG81" si="20">SUM(C68:C80)</f>
        <v>2737.08</v>
      </c>
      <c r="D81" s="72">
        <f t="shared" si="20"/>
        <v>2581.08</v>
      </c>
      <c r="E81" s="72">
        <f t="shared" si="20"/>
        <v>2595.08</v>
      </c>
      <c r="F81" s="72">
        <f t="shared" si="20"/>
        <v>2638.2799999999997</v>
      </c>
      <c r="G81" s="72">
        <f t="shared" si="20"/>
        <v>2591.08</v>
      </c>
      <c r="H81" s="72">
        <f t="shared" si="20"/>
        <v>2615.08</v>
      </c>
      <c r="I81" s="72">
        <f t="shared" si="20"/>
        <v>2519.08</v>
      </c>
      <c r="J81" s="72">
        <f t="shared" si="20"/>
        <v>2699.0800000000004</v>
      </c>
      <c r="K81" s="72">
        <f t="shared" si="20"/>
        <v>2631.4799999999996</v>
      </c>
      <c r="L81" s="72">
        <f t="shared" si="20"/>
        <v>2750.88</v>
      </c>
      <c r="M81" s="72">
        <f t="shared" si="20"/>
        <v>2832.6800000000003</v>
      </c>
      <c r="N81" s="72">
        <f t="shared" si="20"/>
        <v>2622.6800000000003</v>
      </c>
      <c r="O81" s="72">
        <f t="shared" si="20"/>
        <v>2473.88</v>
      </c>
      <c r="P81" s="72">
        <f t="shared" si="20"/>
        <v>2375.2799999999997</v>
      </c>
      <c r="Q81" s="72">
        <f t="shared" si="20"/>
        <v>2371.48</v>
      </c>
      <c r="R81" s="72">
        <f t="shared" si="20"/>
        <v>2473.2799999999997</v>
      </c>
      <c r="S81" s="72">
        <f t="shared" si="20"/>
        <v>2414.48</v>
      </c>
      <c r="T81" s="72">
        <f t="shared" si="20"/>
        <v>2454.08</v>
      </c>
      <c r="U81" s="72">
        <f t="shared" si="20"/>
        <v>2438.08</v>
      </c>
      <c r="V81" s="72">
        <f t="shared" si="20"/>
        <v>2438.08</v>
      </c>
      <c r="W81" s="72">
        <f t="shared" si="20"/>
        <v>2865.2799999999997</v>
      </c>
      <c r="X81" s="72">
        <f t="shared" si="20"/>
        <v>3166.88</v>
      </c>
      <c r="Y81" s="72">
        <f t="shared" si="20"/>
        <v>3150.6799999999994</v>
      </c>
      <c r="Z81" s="72">
        <f t="shared" si="20"/>
        <v>3184.4800000000005</v>
      </c>
      <c r="AA81" s="72">
        <f t="shared" si="20"/>
        <v>3197.48</v>
      </c>
      <c r="AB81" s="72">
        <f t="shared" si="20"/>
        <v>3141.48</v>
      </c>
      <c r="AC81" s="72">
        <f t="shared" si="20"/>
        <v>3137.48</v>
      </c>
      <c r="AD81" s="72">
        <f t="shared" si="20"/>
        <v>2827.08</v>
      </c>
      <c r="AE81" s="72">
        <f t="shared" si="20"/>
        <v>2755.28</v>
      </c>
      <c r="AF81" s="72">
        <f t="shared" si="20"/>
        <v>2695.2799999999997</v>
      </c>
      <c r="AG81" s="77">
        <f t="shared" si="20"/>
        <v>4238.08</v>
      </c>
      <c r="AH81" s="55">
        <f t="shared" si="16"/>
        <v>3197.48</v>
      </c>
      <c r="AI81" s="56">
        <f t="shared" si="17"/>
        <v>2371.48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50.000999999999998</v>
      </c>
      <c r="C82" s="93">
        <v>50.006999999999998</v>
      </c>
      <c r="D82" s="93">
        <v>49.988</v>
      </c>
      <c r="E82" s="93">
        <v>49.972000000000001</v>
      </c>
      <c r="F82" s="93">
        <v>49.76</v>
      </c>
      <c r="G82" s="93">
        <v>49.789000000000001</v>
      </c>
      <c r="H82" s="93">
        <v>49.87</v>
      </c>
      <c r="I82" s="93">
        <v>49</v>
      </c>
      <c r="J82" s="93">
        <v>49.74</v>
      </c>
      <c r="K82" s="93">
        <v>49.962000000000003</v>
      </c>
      <c r="L82" s="93">
        <v>49.999000000000002</v>
      </c>
      <c r="M82" s="93">
        <v>49.999000000000002</v>
      </c>
      <c r="N82" s="93">
        <v>50.01</v>
      </c>
      <c r="O82" s="93">
        <v>50.036999999999999</v>
      </c>
      <c r="P82" s="93">
        <v>49.927</v>
      </c>
      <c r="Q82" s="93">
        <v>50.042000000000002</v>
      </c>
      <c r="R82" s="93">
        <v>49.948</v>
      </c>
      <c r="S82" s="93">
        <v>49.923999999999999</v>
      </c>
      <c r="T82" s="93">
        <v>49.872</v>
      </c>
      <c r="U82" s="93">
        <v>49.969000000000001</v>
      </c>
      <c r="V82" s="93">
        <v>49.969000000000001</v>
      </c>
      <c r="W82" s="93">
        <v>49.945999999999998</v>
      </c>
      <c r="X82" s="93">
        <v>49.857999999999997</v>
      </c>
      <c r="Y82" s="93">
        <v>49.83</v>
      </c>
      <c r="Z82" s="93">
        <v>49.975999999999999</v>
      </c>
      <c r="AA82" s="93">
        <v>50.037999999999997</v>
      </c>
      <c r="AB82" s="93">
        <v>49.94</v>
      </c>
      <c r="AC82" s="93">
        <v>49.94</v>
      </c>
      <c r="AD82" s="93">
        <v>49.66</v>
      </c>
      <c r="AE82" s="93">
        <v>49.95</v>
      </c>
      <c r="AF82" s="94">
        <v>49.96</v>
      </c>
      <c r="AG82" s="95"/>
      <c r="AH82" s="55">
        <f t="shared" si="16"/>
        <v>50.042000000000002</v>
      </c>
      <c r="AI82" s="56">
        <f t="shared" si="17"/>
        <v>49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124</v>
      </c>
      <c r="C83" s="52">
        <v>124.5</v>
      </c>
      <c r="D83" s="52">
        <v>125.9</v>
      </c>
      <c r="E83" s="52">
        <v>124.6</v>
      </c>
      <c r="F83" s="52">
        <v>123.7</v>
      </c>
      <c r="G83" s="52">
        <v>123.6</v>
      </c>
      <c r="H83" s="52">
        <v>124.4</v>
      </c>
      <c r="I83" s="52">
        <v>123.6</v>
      </c>
      <c r="J83" s="52">
        <v>121.2</v>
      </c>
      <c r="K83" s="52">
        <v>120.5</v>
      </c>
      <c r="L83" s="52">
        <v>119.6</v>
      </c>
      <c r="M83" s="52">
        <v>119.6</v>
      </c>
      <c r="N83" s="52">
        <v>121.2</v>
      </c>
      <c r="O83" s="52">
        <v>124.2</v>
      </c>
      <c r="P83" s="52">
        <v>124.4</v>
      </c>
      <c r="Q83" s="52">
        <v>124.4</v>
      </c>
      <c r="R83" s="52">
        <v>123.1</v>
      </c>
      <c r="S83" s="52">
        <v>124.4</v>
      </c>
      <c r="T83" s="97">
        <v>124.2</v>
      </c>
      <c r="U83" s="97">
        <v>125.7</v>
      </c>
      <c r="V83" s="97">
        <v>125.7</v>
      </c>
      <c r="W83" s="97">
        <v>122.9</v>
      </c>
      <c r="X83" s="97">
        <v>123.6</v>
      </c>
      <c r="Y83" s="97">
        <v>122.4</v>
      </c>
      <c r="Z83" s="97">
        <v>123</v>
      </c>
      <c r="AA83" s="52">
        <v>123.2</v>
      </c>
      <c r="AB83" s="52">
        <v>122</v>
      </c>
      <c r="AC83" s="52">
        <v>122</v>
      </c>
      <c r="AD83" s="52">
        <v>121</v>
      </c>
      <c r="AE83" s="52">
        <v>120</v>
      </c>
      <c r="AF83" s="98">
        <v>120</v>
      </c>
      <c r="AG83" s="99"/>
      <c r="AH83" s="55">
        <f t="shared" si="16"/>
        <v>125.9</v>
      </c>
      <c r="AI83" s="56">
        <f t="shared" si="17"/>
        <v>119.6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129.5</v>
      </c>
      <c r="C84" s="52">
        <v>129.80000000000001</v>
      </c>
      <c r="D84" s="52">
        <v>130.80000000000001</v>
      </c>
      <c r="E84" s="52">
        <v>129.80000000000001</v>
      </c>
      <c r="F84" s="52">
        <v>129</v>
      </c>
      <c r="G84" s="52">
        <v>128.69999999999999</v>
      </c>
      <c r="H84" s="52">
        <v>128.80000000000001</v>
      </c>
      <c r="I84" s="52">
        <v>128.69999999999999</v>
      </c>
      <c r="J84" s="52">
        <v>125.6</v>
      </c>
      <c r="K84" s="52">
        <v>124.6</v>
      </c>
      <c r="L84" s="52">
        <v>124</v>
      </c>
      <c r="M84" s="52">
        <v>124</v>
      </c>
      <c r="N84" s="52">
        <v>125.1</v>
      </c>
      <c r="O84" s="52">
        <v>127.7</v>
      </c>
      <c r="P84" s="52">
        <v>127.6</v>
      </c>
      <c r="Q84" s="52">
        <v>127.8</v>
      </c>
      <c r="R84" s="52">
        <v>126.8</v>
      </c>
      <c r="S84" s="52">
        <v>128.1</v>
      </c>
      <c r="T84" s="97">
        <v>127.2</v>
      </c>
      <c r="U84" s="97">
        <v>129</v>
      </c>
      <c r="V84" s="97">
        <v>129</v>
      </c>
      <c r="W84" s="97">
        <v>126.9</v>
      </c>
      <c r="X84" s="97">
        <v>127.7</v>
      </c>
      <c r="Y84" s="97">
        <v>127</v>
      </c>
      <c r="Z84" s="97">
        <v>127.7</v>
      </c>
      <c r="AA84" s="52">
        <v>128</v>
      </c>
      <c r="AB84" s="52">
        <v>128</v>
      </c>
      <c r="AC84" s="52">
        <v>128</v>
      </c>
      <c r="AD84" s="52">
        <v>127</v>
      </c>
      <c r="AE84" s="52">
        <v>126.5</v>
      </c>
      <c r="AF84" s="98">
        <v>126</v>
      </c>
      <c r="AG84" s="99"/>
      <c r="AH84" s="55">
        <f t="shared" si="16"/>
        <v>130.80000000000001</v>
      </c>
      <c r="AI84" s="56">
        <f t="shared" si="17"/>
        <v>124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129</v>
      </c>
      <c r="C85" s="52">
        <v>130.1</v>
      </c>
      <c r="D85" s="52">
        <v>127.7</v>
      </c>
      <c r="E85" s="52">
        <v>129.1</v>
      </c>
      <c r="F85" s="52">
        <v>129</v>
      </c>
      <c r="G85" s="52">
        <v>129.80000000000001</v>
      </c>
      <c r="H85" s="52">
        <v>131.6</v>
      </c>
      <c r="I85" s="52">
        <v>129.80000000000001</v>
      </c>
      <c r="J85" s="52">
        <v>128.69999999999999</v>
      </c>
      <c r="K85" s="52">
        <v>127.5</v>
      </c>
      <c r="L85" s="52">
        <v>126.7</v>
      </c>
      <c r="M85" s="52">
        <v>126.7</v>
      </c>
      <c r="N85" s="52">
        <v>126.7</v>
      </c>
      <c r="O85" s="52">
        <v>128.1</v>
      </c>
      <c r="P85" s="52">
        <v>130.19999999999999</v>
      </c>
      <c r="Q85" s="52">
        <v>126</v>
      </c>
      <c r="R85" s="52">
        <v>127.7</v>
      </c>
      <c r="S85" s="52">
        <v>129.80000000000001</v>
      </c>
      <c r="T85" s="52">
        <v>130.4</v>
      </c>
      <c r="U85" s="52">
        <v>128.1</v>
      </c>
      <c r="V85" s="52">
        <v>128.1</v>
      </c>
      <c r="W85" s="97">
        <v>126.9</v>
      </c>
      <c r="X85" s="97">
        <v>129.9</v>
      </c>
      <c r="Y85" s="97">
        <v>130.80000000000001</v>
      </c>
      <c r="Z85" s="97">
        <v>125.9</v>
      </c>
      <c r="AA85" s="52">
        <v>127.8</v>
      </c>
      <c r="AB85" s="52">
        <v>128</v>
      </c>
      <c r="AC85" s="52">
        <v>128</v>
      </c>
      <c r="AD85" s="52">
        <v>128</v>
      </c>
      <c r="AE85" s="52">
        <v>126</v>
      </c>
      <c r="AF85" s="98">
        <v>127</v>
      </c>
      <c r="AG85" s="99"/>
      <c r="AH85" s="55">
        <f t="shared" si="16"/>
        <v>131.6</v>
      </c>
      <c r="AI85" s="56">
        <f t="shared" si="17"/>
        <v>125.9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134.5</v>
      </c>
      <c r="C86" s="52">
        <v>135.4</v>
      </c>
      <c r="D86" s="52">
        <v>133.9</v>
      </c>
      <c r="E86" s="52">
        <v>135.30000000000001</v>
      </c>
      <c r="F86" s="52">
        <v>133</v>
      </c>
      <c r="G86" s="52">
        <v>133.19999999999999</v>
      </c>
      <c r="H86" s="52">
        <v>134.6</v>
      </c>
      <c r="I86" s="52">
        <v>133.19999999999999</v>
      </c>
      <c r="J86" s="52">
        <v>131.80000000000001</v>
      </c>
      <c r="K86" s="52">
        <v>129.4</v>
      </c>
      <c r="L86" s="52">
        <v>129.19999999999999</v>
      </c>
      <c r="M86" s="52">
        <v>129.19999999999999</v>
      </c>
      <c r="N86" s="52">
        <v>129.69999999999999</v>
      </c>
      <c r="O86" s="52">
        <v>132.19999999999999</v>
      </c>
      <c r="P86" s="52">
        <v>134.30000000000001</v>
      </c>
      <c r="Q86" s="52">
        <v>131.5</v>
      </c>
      <c r="R86" s="52">
        <v>130.6</v>
      </c>
      <c r="S86" s="52">
        <v>132.6</v>
      </c>
      <c r="T86" s="52">
        <v>133.19999999999999</v>
      </c>
      <c r="U86" s="52">
        <v>131.9</v>
      </c>
      <c r="V86" s="52">
        <v>131.9</v>
      </c>
      <c r="W86" s="97">
        <v>130.6</v>
      </c>
      <c r="X86" s="97">
        <v>133.5</v>
      </c>
      <c r="Y86" s="97">
        <v>134.19999999999999</v>
      </c>
      <c r="Z86" s="97">
        <v>130.80000000000001</v>
      </c>
      <c r="AA86" s="52">
        <v>132.30000000000001</v>
      </c>
      <c r="AB86" s="52">
        <v>132.30000000000001</v>
      </c>
      <c r="AC86" s="52">
        <v>132.30000000000001</v>
      </c>
      <c r="AD86" s="52">
        <v>131</v>
      </c>
      <c r="AE86" s="52">
        <v>130</v>
      </c>
      <c r="AF86" s="98">
        <v>131</v>
      </c>
      <c r="AG86" s="99"/>
      <c r="AH86" s="55">
        <f t="shared" si="16"/>
        <v>135.4</v>
      </c>
      <c r="AI86" s="56">
        <f t="shared" si="17"/>
        <v>129.19999999999999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134.6</v>
      </c>
      <c r="C87" s="101">
        <v>134.5</v>
      </c>
      <c r="D87" s="101">
        <v>134.30000000000001</v>
      </c>
      <c r="E87" s="101">
        <v>133.1</v>
      </c>
      <c r="F87" s="101">
        <v>133.19999999999999</v>
      </c>
      <c r="G87" s="101">
        <v>128.6</v>
      </c>
      <c r="H87" s="101">
        <v>130.5</v>
      </c>
      <c r="I87" s="101">
        <v>128.6</v>
      </c>
      <c r="J87" s="101">
        <v>131.4</v>
      </c>
      <c r="K87" s="101">
        <v>134.1</v>
      </c>
      <c r="L87" s="101">
        <v>135.19999999999999</v>
      </c>
      <c r="M87" s="101">
        <v>135.19999999999999</v>
      </c>
      <c r="N87" s="101">
        <v>134.6</v>
      </c>
      <c r="O87" s="101">
        <v>136.30000000000001</v>
      </c>
      <c r="P87" s="101">
        <v>135</v>
      </c>
      <c r="Q87" s="101">
        <v>133.5</v>
      </c>
      <c r="R87" s="101">
        <v>132.9</v>
      </c>
      <c r="S87" s="101">
        <v>131.5</v>
      </c>
      <c r="T87" s="101">
        <v>135.4</v>
      </c>
      <c r="U87" s="101">
        <v>132.1</v>
      </c>
      <c r="V87" s="101">
        <v>132.1</v>
      </c>
      <c r="W87" s="97">
        <v>128.1</v>
      </c>
      <c r="X87" s="97">
        <v>135.4</v>
      </c>
      <c r="Y87" s="97">
        <v>132.5</v>
      </c>
      <c r="Z87" s="97">
        <v>135</v>
      </c>
      <c r="AA87" s="101">
        <v>133.9</v>
      </c>
      <c r="AB87" s="101">
        <v>134.4</v>
      </c>
      <c r="AC87" s="101">
        <v>134.4</v>
      </c>
      <c r="AD87" s="101">
        <v>131</v>
      </c>
      <c r="AE87" s="101">
        <v>132</v>
      </c>
      <c r="AF87" s="102">
        <v>130</v>
      </c>
      <c r="AG87" s="103"/>
      <c r="AH87" s="55">
        <f t="shared" si="16"/>
        <v>136.30000000000001</v>
      </c>
      <c r="AI87" s="56">
        <f t="shared" si="17"/>
        <v>128.1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134</v>
      </c>
      <c r="C88" s="52">
        <v>133.5</v>
      </c>
      <c r="D88" s="52">
        <v>134.30000000000001</v>
      </c>
      <c r="E88" s="52">
        <v>130.19999999999999</v>
      </c>
      <c r="F88" s="52">
        <v>135.6</v>
      </c>
      <c r="G88" s="52">
        <v>129.19999999999999</v>
      </c>
      <c r="H88" s="52">
        <v>131.1</v>
      </c>
      <c r="I88" s="52">
        <v>129.19999999999999</v>
      </c>
      <c r="J88" s="52">
        <v>130.4</v>
      </c>
      <c r="K88" s="52">
        <v>133.6</v>
      </c>
      <c r="L88" s="52">
        <v>134.1</v>
      </c>
      <c r="M88" s="52">
        <v>134.1</v>
      </c>
      <c r="N88" s="52">
        <v>131.1</v>
      </c>
      <c r="O88" s="52">
        <v>132.1</v>
      </c>
      <c r="P88" s="52">
        <v>131</v>
      </c>
      <c r="Q88" s="52">
        <v>128.1</v>
      </c>
      <c r="R88" s="52">
        <v>131.6</v>
      </c>
      <c r="S88" s="52">
        <v>126.5</v>
      </c>
      <c r="T88" s="52">
        <v>129.1</v>
      </c>
      <c r="U88" s="52">
        <v>129.4</v>
      </c>
      <c r="V88" s="52">
        <v>129.4</v>
      </c>
      <c r="W88" s="97">
        <v>125.2</v>
      </c>
      <c r="X88" s="97">
        <v>131.5</v>
      </c>
      <c r="Y88" s="97">
        <v>125.8</v>
      </c>
      <c r="Z88" s="97">
        <v>132.30000000000001</v>
      </c>
      <c r="AA88" s="52">
        <v>130.69999999999999</v>
      </c>
      <c r="AB88" s="52">
        <v>130.80000000000001</v>
      </c>
      <c r="AC88" s="52">
        <v>130.80000000000001</v>
      </c>
      <c r="AD88" s="52">
        <v>130</v>
      </c>
      <c r="AE88" s="52">
        <v>131</v>
      </c>
      <c r="AF88" s="98">
        <v>131</v>
      </c>
      <c r="AG88" s="99"/>
      <c r="AH88" s="55">
        <f t="shared" si="16"/>
        <v>135.6</v>
      </c>
      <c r="AI88" s="56">
        <f t="shared" si="17"/>
        <v>125.2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65.8</v>
      </c>
      <c r="C89" s="104">
        <v>66</v>
      </c>
      <c r="D89" s="104">
        <v>66.599999999999994</v>
      </c>
      <c r="E89" s="104">
        <v>66.099999999999994</v>
      </c>
      <c r="F89" s="104">
        <v>65.5</v>
      </c>
      <c r="G89" s="104">
        <v>65.400000000000006</v>
      </c>
      <c r="H89" s="104">
        <v>65.5</v>
      </c>
      <c r="I89" s="104">
        <v>65.400000000000006</v>
      </c>
      <c r="J89" s="104">
        <v>64</v>
      </c>
      <c r="K89" s="104">
        <v>63.2</v>
      </c>
      <c r="L89" s="104">
        <v>62.8</v>
      </c>
      <c r="M89" s="104">
        <v>62.8</v>
      </c>
      <c r="N89" s="104">
        <v>63.4</v>
      </c>
      <c r="O89" s="104">
        <v>64.5</v>
      </c>
      <c r="P89" s="104">
        <v>64.5</v>
      </c>
      <c r="Q89" s="104">
        <v>64.5</v>
      </c>
      <c r="R89" s="104">
        <v>63.9</v>
      </c>
      <c r="S89" s="104">
        <v>65</v>
      </c>
      <c r="T89" s="104">
        <v>64.8</v>
      </c>
      <c r="U89" s="104">
        <v>65.599999999999994</v>
      </c>
      <c r="V89" s="104">
        <v>65.599999999999994</v>
      </c>
      <c r="W89" s="104">
        <v>64.599999999999994</v>
      </c>
      <c r="X89" s="104">
        <v>64.900000000000006</v>
      </c>
      <c r="Y89" s="104">
        <v>64.7</v>
      </c>
      <c r="Z89" s="104">
        <v>65</v>
      </c>
      <c r="AA89" s="104">
        <v>64.099999999999994</v>
      </c>
      <c r="AB89" s="104">
        <v>65</v>
      </c>
      <c r="AC89" s="104">
        <v>65</v>
      </c>
      <c r="AD89" s="104">
        <v>64.8</v>
      </c>
      <c r="AE89" s="104">
        <v>65</v>
      </c>
      <c r="AF89" s="105">
        <v>64.3</v>
      </c>
      <c r="AG89" s="106"/>
      <c r="AH89" s="55">
        <f t="shared" si="16"/>
        <v>66.599999999999994</v>
      </c>
      <c r="AI89" s="56">
        <f t="shared" si="17"/>
        <v>62.8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138.23999999999995</v>
      </c>
      <c r="C91" s="178">
        <f t="shared" ref="C91:AF91" si="21">SUM(C14,C17,C20:C21,C40,C42:C43,C45,C47,C92:C95,C100,C106,C112,C121,C123,C135,C142,C145:C146,C153,C155,C157,C161:C163,C165:C167,C172,C178:C179,C181:C183,C191,C196)</f>
        <v>132.43999999999997</v>
      </c>
      <c r="D91" s="178">
        <f t="shared" si="21"/>
        <v>132.43999999999997</v>
      </c>
      <c r="E91" s="178">
        <f t="shared" si="21"/>
        <v>135.83999999999995</v>
      </c>
      <c r="F91" s="111">
        <f t="shared" si="21"/>
        <v>163.23999999999995</v>
      </c>
      <c r="G91" s="111">
        <f t="shared" si="21"/>
        <v>173.83999999999997</v>
      </c>
      <c r="H91" s="111">
        <f t="shared" si="21"/>
        <v>197.83999999999995</v>
      </c>
      <c r="I91" s="111">
        <f t="shared" si="21"/>
        <v>197.83999999999995</v>
      </c>
      <c r="J91" s="111">
        <f t="shared" si="21"/>
        <v>250.43999999999997</v>
      </c>
      <c r="K91" s="111">
        <f t="shared" si="21"/>
        <v>282.83999999999997</v>
      </c>
      <c r="L91" s="111">
        <f t="shared" si="21"/>
        <v>295.44000000000005</v>
      </c>
      <c r="M91" s="111">
        <f t="shared" si="21"/>
        <v>295.44000000000005</v>
      </c>
      <c r="N91" s="111">
        <f t="shared" si="21"/>
        <v>251.03999999999996</v>
      </c>
      <c r="O91" s="111">
        <f t="shared" si="21"/>
        <v>271.03999999999996</v>
      </c>
      <c r="P91" s="111">
        <f t="shared" si="21"/>
        <v>270.14</v>
      </c>
      <c r="Q91" s="111">
        <f t="shared" si="21"/>
        <v>260.24</v>
      </c>
      <c r="R91" s="111">
        <f t="shared" si="21"/>
        <v>264.74</v>
      </c>
      <c r="S91" s="111">
        <f t="shared" si="21"/>
        <v>279.53999999999996</v>
      </c>
      <c r="T91" s="111">
        <f t="shared" si="21"/>
        <v>293.03999999999996</v>
      </c>
      <c r="U91" s="111">
        <f t="shared" si="21"/>
        <v>276.84000000000003</v>
      </c>
      <c r="V91" s="111">
        <f t="shared" si="21"/>
        <v>276.84000000000003</v>
      </c>
      <c r="W91" s="111">
        <f t="shared" si="21"/>
        <v>329.14</v>
      </c>
      <c r="X91" s="111">
        <f t="shared" si="21"/>
        <v>350.04</v>
      </c>
      <c r="Y91" s="111">
        <f t="shared" si="21"/>
        <v>333.04</v>
      </c>
      <c r="Z91" s="111">
        <f t="shared" si="21"/>
        <v>335.44000000000005</v>
      </c>
      <c r="AA91" s="111">
        <f t="shared" si="21"/>
        <v>446.64</v>
      </c>
      <c r="AB91" s="111">
        <f t="shared" si="21"/>
        <v>269.44</v>
      </c>
      <c r="AC91" s="111">
        <f t="shared" si="21"/>
        <v>186.43999999999997</v>
      </c>
      <c r="AD91" s="111">
        <f t="shared" si="21"/>
        <v>190.43999999999997</v>
      </c>
      <c r="AE91" s="111">
        <f t="shared" si="21"/>
        <v>221.43999999999997</v>
      </c>
      <c r="AF91" s="111">
        <f t="shared" si="21"/>
        <v>207.43999999999997</v>
      </c>
      <c r="AG91" s="112"/>
      <c r="AH91" s="55">
        <f>MAX(B91:AF91)</f>
        <v>446.64</v>
      </c>
      <c r="AI91" s="56">
        <f>MIN(B91:AF91)</f>
        <v>132.43999999999997</v>
      </c>
    </row>
    <row r="92" spans="1:88" x14ac:dyDescent="0.25">
      <c r="A92" s="113" t="s">
        <v>95</v>
      </c>
      <c r="B92" s="59">
        <v>24</v>
      </c>
      <c r="C92" s="59">
        <v>31.4</v>
      </c>
      <c r="D92" s="59">
        <v>30.4</v>
      </c>
      <c r="E92" s="59">
        <v>40.6</v>
      </c>
      <c r="F92" s="114">
        <v>36.1</v>
      </c>
      <c r="G92" s="114">
        <v>40.9</v>
      </c>
      <c r="H92" s="114">
        <v>47.2</v>
      </c>
      <c r="I92" s="114">
        <v>47.2</v>
      </c>
      <c r="J92" s="114">
        <v>41.8</v>
      </c>
      <c r="K92" s="114">
        <v>35.6</v>
      </c>
      <c r="L92" s="115">
        <v>40</v>
      </c>
      <c r="M92" s="115">
        <v>40</v>
      </c>
      <c r="N92" s="115">
        <v>38.9</v>
      </c>
      <c r="O92" s="115">
        <v>47.3</v>
      </c>
      <c r="P92" s="114">
        <v>52.4</v>
      </c>
      <c r="Q92" s="114">
        <v>57.5</v>
      </c>
      <c r="R92" s="114">
        <v>54.6</v>
      </c>
      <c r="S92" s="114">
        <v>52.3</v>
      </c>
      <c r="T92" s="115">
        <v>55.9</v>
      </c>
      <c r="U92" s="115">
        <v>48.8</v>
      </c>
      <c r="V92" s="115">
        <v>48.8</v>
      </c>
      <c r="W92" s="114">
        <v>31.7</v>
      </c>
      <c r="X92" s="114">
        <v>33.200000000000003</v>
      </c>
      <c r="Y92" s="114">
        <v>16.5</v>
      </c>
      <c r="Z92" s="114">
        <v>33.5</v>
      </c>
      <c r="AA92" s="115">
        <v>19.7</v>
      </c>
      <c r="AB92" s="115">
        <v>18</v>
      </c>
      <c r="AC92" s="115">
        <v>22</v>
      </c>
      <c r="AD92" s="115">
        <v>37</v>
      </c>
      <c r="AE92" s="115">
        <v>36</v>
      </c>
      <c r="AF92" s="116">
        <v>30</v>
      </c>
      <c r="AG92" s="117">
        <v>75</v>
      </c>
      <c r="AH92" s="55">
        <f t="shared" ref="AH92:AH97" si="22">IF(ABS(MAX(B92:AF92))&gt;ABS(MIN(B92:AF92)),MAX(B92:AF92),MIN(B92:AF92))</f>
        <v>57.5</v>
      </c>
      <c r="AI92" s="118">
        <f t="shared" ref="AI92:AI97" si="23">INDEX($B$9:$AF$9,1,MATCH(AH92,B92:AF92,0))</f>
        <v>0.54166666666666696</v>
      </c>
    </row>
    <row r="93" spans="1:88" x14ac:dyDescent="0.25">
      <c r="A93" s="119" t="s">
        <v>96</v>
      </c>
      <c r="B93" s="61">
        <v>-100</v>
      </c>
      <c r="C93" s="61">
        <v>-110</v>
      </c>
      <c r="D93" s="61">
        <v>-115.3</v>
      </c>
      <c r="E93" s="61">
        <v>-118</v>
      </c>
      <c r="F93" s="61">
        <v>-88.4</v>
      </c>
      <c r="G93" s="61">
        <v>-85</v>
      </c>
      <c r="H93" s="61">
        <v>-70.400000000000006</v>
      </c>
      <c r="I93" s="61">
        <v>-70.400000000000006</v>
      </c>
      <c r="J93" s="61">
        <v>-27</v>
      </c>
      <c r="K93" s="61">
        <v>-63.7</v>
      </c>
      <c r="L93" s="61">
        <v>-60</v>
      </c>
      <c r="M93" s="61">
        <v>-60</v>
      </c>
      <c r="N93" s="61">
        <v>-59</v>
      </c>
      <c r="O93" s="61">
        <v>-47</v>
      </c>
      <c r="P93" s="61">
        <v>-50.4</v>
      </c>
      <c r="Q93" s="61">
        <v>-53.1</v>
      </c>
      <c r="R93" s="61">
        <v>-54</v>
      </c>
      <c r="S93" s="61">
        <v>-46</v>
      </c>
      <c r="T93" s="61">
        <v>-46</v>
      </c>
      <c r="U93" s="61">
        <v>-46</v>
      </c>
      <c r="V93" s="61">
        <v>-46</v>
      </c>
      <c r="W93" s="61">
        <v>-44</v>
      </c>
      <c r="X93" s="61">
        <v>-33</v>
      </c>
      <c r="Y93" s="61">
        <v>-53</v>
      </c>
      <c r="Z93" s="61">
        <v>-60</v>
      </c>
      <c r="AA93" s="52">
        <f>--68</f>
        <v>68</v>
      </c>
      <c r="AB93" s="52">
        <v>-84</v>
      </c>
      <c r="AC93" s="52">
        <v>-82</v>
      </c>
      <c r="AD93" s="52">
        <v>-80</v>
      </c>
      <c r="AE93" s="52">
        <v>-43</v>
      </c>
      <c r="AF93" s="120">
        <v>-47</v>
      </c>
      <c r="AG93" s="117">
        <v>240</v>
      </c>
      <c r="AH93" s="55">
        <f t="shared" si="22"/>
        <v>-118</v>
      </c>
      <c r="AI93" s="118">
        <f t="shared" si="23"/>
        <v>0.16666666666666699</v>
      </c>
    </row>
    <row r="94" spans="1:88" x14ac:dyDescent="0.25">
      <c r="A94" s="119" t="s">
        <v>97</v>
      </c>
      <c r="B94" s="61">
        <v>-16.600000000000001</v>
      </c>
      <c r="C94" s="61">
        <v>-19.8</v>
      </c>
      <c r="D94" s="61">
        <v>-13.5</v>
      </c>
      <c r="E94" s="61">
        <v>-17.600000000000001</v>
      </c>
      <c r="F94" s="61">
        <v>-24</v>
      </c>
      <c r="G94" s="61">
        <v>-21.6</v>
      </c>
      <c r="H94" s="61">
        <v>-18.5</v>
      </c>
      <c r="I94" s="61">
        <v>-18.5</v>
      </c>
      <c r="J94" s="61">
        <v>-3.9</v>
      </c>
      <c r="K94" s="61">
        <v>-1.4</v>
      </c>
      <c r="L94" s="61">
        <v>0</v>
      </c>
      <c r="M94" s="61">
        <v>0</v>
      </c>
      <c r="N94" s="61">
        <v>15.4</v>
      </c>
      <c r="O94" s="61">
        <v>47.1</v>
      </c>
      <c r="P94" s="61">
        <v>44</v>
      </c>
      <c r="Q94" s="61">
        <v>43.8</v>
      </c>
      <c r="R94" s="61">
        <v>38.9</v>
      </c>
      <c r="S94" s="61">
        <v>42.7</v>
      </c>
      <c r="T94" s="61">
        <v>41.7</v>
      </c>
      <c r="U94" s="61">
        <v>41.8</v>
      </c>
      <c r="V94" s="61">
        <v>41.8</v>
      </c>
      <c r="W94" s="61">
        <v>32</v>
      </c>
      <c r="X94" s="61">
        <v>39.1</v>
      </c>
      <c r="Y94" s="61">
        <v>40.6</v>
      </c>
      <c r="Z94" s="61">
        <v>36.1</v>
      </c>
      <c r="AA94" s="52">
        <v>34.299999999999997</v>
      </c>
      <c r="AB94" s="52">
        <v>21</v>
      </c>
      <c r="AC94" s="52">
        <v>10</v>
      </c>
      <c r="AD94" s="52">
        <v>-3</v>
      </c>
      <c r="AE94" s="52">
        <v>-7</v>
      </c>
      <c r="AF94" s="120">
        <v>-11</v>
      </c>
      <c r="AG94" s="117">
        <v>60</v>
      </c>
      <c r="AH94" s="55">
        <f t="shared" si="22"/>
        <v>47.1</v>
      </c>
      <c r="AI94" s="118">
        <f t="shared" si="23"/>
        <v>0.45833333333333298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72.8</v>
      </c>
      <c r="L95" s="84">
        <v>77.400000000000006</v>
      </c>
      <c r="M95" s="84">
        <v>77.400000000000006</v>
      </c>
      <c r="N95" s="84">
        <v>48.1</v>
      </c>
      <c r="O95" s="84">
        <v>0</v>
      </c>
      <c r="P95" s="84">
        <v>-12.3</v>
      </c>
      <c r="Q95" s="84">
        <v>-24.8</v>
      </c>
      <c r="R95" s="84">
        <v>-13.6</v>
      </c>
      <c r="S95" s="84">
        <v>-8.6</v>
      </c>
      <c r="T95" s="84">
        <v>-8.1</v>
      </c>
      <c r="U95" s="84">
        <v>-6.8</v>
      </c>
      <c r="V95" s="84">
        <v>-6.8</v>
      </c>
      <c r="W95" s="84">
        <v>71.099999999999994</v>
      </c>
      <c r="X95" s="84">
        <v>75.2</v>
      </c>
      <c r="Y95" s="84">
        <v>92.3</v>
      </c>
      <c r="Z95" s="84">
        <v>89.4</v>
      </c>
      <c r="AA95" s="122">
        <v>88.2</v>
      </c>
      <c r="AB95" s="122">
        <v>78</v>
      </c>
      <c r="AC95" s="122">
        <v>0</v>
      </c>
      <c r="AD95" s="122">
        <v>0</v>
      </c>
      <c r="AE95" s="122">
        <v>0</v>
      </c>
      <c r="AF95" s="123">
        <v>0</v>
      </c>
      <c r="AG95" s="124">
        <v>120</v>
      </c>
      <c r="AH95" s="55">
        <f t="shared" si="22"/>
        <v>92.3</v>
      </c>
      <c r="AI95" s="118">
        <f t="shared" si="23"/>
        <v>0.79166666666666663</v>
      </c>
    </row>
    <row r="96" spans="1:88" x14ac:dyDescent="0.25">
      <c r="A96" s="121" t="s">
        <v>99</v>
      </c>
      <c r="B96" s="84">
        <v>69.400000000000006</v>
      </c>
      <c r="C96" s="84">
        <v>57.9</v>
      </c>
      <c r="D96" s="84">
        <v>41.3</v>
      </c>
      <c r="E96" s="84">
        <v>30.9</v>
      </c>
      <c r="F96" s="84">
        <v>72.099999999999994</v>
      </c>
      <c r="G96" s="84">
        <v>66.7</v>
      </c>
      <c r="H96" s="84">
        <v>72.599999999999994</v>
      </c>
      <c r="I96" s="84">
        <v>72.599999999999994</v>
      </c>
      <c r="J96" s="84">
        <v>100</v>
      </c>
      <c r="K96" s="84">
        <v>71.3</v>
      </c>
      <c r="L96" s="84">
        <v>74.099999999999994</v>
      </c>
      <c r="M96" s="84">
        <v>74.099999999999994</v>
      </c>
      <c r="N96" s="84">
        <v>48.4</v>
      </c>
      <c r="O96" s="84">
        <v>25.9</v>
      </c>
      <c r="P96" s="84">
        <v>12.6</v>
      </c>
      <c r="Q96" s="84">
        <v>-1.6</v>
      </c>
      <c r="R96" s="84">
        <v>10.9</v>
      </c>
      <c r="S96" s="84">
        <v>12.9</v>
      </c>
      <c r="T96" s="84">
        <v>12.9</v>
      </c>
      <c r="U96" s="84">
        <v>13.8</v>
      </c>
      <c r="V96" s="84">
        <v>13.8</v>
      </c>
      <c r="W96" s="84">
        <v>64.900000000000006</v>
      </c>
      <c r="X96" s="84">
        <v>64.2</v>
      </c>
      <c r="Y96" s="84">
        <v>92.9</v>
      </c>
      <c r="Z96" s="84">
        <v>78.900000000000006</v>
      </c>
      <c r="AA96" s="122">
        <v>81.2</v>
      </c>
      <c r="AB96" s="122">
        <v>80</v>
      </c>
      <c r="AC96" s="122">
        <v>82</v>
      </c>
      <c r="AD96" s="122">
        <v>85</v>
      </c>
      <c r="AE96" s="122">
        <v>81</v>
      </c>
      <c r="AF96" s="123">
        <v>71</v>
      </c>
      <c r="AG96" s="124"/>
      <c r="AH96" s="55">
        <f t="shared" si="22"/>
        <v>100</v>
      </c>
      <c r="AI96" s="118">
        <f t="shared" si="23"/>
        <v>0.29166666666666669</v>
      </c>
    </row>
    <row r="97" spans="1:37" ht="15.75" thickBot="1" x14ac:dyDescent="0.3">
      <c r="A97" s="121" t="s">
        <v>100</v>
      </c>
      <c r="B97" s="84">
        <v>47.3</v>
      </c>
      <c r="C97" s="84">
        <v>30.6</v>
      </c>
      <c r="D97" s="84">
        <v>14.6</v>
      </c>
      <c r="E97" s="84">
        <v>-2.7</v>
      </c>
      <c r="F97" s="84">
        <v>17.399999999999999</v>
      </c>
      <c r="G97" s="84">
        <v>6.1</v>
      </c>
      <c r="H97" s="84">
        <v>-0.8</v>
      </c>
      <c r="I97" s="84">
        <v>-0.8</v>
      </c>
      <c r="J97" s="84">
        <v>11.7</v>
      </c>
      <c r="K97" s="84">
        <v>56.8</v>
      </c>
      <c r="L97" s="84">
        <v>54.4</v>
      </c>
      <c r="M97" s="84">
        <v>54.4</v>
      </c>
      <c r="N97" s="84">
        <v>45</v>
      </c>
      <c r="O97" s="84">
        <v>58.4</v>
      </c>
      <c r="P97" s="84">
        <v>35.299999999999997</v>
      </c>
      <c r="Q97" s="84">
        <v>35.799999999999997</v>
      </c>
      <c r="R97" s="84">
        <v>29.6</v>
      </c>
      <c r="S97" s="84">
        <v>36</v>
      </c>
      <c r="T97" s="84">
        <v>36.4</v>
      </c>
      <c r="U97" s="84">
        <v>31.8</v>
      </c>
      <c r="V97" s="84">
        <v>31.8</v>
      </c>
      <c r="W97" s="84">
        <v>37.5</v>
      </c>
      <c r="X97" s="84">
        <v>41.7</v>
      </c>
      <c r="Y97" s="84">
        <v>39.5</v>
      </c>
      <c r="Z97" s="84">
        <v>41.7</v>
      </c>
      <c r="AA97" s="122">
        <v>79.3</v>
      </c>
      <c r="AB97" s="122">
        <v>71.5</v>
      </c>
      <c r="AC97" s="122">
        <v>60</v>
      </c>
      <c r="AD97" s="122">
        <v>55</v>
      </c>
      <c r="AE97" s="122">
        <v>65</v>
      </c>
      <c r="AF97" s="123">
        <v>61</v>
      </c>
      <c r="AG97" s="125"/>
      <c r="AH97" s="55">
        <f t="shared" si="22"/>
        <v>79.3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1239.04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19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2078/04/19)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2078/04/19)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1126.6399999999999</v>
      </c>
      <c r="U211" s="170">
        <f t="shared" si="52"/>
        <v>1097.44</v>
      </c>
      <c r="V211" s="170">
        <f t="shared" si="52"/>
        <v>1073.04</v>
      </c>
      <c r="W211" s="170">
        <f t="shared" si="52"/>
        <v>1039.04</v>
      </c>
      <c r="X211" s="170">
        <f t="shared" si="52"/>
        <v>1080.1400000000001</v>
      </c>
      <c r="Y211" s="170">
        <f t="shared" si="52"/>
        <v>1063.04</v>
      </c>
      <c r="Z211" s="170">
        <f t="shared" si="52"/>
        <v>1076.2399999999998</v>
      </c>
      <c r="AA211" s="170">
        <f t="shared" si="52"/>
        <v>1091.7399999999998</v>
      </c>
      <c r="AB211" s="170">
        <f t="shared" si="52"/>
        <v>1181.8400000000001</v>
      </c>
      <c r="AC211" s="170">
        <f t="shared" si="52"/>
        <v>1200.04</v>
      </c>
      <c r="AD211" s="170">
        <f t="shared" si="52"/>
        <v>1239.04</v>
      </c>
      <c r="AE211" s="170">
        <f t="shared" si="52"/>
        <v>1233.3799999999999</v>
      </c>
      <c r="AF211" s="170">
        <f t="shared" si="52"/>
        <v>1257.54</v>
      </c>
      <c r="AG211" s="170">
        <f t="shared" si="52"/>
        <v>1218.8400000000001</v>
      </c>
      <c r="AH211" s="170">
        <f t="shared" si="52"/>
        <v>1187.6399999999999</v>
      </c>
      <c r="AI211" s="170">
        <f t="shared" si="52"/>
        <v>1185.74</v>
      </c>
      <c r="AJ211" s="170">
        <f t="shared" si="52"/>
        <v>1236.6399999999999</v>
      </c>
      <c r="AK211" s="170">
        <f t="shared" si="52"/>
        <v>1207.24</v>
      </c>
      <c r="AL211" s="170">
        <f t="shared" si="52"/>
        <v>1227.04</v>
      </c>
      <c r="AM211" s="170">
        <f t="shared" si="52"/>
        <v>1219.04</v>
      </c>
      <c r="AN211" s="170">
        <f t="shared" si="52"/>
        <v>1219.04</v>
      </c>
      <c r="AO211" s="170">
        <f t="shared" si="52"/>
        <v>1432.6399999999999</v>
      </c>
      <c r="AP211" s="170">
        <f t="shared" si="52"/>
        <v>1506.44</v>
      </c>
      <c r="AQ211" s="170">
        <f t="shared" si="52"/>
        <v>1472.6</v>
      </c>
      <c r="AR211" s="170">
        <f t="shared" si="52"/>
        <v>1412.94</v>
      </c>
      <c r="AS211" s="170">
        <f t="shared" si="52"/>
        <v>1381.04</v>
      </c>
      <c r="AT211" s="170">
        <f t="shared" si="52"/>
        <v>1317.74</v>
      </c>
      <c r="AU211" s="170">
        <f t="shared" si="52"/>
        <v>1315.74</v>
      </c>
      <c r="AV211" s="170">
        <f t="shared" si="52"/>
        <v>1223.54</v>
      </c>
      <c r="AW211" s="170">
        <f t="shared" si="52"/>
        <v>1154.6400000000001</v>
      </c>
      <c r="AX211" s="170">
        <f t="shared" si="52"/>
        <v>1138.6399999999999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35" priority="386">
      <formula>S$9&gt;=20/24</formula>
    </cfRule>
    <cfRule type="expression" dxfId="4934" priority="387">
      <formula>AND(S$9&gt;=14/24,S$9&lt;20/24)</formula>
    </cfRule>
    <cfRule type="expression" dxfId="4933" priority="388">
      <formula>AND(S$9&gt;=8/24,S$9&lt;14/24)</formula>
    </cfRule>
    <cfRule type="expression" dxfId="4932" priority="389">
      <formula>S$9&lt;8/24</formula>
    </cfRule>
  </conditionalFormatting>
  <conditionalFormatting sqref="B8:AF10 AA79:AF79 C79:Q79 C54:AF54 C80:AF80 C191:AF197 AE55:AF58 C66:AF70 C55:K57 M60:M65 T210:AX210 C58:N58 C59:M59 N59:N65 O58:P65 L56:P57 W83:Z89 Z25:AA25 C72:AF76 C78:AF78 L15:Q31 L11:Q13 L35:Q35 L37:Q40 P43:Q46 Q56:Q65 R38:AB39 R56:V57 R17:Y29 AA15:AA24 Z17:Z24 Z26:Z29 AA40:AB41 Y40:Z40 R11:AD11 AC38:AD41 AA82:AF89 AA27:AF30 AB15:AF25 Y12:AF13 AE41:AF41 L51:AF53">
    <cfRule type="expression" dxfId="4931" priority="382">
      <formula>B$9&gt;=20/24</formula>
    </cfRule>
    <cfRule type="expression" dxfId="4930" priority="383">
      <formula>AND(B$9&gt;=14/24,B$9&lt;20/24)</formula>
    </cfRule>
    <cfRule type="expression" dxfId="4929" priority="384">
      <formula>AND(B$9&gt;=8/24,B$9&lt;14/24)</formula>
    </cfRule>
    <cfRule type="expression" dxfId="4928" priority="385">
      <formula>B$9&lt;8/24</formula>
    </cfRule>
  </conditionalFormatting>
  <conditionalFormatting sqref="B189:AF189">
    <cfRule type="expression" dxfId="4927" priority="378">
      <formula>B$9&gt;=20/24</formula>
    </cfRule>
    <cfRule type="expression" dxfId="4926" priority="379">
      <formula>AND(B$9&gt;=14/24,B$9&lt;20/24)</formula>
    </cfRule>
    <cfRule type="expression" dxfId="4925" priority="380">
      <formula>AND(B$9&gt;=8/24,B$9&lt;14/24)</formula>
    </cfRule>
    <cfRule type="expression" dxfId="4924" priority="381">
      <formula>B$9&lt;8/24</formula>
    </cfRule>
  </conditionalFormatting>
  <conditionalFormatting sqref="AL4:AL6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4923" priority="373">
      <formula>L$9&gt;=20/24</formula>
    </cfRule>
    <cfRule type="expression" dxfId="4922" priority="374">
      <formula>AND(L$9&gt;=14/24,L$9&lt;20/24)</formula>
    </cfRule>
    <cfRule type="expression" dxfId="4921" priority="375">
      <formula>AND(L$9&gt;=8/24,L$9&lt;14/24)</formula>
    </cfRule>
    <cfRule type="expression" dxfId="4920" priority="376">
      <formula>L$9&lt;8/24</formula>
    </cfRule>
  </conditionalFormatting>
  <conditionalFormatting sqref="L41:Q41">
    <cfRule type="expression" dxfId="4919" priority="369">
      <formula>L$9&gt;=20/24</formula>
    </cfRule>
    <cfRule type="expression" dxfId="4918" priority="370">
      <formula>AND(L$9&gt;=14/24,L$9&lt;20/24)</formula>
    </cfRule>
    <cfRule type="expression" dxfId="4917" priority="371">
      <formula>AND(L$9&gt;=8/24,L$9&lt;14/24)</formula>
    </cfRule>
    <cfRule type="expression" dxfId="4916" priority="372">
      <formula>L$9&lt;8/24</formula>
    </cfRule>
  </conditionalFormatting>
  <conditionalFormatting sqref="AA31:AF31">
    <cfRule type="expression" dxfId="4915" priority="365">
      <formula>AA$9&gt;=20/24</formula>
    </cfRule>
    <cfRule type="expression" dxfId="4914" priority="366">
      <formula>AND(AA$9&gt;=14/24,AA$9&lt;20/24)</formula>
    </cfRule>
    <cfRule type="expression" dxfId="4913" priority="367">
      <formula>AND(AA$9&gt;=8/24,AA$9&lt;14/24)</formula>
    </cfRule>
    <cfRule type="expression" dxfId="4912" priority="368">
      <formula>AA$9&lt;8/24</formula>
    </cfRule>
  </conditionalFormatting>
  <conditionalFormatting sqref="R37:AD37">
    <cfRule type="expression" dxfId="4911" priority="361">
      <formula>R$9&gt;=20/24</formula>
    </cfRule>
    <cfRule type="expression" dxfId="4910" priority="362">
      <formula>AND(R$9&gt;=14/24,R$9&lt;20/24)</formula>
    </cfRule>
    <cfRule type="expression" dxfId="4909" priority="363">
      <formula>AND(R$9&gt;=8/24,R$9&lt;14/24)</formula>
    </cfRule>
    <cfRule type="expression" dxfId="4908" priority="364">
      <formula>R$9&lt;8/24</formula>
    </cfRule>
  </conditionalFormatting>
  <conditionalFormatting sqref="R55:AD55">
    <cfRule type="expression" dxfId="4907" priority="357">
      <formula>R$9&gt;=20/24</formula>
    </cfRule>
    <cfRule type="expression" dxfId="4906" priority="358">
      <formula>AND(R$9&gt;=14/24,R$9&lt;20/24)</formula>
    </cfRule>
    <cfRule type="expression" dxfId="4905" priority="359">
      <formula>AND(R$9&gt;=8/24,R$9&lt;14/24)</formula>
    </cfRule>
    <cfRule type="expression" dxfId="4904" priority="360">
      <formula>R$9&lt;8/24</formula>
    </cfRule>
  </conditionalFormatting>
  <conditionalFormatting sqref="R79:Z79">
    <cfRule type="expression" dxfId="4903" priority="353">
      <formula>R$9&gt;=20/24</formula>
    </cfRule>
    <cfRule type="expression" dxfId="4902" priority="354">
      <formula>AND(R$9&gt;=14/24,R$9&lt;20/24)</formula>
    </cfRule>
    <cfRule type="expression" dxfId="4901" priority="355">
      <formula>AND(R$9&gt;=8/24,R$9&lt;14/24)</formula>
    </cfRule>
    <cfRule type="expression" dxfId="4900" priority="356">
      <formula>R$9&lt;8/24</formula>
    </cfRule>
  </conditionalFormatting>
  <conditionalFormatting sqref="T82:Z82">
    <cfRule type="expression" dxfId="4899" priority="349">
      <formula>T$9&gt;=20/24</formula>
    </cfRule>
    <cfRule type="expression" dxfId="4898" priority="350">
      <formula>AND(T$9&gt;=14/24,T$9&lt;20/24)</formula>
    </cfRule>
    <cfRule type="expression" dxfId="4897" priority="351">
      <formula>AND(T$9&gt;=8/24,T$9&lt;14/24)</formula>
    </cfRule>
    <cfRule type="expression" dxfId="4896" priority="352">
      <formula>T$9&lt;8/24</formula>
    </cfRule>
  </conditionalFormatting>
  <conditionalFormatting sqref="L33:Q33">
    <cfRule type="expression" dxfId="4895" priority="345">
      <formula>L$9&gt;=20/24</formula>
    </cfRule>
    <cfRule type="expression" dxfId="4894" priority="346">
      <formula>AND(L$9&gt;=14/24,L$9&lt;20/24)</formula>
    </cfRule>
    <cfRule type="expression" dxfId="4893" priority="347">
      <formula>AND(L$9&gt;=8/24,L$9&lt;14/24)</formula>
    </cfRule>
    <cfRule type="expression" dxfId="4892" priority="348">
      <formula>L$9&lt;8/24</formula>
    </cfRule>
  </conditionalFormatting>
  <conditionalFormatting sqref="L47:W47">
    <cfRule type="expression" dxfId="4891" priority="341">
      <formula>L$9&gt;=20/24</formula>
    </cfRule>
    <cfRule type="expression" dxfId="4890" priority="342">
      <formula>AND(L$9&gt;=14/24,L$9&lt;20/24)</formula>
    </cfRule>
    <cfRule type="expression" dxfId="4889" priority="343">
      <formula>AND(L$9&gt;=8/24,L$9&lt;14/24)</formula>
    </cfRule>
    <cfRule type="expression" dxfId="4888" priority="344">
      <formula>L$9&lt;8/24</formula>
    </cfRule>
  </conditionalFormatting>
  <conditionalFormatting sqref="L48:Q48">
    <cfRule type="expression" dxfId="4887" priority="337">
      <formula>L$9&gt;=20/24</formula>
    </cfRule>
    <cfRule type="expression" dxfId="4886" priority="338">
      <formula>AND(L$9&gt;=14/24,L$9&lt;20/24)</formula>
    </cfRule>
    <cfRule type="expression" dxfId="4885" priority="339">
      <formula>AND(L$9&gt;=8/24,L$9&lt;14/24)</formula>
    </cfRule>
    <cfRule type="expression" dxfId="4884" priority="340">
      <formula>L$9&lt;8/24</formula>
    </cfRule>
  </conditionalFormatting>
  <conditionalFormatting sqref="L43:Q46">
    <cfRule type="expression" dxfId="4883" priority="333">
      <formula>L$9&gt;=20/24</formula>
    </cfRule>
    <cfRule type="expression" dxfId="4882" priority="334">
      <formula>AND(L$9&gt;=14/24,L$9&lt;20/24)</formula>
    </cfRule>
    <cfRule type="expression" dxfId="4881" priority="335">
      <formula>AND(L$9&gt;=8/24,L$9&lt;14/24)</formula>
    </cfRule>
    <cfRule type="expression" dxfId="4880" priority="336">
      <formula>L$9&lt;8/24</formula>
    </cfRule>
  </conditionalFormatting>
  <conditionalFormatting sqref="R35:AF35">
    <cfRule type="expression" dxfId="4879" priority="329">
      <formula>R$9&gt;=20/24</formula>
    </cfRule>
    <cfRule type="expression" dxfId="4878" priority="330">
      <formula>AND(R$9&gt;=14/24,R$9&lt;20/24)</formula>
    </cfRule>
    <cfRule type="expression" dxfId="4877" priority="331">
      <formula>AND(R$9&gt;=8/24,R$9&lt;14/24)</formula>
    </cfRule>
    <cfRule type="expression" dxfId="4876" priority="332">
      <formula>R$9&lt;8/24</formula>
    </cfRule>
  </conditionalFormatting>
  <conditionalFormatting sqref="R30:Z31 R33:AF33">
    <cfRule type="expression" dxfId="4875" priority="325">
      <formula>R$9&gt;=20/24</formula>
    </cfRule>
    <cfRule type="expression" dxfId="4874" priority="326">
      <formula>AND(R$9&gt;=14/24,R$9&lt;20/24)</formula>
    </cfRule>
    <cfRule type="expression" dxfId="4873" priority="327">
      <formula>AND(R$9&gt;=8/24,R$9&lt;14/24)</formula>
    </cfRule>
    <cfRule type="expression" dxfId="4872" priority="328">
      <formula>R$9&lt;8/24</formula>
    </cfRule>
  </conditionalFormatting>
  <conditionalFormatting sqref="R40:X41 Y41:Z41 R43:AF46">
    <cfRule type="expression" dxfId="4871" priority="321">
      <formula>R$9&gt;=20/24</formula>
    </cfRule>
    <cfRule type="expression" dxfId="4870" priority="322">
      <formula>AND(R$9&gt;=14/24,R$9&lt;20/24)</formula>
    </cfRule>
    <cfRule type="expression" dxfId="4869" priority="323">
      <formula>AND(R$9&gt;=8/24,R$9&lt;14/24)</formula>
    </cfRule>
    <cfRule type="expression" dxfId="4868" priority="324">
      <formula>R$9&lt;8/24</formula>
    </cfRule>
  </conditionalFormatting>
  <conditionalFormatting sqref="R47:AF47">
    <cfRule type="expression" dxfId="4867" priority="317">
      <formula>R$9&gt;=20/24</formula>
    </cfRule>
    <cfRule type="expression" dxfId="4866" priority="318">
      <formula>AND(R$9&gt;=14/24,R$9&lt;20/24)</formula>
    </cfRule>
    <cfRule type="expression" dxfId="4865" priority="319">
      <formula>AND(R$9&gt;=8/24,R$9&lt;14/24)</formula>
    </cfRule>
    <cfRule type="expression" dxfId="4864" priority="320">
      <formula>R$9&lt;8/24</formula>
    </cfRule>
  </conditionalFormatting>
  <conditionalFormatting sqref="R48:AF48">
    <cfRule type="expression" dxfId="4863" priority="313">
      <formula>R$9&gt;=20/24</formula>
    </cfRule>
    <cfRule type="expression" dxfId="4862" priority="314">
      <formula>AND(R$9&gt;=14/24,R$9&lt;20/24)</formula>
    </cfRule>
    <cfRule type="expression" dxfId="4861" priority="315">
      <formula>AND(R$9&gt;=8/24,R$9&lt;14/24)</formula>
    </cfRule>
    <cfRule type="expression" dxfId="4860" priority="316">
      <formula>R$9&lt;8/24</formula>
    </cfRule>
  </conditionalFormatting>
  <conditionalFormatting sqref="R58:T65 U60:W65 W58:AD65 AE59:AF65">
    <cfRule type="expression" dxfId="4859" priority="309">
      <formula>R$9&gt;=20/24</formula>
    </cfRule>
    <cfRule type="expression" dxfId="4858" priority="310">
      <formula>AND(R$9&gt;=14/24,R$9&lt;20/24)</formula>
    </cfRule>
    <cfRule type="expression" dxfId="4857" priority="311">
      <formula>AND(R$9&gt;=8/24,R$9&lt;14/24)</formula>
    </cfRule>
    <cfRule type="expression" dxfId="4856" priority="312">
      <formula>R$9&lt;8/24</formula>
    </cfRule>
  </conditionalFormatting>
  <conditionalFormatting sqref="AA92:AF95">
    <cfRule type="expression" dxfId="4855" priority="305">
      <formula>AA$9&gt;=20/24</formula>
    </cfRule>
    <cfRule type="expression" dxfId="4854" priority="306">
      <formula>AND(AA$9&gt;=14/24,AA$9&lt;20/24)</formula>
    </cfRule>
    <cfRule type="expression" dxfId="4853" priority="307">
      <formula>AND(AA$9&gt;=8/24,AA$9&lt;14/24)</formula>
    </cfRule>
    <cfRule type="expression" dxfId="4852" priority="308">
      <formula>AA$9&lt;8/24</formula>
    </cfRule>
  </conditionalFormatting>
  <conditionalFormatting sqref="D60:K60">
    <cfRule type="expression" dxfId="4851" priority="301">
      <formula>D$9&gt;=20/24</formula>
    </cfRule>
    <cfRule type="expression" dxfId="4850" priority="302">
      <formula>AND(D$9&gt;=14/24,D$9&lt;20/24)</formula>
    </cfRule>
    <cfRule type="expression" dxfId="4849" priority="303">
      <formula>AND(D$9&gt;=8/24,D$9&lt;14/24)</formula>
    </cfRule>
    <cfRule type="expression" dxfId="4848" priority="304">
      <formula>D$9&lt;8/24</formula>
    </cfRule>
  </conditionalFormatting>
  <conditionalFormatting sqref="T92:Z95">
    <cfRule type="expression" dxfId="4847" priority="297">
      <formula>T$9&gt;=20/24</formula>
    </cfRule>
    <cfRule type="expression" dxfId="4846" priority="298">
      <formula>AND(T$9&gt;=14/24,T$9&lt;20/24)</formula>
    </cfRule>
    <cfRule type="expression" dxfId="4845" priority="299">
      <formula>AND(T$9&gt;=8/24,T$9&lt;14/24)</formula>
    </cfRule>
    <cfRule type="expression" dxfId="4844" priority="300">
      <formula>T$9&lt;8/24</formula>
    </cfRule>
  </conditionalFormatting>
  <conditionalFormatting sqref="AG49 L12:L13 C49:AF50 C54:AF54 K37:L37 F25:L25 C37:J40 L15:L24 C11:L11 F15:K15 F23:K23 L26:L31 L38:L41 F46:K46 F44:K44 K38:K40 M15:Q31 M11:Q13 C36:AF36 R17:Y31 L33:Y34 AA15:AA24 Z17:Z24 C35:Y35 Z25:AA31 R11:AF11 AB15:AF31 Z33:AF35 Y12:AF13 L43:AF48 M37:AF41 D51:AF53">
    <cfRule type="expression" dxfId="4843" priority="296">
      <formula>C11&gt;$AG11</formula>
    </cfRule>
  </conditionalFormatting>
  <conditionalFormatting sqref="A98:A154 A82:A95 A11:A13 A15:A31 A43:A70 A78:A80 A72:A76 A33:A41 A167:A198">
    <cfRule type="expression" dxfId="4842" priority="295">
      <formula>$AH11=0</formula>
    </cfRule>
  </conditionalFormatting>
  <conditionalFormatting sqref="AA96:AF96">
    <cfRule type="expression" dxfId="4841" priority="291">
      <formula>AA$9&gt;=20/24</formula>
    </cfRule>
    <cfRule type="expression" dxfId="4840" priority="292">
      <formula>AND(AA$9&gt;=14/24,AA$9&lt;20/24)</formula>
    </cfRule>
    <cfRule type="expression" dxfId="4839" priority="293">
      <formula>AND(AA$9&gt;=8/24,AA$9&lt;14/24)</formula>
    </cfRule>
    <cfRule type="expression" dxfId="4838" priority="294">
      <formula>AA$9&lt;8/24</formula>
    </cfRule>
  </conditionalFormatting>
  <conditionalFormatting sqref="T96:Z96">
    <cfRule type="expression" dxfId="4837" priority="287">
      <formula>T$9&gt;=20/24</formula>
    </cfRule>
    <cfRule type="expression" dxfId="4836" priority="288">
      <formula>AND(T$9&gt;=14/24,T$9&lt;20/24)</formula>
    </cfRule>
    <cfRule type="expression" dxfId="4835" priority="289">
      <formula>AND(T$9&gt;=8/24,T$9&lt;14/24)</formula>
    </cfRule>
    <cfRule type="expression" dxfId="4834" priority="290">
      <formula>T$9&lt;8/24</formula>
    </cfRule>
  </conditionalFormatting>
  <conditionalFormatting sqref="A96">
    <cfRule type="expression" dxfId="4833" priority="286">
      <formula>$AH96=0</formula>
    </cfRule>
  </conditionalFormatting>
  <conditionalFormatting sqref="L34:AF34">
    <cfRule type="expression" dxfId="4832" priority="282">
      <formula>L$9&gt;=20/24</formula>
    </cfRule>
    <cfRule type="expression" dxfId="4831" priority="283">
      <formula>AND(L$9&gt;=14/24,L$9&lt;20/24)</formula>
    </cfRule>
    <cfRule type="expression" dxfId="4830" priority="284">
      <formula>AND(L$9&gt;=8/24,L$9&lt;14/24)</formula>
    </cfRule>
    <cfRule type="expression" dxfId="4829" priority="285">
      <formula>L$9&lt;8/24</formula>
    </cfRule>
  </conditionalFormatting>
  <conditionalFormatting sqref="R34:AF34">
    <cfRule type="expression" dxfId="4828" priority="278">
      <formula>R$9&gt;=20/24</formula>
    </cfRule>
    <cfRule type="expression" dxfId="4827" priority="279">
      <formula>AND(R$9&gt;=14/24,R$9&lt;20/24)</formula>
    </cfRule>
    <cfRule type="expression" dxfId="4826" priority="280">
      <formula>AND(R$9&gt;=8/24,R$9&lt;14/24)</formula>
    </cfRule>
    <cfRule type="expression" dxfId="4825" priority="281">
      <formula>R$9&lt;8/24</formula>
    </cfRule>
  </conditionalFormatting>
  <conditionalFormatting sqref="D61:K65">
    <cfRule type="expression" dxfId="4824" priority="270">
      <formula>D$9&gt;=20/24</formula>
    </cfRule>
    <cfRule type="expression" dxfId="4823" priority="271">
      <formula>AND(D$9&gt;=14/24,D$9&lt;20/24)</formula>
    </cfRule>
    <cfRule type="expression" dxfId="4822" priority="272">
      <formula>AND(D$9&gt;=8/24,D$9&lt;14/24)</formula>
    </cfRule>
    <cfRule type="expression" dxfId="4821" priority="273">
      <formula>D$9&lt;8/24</formula>
    </cfRule>
  </conditionalFormatting>
  <conditionalFormatting sqref="L60:L65">
    <cfRule type="expression" dxfId="4820" priority="266">
      <formula>L$9&gt;=20/24</formula>
    </cfRule>
    <cfRule type="expression" dxfId="4819" priority="267">
      <formula>AND(L$9&gt;=14/24,L$9&lt;20/24)</formula>
    </cfRule>
    <cfRule type="expression" dxfId="4818" priority="268">
      <formula>AND(L$9&gt;=8/24,L$9&lt;14/24)</formula>
    </cfRule>
    <cfRule type="expression" dxfId="4817" priority="269">
      <formula>L$9&lt;8/24</formula>
    </cfRule>
  </conditionalFormatting>
  <conditionalFormatting sqref="AL31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AA32:AF32">
    <cfRule type="expression" dxfId="4816" priority="261">
      <formula>AA$9&gt;=20/24</formula>
    </cfRule>
    <cfRule type="expression" dxfId="4815" priority="262">
      <formula>AND(AA$9&gt;=14/24,AA$9&lt;20/24)</formula>
    </cfRule>
    <cfRule type="expression" dxfId="4814" priority="263">
      <formula>AND(AA$9&gt;=8/24,AA$9&lt;14/24)</formula>
    </cfRule>
    <cfRule type="expression" dxfId="4813" priority="264">
      <formula>AA$9&lt;8/24</formula>
    </cfRule>
  </conditionalFormatting>
  <conditionalFormatting sqref="L32:Q32">
    <cfRule type="expression" dxfId="4812" priority="257">
      <formula>L$9&gt;=20/24</formula>
    </cfRule>
    <cfRule type="expression" dxfId="4811" priority="258">
      <formula>AND(L$9&gt;=14/24,L$9&lt;20/24)</formula>
    </cfRule>
    <cfRule type="expression" dxfId="4810" priority="259">
      <formula>AND(L$9&gt;=8/24,L$9&lt;14/24)</formula>
    </cfRule>
    <cfRule type="expression" dxfId="4809" priority="260">
      <formula>L$9&lt;8/24</formula>
    </cfRule>
  </conditionalFormatting>
  <conditionalFormatting sqref="R32:Z32">
    <cfRule type="expression" dxfId="4808" priority="253">
      <formula>R$9&gt;=20/24</formula>
    </cfRule>
    <cfRule type="expression" dxfId="4807" priority="254">
      <formula>AND(R$9&gt;=14/24,R$9&lt;20/24)</formula>
    </cfRule>
    <cfRule type="expression" dxfId="4806" priority="255">
      <formula>AND(R$9&gt;=8/24,R$9&lt;14/24)</formula>
    </cfRule>
    <cfRule type="expression" dxfId="4805" priority="256">
      <formula>R$9&lt;8/24</formula>
    </cfRule>
  </conditionalFormatting>
  <conditionalFormatting sqref="L32:AF32">
    <cfRule type="expression" dxfId="4804" priority="252">
      <formula>L32&gt;$AG32</formula>
    </cfRule>
  </conditionalFormatting>
  <conditionalFormatting sqref="A32">
    <cfRule type="expression" dxfId="4803" priority="251">
      <formula>$AH32=0</formula>
    </cfRule>
  </conditionalFormatting>
  <conditionalFormatting sqref="C81:AF81">
    <cfRule type="expression" dxfId="4802" priority="247">
      <formula>C$9&gt;=20/24</formula>
    </cfRule>
    <cfRule type="expression" dxfId="4801" priority="248">
      <formula>AND(C$9&gt;=14/24,C$9&lt;20/24)</formula>
    </cfRule>
    <cfRule type="expression" dxfId="4800" priority="249">
      <formula>AND(C$9&gt;=8/24,C$9&lt;14/24)</formula>
    </cfRule>
    <cfRule type="expression" dxfId="4799" priority="250">
      <formula>C$9&lt;8/24</formula>
    </cfRule>
  </conditionalFormatting>
  <conditionalFormatting sqref="A81">
    <cfRule type="expression" dxfId="4798" priority="246">
      <formula>$AH81=0</formula>
    </cfRule>
  </conditionalFormatting>
  <conditionalFormatting sqref="Y14:AF14">
    <cfRule type="expression" dxfId="4797" priority="242">
      <formula>Y$9&gt;=20/24</formula>
    </cfRule>
    <cfRule type="expression" dxfId="4796" priority="243">
      <formula>AND(Y$9&gt;=14/24,Y$9&lt;20/24)</formula>
    </cfRule>
    <cfRule type="expression" dxfId="4795" priority="244">
      <formula>AND(Y$9&gt;=8/24,Y$9&lt;14/24)</formula>
    </cfRule>
    <cfRule type="expression" dxfId="4794" priority="245">
      <formula>Y$9&lt;8/24</formula>
    </cfRule>
  </conditionalFormatting>
  <conditionalFormatting sqref="L14:Q14">
    <cfRule type="expression" dxfId="4793" priority="238">
      <formula>L$9&gt;=20/24</formula>
    </cfRule>
    <cfRule type="expression" dxfId="4792" priority="239">
      <formula>AND(L$9&gt;=14/24,L$9&lt;20/24)</formula>
    </cfRule>
    <cfRule type="expression" dxfId="4791" priority="240">
      <formula>AND(L$9&gt;=8/24,L$9&lt;14/24)</formula>
    </cfRule>
    <cfRule type="expression" dxfId="4790" priority="241">
      <formula>L$9&lt;8/24</formula>
    </cfRule>
  </conditionalFormatting>
  <conditionalFormatting sqref="F14:Q14 Y14:AF14">
    <cfRule type="expression" dxfId="4789" priority="237">
      <formula>F14&gt;$AG14</formula>
    </cfRule>
  </conditionalFormatting>
  <conditionalFormatting sqref="A14">
    <cfRule type="expression" dxfId="4788" priority="236">
      <formula>$AH14=0</formula>
    </cfRule>
  </conditionalFormatting>
  <conditionalFormatting sqref="A161:A166">
    <cfRule type="expression" dxfId="4787" priority="235">
      <formula>$AH161=0</formula>
    </cfRule>
  </conditionalFormatting>
  <conditionalFormatting sqref="A155:A160">
    <cfRule type="expression" dxfId="4786" priority="234">
      <formula>$AH155=0</formula>
    </cfRule>
  </conditionalFormatting>
  <conditionalFormatting sqref="AA42:AF42">
    <cfRule type="expression" dxfId="4785" priority="230">
      <formula>AA$9&gt;=20/24</formula>
    </cfRule>
    <cfRule type="expression" dxfId="4784" priority="231">
      <formula>AND(AA$9&gt;=14/24,AA$9&lt;20/24)</formula>
    </cfRule>
    <cfRule type="expression" dxfId="4783" priority="232">
      <formula>AND(AA$9&gt;=8/24,AA$9&lt;14/24)</formula>
    </cfRule>
    <cfRule type="expression" dxfId="4782" priority="233">
      <formula>AA$9&lt;8/24</formula>
    </cfRule>
  </conditionalFormatting>
  <conditionalFormatting sqref="L42:Q42">
    <cfRule type="expression" dxfId="4781" priority="226">
      <formula>L$9&gt;=20/24</formula>
    </cfRule>
    <cfRule type="expression" dxfId="4780" priority="227">
      <formula>AND(L$9&gt;=14/24,L$9&lt;20/24)</formula>
    </cfRule>
    <cfRule type="expression" dxfId="4779" priority="228">
      <formula>AND(L$9&gt;=8/24,L$9&lt;14/24)</formula>
    </cfRule>
    <cfRule type="expression" dxfId="4778" priority="229">
      <formula>L$9&lt;8/24</formula>
    </cfRule>
  </conditionalFormatting>
  <conditionalFormatting sqref="R42:Z42">
    <cfRule type="expression" dxfId="4777" priority="222">
      <formula>R$9&gt;=20/24</formula>
    </cfRule>
    <cfRule type="expression" dxfId="4776" priority="223">
      <formula>AND(R$9&gt;=14/24,R$9&lt;20/24)</formula>
    </cfRule>
    <cfRule type="expression" dxfId="4775" priority="224">
      <formula>AND(R$9&gt;=8/24,R$9&lt;14/24)</formula>
    </cfRule>
    <cfRule type="expression" dxfId="4774" priority="225">
      <formula>R$9&lt;8/24</formula>
    </cfRule>
  </conditionalFormatting>
  <conditionalFormatting sqref="L42:AF42">
    <cfRule type="expression" dxfId="4773" priority="221">
      <formula>L42&gt;$AG42</formula>
    </cfRule>
  </conditionalFormatting>
  <conditionalFormatting sqref="A42">
    <cfRule type="expression" dxfId="4772" priority="220">
      <formula>$AH42=0</formula>
    </cfRule>
  </conditionalFormatting>
  <conditionalFormatting sqref="C77:AF77">
    <cfRule type="expression" dxfId="4771" priority="216">
      <formula>C$9&gt;=20/24</formula>
    </cfRule>
    <cfRule type="expression" dxfId="4770" priority="217">
      <formula>AND(C$9&gt;=14/24,C$9&lt;20/24)</formula>
    </cfRule>
    <cfRule type="expression" dxfId="4769" priority="218">
      <formula>AND(C$9&gt;=8/24,C$9&lt;14/24)</formula>
    </cfRule>
    <cfRule type="expression" dxfId="4768" priority="219">
      <formula>C$9&lt;8/24</formula>
    </cfRule>
  </conditionalFormatting>
  <conditionalFormatting sqref="A77">
    <cfRule type="expression" dxfId="4767" priority="215">
      <formula>$AH77=0</formula>
    </cfRule>
  </conditionalFormatting>
  <conditionalFormatting sqref="C71:AG71">
    <cfRule type="expression" dxfId="4766" priority="211">
      <formula>C$9&gt;=20/24</formula>
    </cfRule>
    <cfRule type="expression" dxfId="4765" priority="212">
      <formula>AND(C$9&gt;=14/24,C$9&lt;20/24)</formula>
    </cfRule>
    <cfRule type="expression" dxfId="4764" priority="213">
      <formula>AND(C$9&gt;=8/24,C$9&lt;14/24)</formula>
    </cfRule>
    <cfRule type="expression" dxfId="4763" priority="214">
      <formula>C$9&lt;8/24</formula>
    </cfRule>
  </conditionalFormatting>
  <conditionalFormatting sqref="A71">
    <cfRule type="expression" dxfId="4762" priority="210">
      <formula>$AH71=0</formula>
    </cfRule>
  </conditionalFormatting>
  <conditionalFormatting sqref="AL32:AL33 AL7:AL30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U58:V59">
    <cfRule type="expression" dxfId="4761" priority="206">
      <formula>U$9&gt;=20/24</formula>
    </cfRule>
    <cfRule type="expression" dxfId="4760" priority="207">
      <formula>AND(U$9&gt;=14/24,U$9&lt;20/24)</formula>
    </cfRule>
    <cfRule type="expression" dxfId="4759" priority="208">
      <formula>AND(U$9&gt;=8/24,U$9&lt;14/24)</formula>
    </cfRule>
    <cfRule type="expression" dxfId="4758" priority="209">
      <formula>U$9&lt;8/24</formula>
    </cfRule>
  </conditionalFormatting>
  <conditionalFormatting sqref="T83:V89">
    <cfRule type="expression" dxfId="4757" priority="202">
      <formula>T$9&gt;=20/24</formula>
    </cfRule>
    <cfRule type="expression" dxfId="4756" priority="203">
      <formula>AND(T$9&gt;=14/24,T$9&lt;20/24)</formula>
    </cfRule>
    <cfRule type="expression" dxfId="4755" priority="204">
      <formula>AND(T$9&gt;=8/24,T$9&lt;14/24)</formula>
    </cfRule>
    <cfRule type="expression" dxfId="4754" priority="205">
      <formula>T$9&lt;8/24</formula>
    </cfRule>
  </conditionalFormatting>
  <conditionalFormatting sqref="R83:S89 C82:Q89">
    <cfRule type="expression" dxfId="4753" priority="198">
      <formula>C$9&gt;=20/24</formula>
    </cfRule>
    <cfRule type="expression" dxfId="4752" priority="199">
      <formula>AND(C$9&gt;=14/24,C$9&lt;20/24)</formula>
    </cfRule>
    <cfRule type="expression" dxfId="4751" priority="200">
      <formula>AND(C$9&gt;=8/24,C$9&lt;14/24)</formula>
    </cfRule>
    <cfRule type="expression" dxfId="4750" priority="201">
      <formula>C$9&lt;8/24</formula>
    </cfRule>
  </conditionalFormatting>
  <conditionalFormatting sqref="R82:S82">
    <cfRule type="expression" dxfId="4749" priority="194">
      <formula>R$9&gt;=20/24</formula>
    </cfRule>
    <cfRule type="expression" dxfId="4748" priority="195">
      <formula>AND(R$9&gt;=14/24,R$9&lt;20/24)</formula>
    </cfRule>
    <cfRule type="expression" dxfId="4747" priority="196">
      <formula>AND(R$9&gt;=8/24,R$9&lt;14/24)</formula>
    </cfRule>
    <cfRule type="expression" dxfId="4746" priority="197">
      <formula>R$9&lt;8/24</formula>
    </cfRule>
  </conditionalFormatting>
  <conditionalFormatting sqref="C92:E92 C93:O95">
    <cfRule type="expression" dxfId="4745" priority="190">
      <formula>C$9&gt;=20/24</formula>
    </cfRule>
    <cfRule type="expression" dxfId="4744" priority="191">
      <formula>AND(C$9&gt;=14/24,C$9&lt;20/24)</formula>
    </cfRule>
    <cfRule type="expression" dxfId="4743" priority="192">
      <formula>AND(C$9&gt;=8/24,C$9&lt;14/24)</formula>
    </cfRule>
    <cfRule type="expression" dxfId="4742" priority="193">
      <formula>C$9&lt;8/24</formula>
    </cfRule>
  </conditionalFormatting>
  <conditionalFormatting sqref="P92:Q95">
    <cfRule type="expression" dxfId="4741" priority="186">
      <formula>P$9&gt;=20/24</formula>
    </cfRule>
    <cfRule type="expression" dxfId="4740" priority="187">
      <formula>AND(P$9&gt;=14/24,P$9&lt;20/24)</formula>
    </cfRule>
    <cfRule type="expression" dxfId="4739" priority="188">
      <formula>AND(P$9&gt;=8/24,P$9&lt;14/24)</formula>
    </cfRule>
    <cfRule type="expression" dxfId="4738" priority="189">
      <formula>P$9&lt;8/24</formula>
    </cfRule>
  </conditionalFormatting>
  <conditionalFormatting sqref="R92:S95">
    <cfRule type="expression" dxfId="4737" priority="182">
      <formula>R$9&gt;=20/24</formula>
    </cfRule>
    <cfRule type="expression" dxfId="4736" priority="183">
      <formula>AND(R$9&gt;=14/24,R$9&lt;20/24)</formula>
    </cfRule>
    <cfRule type="expression" dxfId="4735" priority="184">
      <formula>AND(R$9&gt;=8/24,R$9&lt;14/24)</formula>
    </cfRule>
    <cfRule type="expression" dxfId="4734" priority="185">
      <formula>R$9&lt;8/24</formula>
    </cfRule>
  </conditionalFormatting>
  <conditionalFormatting sqref="C96:O96">
    <cfRule type="expression" dxfId="4733" priority="178">
      <formula>C$9&gt;=20/24</formula>
    </cfRule>
    <cfRule type="expression" dxfId="4732" priority="179">
      <formula>AND(C$9&gt;=14/24,C$9&lt;20/24)</formula>
    </cfRule>
    <cfRule type="expression" dxfId="4731" priority="180">
      <formula>AND(C$9&gt;=8/24,C$9&lt;14/24)</formula>
    </cfRule>
    <cfRule type="expression" dxfId="4730" priority="181">
      <formula>C$9&lt;8/24</formula>
    </cfRule>
  </conditionalFormatting>
  <conditionalFormatting sqref="P96:Q96">
    <cfRule type="expression" dxfId="4729" priority="174">
      <formula>P$9&gt;=20/24</formula>
    </cfRule>
    <cfRule type="expression" dxfId="4728" priority="175">
      <formula>AND(P$9&gt;=14/24,P$9&lt;20/24)</formula>
    </cfRule>
    <cfRule type="expression" dxfId="4727" priority="176">
      <formula>AND(P$9&gt;=8/24,P$9&lt;14/24)</formula>
    </cfRule>
    <cfRule type="expression" dxfId="4726" priority="177">
      <formula>P$9&lt;8/24</formula>
    </cfRule>
  </conditionalFormatting>
  <conditionalFormatting sqref="R96:S96">
    <cfRule type="expression" dxfId="4725" priority="170">
      <formula>R$9&gt;=20/24</formula>
    </cfRule>
    <cfRule type="expression" dxfId="4724" priority="171">
      <formula>AND(R$9&gt;=14/24,R$9&lt;20/24)</formula>
    </cfRule>
    <cfRule type="expression" dxfId="4723" priority="172">
      <formula>AND(R$9&gt;=8/24,R$9&lt;14/24)</formula>
    </cfRule>
    <cfRule type="expression" dxfId="4722" priority="173">
      <formula>R$9&lt;8/24</formula>
    </cfRule>
  </conditionalFormatting>
  <conditionalFormatting sqref="L92:O92">
    <cfRule type="expression" dxfId="4721" priority="166">
      <formula>L$9&gt;=20/24</formula>
    </cfRule>
    <cfRule type="expression" dxfId="4720" priority="167">
      <formula>AND(L$9&gt;=14/24,L$9&lt;20/24)</formula>
    </cfRule>
    <cfRule type="expression" dxfId="4719" priority="168">
      <formula>AND(L$9&gt;=8/24,L$9&lt;14/24)</formula>
    </cfRule>
    <cfRule type="expression" dxfId="4718" priority="169">
      <formula>L$9&lt;8/24</formula>
    </cfRule>
  </conditionalFormatting>
  <conditionalFormatting sqref="F92:K92">
    <cfRule type="expression" dxfId="4717" priority="162">
      <formula>F$9&gt;=20/24</formula>
    </cfRule>
    <cfRule type="expression" dxfId="4716" priority="163">
      <formula>AND(F$9&gt;=14/24,F$9&lt;20/24)</formula>
    </cfRule>
    <cfRule type="expression" dxfId="4715" priority="164">
      <formula>AND(F$9&gt;=8/24,F$9&lt;14/24)</formula>
    </cfRule>
    <cfRule type="expression" dxfId="4714" priority="165">
      <formula>F$9&lt;8/24</formula>
    </cfRule>
  </conditionalFormatting>
  <conditionalFormatting sqref="T92:V92">
    <cfRule type="expression" dxfId="4713" priority="158">
      <formula>T$9&gt;=20/24</formula>
    </cfRule>
    <cfRule type="expression" dxfId="4712" priority="159">
      <formula>AND(T$9&gt;=14/24,T$9&lt;20/24)</formula>
    </cfRule>
    <cfRule type="expression" dxfId="4711" priority="160">
      <formula>AND(T$9&gt;=8/24,T$9&lt;14/24)</formula>
    </cfRule>
    <cfRule type="expression" dxfId="4710" priority="161">
      <formula>T$9&lt;8/24</formula>
    </cfRule>
  </conditionalFormatting>
  <conditionalFormatting sqref="P92:S92">
    <cfRule type="expression" dxfId="4709" priority="154">
      <formula>P$9&gt;=20/24</formula>
    </cfRule>
    <cfRule type="expression" dxfId="4708" priority="155">
      <formula>AND(P$9&gt;=14/24,P$9&lt;20/24)</formula>
    </cfRule>
    <cfRule type="expression" dxfId="4707" priority="156">
      <formula>AND(P$9&gt;=8/24,P$9&lt;14/24)</formula>
    </cfRule>
    <cfRule type="expression" dxfId="4706" priority="157">
      <formula>P$9&lt;8/24</formula>
    </cfRule>
  </conditionalFormatting>
  <conditionalFormatting sqref="AA97:AF97">
    <cfRule type="expression" dxfId="4705" priority="150">
      <formula>AA$9&gt;=20/24</formula>
    </cfRule>
    <cfRule type="expression" dxfId="4704" priority="151">
      <formula>AND(AA$9&gt;=14/24,AA$9&lt;20/24)</formula>
    </cfRule>
    <cfRule type="expression" dxfId="4703" priority="152">
      <formula>AND(AA$9&gt;=8/24,AA$9&lt;14/24)</formula>
    </cfRule>
    <cfRule type="expression" dxfId="4702" priority="153">
      <formula>AA$9&lt;8/24</formula>
    </cfRule>
  </conditionalFormatting>
  <conditionalFormatting sqref="T97:Z97">
    <cfRule type="expression" dxfId="4701" priority="146">
      <formula>T$9&gt;=20/24</formula>
    </cfRule>
    <cfRule type="expression" dxfId="4700" priority="147">
      <formula>AND(T$9&gt;=14/24,T$9&lt;20/24)</formula>
    </cfRule>
    <cfRule type="expression" dxfId="4699" priority="148">
      <formula>AND(T$9&gt;=8/24,T$9&lt;14/24)</formula>
    </cfRule>
    <cfRule type="expression" dxfId="4698" priority="149">
      <formula>T$9&lt;8/24</formula>
    </cfRule>
  </conditionalFormatting>
  <conditionalFormatting sqref="A97">
    <cfRule type="expression" dxfId="4697" priority="145">
      <formula>$AH97=0</formula>
    </cfRule>
  </conditionalFormatting>
  <conditionalFormatting sqref="C97:O97">
    <cfRule type="expression" dxfId="4696" priority="141">
      <formula>C$9&gt;=20/24</formula>
    </cfRule>
    <cfRule type="expression" dxfId="4695" priority="142">
      <formula>AND(C$9&gt;=14/24,C$9&lt;20/24)</formula>
    </cfRule>
    <cfRule type="expression" dxfId="4694" priority="143">
      <formula>AND(C$9&gt;=8/24,C$9&lt;14/24)</formula>
    </cfRule>
    <cfRule type="expression" dxfId="4693" priority="144">
      <formula>C$9&lt;8/24</formula>
    </cfRule>
  </conditionalFormatting>
  <conditionalFormatting sqref="P97:Q97">
    <cfRule type="expression" dxfId="4692" priority="137">
      <formula>P$9&gt;=20/24</formula>
    </cfRule>
    <cfRule type="expression" dxfId="4691" priority="138">
      <formula>AND(P$9&gt;=14/24,P$9&lt;20/24)</formula>
    </cfRule>
    <cfRule type="expression" dxfId="4690" priority="139">
      <formula>AND(P$9&gt;=8/24,P$9&lt;14/24)</formula>
    </cfRule>
    <cfRule type="expression" dxfId="4689" priority="140">
      <formula>P$9&lt;8/24</formula>
    </cfRule>
  </conditionalFormatting>
  <conditionalFormatting sqref="R97:S97">
    <cfRule type="expression" dxfId="4688" priority="133">
      <formula>R$9&gt;=20/24</formula>
    </cfRule>
    <cfRule type="expression" dxfId="4687" priority="134">
      <formula>AND(R$9&gt;=14/24,R$9&lt;20/24)</formula>
    </cfRule>
    <cfRule type="expression" dxfId="4686" priority="135">
      <formula>AND(R$9&gt;=8/24,R$9&lt;14/24)</formula>
    </cfRule>
    <cfRule type="expression" dxfId="4685" priority="136">
      <formula>R$9&lt;8/24</formula>
    </cfRule>
  </conditionalFormatting>
  <conditionalFormatting sqref="R12:X15 Y15:Z15">
    <cfRule type="expression" dxfId="4684" priority="129">
      <formula>R$9&gt;=20/24</formula>
    </cfRule>
    <cfRule type="expression" dxfId="4683" priority="130">
      <formula>AND(R$9&gt;=14/24,R$9&lt;20/24)</formula>
    </cfRule>
    <cfRule type="expression" dxfId="4682" priority="131">
      <formula>AND(R$9&gt;=8/24,R$9&lt;14/24)</formula>
    </cfRule>
    <cfRule type="expression" dxfId="4681" priority="132">
      <formula>R$9&lt;8/24</formula>
    </cfRule>
  </conditionalFormatting>
  <conditionalFormatting sqref="R16:Z16">
    <cfRule type="expression" dxfId="4680" priority="125">
      <formula>R$9&gt;=20/24</formula>
    </cfRule>
    <cfRule type="expression" dxfId="4679" priority="126">
      <formula>AND(R$9&gt;=14/24,R$9&lt;20/24)</formula>
    </cfRule>
    <cfRule type="expression" dxfId="4678" priority="127">
      <formula>AND(R$9&gt;=8/24,R$9&lt;14/24)</formula>
    </cfRule>
    <cfRule type="expression" dxfId="4677" priority="128">
      <formula>R$9&lt;8/24</formula>
    </cfRule>
  </conditionalFormatting>
  <conditionalFormatting sqref="R12:X12">
    <cfRule type="expression" dxfId="4676" priority="121">
      <formula>R$9&gt;=20/24</formula>
    </cfRule>
    <cfRule type="expression" dxfId="4675" priority="122">
      <formula>AND(R$9&gt;=14/24,R$9&lt;20/24)</formula>
    </cfRule>
    <cfRule type="expression" dxfId="4674" priority="123">
      <formula>AND(R$9&gt;=8/24,R$9&lt;14/24)</formula>
    </cfRule>
    <cfRule type="expression" dxfId="4673" priority="124">
      <formula>R$9&lt;8/24</formula>
    </cfRule>
  </conditionalFormatting>
  <conditionalFormatting sqref="AA56:AD57">
    <cfRule type="expression" dxfId="4672" priority="117">
      <formula>AA$9&gt;=20/24</formula>
    </cfRule>
    <cfRule type="expression" dxfId="4671" priority="118">
      <formula>AND(AA$9&gt;=14/24,AA$9&lt;20/24)</formula>
    </cfRule>
    <cfRule type="expression" dxfId="4670" priority="119">
      <formula>AND(AA$9&gt;=8/24,AA$9&lt;14/24)</formula>
    </cfRule>
    <cfRule type="expression" dxfId="4669" priority="120">
      <formula>AA$9&lt;8/24</formula>
    </cfRule>
  </conditionalFormatting>
  <conditionalFormatting sqref="B61:B70 B54:B59 B72:B76 B78:B80 C61:C65">
    <cfRule type="expression" dxfId="4668" priority="41">
      <formula>B$9&gt;=20/24</formula>
    </cfRule>
    <cfRule type="expression" dxfId="4667" priority="42">
      <formula>AND(B$9&gt;=14/24,B$9&lt;20/24)</formula>
    </cfRule>
    <cfRule type="expression" dxfId="4666" priority="43">
      <formula>AND(B$9&gt;=8/24,B$9&lt;14/24)</formula>
    </cfRule>
    <cfRule type="expression" dxfId="4665" priority="44">
      <formula>B$9&lt;8/24</formula>
    </cfRule>
  </conditionalFormatting>
  <conditionalFormatting sqref="B60:C60">
    <cfRule type="expression" dxfId="4664" priority="37">
      <formula>B$9&gt;=20/24</formula>
    </cfRule>
    <cfRule type="expression" dxfId="4663" priority="38">
      <formula>AND(B$9&gt;=14/24,B$9&lt;20/24)</formula>
    </cfRule>
    <cfRule type="expression" dxfId="4662" priority="39">
      <formula>AND(B$9&gt;=8/24,B$9&lt;14/24)</formula>
    </cfRule>
    <cfRule type="expression" dxfId="4661" priority="40">
      <formula>B$9&lt;8/24</formula>
    </cfRule>
  </conditionalFormatting>
  <conditionalFormatting sqref="B11:B13 B33:B41 B43:B54 C51:C53 C43:E48 B15:E31 C12:K13 F16:K22 F24:K24 F26:K31 C33:K34 C41:K41 F43:K43 F45:K45 F47:K48">
    <cfRule type="expression" dxfId="4660" priority="36">
      <formula>B11&gt;$AG11</formula>
    </cfRule>
  </conditionalFormatting>
  <conditionalFormatting sqref="B34:K34">
    <cfRule type="expression" dxfId="4659" priority="32">
      <formula>B$9&gt;=20/24</formula>
    </cfRule>
    <cfRule type="expression" dxfId="4658" priority="33">
      <formula>AND(B$9&gt;=14/24,B$9&lt;20/24)</formula>
    </cfRule>
    <cfRule type="expression" dxfId="4657" priority="34">
      <formula>AND(B$9&gt;=8/24,B$9&lt;14/24)</formula>
    </cfRule>
    <cfRule type="expression" dxfId="4656" priority="35">
      <formula>B$9&lt;8/24</formula>
    </cfRule>
  </conditionalFormatting>
  <conditionalFormatting sqref="B32:K32">
    <cfRule type="expression" dxfId="4655" priority="31">
      <formula>B32&gt;$AG32</formula>
    </cfRule>
  </conditionalFormatting>
  <conditionalFormatting sqref="B81">
    <cfRule type="expression" dxfId="4654" priority="27">
      <formula>B$9&gt;=20/24</formula>
    </cfRule>
    <cfRule type="expression" dxfId="4653" priority="28">
      <formula>AND(B$9&gt;=14/24,B$9&lt;20/24)</formula>
    </cfRule>
    <cfRule type="expression" dxfId="4652" priority="29">
      <formula>AND(B$9&gt;=8/24,B$9&lt;14/24)</formula>
    </cfRule>
    <cfRule type="expression" dxfId="4651" priority="30">
      <formula>B$9&lt;8/24</formula>
    </cfRule>
  </conditionalFormatting>
  <conditionalFormatting sqref="B14:E14">
    <cfRule type="expression" dxfId="4650" priority="26">
      <formula>B14&gt;$AG14</formula>
    </cfRule>
  </conditionalFormatting>
  <conditionalFormatting sqref="B42:K42">
    <cfRule type="expression" dxfId="4649" priority="25">
      <formula>B42&gt;$AG42</formula>
    </cfRule>
  </conditionalFormatting>
  <conditionalFormatting sqref="B77">
    <cfRule type="expression" dxfId="4648" priority="21">
      <formula>B$9&gt;=20/24</formula>
    </cfRule>
    <cfRule type="expression" dxfId="4647" priority="22">
      <formula>AND(B$9&gt;=14/24,B$9&lt;20/24)</formula>
    </cfRule>
    <cfRule type="expression" dxfId="4646" priority="23">
      <formula>AND(B$9&gt;=8/24,B$9&lt;14/24)</formula>
    </cfRule>
    <cfRule type="expression" dxfId="4645" priority="24">
      <formula>B$9&lt;8/24</formula>
    </cfRule>
  </conditionalFormatting>
  <conditionalFormatting sqref="B71">
    <cfRule type="expression" dxfId="4644" priority="17">
      <formula>B$9&gt;=20/24</formula>
    </cfRule>
    <cfRule type="expression" dxfId="4643" priority="18">
      <formula>AND(B$9&gt;=14/24,B$9&lt;20/24)</formula>
    </cfRule>
    <cfRule type="expression" dxfId="4642" priority="19">
      <formula>AND(B$9&gt;=8/24,B$9&lt;14/24)</formula>
    </cfRule>
    <cfRule type="expression" dxfId="4641" priority="20">
      <formula>B$9&lt;8/24</formula>
    </cfRule>
  </conditionalFormatting>
  <conditionalFormatting sqref="B82:B89">
    <cfRule type="expression" dxfId="4640" priority="13">
      <formula>B$9&gt;=20/24</formula>
    </cfRule>
    <cfRule type="expression" dxfId="4639" priority="14">
      <formula>AND(B$9&gt;=14/24,B$9&lt;20/24)</formula>
    </cfRule>
    <cfRule type="expression" dxfId="4638" priority="15">
      <formula>AND(B$9&gt;=8/24,B$9&lt;14/24)</formula>
    </cfRule>
    <cfRule type="expression" dxfId="4637" priority="16">
      <formula>B$9&lt;8/24</formula>
    </cfRule>
  </conditionalFormatting>
  <conditionalFormatting sqref="B92:B95">
    <cfRule type="expression" dxfId="4636" priority="9">
      <formula>B$9&gt;=20/24</formula>
    </cfRule>
    <cfRule type="expression" dxfId="4635" priority="10">
      <formula>AND(B$9&gt;=14/24,B$9&lt;20/24)</formula>
    </cfRule>
    <cfRule type="expression" dxfId="4634" priority="11">
      <formula>AND(B$9&gt;=8/24,B$9&lt;14/24)</formula>
    </cfRule>
    <cfRule type="expression" dxfId="4633" priority="12">
      <formula>B$9&lt;8/24</formula>
    </cfRule>
  </conditionalFormatting>
  <conditionalFormatting sqref="B96">
    <cfRule type="expression" dxfId="4632" priority="5">
      <formula>B$9&gt;=20/24</formula>
    </cfRule>
    <cfRule type="expression" dxfId="4631" priority="6">
      <formula>AND(B$9&gt;=14/24,B$9&lt;20/24)</formula>
    </cfRule>
    <cfRule type="expression" dxfId="4630" priority="7">
      <formula>AND(B$9&gt;=8/24,B$9&lt;14/24)</formula>
    </cfRule>
    <cfRule type="expression" dxfId="4629" priority="8">
      <formula>B$9&lt;8/24</formula>
    </cfRule>
  </conditionalFormatting>
  <conditionalFormatting sqref="B97">
    <cfRule type="expression" dxfId="4628" priority="1">
      <formula>B$9&gt;=20/24</formula>
    </cfRule>
    <cfRule type="expression" dxfId="4627" priority="2">
      <formula>AND(B$9&gt;=14/24,B$9&lt;20/24)</formula>
    </cfRule>
    <cfRule type="expression" dxfId="4626" priority="3">
      <formula>AND(B$9&gt;=8/24,B$9&lt;14/24)</formula>
    </cfRule>
    <cfRule type="expression" dxfId="462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V79" sqref="V7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2078/04/20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-230</v>
      </c>
      <c r="C5" s="32">
        <f t="shared" ref="C5:AF5" si="0">C66</f>
        <v>-223</v>
      </c>
      <c r="D5" s="32">
        <f t="shared" si="0"/>
        <v>-235.4</v>
      </c>
      <c r="E5" s="32">
        <f t="shared" si="0"/>
        <v>-250.3</v>
      </c>
      <c r="F5" s="32">
        <f t="shared" si="0"/>
        <v>-217.20000000000002</v>
      </c>
      <c r="G5" s="32">
        <f t="shared" si="0"/>
        <v>-213.8</v>
      </c>
      <c r="H5" s="32">
        <f t="shared" si="0"/>
        <v>-205.5</v>
      </c>
      <c r="I5" s="32">
        <f t="shared" si="0"/>
        <v>-153.19999999999999</v>
      </c>
      <c r="J5" s="32">
        <f t="shared" si="0"/>
        <v>-150</v>
      </c>
      <c r="K5" s="32">
        <f t="shared" si="0"/>
        <v>-153</v>
      </c>
      <c r="L5" s="32">
        <f t="shared" si="0"/>
        <v>-141.60000000000002</v>
      </c>
      <c r="M5" s="32">
        <f t="shared" si="0"/>
        <v>-166.3</v>
      </c>
      <c r="N5" s="32">
        <f t="shared" si="0"/>
        <v>-130</v>
      </c>
      <c r="O5" s="32">
        <f t="shared" si="0"/>
        <v>-3.6000000000000085</v>
      </c>
      <c r="P5" s="32">
        <f t="shared" si="0"/>
        <v>108.6</v>
      </c>
      <c r="Q5" s="32">
        <f t="shared" si="0"/>
        <v>100.3</v>
      </c>
      <c r="R5" s="32">
        <f t="shared" si="0"/>
        <v>161.6</v>
      </c>
      <c r="S5" s="32">
        <f t="shared" si="0"/>
        <v>109.69999999999999</v>
      </c>
      <c r="T5" s="32">
        <f t="shared" si="0"/>
        <v>137.1</v>
      </c>
      <c r="U5" s="32">
        <f t="shared" si="0"/>
        <v>-70</v>
      </c>
      <c r="V5" s="32">
        <f t="shared" si="0"/>
        <v>-108</v>
      </c>
      <c r="W5" s="32">
        <f t="shared" si="0"/>
        <v>-117.9</v>
      </c>
      <c r="X5" s="32">
        <f t="shared" si="0"/>
        <v>-21.700000000000003</v>
      </c>
      <c r="Y5" s="32">
        <f t="shared" si="0"/>
        <v>-36.699999999999989</v>
      </c>
      <c r="Z5" s="32">
        <f t="shared" si="0"/>
        <v>-126.4</v>
      </c>
      <c r="AA5" s="32">
        <f t="shared" si="0"/>
        <v>-105.9</v>
      </c>
      <c r="AB5" s="32">
        <f t="shared" si="0"/>
        <v>-189.6</v>
      </c>
      <c r="AC5" s="32">
        <f t="shared" si="0"/>
        <v>-200.70000000000002</v>
      </c>
      <c r="AD5" s="32">
        <f t="shared" si="0"/>
        <v>-234.70000000000002</v>
      </c>
      <c r="AE5" s="32">
        <f t="shared" si="0"/>
        <v>-205.4</v>
      </c>
      <c r="AF5" s="32">
        <f t="shared" si="0"/>
        <v>-197.8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1289MW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Load=1077</v>
      </c>
      <c r="B7" s="37">
        <f t="shared" ref="B7:AF7" si="1">B73</f>
        <v>1129.94</v>
      </c>
      <c r="C7" s="37">
        <f t="shared" si="1"/>
        <v>1137.54</v>
      </c>
      <c r="D7" s="37">
        <f t="shared" si="1"/>
        <v>1110.8399999999999</v>
      </c>
      <c r="E7" s="37">
        <f t="shared" si="1"/>
        <v>1076.54</v>
      </c>
      <c r="F7" s="37">
        <f t="shared" si="1"/>
        <v>1116.8399999999999</v>
      </c>
      <c r="G7" s="37">
        <f t="shared" si="1"/>
        <v>1139.8400000000001</v>
      </c>
      <c r="H7" s="37">
        <f t="shared" si="1"/>
        <v>1166.04</v>
      </c>
      <c r="I7" s="37">
        <f t="shared" si="1"/>
        <v>1196.1400000000001</v>
      </c>
      <c r="J7" s="37">
        <f t="shared" si="1"/>
        <v>1193.1399999999999</v>
      </c>
      <c r="K7" s="37">
        <f t="shared" si="1"/>
        <v>1229.8399999999999</v>
      </c>
      <c r="L7" s="37">
        <f>L73</f>
        <v>1269.94</v>
      </c>
      <c r="M7" s="37">
        <f t="shared" si="1"/>
        <v>1289.04</v>
      </c>
      <c r="N7" s="37">
        <f t="shared" si="1"/>
        <v>1300.8400000000001</v>
      </c>
      <c r="O7" s="37">
        <f t="shared" si="1"/>
        <v>1313.74</v>
      </c>
      <c r="P7" s="37">
        <f t="shared" si="1"/>
        <v>1252.3399999999999</v>
      </c>
      <c r="Q7" s="37">
        <f t="shared" si="1"/>
        <v>1248.04</v>
      </c>
      <c r="R7" s="37">
        <f t="shared" si="1"/>
        <v>1306.04</v>
      </c>
      <c r="S7" s="37">
        <f t="shared" si="1"/>
        <v>1252.54</v>
      </c>
      <c r="T7" s="37">
        <f t="shared" si="1"/>
        <v>1280.94</v>
      </c>
      <c r="U7" s="37">
        <f t="shared" si="1"/>
        <v>1270.8399999999999</v>
      </c>
      <c r="V7" s="37">
        <f t="shared" si="1"/>
        <v>1288.94</v>
      </c>
      <c r="W7" s="37">
        <f t="shared" si="1"/>
        <v>1407.04</v>
      </c>
      <c r="X7" s="37">
        <f t="shared" si="1"/>
        <v>1509.44</v>
      </c>
      <c r="Y7" s="37">
        <f t="shared" si="1"/>
        <v>1490.94</v>
      </c>
      <c r="Z7" s="37">
        <f t="shared" si="1"/>
        <v>1477.24</v>
      </c>
      <c r="AA7" s="37">
        <f t="shared" si="1"/>
        <v>1411.0300000000002</v>
      </c>
      <c r="AB7" s="37">
        <f t="shared" si="1"/>
        <v>1404.13</v>
      </c>
      <c r="AC7" s="37">
        <f t="shared" si="1"/>
        <v>1367.3300000000002</v>
      </c>
      <c r="AD7" s="37">
        <f t="shared" si="1"/>
        <v>1269.8300000000002</v>
      </c>
      <c r="AE7" s="37">
        <f t="shared" si="1"/>
        <v>1206.73</v>
      </c>
      <c r="AF7" s="37">
        <f t="shared" si="1"/>
        <v>1189.1300000000001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320</v>
      </c>
      <c r="C11" s="49">
        <v>320</v>
      </c>
      <c r="D11" s="49">
        <v>320</v>
      </c>
      <c r="E11" s="49">
        <v>320</v>
      </c>
      <c r="F11" s="49">
        <v>320</v>
      </c>
      <c r="G11" s="49">
        <v>320</v>
      </c>
      <c r="H11" s="49">
        <v>320</v>
      </c>
      <c r="I11" s="49">
        <v>320</v>
      </c>
      <c r="J11" s="49">
        <v>320</v>
      </c>
      <c r="K11" s="49">
        <v>320</v>
      </c>
      <c r="L11" s="50">
        <v>320</v>
      </c>
      <c r="M11" s="50">
        <v>370</v>
      </c>
      <c r="N11" s="50">
        <v>370</v>
      </c>
      <c r="O11" s="50">
        <v>185</v>
      </c>
      <c r="P11" s="50">
        <v>0</v>
      </c>
      <c r="Q11" s="51">
        <v>0</v>
      </c>
      <c r="R11" s="52">
        <v>0</v>
      </c>
      <c r="S11" s="52">
        <v>0</v>
      </c>
      <c r="T11" s="52">
        <v>0</v>
      </c>
      <c r="U11" s="52">
        <v>200</v>
      </c>
      <c r="V11" s="52">
        <v>260</v>
      </c>
      <c r="W11" s="52">
        <v>380</v>
      </c>
      <c r="X11" s="52">
        <v>380</v>
      </c>
      <c r="Y11" s="53">
        <v>380</v>
      </c>
      <c r="Z11" s="53">
        <v>456</v>
      </c>
      <c r="AA11" s="115">
        <v>378</v>
      </c>
      <c r="AB11" s="115">
        <v>456</v>
      </c>
      <c r="AC11" s="115">
        <v>456</v>
      </c>
      <c r="AD11" s="115">
        <v>410</v>
      </c>
      <c r="AE11" s="49">
        <v>327</v>
      </c>
      <c r="AF11" s="49">
        <v>329</v>
      </c>
      <c r="AG11" s="54">
        <v>456</v>
      </c>
      <c r="AH11" s="55">
        <f>MAX(B11:AF11)</f>
        <v>456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</v>
      </c>
      <c r="C14" s="62">
        <v>45.6</v>
      </c>
      <c r="D14" s="62">
        <v>45.6</v>
      </c>
      <c r="E14" s="62">
        <v>45.6</v>
      </c>
      <c r="F14" s="62">
        <v>45.6</v>
      </c>
      <c r="G14" s="62">
        <v>45.6</v>
      </c>
      <c r="H14" s="62">
        <v>45.6</v>
      </c>
      <c r="I14" s="62">
        <v>38</v>
      </c>
      <c r="J14" s="62">
        <v>38</v>
      </c>
      <c r="K14" s="62">
        <v>38</v>
      </c>
      <c r="L14" s="50">
        <v>45.5</v>
      </c>
      <c r="M14" s="50">
        <v>45.5</v>
      </c>
      <c r="N14" s="50">
        <v>45.5</v>
      </c>
      <c r="O14" s="50">
        <v>45.6</v>
      </c>
      <c r="P14" s="50">
        <v>45.6</v>
      </c>
      <c r="Q14" s="50">
        <v>45.8</v>
      </c>
      <c r="R14" s="61">
        <v>45.8</v>
      </c>
      <c r="S14" s="61">
        <v>45.7</v>
      </c>
      <c r="T14" s="61">
        <v>45.6</v>
      </c>
      <c r="U14" s="61">
        <v>45.6</v>
      </c>
      <c r="V14" s="61">
        <v>45.6</v>
      </c>
      <c r="W14" s="61">
        <v>45.6</v>
      </c>
      <c r="X14" s="61">
        <v>45.6</v>
      </c>
      <c r="Y14" s="50">
        <v>45.6</v>
      </c>
      <c r="Z14" s="50">
        <v>45.6</v>
      </c>
      <c r="AA14" s="50">
        <v>45.69</v>
      </c>
      <c r="AB14" s="50">
        <v>45.69</v>
      </c>
      <c r="AC14" s="50">
        <v>45.69</v>
      </c>
      <c r="AD14" s="50">
        <v>45.69</v>
      </c>
      <c r="AE14" s="50">
        <v>45.69</v>
      </c>
      <c r="AF14" s="50">
        <v>45.69</v>
      </c>
      <c r="AG14" s="63">
        <v>45</v>
      </c>
      <c r="AH14" s="55">
        <f t="shared" si="2"/>
        <v>45.8</v>
      </c>
      <c r="AI14" s="56">
        <f t="shared" si="3"/>
        <v>38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28</v>
      </c>
      <c r="N15" s="50">
        <v>28</v>
      </c>
      <c r="O15" s="50">
        <v>28</v>
      </c>
      <c r="P15" s="50">
        <v>28</v>
      </c>
      <c r="Q15" s="50">
        <v>28</v>
      </c>
      <c r="R15" s="50">
        <v>28</v>
      </c>
      <c r="S15" s="50">
        <v>28</v>
      </c>
      <c r="T15" s="50">
        <v>28</v>
      </c>
      <c r="U15" s="50">
        <v>28</v>
      </c>
      <c r="V15" s="50">
        <v>28</v>
      </c>
      <c r="W15" s="50">
        <v>28</v>
      </c>
      <c r="X15" s="50">
        <v>28</v>
      </c>
      <c r="Y15" s="50">
        <v>28</v>
      </c>
      <c r="Z15" s="50">
        <v>28</v>
      </c>
      <c r="AA15" s="50">
        <v>28</v>
      </c>
      <c r="AB15" s="50">
        <v>28</v>
      </c>
      <c r="AC15" s="50">
        <v>28</v>
      </c>
      <c r="AD15" s="50">
        <v>28</v>
      </c>
      <c r="AE15" s="50">
        <v>28</v>
      </c>
      <c r="AF15" s="50">
        <v>28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20</v>
      </c>
      <c r="E16" s="49">
        <v>20</v>
      </c>
      <c r="F16" s="49">
        <v>20</v>
      </c>
      <c r="G16" s="49">
        <v>20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25.5</v>
      </c>
      <c r="C18" s="49">
        <v>25.5</v>
      </c>
      <c r="D18" s="49">
        <v>20</v>
      </c>
      <c r="E18" s="49">
        <v>20</v>
      </c>
      <c r="F18" s="49">
        <v>20</v>
      </c>
      <c r="G18" s="49">
        <v>25</v>
      </c>
      <c r="H18" s="49">
        <v>25</v>
      </c>
      <c r="I18" s="49">
        <v>25</v>
      </c>
      <c r="J18" s="49">
        <v>25</v>
      </c>
      <c r="K18" s="49">
        <v>25</v>
      </c>
      <c r="L18" s="50">
        <v>25</v>
      </c>
      <c r="M18" s="50">
        <v>25.4</v>
      </c>
      <c r="N18" s="50">
        <v>25.4</v>
      </c>
      <c r="O18" s="50">
        <v>25.4</v>
      </c>
      <c r="P18" s="50">
        <v>25.4</v>
      </c>
      <c r="Q18" s="50">
        <v>25.4</v>
      </c>
      <c r="R18" s="50">
        <v>25.4</v>
      </c>
      <c r="S18" s="50">
        <v>25.4</v>
      </c>
      <c r="T18" s="50">
        <v>25.4</v>
      </c>
      <c r="U18" s="50">
        <v>25.4</v>
      </c>
      <c r="V18" s="50">
        <v>25.4</v>
      </c>
      <c r="W18" s="50">
        <v>25.4</v>
      </c>
      <c r="X18" s="50">
        <v>25.4</v>
      </c>
      <c r="Y18" s="50">
        <v>25.4</v>
      </c>
      <c r="Z18" s="50">
        <v>25.4</v>
      </c>
      <c r="AA18" s="50">
        <v>25.2</v>
      </c>
      <c r="AB18" s="50">
        <v>25.2</v>
      </c>
      <c r="AC18" s="50">
        <v>25.2</v>
      </c>
      <c r="AD18" s="50">
        <v>25.2</v>
      </c>
      <c r="AE18" s="50">
        <v>25.2</v>
      </c>
      <c r="AF18" s="50">
        <v>25.2</v>
      </c>
      <c r="AG18" s="60">
        <v>30</v>
      </c>
      <c r="AH18" s="55">
        <f t="shared" si="2"/>
        <v>25.5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22.1</v>
      </c>
      <c r="C22" s="49">
        <v>22.1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18</v>
      </c>
      <c r="K22" s="49">
        <v>18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0">
        <v>25</v>
      </c>
      <c r="AH22" s="55">
        <f t="shared" si="2"/>
        <v>22.1</v>
      </c>
      <c r="AI22" s="56">
        <f t="shared" si="3"/>
        <v>18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14</v>
      </c>
      <c r="AB24" s="50">
        <v>14</v>
      </c>
      <c r="AC24" s="50">
        <v>14</v>
      </c>
      <c r="AD24" s="50">
        <v>14</v>
      </c>
      <c r="AE24" s="50">
        <v>14</v>
      </c>
      <c r="AF24" s="50">
        <v>14</v>
      </c>
      <c r="AG24" s="60">
        <v>24.2</v>
      </c>
      <c r="AH24" s="55">
        <f t="shared" si="2"/>
        <v>22</v>
      </c>
      <c r="AI24" s="56">
        <f t="shared" si="3"/>
        <v>14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18</v>
      </c>
      <c r="X25" s="50">
        <v>18</v>
      </c>
      <c r="Y25" s="50">
        <v>14</v>
      </c>
      <c r="Z25" s="50">
        <v>14</v>
      </c>
      <c r="AA25" s="50">
        <v>14</v>
      </c>
      <c r="AB25" s="50">
        <v>14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18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49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12.3</v>
      </c>
      <c r="C28" s="49">
        <v>12.3</v>
      </c>
      <c r="D28" s="49">
        <v>12.3</v>
      </c>
      <c r="E28" s="49">
        <v>12.3</v>
      </c>
      <c r="F28" s="49">
        <v>12.3</v>
      </c>
      <c r="G28" s="49">
        <v>12.3</v>
      </c>
      <c r="H28" s="49">
        <v>12.3</v>
      </c>
      <c r="I28" s="49">
        <v>12.3</v>
      </c>
      <c r="J28" s="49">
        <v>12.3</v>
      </c>
      <c r="K28" s="49">
        <v>12.3</v>
      </c>
      <c r="L28" s="49">
        <v>12.3</v>
      </c>
      <c r="M28" s="50">
        <v>12.3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12.4</v>
      </c>
      <c r="AI28" s="56">
        <f t="shared" si="3"/>
        <v>12.3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49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62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168</v>
      </c>
      <c r="C35" s="62">
        <v>168</v>
      </c>
      <c r="D35" s="62">
        <f>93.7+65.9</f>
        <v>159.60000000000002</v>
      </c>
      <c r="E35" s="62">
        <f>93.7+67.3</f>
        <v>161</v>
      </c>
      <c r="F35" s="62">
        <f>93.2+68</f>
        <v>161.19999999999999</v>
      </c>
      <c r="G35" s="62">
        <f>92.6+67.9</f>
        <v>160.5</v>
      </c>
      <c r="H35" s="62">
        <f>90.6+71.8</f>
        <v>162.39999999999998</v>
      </c>
      <c r="I35" s="62">
        <f>90.6+71.8</f>
        <v>162.39999999999998</v>
      </c>
      <c r="J35" s="62">
        <f>92.7+71.9</f>
        <v>164.60000000000002</v>
      </c>
      <c r="K35" s="62">
        <f>92.7+71.9</f>
        <v>164.60000000000002</v>
      </c>
      <c r="L35" s="70">
        <f>70.9+91.8</f>
        <v>162.69999999999999</v>
      </c>
      <c r="M35" s="70">
        <f>71.2+89.7</f>
        <v>160.9</v>
      </c>
      <c r="N35" s="70">
        <f>71.9+91.3</f>
        <v>163.19999999999999</v>
      </c>
      <c r="O35" s="70">
        <f>93.1+71.7</f>
        <v>164.8</v>
      </c>
      <c r="P35" s="70">
        <v>165</v>
      </c>
      <c r="Q35" s="70">
        <f>91.2+69.8</f>
        <v>161</v>
      </c>
      <c r="R35" s="70">
        <f>93.6+72.4</f>
        <v>166</v>
      </c>
      <c r="S35" s="70">
        <f>92.6+69.8</f>
        <v>162.39999999999998</v>
      </c>
      <c r="T35" s="70">
        <f>93.9+68.7</f>
        <v>162.60000000000002</v>
      </c>
      <c r="U35" s="70">
        <v>162.19999999999999</v>
      </c>
      <c r="V35" s="70">
        <v>163.30000000000001</v>
      </c>
      <c r="W35" s="70">
        <v>161</v>
      </c>
      <c r="X35" s="70">
        <v>161.19999999999999</v>
      </c>
      <c r="Y35" s="70">
        <v>161.19999999999999</v>
      </c>
      <c r="Z35" s="70">
        <v>161.19999999999999</v>
      </c>
      <c r="AA35" s="70">
        <v>164.5</v>
      </c>
      <c r="AB35" s="70">
        <f>93.1+71.3</f>
        <v>164.39999999999998</v>
      </c>
      <c r="AC35" s="70">
        <f>93+71.7</f>
        <v>164.7</v>
      </c>
      <c r="AD35" s="70">
        <f>93+71.7</f>
        <v>164.7</v>
      </c>
      <c r="AE35" s="70">
        <f>93+71.7</f>
        <v>164.7</v>
      </c>
      <c r="AF35" s="62">
        <f>94.2+71.9</f>
        <v>166.10000000000002</v>
      </c>
      <c r="AG35" s="67">
        <v>240</v>
      </c>
      <c r="AH35" s="55">
        <f t="shared" si="2"/>
        <v>168</v>
      </c>
      <c r="AI35" s="56">
        <f t="shared" si="3"/>
        <v>159.60000000000002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923.6</v>
      </c>
      <c r="C36" s="72">
        <f t="shared" si="4"/>
        <v>923.6</v>
      </c>
      <c r="D36" s="72">
        <f t="shared" si="4"/>
        <v>909</v>
      </c>
      <c r="E36" s="72">
        <f t="shared" si="4"/>
        <v>909</v>
      </c>
      <c r="F36" s="72">
        <f t="shared" si="4"/>
        <v>909</v>
      </c>
      <c r="G36" s="72">
        <f t="shared" si="4"/>
        <v>914</v>
      </c>
      <c r="H36" s="72">
        <f t="shared" si="4"/>
        <v>919</v>
      </c>
      <c r="I36" s="72">
        <f t="shared" si="4"/>
        <v>911.4</v>
      </c>
      <c r="J36" s="72">
        <f t="shared" si="4"/>
        <v>911.4</v>
      </c>
      <c r="K36" s="72">
        <f t="shared" si="4"/>
        <v>911.4</v>
      </c>
      <c r="L36" s="72">
        <f t="shared" si="4"/>
        <v>923</v>
      </c>
      <c r="M36" s="72">
        <f t="shared" si="4"/>
        <v>975.4</v>
      </c>
      <c r="N36" s="72">
        <f t="shared" si="4"/>
        <v>975.5</v>
      </c>
      <c r="O36" s="72">
        <f t="shared" si="4"/>
        <v>790.6</v>
      </c>
      <c r="P36" s="72">
        <f t="shared" si="4"/>
        <v>605.59999999999991</v>
      </c>
      <c r="Q36" s="72">
        <f t="shared" si="4"/>
        <v>605.79999999999995</v>
      </c>
      <c r="R36" s="72">
        <f t="shared" si="4"/>
        <v>605.79999999999995</v>
      </c>
      <c r="S36" s="72">
        <f t="shared" si="4"/>
        <v>605.69999999999993</v>
      </c>
      <c r="T36" s="72">
        <f t="shared" si="4"/>
        <v>605.59999999999991</v>
      </c>
      <c r="U36" s="72">
        <f t="shared" si="4"/>
        <v>805.59999999999991</v>
      </c>
      <c r="V36" s="72">
        <f t="shared" si="4"/>
        <v>865.59999999999991</v>
      </c>
      <c r="W36" s="72">
        <f t="shared" si="4"/>
        <v>993.6</v>
      </c>
      <c r="X36" s="72">
        <f t="shared" si="4"/>
        <v>993.6</v>
      </c>
      <c r="Y36" s="72">
        <f t="shared" si="4"/>
        <v>989.6</v>
      </c>
      <c r="Z36" s="72">
        <f t="shared" si="4"/>
        <v>1065.5999999999999</v>
      </c>
      <c r="AA36" s="72">
        <f t="shared" si="4"/>
        <v>979.49000000000012</v>
      </c>
      <c r="AB36" s="72">
        <f t="shared" si="4"/>
        <v>1057.4900000000002</v>
      </c>
      <c r="AC36" s="72">
        <f t="shared" si="4"/>
        <v>1053.4900000000002</v>
      </c>
      <c r="AD36" s="72">
        <f t="shared" si="4"/>
        <v>1007.4900000000001</v>
      </c>
      <c r="AE36" s="72">
        <f t="shared" si="4"/>
        <v>924.49</v>
      </c>
      <c r="AF36" s="72">
        <f t="shared" si="4"/>
        <v>926.49000000000012</v>
      </c>
      <c r="AG36" s="67">
        <f>SUM(AG11:AG35)</f>
        <v>1431.83</v>
      </c>
      <c r="AH36" s="55">
        <f t="shared" si="2"/>
        <v>1065.5999999999999</v>
      </c>
      <c r="AI36" s="56">
        <f t="shared" si="3"/>
        <v>605.59999999999991</v>
      </c>
      <c r="AJ36" s="176">
        <f>AVERAGE(B36:F36)</f>
        <v>914.83999999999992</v>
      </c>
      <c r="AK36" s="176">
        <f>(1040-AJ36)*5</f>
        <v>625.80000000000041</v>
      </c>
    </row>
    <row r="37" spans="1:88" x14ac:dyDescent="0.25">
      <c r="A37" s="58" t="s">
        <v>44</v>
      </c>
      <c r="B37" s="62">
        <v>145</v>
      </c>
      <c r="C37" s="62">
        <v>144</v>
      </c>
      <c r="D37" s="62">
        <v>144.4</v>
      </c>
      <c r="E37" s="62">
        <v>131.4</v>
      </c>
      <c r="F37" s="62">
        <v>131.19999999999999</v>
      </c>
      <c r="G37" s="62">
        <v>143.9</v>
      </c>
      <c r="H37" s="62">
        <v>143.9</v>
      </c>
      <c r="I37" s="62">
        <v>130</v>
      </c>
      <c r="J37" s="62">
        <v>124</v>
      </c>
      <c r="K37" s="62">
        <v>145.6</v>
      </c>
      <c r="L37" s="50">
        <v>145</v>
      </c>
      <c r="M37" s="50">
        <v>137</v>
      </c>
      <c r="N37" s="50">
        <v>136.4</v>
      </c>
      <c r="O37" s="50">
        <v>135.5</v>
      </c>
      <c r="P37" s="50">
        <v>144.80000000000001</v>
      </c>
      <c r="Q37" s="50">
        <v>144.69999999999999</v>
      </c>
      <c r="R37" s="50">
        <v>144.5</v>
      </c>
      <c r="S37" s="50">
        <v>145.4</v>
      </c>
      <c r="T37" s="50">
        <v>144.9</v>
      </c>
      <c r="U37" s="50">
        <v>144.9</v>
      </c>
      <c r="V37" s="50">
        <v>144.9</v>
      </c>
      <c r="W37" s="50">
        <v>144.9</v>
      </c>
      <c r="X37" s="50">
        <v>144.9</v>
      </c>
      <c r="Y37" s="50">
        <v>144.9</v>
      </c>
      <c r="Z37" s="50">
        <v>144.9</v>
      </c>
      <c r="AA37" s="50">
        <v>144.9</v>
      </c>
      <c r="AB37" s="50">
        <v>144.9</v>
      </c>
      <c r="AC37" s="50">
        <v>144.80000000000001</v>
      </c>
      <c r="AD37" s="50">
        <v>144.80000000000001</v>
      </c>
      <c r="AE37" s="49">
        <v>144.5</v>
      </c>
      <c r="AF37" s="49">
        <v>144.5</v>
      </c>
      <c r="AG37" s="63">
        <v>144</v>
      </c>
      <c r="AH37" s="55">
        <f t="shared" si="2"/>
        <v>145.6</v>
      </c>
      <c r="AI37" s="56">
        <f t="shared" si="3"/>
        <v>124</v>
      </c>
      <c r="AK37" s="57"/>
    </row>
    <row r="38" spans="1:88" x14ac:dyDescent="0.25">
      <c r="A38" s="66" t="s">
        <v>45</v>
      </c>
      <c r="B38" s="62">
        <v>68</v>
      </c>
      <c r="C38" s="62">
        <v>69.599999999999994</v>
      </c>
      <c r="D38" s="62">
        <v>69.599999999999994</v>
      </c>
      <c r="E38" s="62">
        <v>70.900000000000006</v>
      </c>
      <c r="F38" s="62">
        <v>71.8</v>
      </c>
      <c r="G38" s="62">
        <v>72</v>
      </c>
      <c r="H38" s="62">
        <v>70.3</v>
      </c>
      <c r="I38" s="62">
        <v>70.3</v>
      </c>
      <c r="J38" s="62">
        <v>70.099999999999994</v>
      </c>
      <c r="K38" s="62">
        <v>70.8</v>
      </c>
      <c r="L38" s="52">
        <v>70.900000000000006</v>
      </c>
      <c r="M38" s="52">
        <v>70.5</v>
      </c>
      <c r="N38" s="52">
        <v>70</v>
      </c>
      <c r="O38" s="52">
        <v>70.400000000000006</v>
      </c>
      <c r="P38" s="52">
        <v>70.5</v>
      </c>
      <c r="Q38" s="52">
        <v>71</v>
      </c>
      <c r="R38" s="52">
        <v>71.5</v>
      </c>
      <c r="S38" s="52">
        <v>70.7</v>
      </c>
      <c r="T38" s="52">
        <v>71.400000000000006</v>
      </c>
      <c r="U38" s="52">
        <v>71.400000000000006</v>
      </c>
      <c r="V38" s="52">
        <v>71.400000000000006</v>
      </c>
      <c r="W38" s="52">
        <v>71.400000000000006</v>
      </c>
      <c r="X38" s="52">
        <v>71.400000000000006</v>
      </c>
      <c r="Y38" s="52">
        <v>71.400000000000006</v>
      </c>
      <c r="Z38" s="52">
        <v>71.400000000000006</v>
      </c>
      <c r="AA38" s="52">
        <v>70</v>
      </c>
      <c r="AB38" s="52">
        <v>70</v>
      </c>
      <c r="AC38" s="52">
        <v>70</v>
      </c>
      <c r="AD38" s="52">
        <v>70</v>
      </c>
      <c r="AE38" s="52">
        <v>70</v>
      </c>
      <c r="AF38" s="52">
        <v>70</v>
      </c>
      <c r="AG38" s="67">
        <v>70</v>
      </c>
      <c r="AH38" s="55">
        <f t="shared" si="2"/>
        <v>72</v>
      </c>
      <c r="AI38" s="56">
        <f t="shared" si="3"/>
        <v>68</v>
      </c>
      <c r="AK38" s="57"/>
    </row>
    <row r="39" spans="1:88" x14ac:dyDescent="0.25">
      <c r="A39" s="66" t="s">
        <v>46</v>
      </c>
      <c r="B39" s="62">
        <v>70</v>
      </c>
      <c r="C39" s="62">
        <v>70</v>
      </c>
      <c r="D39" s="62">
        <v>69.7</v>
      </c>
      <c r="E39" s="62">
        <v>62</v>
      </c>
      <c r="F39" s="62">
        <v>68.5</v>
      </c>
      <c r="G39" s="62">
        <v>70.2</v>
      </c>
      <c r="H39" s="62">
        <v>69.8</v>
      </c>
      <c r="I39" s="62">
        <v>69.8</v>
      </c>
      <c r="J39" s="62">
        <v>69.8</v>
      </c>
      <c r="K39" s="62">
        <v>69.5</v>
      </c>
      <c r="L39" s="52">
        <v>69.400000000000006</v>
      </c>
      <c r="M39" s="52">
        <v>69.2</v>
      </c>
      <c r="N39" s="52">
        <v>69.099999999999994</v>
      </c>
      <c r="O39" s="52">
        <v>69.5</v>
      </c>
      <c r="P39" s="52">
        <v>69.900000000000006</v>
      </c>
      <c r="Q39" s="52">
        <v>70.2</v>
      </c>
      <c r="R39" s="52">
        <v>69.900000000000006</v>
      </c>
      <c r="S39" s="52">
        <v>69.3</v>
      </c>
      <c r="T39" s="52">
        <v>69.900000000000006</v>
      </c>
      <c r="U39" s="52">
        <v>69.900000000000006</v>
      </c>
      <c r="V39" s="52">
        <v>69.900000000000006</v>
      </c>
      <c r="W39" s="52">
        <v>69.900000000000006</v>
      </c>
      <c r="X39" s="52">
        <v>69.900000000000006</v>
      </c>
      <c r="Y39" s="52">
        <v>69.900000000000006</v>
      </c>
      <c r="Z39" s="52">
        <v>69.900000000000006</v>
      </c>
      <c r="AA39" s="52">
        <v>70.3</v>
      </c>
      <c r="AB39" s="52">
        <v>70.3</v>
      </c>
      <c r="AC39" s="52">
        <v>70.3</v>
      </c>
      <c r="AD39" s="52">
        <v>70.3</v>
      </c>
      <c r="AE39" s="52">
        <v>70.3</v>
      </c>
      <c r="AF39" s="52">
        <v>70.3</v>
      </c>
      <c r="AG39" s="67">
        <v>69</v>
      </c>
      <c r="AH39" s="55">
        <f t="shared" si="2"/>
        <v>70.3</v>
      </c>
      <c r="AI39" s="56">
        <f t="shared" si="3"/>
        <v>62</v>
      </c>
      <c r="AK39" s="57"/>
    </row>
    <row r="40" spans="1:88" x14ac:dyDescent="0.25">
      <c r="A40" s="66" t="s">
        <v>47</v>
      </c>
      <c r="B40" s="62">
        <v>60</v>
      </c>
      <c r="C40" s="62">
        <v>60</v>
      </c>
      <c r="D40" s="62">
        <v>60.2</v>
      </c>
      <c r="E40" s="62">
        <v>60.2</v>
      </c>
      <c r="F40" s="62">
        <v>60.2</v>
      </c>
      <c r="G40" s="62">
        <v>60.2</v>
      </c>
      <c r="H40" s="62">
        <v>60.2</v>
      </c>
      <c r="I40" s="62">
        <v>60.2</v>
      </c>
      <c r="J40" s="62">
        <v>60.2</v>
      </c>
      <c r="K40" s="62">
        <v>60.2</v>
      </c>
      <c r="L40" s="52">
        <v>60.2</v>
      </c>
      <c r="M40" s="52">
        <v>60.2</v>
      </c>
      <c r="N40" s="52">
        <v>60.2</v>
      </c>
      <c r="O40" s="52">
        <v>61.2</v>
      </c>
      <c r="P40" s="52">
        <v>61.2</v>
      </c>
      <c r="Q40" s="52">
        <v>61.4</v>
      </c>
      <c r="R40" s="52">
        <v>61.4</v>
      </c>
      <c r="S40" s="52">
        <v>60.9</v>
      </c>
      <c r="T40" s="52">
        <v>61.2</v>
      </c>
      <c r="U40" s="52">
        <v>61.2</v>
      </c>
      <c r="V40" s="52">
        <v>61.2</v>
      </c>
      <c r="W40" s="52">
        <v>61.2</v>
      </c>
      <c r="X40" s="52">
        <v>61.2</v>
      </c>
      <c r="Y40" s="52">
        <v>61.2</v>
      </c>
      <c r="Z40" s="52">
        <v>61.2</v>
      </c>
      <c r="AA40" s="52">
        <v>61.4</v>
      </c>
      <c r="AB40" s="52">
        <v>61.4</v>
      </c>
      <c r="AC40" s="52">
        <v>61.4</v>
      </c>
      <c r="AD40" s="52">
        <v>61.4</v>
      </c>
      <c r="AE40" s="52">
        <v>61.4</v>
      </c>
      <c r="AF40" s="52">
        <v>61.4</v>
      </c>
      <c r="AG40" s="67">
        <v>60</v>
      </c>
      <c r="AH40" s="55">
        <f t="shared" si="2"/>
        <v>61.4</v>
      </c>
      <c r="AI40" s="56">
        <f t="shared" si="3"/>
        <v>60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29.8</v>
      </c>
      <c r="E41" s="62">
        <v>29.8</v>
      </c>
      <c r="F41" s="62">
        <v>29.8</v>
      </c>
      <c r="G41" s="62">
        <v>29.8</v>
      </c>
      <c r="H41" s="62">
        <v>29.8</v>
      </c>
      <c r="I41" s="62">
        <v>29.8</v>
      </c>
      <c r="J41" s="62">
        <v>29.8</v>
      </c>
      <c r="K41" s="62">
        <v>29.8</v>
      </c>
      <c r="L41" s="50">
        <v>30</v>
      </c>
      <c r="M41" s="50">
        <v>29.9</v>
      </c>
      <c r="N41" s="50">
        <v>30</v>
      </c>
      <c r="O41" s="50">
        <v>30</v>
      </c>
      <c r="P41" s="50">
        <v>29.9</v>
      </c>
      <c r="Q41" s="50">
        <v>29.9</v>
      </c>
      <c r="R41" s="50">
        <v>29.9</v>
      </c>
      <c r="S41" s="50">
        <v>29.9</v>
      </c>
      <c r="T41" s="50">
        <v>29.9</v>
      </c>
      <c r="U41" s="50">
        <v>29.9</v>
      </c>
      <c r="V41" s="50">
        <v>29.9</v>
      </c>
      <c r="W41" s="50">
        <v>29.9</v>
      </c>
      <c r="X41" s="50">
        <v>29.9</v>
      </c>
      <c r="Y41" s="52">
        <v>29.9</v>
      </c>
      <c r="Z41" s="52">
        <v>29.9</v>
      </c>
      <c r="AA41" s="52">
        <v>29.9</v>
      </c>
      <c r="AB41" s="52">
        <v>29.9</v>
      </c>
      <c r="AC41" s="52">
        <v>29.9</v>
      </c>
      <c r="AD41" s="52">
        <v>29.9</v>
      </c>
      <c r="AE41" s="52">
        <v>29.9</v>
      </c>
      <c r="AF41" s="52">
        <v>29.9</v>
      </c>
      <c r="AG41" s="67">
        <v>30</v>
      </c>
      <c r="AH41" s="55">
        <f t="shared" si="2"/>
        <v>30</v>
      </c>
      <c r="AI41" s="56">
        <f t="shared" si="3"/>
        <v>29.8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18.2</v>
      </c>
      <c r="C43" s="73">
        <v>18.2</v>
      </c>
      <c r="D43" s="73">
        <v>18.2</v>
      </c>
      <c r="E43" s="73">
        <v>18.2</v>
      </c>
      <c r="F43" s="73">
        <v>18.2</v>
      </c>
      <c r="G43" s="73">
        <v>18.2</v>
      </c>
      <c r="H43" s="73">
        <v>18.2</v>
      </c>
      <c r="I43" s="73">
        <v>18.2</v>
      </c>
      <c r="J43" s="73">
        <v>18.2</v>
      </c>
      <c r="K43" s="73">
        <v>18.2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18.2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0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2.2000000000000002</v>
      </c>
      <c r="W44" s="50">
        <v>2.2000000000000002</v>
      </c>
      <c r="X44" s="50">
        <v>2.2000000000000002</v>
      </c>
      <c r="Y44" s="50">
        <v>2.2000000000000002</v>
      </c>
      <c r="Z44" s="50">
        <v>2.2000000000000002</v>
      </c>
      <c r="AA44" s="50">
        <v>2.2000000000000002</v>
      </c>
      <c r="AB44" s="50">
        <v>2.2000000000000002</v>
      </c>
      <c r="AC44" s="50">
        <v>2.2000000000000002</v>
      </c>
      <c r="AD44" s="50">
        <v>2.2000000000000002</v>
      </c>
      <c r="AE44" s="50">
        <v>2.2000000000000002</v>
      </c>
      <c r="AF44" s="50">
        <v>2.2000000000000002</v>
      </c>
      <c r="AG44" s="67">
        <v>15</v>
      </c>
      <c r="AH44" s="55">
        <f t="shared" si="2"/>
        <v>3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11</v>
      </c>
      <c r="S46" s="50">
        <v>11</v>
      </c>
      <c r="T46" s="50">
        <v>11</v>
      </c>
      <c r="U46" s="50">
        <v>8</v>
      </c>
      <c r="V46" s="50">
        <v>11</v>
      </c>
      <c r="W46" s="50">
        <v>11</v>
      </c>
      <c r="X46" s="50">
        <v>11</v>
      </c>
      <c r="Y46" s="50">
        <v>11</v>
      </c>
      <c r="Z46" s="50">
        <v>11</v>
      </c>
      <c r="AA46" s="50">
        <v>11</v>
      </c>
      <c r="AB46" s="50">
        <v>11</v>
      </c>
      <c r="AC46" s="50">
        <v>11</v>
      </c>
      <c r="AD46" s="50">
        <v>11</v>
      </c>
      <c r="AE46" s="50">
        <v>11</v>
      </c>
      <c r="AF46" s="50">
        <v>11</v>
      </c>
      <c r="AG46" s="67">
        <v>14</v>
      </c>
      <c r="AH46" s="55">
        <f t="shared" si="2"/>
        <v>14</v>
      </c>
      <c r="AI46" s="56">
        <f t="shared" si="3"/>
        <v>8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436.34000000000003</v>
      </c>
      <c r="C50" s="72">
        <f t="shared" si="6"/>
        <v>436.94000000000005</v>
      </c>
      <c r="D50" s="72">
        <f t="shared" si="6"/>
        <v>437.24</v>
      </c>
      <c r="E50" s="72">
        <f t="shared" si="6"/>
        <v>417.84000000000003</v>
      </c>
      <c r="F50" s="72">
        <f t="shared" si="6"/>
        <v>425.04</v>
      </c>
      <c r="G50" s="72">
        <f t="shared" si="6"/>
        <v>439.64000000000004</v>
      </c>
      <c r="H50" s="72">
        <f t="shared" si="6"/>
        <v>437.54</v>
      </c>
      <c r="I50" s="72">
        <f t="shared" si="6"/>
        <v>423.64000000000004</v>
      </c>
      <c r="J50" s="72">
        <f t="shared" si="6"/>
        <v>417.44</v>
      </c>
      <c r="K50" s="72">
        <f t="shared" si="6"/>
        <v>439.44</v>
      </c>
      <c r="L50" s="72">
        <f t="shared" si="6"/>
        <v>438.84000000000003</v>
      </c>
      <c r="M50" s="72">
        <f t="shared" si="6"/>
        <v>430.14</v>
      </c>
      <c r="N50" s="72">
        <f t="shared" si="6"/>
        <v>429.04</v>
      </c>
      <c r="O50" s="72">
        <f t="shared" si="6"/>
        <v>429.94</v>
      </c>
      <c r="P50" s="72">
        <f t="shared" si="6"/>
        <v>439.64000000000004</v>
      </c>
      <c r="Q50" s="72">
        <f t="shared" si="6"/>
        <v>443.53999999999996</v>
      </c>
      <c r="R50" s="72">
        <f t="shared" si="6"/>
        <v>440.53999999999996</v>
      </c>
      <c r="S50" s="72">
        <f t="shared" si="6"/>
        <v>439.54</v>
      </c>
      <c r="T50" s="72">
        <f t="shared" si="6"/>
        <v>440.64000000000004</v>
      </c>
      <c r="U50" s="72">
        <f t="shared" si="6"/>
        <v>437.64000000000004</v>
      </c>
      <c r="V50" s="72">
        <f t="shared" si="6"/>
        <v>439.84000000000003</v>
      </c>
      <c r="W50" s="72">
        <f t="shared" si="6"/>
        <v>439.84000000000003</v>
      </c>
      <c r="X50" s="72">
        <f t="shared" si="6"/>
        <v>439.84000000000003</v>
      </c>
      <c r="Y50" s="72">
        <f t="shared" si="6"/>
        <v>439.84000000000003</v>
      </c>
      <c r="Z50" s="72">
        <f t="shared" si="6"/>
        <v>439.84000000000003</v>
      </c>
      <c r="AA50" s="72">
        <f t="shared" si="6"/>
        <v>439.03999999999996</v>
      </c>
      <c r="AB50" s="72">
        <f t="shared" si="6"/>
        <v>439.03999999999996</v>
      </c>
      <c r="AC50" s="72">
        <f t="shared" si="6"/>
        <v>438.94</v>
      </c>
      <c r="AD50" s="72">
        <f t="shared" si="6"/>
        <v>438.94</v>
      </c>
      <c r="AE50" s="72">
        <f t="shared" si="6"/>
        <v>438.64</v>
      </c>
      <c r="AF50" s="72">
        <f t="shared" si="6"/>
        <v>438.64</v>
      </c>
      <c r="AG50" s="77">
        <f>SUM(AG37:AG49)</f>
        <v>489.91</v>
      </c>
      <c r="AH50" s="55">
        <f t="shared" si="2"/>
        <v>443.53999999999996</v>
      </c>
      <c r="AI50" s="56">
        <f t="shared" si="3"/>
        <v>417.44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10</v>
      </c>
      <c r="I51" s="62">
        <v>9.9</v>
      </c>
      <c r="J51" s="62">
        <v>9.9</v>
      </c>
      <c r="K51" s="62">
        <v>20</v>
      </c>
      <c r="L51" s="174">
        <v>30.2</v>
      </c>
      <c r="M51" s="174">
        <v>29.9</v>
      </c>
      <c r="N51" s="174">
        <v>13.6</v>
      </c>
      <c r="O51" s="174">
        <v>60</v>
      </c>
      <c r="P51" s="50">
        <v>59.6</v>
      </c>
      <c r="Q51" s="50">
        <v>59.8</v>
      </c>
      <c r="R51" s="50">
        <v>59.8</v>
      </c>
      <c r="S51" s="50">
        <v>59.4</v>
      </c>
      <c r="T51" s="50">
        <v>59.4</v>
      </c>
      <c r="U51" s="50">
        <v>59.4</v>
      </c>
      <c r="V51" s="50">
        <v>59.4</v>
      </c>
      <c r="W51" s="50">
        <v>59.4</v>
      </c>
      <c r="X51" s="50">
        <v>59.4</v>
      </c>
      <c r="Y51" s="50">
        <v>59.7</v>
      </c>
      <c r="Z51" s="50">
        <v>59.7</v>
      </c>
      <c r="AA51" s="50">
        <v>59.7</v>
      </c>
      <c r="AB51" s="50">
        <v>59.5</v>
      </c>
      <c r="AC51" s="50">
        <v>44</v>
      </c>
      <c r="AD51" s="50">
        <v>37</v>
      </c>
      <c r="AE51" s="50">
        <v>30</v>
      </c>
      <c r="AF51" s="50">
        <v>14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3.7</v>
      </c>
      <c r="I52" s="62">
        <v>3.2</v>
      </c>
      <c r="J52" s="62">
        <v>3.2</v>
      </c>
      <c r="K52" s="62">
        <v>8.8000000000000007</v>
      </c>
      <c r="L52" s="174">
        <v>14.3</v>
      </c>
      <c r="M52" s="174">
        <v>14.6</v>
      </c>
      <c r="N52" s="174">
        <v>9.3000000000000007</v>
      </c>
      <c r="O52" s="174">
        <v>27</v>
      </c>
      <c r="P52" s="52">
        <v>28.5</v>
      </c>
      <c r="Q52" s="52">
        <v>28.3</v>
      </c>
      <c r="R52" s="50">
        <v>28.1</v>
      </c>
      <c r="S52" s="50">
        <v>28</v>
      </c>
      <c r="T52" s="50">
        <v>28</v>
      </c>
      <c r="U52" s="50">
        <v>28</v>
      </c>
      <c r="V52" s="50">
        <v>23.5</v>
      </c>
      <c r="W52" s="50">
        <v>23.5</v>
      </c>
      <c r="X52" s="50">
        <v>28.1</v>
      </c>
      <c r="Y52" s="52">
        <v>28</v>
      </c>
      <c r="Z52" s="52">
        <v>28</v>
      </c>
      <c r="AA52" s="52">
        <v>28.1</v>
      </c>
      <c r="AB52" s="52">
        <v>27.6</v>
      </c>
      <c r="AC52" s="52">
        <v>23.1</v>
      </c>
      <c r="AD52" s="52">
        <v>15.5</v>
      </c>
      <c r="AE52" s="52">
        <v>14</v>
      </c>
      <c r="AF52" s="52">
        <v>5.7</v>
      </c>
      <c r="AG52" s="67">
        <v>32</v>
      </c>
      <c r="AH52" s="55">
        <f t="shared" si="2"/>
        <v>28.5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1.3</v>
      </c>
      <c r="I53" s="73">
        <v>1.2</v>
      </c>
      <c r="J53" s="73">
        <v>1.2</v>
      </c>
      <c r="K53" s="73">
        <v>3.2</v>
      </c>
      <c r="L53" s="175">
        <v>5.2</v>
      </c>
      <c r="M53" s="175">
        <v>5.3</v>
      </c>
      <c r="N53" s="175">
        <v>3.4</v>
      </c>
      <c r="O53" s="175">
        <v>9.8000000000000007</v>
      </c>
      <c r="P53" s="78">
        <v>10.4</v>
      </c>
      <c r="Q53" s="78">
        <v>10.3</v>
      </c>
      <c r="R53" s="50">
        <v>10.199999999999999</v>
      </c>
      <c r="S53" s="50">
        <v>10.199999999999999</v>
      </c>
      <c r="T53" s="50">
        <v>10.199999999999999</v>
      </c>
      <c r="U53" s="50">
        <v>10.199999999999999</v>
      </c>
      <c r="V53" s="50">
        <v>8.6</v>
      </c>
      <c r="W53" s="50">
        <v>8.6</v>
      </c>
      <c r="X53" s="50">
        <v>10.199999999999999</v>
      </c>
      <c r="Y53" s="78">
        <v>10.5</v>
      </c>
      <c r="Z53" s="78">
        <v>10.5</v>
      </c>
      <c r="AA53" s="78">
        <v>10.6</v>
      </c>
      <c r="AB53" s="78">
        <v>10.1</v>
      </c>
      <c r="AC53" s="78">
        <v>8.5</v>
      </c>
      <c r="AD53" s="78">
        <v>5.6</v>
      </c>
      <c r="AE53" s="78">
        <v>5</v>
      </c>
      <c r="AF53" s="78">
        <v>2.1</v>
      </c>
      <c r="AG53" s="79">
        <v>14</v>
      </c>
      <c r="AH53" s="55">
        <f t="shared" si="2"/>
        <v>10.6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15</v>
      </c>
      <c r="I54" s="72">
        <f t="shared" si="7"/>
        <v>14.3</v>
      </c>
      <c r="J54" s="72">
        <f t="shared" si="7"/>
        <v>14.3</v>
      </c>
      <c r="K54" s="72">
        <f t="shared" si="7"/>
        <v>32</v>
      </c>
      <c r="L54" s="72">
        <f t="shared" si="7"/>
        <v>49.7</v>
      </c>
      <c r="M54" s="72">
        <f t="shared" si="7"/>
        <v>49.8</v>
      </c>
      <c r="N54" s="72">
        <f t="shared" si="7"/>
        <v>26.299999999999997</v>
      </c>
      <c r="O54" s="72">
        <f t="shared" si="7"/>
        <v>96.8</v>
      </c>
      <c r="P54" s="72">
        <f t="shared" si="7"/>
        <v>98.5</v>
      </c>
      <c r="Q54" s="72">
        <f t="shared" si="7"/>
        <v>98.399999999999991</v>
      </c>
      <c r="R54" s="72">
        <f t="shared" si="7"/>
        <v>98.100000000000009</v>
      </c>
      <c r="S54" s="72">
        <f t="shared" si="7"/>
        <v>97.600000000000009</v>
      </c>
      <c r="T54" s="72">
        <f t="shared" si="7"/>
        <v>97.600000000000009</v>
      </c>
      <c r="U54" s="72">
        <f t="shared" si="7"/>
        <v>97.600000000000009</v>
      </c>
      <c r="V54" s="72">
        <f t="shared" si="7"/>
        <v>91.5</v>
      </c>
      <c r="W54" s="72">
        <f t="shared" si="7"/>
        <v>91.5</v>
      </c>
      <c r="X54" s="72">
        <f t="shared" si="7"/>
        <v>97.7</v>
      </c>
      <c r="Y54" s="72">
        <f t="shared" si="7"/>
        <v>98.2</v>
      </c>
      <c r="Z54" s="72">
        <f t="shared" si="7"/>
        <v>98.2</v>
      </c>
      <c r="AA54" s="72">
        <f t="shared" si="7"/>
        <v>98.4</v>
      </c>
      <c r="AB54" s="72">
        <f t="shared" si="7"/>
        <v>97.199999999999989</v>
      </c>
      <c r="AC54" s="72">
        <f t="shared" si="7"/>
        <v>75.599999999999994</v>
      </c>
      <c r="AD54" s="72">
        <f t="shared" si="7"/>
        <v>58.1</v>
      </c>
      <c r="AE54" s="72">
        <f t="shared" si="7"/>
        <v>49</v>
      </c>
      <c r="AF54" s="72">
        <f t="shared" si="7"/>
        <v>21.8</v>
      </c>
      <c r="AG54" s="77">
        <f>SUM(AG51:AG53)</f>
        <v>106</v>
      </c>
      <c r="AH54" s="55">
        <f t="shared" si="2"/>
        <v>98.5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60</v>
      </c>
      <c r="Y55" s="50">
        <v>61.8</v>
      </c>
      <c r="Z55" s="50">
        <v>59.2</v>
      </c>
      <c r="AA55" s="50">
        <v>60</v>
      </c>
      <c r="AB55" s="50">
        <v>18.8</v>
      </c>
      <c r="AC55" s="50">
        <v>17.8</v>
      </c>
      <c r="AD55" s="50">
        <v>0</v>
      </c>
      <c r="AE55" s="50">
        <v>0</v>
      </c>
      <c r="AF55" s="50">
        <v>0</v>
      </c>
      <c r="AG55" s="63"/>
      <c r="AH55" s="55">
        <f t="shared" si="2"/>
        <v>61.8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-111</v>
      </c>
      <c r="C56" s="52">
        <v>-107</v>
      </c>
      <c r="D56" s="52">
        <v>-107</v>
      </c>
      <c r="E56" s="52">
        <v>-104</v>
      </c>
      <c r="F56" s="52">
        <v>-100</v>
      </c>
      <c r="G56" s="52">
        <v>-101</v>
      </c>
      <c r="H56" s="52">
        <v>-72.5</v>
      </c>
      <c r="I56" s="52">
        <v>-58.5</v>
      </c>
      <c r="J56" s="52">
        <v>-59.5</v>
      </c>
      <c r="K56" s="52">
        <v>-56</v>
      </c>
      <c r="L56" s="50">
        <v>-57.6</v>
      </c>
      <c r="M56" s="50">
        <v>-53.7</v>
      </c>
      <c r="N56" s="50">
        <v>-52.1</v>
      </c>
      <c r="O56" s="50">
        <v>-64.900000000000006</v>
      </c>
      <c r="P56" s="50">
        <v>54.3</v>
      </c>
      <c r="Q56" s="50">
        <v>61.3</v>
      </c>
      <c r="R56" s="50">
        <v>83.7</v>
      </c>
      <c r="S56" s="50">
        <v>68.099999999999994</v>
      </c>
      <c r="T56" s="50">
        <v>62.5</v>
      </c>
      <c r="U56" s="50">
        <v>0</v>
      </c>
      <c r="V56" s="50">
        <v>-26.7</v>
      </c>
      <c r="W56" s="80">
        <v>-91.7</v>
      </c>
      <c r="X56" s="80">
        <v>-87</v>
      </c>
      <c r="Y56" s="80">
        <v>-66.8</v>
      </c>
      <c r="Z56" s="80">
        <v>-70.5</v>
      </c>
      <c r="AA56" s="52">
        <v>-73.900000000000006</v>
      </c>
      <c r="AB56" s="52">
        <v>-71.599999999999994</v>
      </c>
      <c r="AC56" s="52">
        <v>-74.599999999999994</v>
      </c>
      <c r="AD56" s="52">
        <v>-72.3</v>
      </c>
      <c r="AE56" s="52">
        <v>-62</v>
      </c>
      <c r="AF56" s="52">
        <v>-66</v>
      </c>
      <c r="AG56" s="67"/>
      <c r="AH56" s="55">
        <f t="shared" si="2"/>
        <v>83.7</v>
      </c>
      <c r="AI56" s="56">
        <f t="shared" si="3"/>
        <v>-111</v>
      </c>
      <c r="AK56" s="57"/>
    </row>
    <row r="57" spans="1:37" x14ac:dyDescent="0.25">
      <c r="A57" s="66" t="s">
        <v>64</v>
      </c>
      <c r="B57" s="52">
        <v>-22</v>
      </c>
      <c r="C57" s="52">
        <v>-21</v>
      </c>
      <c r="D57" s="52">
        <v>-34</v>
      </c>
      <c r="E57" s="52">
        <v>-42.3</v>
      </c>
      <c r="F57" s="52">
        <v>-15.3</v>
      </c>
      <c r="G57" s="50">
        <v>-12</v>
      </c>
      <c r="H57" s="50">
        <v>-42</v>
      </c>
      <c r="I57" s="50">
        <v>-7.7</v>
      </c>
      <c r="J57" s="50">
        <v>-4.5</v>
      </c>
      <c r="K57" s="50">
        <v>-15</v>
      </c>
      <c r="L57" s="52">
        <v>-11.9</v>
      </c>
      <c r="M57" s="52">
        <v>-35.6</v>
      </c>
      <c r="N57" s="52">
        <v>-5.8</v>
      </c>
      <c r="O57" s="52">
        <v>109.6</v>
      </c>
      <c r="P57" s="52">
        <v>26.2</v>
      </c>
      <c r="Q57" s="52">
        <v>0</v>
      </c>
      <c r="R57" s="52">
        <v>36.9</v>
      </c>
      <c r="S57" s="52">
        <v>0</v>
      </c>
      <c r="T57" s="52">
        <v>39.1</v>
      </c>
      <c r="U57" s="52">
        <v>-70</v>
      </c>
      <c r="V57" s="52">
        <v>0</v>
      </c>
      <c r="W57" s="81">
        <v>77.7</v>
      </c>
      <c r="X57" s="81">
        <v>114</v>
      </c>
      <c r="Y57" s="81">
        <v>82.4</v>
      </c>
      <c r="Z57" s="81">
        <v>-0.6</v>
      </c>
      <c r="AA57" s="52">
        <v>28</v>
      </c>
      <c r="AB57" s="52">
        <v>-17</v>
      </c>
      <c r="AC57" s="52">
        <v>-39</v>
      </c>
      <c r="AD57" s="52">
        <v>-57</v>
      </c>
      <c r="AE57" s="52">
        <v>-44</v>
      </c>
      <c r="AF57" s="52">
        <v>-46.5</v>
      </c>
      <c r="AG57" s="82"/>
      <c r="AH57" s="55">
        <f t="shared" si="2"/>
        <v>114</v>
      </c>
      <c r="AI57" s="56">
        <f t="shared" si="3"/>
        <v>-70</v>
      </c>
      <c r="AK57" s="57"/>
    </row>
    <row r="58" spans="1:37" x14ac:dyDescent="0.25">
      <c r="A58" s="66" t="s">
        <v>65</v>
      </c>
      <c r="B58" s="59">
        <v>-36</v>
      </c>
      <c r="C58" s="59">
        <v>-35</v>
      </c>
      <c r="D58" s="59">
        <v>-36</v>
      </c>
      <c r="E58" s="59">
        <v>-34</v>
      </c>
      <c r="F58" s="59">
        <v>-34</v>
      </c>
      <c r="G58" s="59">
        <v>-33</v>
      </c>
      <c r="H58" s="59">
        <v>-33</v>
      </c>
      <c r="I58" s="59">
        <v>-37</v>
      </c>
      <c r="J58" s="59">
        <v>-37</v>
      </c>
      <c r="K58" s="59">
        <v>-35</v>
      </c>
      <c r="L58" s="52">
        <v>-28.4</v>
      </c>
      <c r="M58" s="52">
        <v>-28.9</v>
      </c>
      <c r="N58" s="52">
        <v>-27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-35</v>
      </c>
      <c r="W58" s="52">
        <v>-44</v>
      </c>
      <c r="X58" s="52">
        <v>-40</v>
      </c>
      <c r="Y58" s="52">
        <v>-38</v>
      </c>
      <c r="Z58" s="52">
        <v>-39</v>
      </c>
      <c r="AA58" s="52">
        <v>-44</v>
      </c>
      <c r="AB58" s="52">
        <v>-44</v>
      </c>
      <c r="AC58" s="52">
        <v>-40</v>
      </c>
      <c r="AD58" s="52">
        <v>-40</v>
      </c>
      <c r="AE58" s="59">
        <v>-32</v>
      </c>
      <c r="AF58" s="59">
        <v>-30</v>
      </c>
      <c r="AG58" s="82"/>
      <c r="AH58" s="55">
        <f t="shared" si="2"/>
        <v>0</v>
      </c>
      <c r="AI58" s="56">
        <f t="shared" si="3"/>
        <v>-44</v>
      </c>
      <c r="AK58" s="57"/>
    </row>
    <row r="59" spans="1:37" x14ac:dyDescent="0.25">
      <c r="A59" s="66" t="s">
        <v>66</v>
      </c>
      <c r="B59" s="59">
        <v>-71</v>
      </c>
      <c r="C59" s="59">
        <v>-70</v>
      </c>
      <c r="D59" s="59">
        <v>-68.400000000000006</v>
      </c>
      <c r="E59" s="59">
        <v>-70</v>
      </c>
      <c r="F59" s="59">
        <v>-67.900000000000006</v>
      </c>
      <c r="G59" s="59">
        <v>-67.8</v>
      </c>
      <c r="H59" s="59">
        <v>-58</v>
      </c>
      <c r="I59" s="59">
        <v>-50</v>
      </c>
      <c r="J59" s="59">
        <v>-49</v>
      </c>
      <c r="K59" s="59">
        <v>-47</v>
      </c>
      <c r="L59" s="50">
        <v>-43.7</v>
      </c>
      <c r="M59" s="50">
        <v>-48.1</v>
      </c>
      <c r="N59" s="50">
        <v>-45.1</v>
      </c>
      <c r="O59" s="50">
        <v>-48.3</v>
      </c>
      <c r="P59" s="50">
        <v>28.1</v>
      </c>
      <c r="Q59" s="50">
        <v>39</v>
      </c>
      <c r="R59" s="50">
        <v>41</v>
      </c>
      <c r="S59" s="50">
        <v>41.6</v>
      </c>
      <c r="T59" s="50">
        <v>35.5</v>
      </c>
      <c r="U59" s="50">
        <v>0</v>
      </c>
      <c r="V59" s="50">
        <v>-46.3</v>
      </c>
      <c r="W59" s="50">
        <v>-59.9</v>
      </c>
      <c r="X59" s="50">
        <v>-68.7</v>
      </c>
      <c r="Y59" s="50">
        <v>-76.099999999999994</v>
      </c>
      <c r="Z59" s="50">
        <v>-75.5</v>
      </c>
      <c r="AA59" s="50">
        <v>-76</v>
      </c>
      <c r="AB59" s="50">
        <v>-75.8</v>
      </c>
      <c r="AC59" s="50">
        <v>-74.900000000000006</v>
      </c>
      <c r="AD59" s="50">
        <v>-75.400000000000006</v>
      </c>
      <c r="AE59" s="50">
        <v>-77.400000000000006</v>
      </c>
      <c r="AF59" s="50">
        <v>-65.3</v>
      </c>
      <c r="AG59" s="82"/>
      <c r="AH59" s="55">
        <f t="shared" si="2"/>
        <v>41.6</v>
      </c>
      <c r="AI59" s="56">
        <f t="shared" si="3"/>
        <v>-77.400000000000006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10</v>
      </c>
      <c r="C61" s="59">
        <v>10</v>
      </c>
      <c r="D61" s="59">
        <v>10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10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10</v>
      </c>
      <c r="AD62" s="59">
        <v>10</v>
      </c>
      <c r="AE62" s="59">
        <v>10</v>
      </c>
      <c r="AF62" s="59">
        <v>10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-230</v>
      </c>
      <c r="C66" s="72">
        <f t="shared" ref="C66:AF66" si="8">SUM(C55:C65)</f>
        <v>-223</v>
      </c>
      <c r="D66" s="72">
        <f t="shared" si="8"/>
        <v>-235.4</v>
      </c>
      <c r="E66" s="72">
        <f t="shared" si="8"/>
        <v>-250.3</v>
      </c>
      <c r="F66" s="72">
        <f t="shared" si="8"/>
        <v>-217.20000000000002</v>
      </c>
      <c r="G66" s="72">
        <f t="shared" si="8"/>
        <v>-213.8</v>
      </c>
      <c r="H66" s="72">
        <f t="shared" si="8"/>
        <v>-205.5</v>
      </c>
      <c r="I66" s="72">
        <f t="shared" si="8"/>
        <v>-153.19999999999999</v>
      </c>
      <c r="J66" s="72">
        <f t="shared" si="8"/>
        <v>-150</v>
      </c>
      <c r="K66" s="72">
        <f t="shared" si="8"/>
        <v>-153</v>
      </c>
      <c r="L66" s="72">
        <f t="shared" si="8"/>
        <v>-141.60000000000002</v>
      </c>
      <c r="M66" s="72">
        <f t="shared" si="8"/>
        <v>-166.3</v>
      </c>
      <c r="N66" s="72">
        <f t="shared" si="8"/>
        <v>-130</v>
      </c>
      <c r="O66" s="72">
        <f t="shared" si="8"/>
        <v>-3.6000000000000085</v>
      </c>
      <c r="P66" s="72">
        <f t="shared" si="8"/>
        <v>108.6</v>
      </c>
      <c r="Q66" s="72">
        <f t="shared" si="8"/>
        <v>100.3</v>
      </c>
      <c r="R66" s="72">
        <f t="shared" si="8"/>
        <v>161.6</v>
      </c>
      <c r="S66" s="72">
        <f t="shared" si="8"/>
        <v>109.69999999999999</v>
      </c>
      <c r="T66" s="72">
        <f t="shared" si="8"/>
        <v>137.1</v>
      </c>
      <c r="U66" s="72">
        <f t="shared" si="8"/>
        <v>-70</v>
      </c>
      <c r="V66" s="72">
        <f t="shared" si="8"/>
        <v>-108</v>
      </c>
      <c r="W66" s="72">
        <f t="shared" si="8"/>
        <v>-117.9</v>
      </c>
      <c r="X66" s="72">
        <f t="shared" si="8"/>
        <v>-21.700000000000003</v>
      </c>
      <c r="Y66" s="72">
        <f t="shared" si="8"/>
        <v>-36.699999999999989</v>
      </c>
      <c r="Z66" s="72">
        <f t="shared" si="8"/>
        <v>-126.4</v>
      </c>
      <c r="AA66" s="72">
        <f t="shared" si="8"/>
        <v>-105.9</v>
      </c>
      <c r="AB66" s="72">
        <f t="shared" si="8"/>
        <v>-189.6</v>
      </c>
      <c r="AC66" s="72">
        <f t="shared" si="8"/>
        <v>-200.70000000000002</v>
      </c>
      <c r="AD66" s="72">
        <f t="shared" si="8"/>
        <v>-234.70000000000002</v>
      </c>
      <c r="AE66" s="72">
        <f t="shared" si="8"/>
        <v>-205.4</v>
      </c>
      <c r="AF66" s="72">
        <f t="shared" si="8"/>
        <v>-197.8</v>
      </c>
      <c r="AG66" s="77">
        <f>SUM(AG55:AG65)</f>
        <v>0</v>
      </c>
      <c r="AH66" s="55">
        <f t="shared" si="2"/>
        <v>161.6</v>
      </c>
      <c r="AI66" s="56">
        <f t="shared" si="3"/>
        <v>-250.3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1129.94</v>
      </c>
      <c r="C71" s="87">
        <f t="shared" ref="C71:AG71" si="10">C66+C54+C50+C36+C70</f>
        <v>1137.54</v>
      </c>
      <c r="D71" s="87">
        <f t="shared" si="10"/>
        <v>1110.8399999999999</v>
      </c>
      <c r="E71" s="87">
        <f t="shared" si="10"/>
        <v>1076.54</v>
      </c>
      <c r="F71" s="87">
        <f t="shared" si="10"/>
        <v>1116.8399999999999</v>
      </c>
      <c r="G71" s="87">
        <f t="shared" si="10"/>
        <v>1139.8400000000001</v>
      </c>
      <c r="H71" s="87">
        <f t="shared" si="10"/>
        <v>1166.04</v>
      </c>
      <c r="I71" s="87">
        <f t="shared" si="10"/>
        <v>1196.1400000000001</v>
      </c>
      <c r="J71" s="87">
        <f t="shared" si="10"/>
        <v>1193.1399999999999</v>
      </c>
      <c r="K71" s="87">
        <f t="shared" si="10"/>
        <v>1229.8399999999999</v>
      </c>
      <c r="L71" s="87">
        <f t="shared" si="10"/>
        <v>1269.94</v>
      </c>
      <c r="M71" s="87">
        <f t="shared" si="10"/>
        <v>1289.04</v>
      </c>
      <c r="N71" s="87">
        <f t="shared" si="10"/>
        <v>1300.8400000000001</v>
      </c>
      <c r="O71" s="87">
        <f t="shared" si="10"/>
        <v>1313.74</v>
      </c>
      <c r="P71" s="87">
        <f t="shared" si="10"/>
        <v>1252.3399999999999</v>
      </c>
      <c r="Q71" s="87">
        <f t="shared" si="10"/>
        <v>1248.04</v>
      </c>
      <c r="R71" s="87">
        <f t="shared" si="10"/>
        <v>1306.04</v>
      </c>
      <c r="S71" s="87">
        <f t="shared" si="10"/>
        <v>1252.54</v>
      </c>
      <c r="T71" s="87">
        <f t="shared" si="10"/>
        <v>1280.94</v>
      </c>
      <c r="U71" s="87">
        <f t="shared" si="10"/>
        <v>1270.8399999999999</v>
      </c>
      <c r="V71" s="87">
        <f t="shared" si="10"/>
        <v>1288.94</v>
      </c>
      <c r="W71" s="87">
        <f t="shared" si="10"/>
        <v>1407.04</v>
      </c>
      <c r="X71" s="87">
        <f t="shared" si="10"/>
        <v>1509.44</v>
      </c>
      <c r="Y71" s="87">
        <f t="shared" si="10"/>
        <v>1490.94</v>
      </c>
      <c r="Z71" s="87">
        <f t="shared" si="10"/>
        <v>1477.24</v>
      </c>
      <c r="AA71" s="87">
        <f t="shared" si="10"/>
        <v>1411.0300000000002</v>
      </c>
      <c r="AB71" s="87">
        <f t="shared" si="10"/>
        <v>1404.13</v>
      </c>
      <c r="AC71" s="87">
        <f t="shared" si="10"/>
        <v>1367.3300000000002</v>
      </c>
      <c r="AD71" s="87">
        <f t="shared" si="10"/>
        <v>1269.8300000000002</v>
      </c>
      <c r="AE71" s="87">
        <f t="shared" si="10"/>
        <v>1206.73</v>
      </c>
      <c r="AF71" s="87">
        <f t="shared" si="10"/>
        <v>1189.1300000000001</v>
      </c>
      <c r="AG71" s="87">
        <f t="shared" si="10"/>
        <v>2083.14</v>
      </c>
      <c r="AH71" s="55">
        <f t="shared" si="2"/>
        <v>1509.44</v>
      </c>
      <c r="AI71" s="56">
        <f t="shared" si="3"/>
        <v>1076.54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1129.94</v>
      </c>
      <c r="C73" s="87">
        <f t="shared" ref="C73:AF73" si="11">C70+C66+C54+C50+C36+C72</f>
        <v>1137.54</v>
      </c>
      <c r="D73" s="87">
        <f t="shared" si="11"/>
        <v>1110.8399999999999</v>
      </c>
      <c r="E73" s="87">
        <f t="shared" si="11"/>
        <v>1076.54</v>
      </c>
      <c r="F73" s="87">
        <f t="shared" si="11"/>
        <v>1116.8399999999999</v>
      </c>
      <c r="G73" s="87">
        <f t="shared" si="11"/>
        <v>1139.8400000000001</v>
      </c>
      <c r="H73" s="87">
        <f t="shared" si="11"/>
        <v>1166.04</v>
      </c>
      <c r="I73" s="87">
        <f t="shared" si="11"/>
        <v>1196.1400000000001</v>
      </c>
      <c r="J73" s="87">
        <f t="shared" si="11"/>
        <v>1193.1399999999999</v>
      </c>
      <c r="K73" s="87">
        <f t="shared" si="11"/>
        <v>1229.8399999999999</v>
      </c>
      <c r="L73" s="87">
        <f t="shared" si="11"/>
        <v>1269.94</v>
      </c>
      <c r="M73" s="87">
        <f t="shared" si="11"/>
        <v>1289.04</v>
      </c>
      <c r="N73" s="87">
        <f t="shared" si="11"/>
        <v>1300.8400000000001</v>
      </c>
      <c r="O73" s="87">
        <f t="shared" si="11"/>
        <v>1313.74</v>
      </c>
      <c r="P73" s="87">
        <f t="shared" si="11"/>
        <v>1252.3399999999999</v>
      </c>
      <c r="Q73" s="87">
        <f t="shared" si="11"/>
        <v>1248.04</v>
      </c>
      <c r="R73" s="87">
        <f t="shared" si="11"/>
        <v>1306.04</v>
      </c>
      <c r="S73" s="87">
        <f t="shared" si="11"/>
        <v>1252.54</v>
      </c>
      <c r="T73" s="87">
        <f t="shared" si="11"/>
        <v>1280.94</v>
      </c>
      <c r="U73" s="87">
        <f t="shared" si="11"/>
        <v>1270.8399999999999</v>
      </c>
      <c r="V73" s="87">
        <f t="shared" si="11"/>
        <v>1288.94</v>
      </c>
      <c r="W73" s="87">
        <f t="shared" si="11"/>
        <v>1407.04</v>
      </c>
      <c r="X73" s="87">
        <f t="shared" si="11"/>
        <v>1509.44</v>
      </c>
      <c r="Y73" s="87">
        <f t="shared" si="11"/>
        <v>1490.94</v>
      </c>
      <c r="Z73" s="87">
        <f t="shared" si="11"/>
        <v>1477.24</v>
      </c>
      <c r="AA73" s="87">
        <f t="shared" si="11"/>
        <v>1411.0300000000002</v>
      </c>
      <c r="AB73" s="87">
        <f t="shared" si="11"/>
        <v>1404.13</v>
      </c>
      <c r="AC73" s="87">
        <f t="shared" si="11"/>
        <v>1367.3300000000002</v>
      </c>
      <c r="AD73" s="87">
        <f t="shared" si="11"/>
        <v>1269.8300000000002</v>
      </c>
      <c r="AE73" s="87">
        <f t="shared" si="11"/>
        <v>1206.73</v>
      </c>
      <c r="AF73" s="87">
        <f t="shared" si="11"/>
        <v>1189.1300000000001</v>
      </c>
      <c r="AG73" s="77">
        <f>AG70+AG66+AG54+AG50+AG36+AG72</f>
        <v>2083.14</v>
      </c>
      <c r="AH73" s="55">
        <f t="shared" si="2"/>
        <v>1509.44</v>
      </c>
      <c r="AI73" s="56">
        <f t="shared" si="3"/>
        <v>1076.54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36</v>
      </c>
      <c r="C74" s="59">
        <f t="shared" ref="C74:AF74" si="12">IF(C58&lt;0,C58*-1,0)</f>
        <v>35</v>
      </c>
      <c r="D74" s="59">
        <f t="shared" si="12"/>
        <v>36</v>
      </c>
      <c r="E74" s="59">
        <f t="shared" si="12"/>
        <v>34</v>
      </c>
      <c r="F74" s="59">
        <f t="shared" si="12"/>
        <v>34</v>
      </c>
      <c r="G74" s="59">
        <f t="shared" si="12"/>
        <v>33</v>
      </c>
      <c r="H74" s="59">
        <f t="shared" si="12"/>
        <v>33</v>
      </c>
      <c r="I74" s="59">
        <f t="shared" si="12"/>
        <v>37</v>
      </c>
      <c r="J74" s="59">
        <f t="shared" si="12"/>
        <v>37</v>
      </c>
      <c r="K74" s="59">
        <f t="shared" si="12"/>
        <v>35</v>
      </c>
      <c r="L74" s="59">
        <f t="shared" si="12"/>
        <v>28.4</v>
      </c>
      <c r="M74" s="59">
        <f t="shared" si="12"/>
        <v>28.9</v>
      </c>
      <c r="N74" s="59">
        <f t="shared" si="12"/>
        <v>27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35</v>
      </c>
      <c r="W74" s="59">
        <f t="shared" si="12"/>
        <v>44</v>
      </c>
      <c r="X74" s="59">
        <f t="shared" si="12"/>
        <v>40</v>
      </c>
      <c r="Y74" s="59">
        <f t="shared" si="12"/>
        <v>38</v>
      </c>
      <c r="Z74" s="59">
        <f t="shared" si="12"/>
        <v>39</v>
      </c>
      <c r="AA74" s="59">
        <f t="shared" si="12"/>
        <v>44</v>
      </c>
      <c r="AB74" s="59">
        <f t="shared" si="12"/>
        <v>44</v>
      </c>
      <c r="AC74" s="59">
        <f t="shared" si="12"/>
        <v>40</v>
      </c>
      <c r="AD74" s="59">
        <f t="shared" si="12"/>
        <v>40</v>
      </c>
      <c r="AE74" s="59">
        <f t="shared" si="12"/>
        <v>32</v>
      </c>
      <c r="AF74" s="59">
        <f t="shared" si="12"/>
        <v>30</v>
      </c>
      <c r="AG74" s="63"/>
      <c r="AH74" s="55">
        <f t="shared" si="2"/>
        <v>44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111</v>
      </c>
      <c r="C75" s="59">
        <f t="shared" ref="C75:AF75" si="13">IF(C56&lt;0,C56*-1,0)</f>
        <v>107</v>
      </c>
      <c r="D75" s="59">
        <f t="shared" si="13"/>
        <v>107</v>
      </c>
      <c r="E75" s="59">
        <f t="shared" si="13"/>
        <v>104</v>
      </c>
      <c r="F75" s="59">
        <f t="shared" si="13"/>
        <v>100</v>
      </c>
      <c r="G75" s="59">
        <f t="shared" si="13"/>
        <v>101</v>
      </c>
      <c r="H75" s="59">
        <f t="shared" si="13"/>
        <v>72.5</v>
      </c>
      <c r="I75" s="59">
        <f t="shared" si="13"/>
        <v>58.5</v>
      </c>
      <c r="J75" s="59">
        <f t="shared" si="13"/>
        <v>59.5</v>
      </c>
      <c r="K75" s="59">
        <f t="shared" si="13"/>
        <v>56</v>
      </c>
      <c r="L75" s="59">
        <f t="shared" si="13"/>
        <v>57.6</v>
      </c>
      <c r="M75" s="59">
        <f t="shared" si="13"/>
        <v>53.7</v>
      </c>
      <c r="N75" s="59">
        <f t="shared" si="13"/>
        <v>52.1</v>
      </c>
      <c r="O75" s="59">
        <f t="shared" si="13"/>
        <v>64.900000000000006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26.7</v>
      </c>
      <c r="W75" s="59">
        <f t="shared" si="13"/>
        <v>91.7</v>
      </c>
      <c r="X75" s="59">
        <f t="shared" si="13"/>
        <v>87</v>
      </c>
      <c r="Y75" s="59">
        <f t="shared" si="13"/>
        <v>66.8</v>
      </c>
      <c r="Z75" s="59">
        <f t="shared" si="13"/>
        <v>70.5</v>
      </c>
      <c r="AA75" s="59">
        <f t="shared" si="13"/>
        <v>73.900000000000006</v>
      </c>
      <c r="AB75" s="59">
        <f t="shared" si="13"/>
        <v>71.599999999999994</v>
      </c>
      <c r="AC75" s="59">
        <f t="shared" si="13"/>
        <v>74.599999999999994</v>
      </c>
      <c r="AD75" s="59">
        <f t="shared" si="13"/>
        <v>72.3</v>
      </c>
      <c r="AE75" s="59">
        <f t="shared" si="13"/>
        <v>62</v>
      </c>
      <c r="AF75" s="59">
        <f t="shared" si="13"/>
        <v>66</v>
      </c>
      <c r="AG75" s="67"/>
      <c r="AH75" s="55">
        <f t="shared" si="2"/>
        <v>111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71</v>
      </c>
      <c r="C76" s="59">
        <f t="shared" ref="C76:AF76" si="14">IF(C59&lt;0,C59*-1,0)</f>
        <v>70</v>
      </c>
      <c r="D76" s="59">
        <f t="shared" si="14"/>
        <v>68.400000000000006</v>
      </c>
      <c r="E76" s="59">
        <f t="shared" si="14"/>
        <v>70</v>
      </c>
      <c r="F76" s="59">
        <f t="shared" si="14"/>
        <v>67.900000000000006</v>
      </c>
      <c r="G76" s="59">
        <f t="shared" si="14"/>
        <v>67.8</v>
      </c>
      <c r="H76" s="59">
        <f t="shared" si="14"/>
        <v>58</v>
      </c>
      <c r="I76" s="59">
        <f t="shared" si="14"/>
        <v>50</v>
      </c>
      <c r="J76" s="59">
        <f t="shared" si="14"/>
        <v>49</v>
      </c>
      <c r="K76" s="59">
        <f t="shared" si="14"/>
        <v>47</v>
      </c>
      <c r="L76" s="59">
        <f t="shared" si="14"/>
        <v>43.7</v>
      </c>
      <c r="M76" s="59">
        <f t="shared" si="14"/>
        <v>48.1</v>
      </c>
      <c r="N76" s="59">
        <f t="shared" si="14"/>
        <v>45.1</v>
      </c>
      <c r="O76" s="59">
        <f t="shared" si="14"/>
        <v>48.3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46.3</v>
      </c>
      <c r="W76" s="59">
        <f t="shared" si="14"/>
        <v>59.9</v>
      </c>
      <c r="X76" s="59">
        <f t="shared" si="14"/>
        <v>68.7</v>
      </c>
      <c r="Y76" s="59">
        <f t="shared" si="14"/>
        <v>76.099999999999994</v>
      </c>
      <c r="Z76" s="59">
        <f t="shared" si="14"/>
        <v>75.5</v>
      </c>
      <c r="AA76" s="59">
        <f t="shared" si="14"/>
        <v>76</v>
      </c>
      <c r="AB76" s="59">
        <f t="shared" si="14"/>
        <v>75.8</v>
      </c>
      <c r="AC76" s="59">
        <f t="shared" si="14"/>
        <v>74.900000000000006</v>
      </c>
      <c r="AD76" s="59">
        <f t="shared" si="14"/>
        <v>75.400000000000006</v>
      </c>
      <c r="AE76" s="59">
        <f t="shared" si="14"/>
        <v>77.400000000000006</v>
      </c>
      <c r="AF76" s="59">
        <f t="shared" si="14"/>
        <v>65.3</v>
      </c>
      <c r="AG76" s="90"/>
      <c r="AH76" s="55">
        <f t="shared" si="2"/>
        <v>77.400000000000006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22</v>
      </c>
      <c r="C77" s="59">
        <f t="shared" ref="C77:AF77" si="15">IF(C57&lt;0,C57*-1,0)</f>
        <v>21</v>
      </c>
      <c r="D77" s="59">
        <f t="shared" si="15"/>
        <v>34</v>
      </c>
      <c r="E77" s="59">
        <f t="shared" si="15"/>
        <v>42.3</v>
      </c>
      <c r="F77" s="59">
        <f t="shared" si="15"/>
        <v>15.3</v>
      </c>
      <c r="G77" s="59">
        <f t="shared" si="15"/>
        <v>12</v>
      </c>
      <c r="H77" s="59">
        <f t="shared" si="15"/>
        <v>42</v>
      </c>
      <c r="I77" s="59">
        <f t="shared" si="15"/>
        <v>7.7</v>
      </c>
      <c r="J77" s="59">
        <f t="shared" si="15"/>
        <v>4.5</v>
      </c>
      <c r="K77" s="59">
        <f t="shared" si="15"/>
        <v>15</v>
      </c>
      <c r="L77" s="59">
        <f t="shared" si="15"/>
        <v>11.9</v>
      </c>
      <c r="M77" s="59">
        <f t="shared" si="15"/>
        <v>35.6</v>
      </c>
      <c r="N77" s="59">
        <f t="shared" si="15"/>
        <v>5.8</v>
      </c>
      <c r="O77" s="59">
        <f t="shared" si="15"/>
        <v>0</v>
      </c>
      <c r="P77" s="59">
        <f t="shared" si="15"/>
        <v>0</v>
      </c>
      <c r="Q77" s="59">
        <f t="shared" si="15"/>
        <v>0</v>
      </c>
      <c r="R77" s="59">
        <f t="shared" si="15"/>
        <v>0</v>
      </c>
      <c r="S77" s="59">
        <f t="shared" si="15"/>
        <v>0</v>
      </c>
      <c r="T77" s="59">
        <f t="shared" si="15"/>
        <v>0</v>
      </c>
      <c r="U77" s="59">
        <f t="shared" si="15"/>
        <v>70</v>
      </c>
      <c r="V77" s="59">
        <f t="shared" si="15"/>
        <v>0</v>
      </c>
      <c r="W77" s="59">
        <f t="shared" si="15"/>
        <v>0</v>
      </c>
      <c r="X77" s="59">
        <f t="shared" si="15"/>
        <v>0</v>
      </c>
      <c r="Y77" s="59">
        <f t="shared" si="15"/>
        <v>0</v>
      </c>
      <c r="Z77" s="59">
        <f t="shared" si="15"/>
        <v>0.6</v>
      </c>
      <c r="AA77" s="59">
        <f t="shared" si="15"/>
        <v>0</v>
      </c>
      <c r="AB77" s="59">
        <f t="shared" si="15"/>
        <v>17</v>
      </c>
      <c r="AC77" s="59">
        <f t="shared" si="15"/>
        <v>39</v>
      </c>
      <c r="AD77" s="59">
        <f t="shared" si="15"/>
        <v>57</v>
      </c>
      <c r="AE77" s="59">
        <f t="shared" si="15"/>
        <v>44</v>
      </c>
      <c r="AF77" s="59">
        <f t="shared" si="15"/>
        <v>46.5</v>
      </c>
      <c r="AG77" s="90"/>
      <c r="AH77" s="55">
        <f t="shared" ref="AH77:AH89" si="16">MAX(B77:AF77)</f>
        <v>70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240</v>
      </c>
      <c r="C80" s="72">
        <f t="shared" si="19"/>
        <v>233</v>
      </c>
      <c r="D80" s="72">
        <f t="shared" si="19"/>
        <v>245.4</v>
      </c>
      <c r="E80" s="72">
        <f t="shared" si="19"/>
        <v>250.3</v>
      </c>
      <c r="F80" s="72">
        <f t="shared" si="19"/>
        <v>217.20000000000002</v>
      </c>
      <c r="G80" s="72">
        <f t="shared" si="19"/>
        <v>213.8</v>
      </c>
      <c r="H80" s="72">
        <f t="shared" si="19"/>
        <v>205.5</v>
      </c>
      <c r="I80" s="72">
        <f t="shared" si="19"/>
        <v>153.19999999999999</v>
      </c>
      <c r="J80" s="72">
        <f t="shared" si="19"/>
        <v>150</v>
      </c>
      <c r="K80" s="72">
        <f t="shared" si="19"/>
        <v>153</v>
      </c>
      <c r="L80" s="72">
        <f t="shared" si="19"/>
        <v>141.6</v>
      </c>
      <c r="M80" s="72">
        <f t="shared" si="19"/>
        <v>166.29999999999998</v>
      </c>
      <c r="N80" s="72">
        <f t="shared" si="19"/>
        <v>130</v>
      </c>
      <c r="O80" s="72">
        <f t="shared" si="19"/>
        <v>113.2</v>
      </c>
      <c r="P80" s="72">
        <f t="shared" si="19"/>
        <v>0</v>
      </c>
      <c r="Q80" s="72">
        <f t="shared" si="19"/>
        <v>0</v>
      </c>
      <c r="R80" s="72">
        <f t="shared" si="19"/>
        <v>0</v>
      </c>
      <c r="S80" s="72">
        <f t="shared" si="19"/>
        <v>0</v>
      </c>
      <c r="T80" s="72">
        <f t="shared" si="19"/>
        <v>0</v>
      </c>
      <c r="U80" s="72">
        <f t="shared" si="19"/>
        <v>70</v>
      </c>
      <c r="V80" s="72">
        <f t="shared" si="19"/>
        <v>108</v>
      </c>
      <c r="W80" s="72">
        <f t="shared" si="19"/>
        <v>195.6</v>
      </c>
      <c r="X80" s="72">
        <f t="shared" si="19"/>
        <v>195.7</v>
      </c>
      <c r="Y80" s="72">
        <f t="shared" si="19"/>
        <v>180.89999999999998</v>
      </c>
      <c r="Z80" s="72">
        <f t="shared" si="19"/>
        <v>185.6</v>
      </c>
      <c r="AA80" s="72">
        <f t="shared" si="19"/>
        <v>193.9</v>
      </c>
      <c r="AB80" s="72">
        <f t="shared" si="19"/>
        <v>208.39999999999998</v>
      </c>
      <c r="AC80" s="72">
        <f t="shared" si="19"/>
        <v>228.5</v>
      </c>
      <c r="AD80" s="72">
        <f t="shared" si="19"/>
        <v>244.7</v>
      </c>
      <c r="AE80" s="72">
        <f t="shared" si="19"/>
        <v>215.4</v>
      </c>
      <c r="AF80" s="72">
        <f t="shared" si="19"/>
        <v>207.8</v>
      </c>
      <c r="AG80" s="77">
        <f t="shared" si="19"/>
        <v>0</v>
      </c>
      <c r="AH80" s="55">
        <f t="shared" si="16"/>
        <v>250.3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2739.88</v>
      </c>
      <c r="C81" s="72">
        <f t="shared" si="20"/>
        <v>2741.08</v>
      </c>
      <c r="D81" s="72">
        <f t="shared" si="20"/>
        <v>2712.48</v>
      </c>
      <c r="E81" s="72">
        <f t="shared" si="20"/>
        <v>2653.6800000000003</v>
      </c>
      <c r="F81" s="72">
        <f t="shared" si="20"/>
        <v>2668.08</v>
      </c>
      <c r="G81" s="72">
        <f t="shared" si="20"/>
        <v>2707.2800000000007</v>
      </c>
      <c r="H81" s="72">
        <f t="shared" si="20"/>
        <v>2743.08</v>
      </c>
      <c r="I81" s="72">
        <f t="shared" si="20"/>
        <v>2698.68</v>
      </c>
      <c r="J81" s="72">
        <f t="shared" si="20"/>
        <v>2686.2799999999997</v>
      </c>
      <c r="K81" s="72">
        <f t="shared" si="20"/>
        <v>2765.68</v>
      </c>
      <c r="L81" s="72">
        <f t="shared" si="20"/>
        <v>2823.08</v>
      </c>
      <c r="M81" s="72">
        <f t="shared" si="20"/>
        <v>2910.68</v>
      </c>
      <c r="N81" s="72">
        <f t="shared" si="20"/>
        <v>2861.6800000000003</v>
      </c>
      <c r="O81" s="72">
        <f t="shared" si="20"/>
        <v>2853.88</v>
      </c>
      <c r="P81" s="72">
        <f t="shared" si="20"/>
        <v>2504.6799999999998</v>
      </c>
      <c r="Q81" s="72">
        <f t="shared" si="20"/>
        <v>2496.08</v>
      </c>
      <c r="R81" s="72">
        <f t="shared" si="20"/>
        <v>2612.08</v>
      </c>
      <c r="S81" s="72">
        <f t="shared" si="20"/>
        <v>2505.08</v>
      </c>
      <c r="T81" s="72">
        <f t="shared" si="20"/>
        <v>2561.88</v>
      </c>
      <c r="U81" s="72">
        <f t="shared" si="20"/>
        <v>2681.68</v>
      </c>
      <c r="V81" s="72">
        <f t="shared" si="20"/>
        <v>2793.88</v>
      </c>
      <c r="W81" s="72">
        <f t="shared" si="20"/>
        <v>3205.2799999999997</v>
      </c>
      <c r="X81" s="72">
        <f t="shared" si="20"/>
        <v>3410.2799999999997</v>
      </c>
      <c r="Y81" s="72">
        <f t="shared" si="20"/>
        <v>3343.6800000000003</v>
      </c>
      <c r="Z81" s="72">
        <f t="shared" si="20"/>
        <v>3325.68</v>
      </c>
      <c r="AA81" s="72">
        <f t="shared" si="20"/>
        <v>3209.8600000000006</v>
      </c>
      <c r="AB81" s="72">
        <f t="shared" si="20"/>
        <v>3225.0600000000004</v>
      </c>
      <c r="AC81" s="72">
        <f t="shared" si="20"/>
        <v>3191.6600000000003</v>
      </c>
      <c r="AD81" s="72">
        <f t="shared" si="20"/>
        <v>3029.0600000000004</v>
      </c>
      <c r="AE81" s="72">
        <f t="shared" si="20"/>
        <v>2844.26</v>
      </c>
      <c r="AF81" s="72">
        <f t="shared" si="20"/>
        <v>2793.8600000000006</v>
      </c>
      <c r="AG81" s="77">
        <f t="shared" si="20"/>
        <v>4238.08</v>
      </c>
      <c r="AH81" s="55">
        <f t="shared" si="16"/>
        <v>3410.2799999999997</v>
      </c>
      <c r="AI81" s="56">
        <f t="shared" si="17"/>
        <v>2496.08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49.96</v>
      </c>
      <c r="C82" s="93">
        <v>50.02</v>
      </c>
      <c r="D82" s="93">
        <v>50.015000000000001</v>
      </c>
      <c r="E82" s="93">
        <v>50.042000000000002</v>
      </c>
      <c r="F82" s="93">
        <v>49.95</v>
      </c>
      <c r="G82" s="93">
        <v>49.95</v>
      </c>
      <c r="H82" s="93">
        <v>50.012999999999998</v>
      </c>
      <c r="I82" s="93">
        <v>49.984000000000002</v>
      </c>
      <c r="J82" s="93">
        <v>50.012999999999998</v>
      </c>
      <c r="K82" s="93">
        <v>49.92</v>
      </c>
      <c r="L82" s="93">
        <v>50.04</v>
      </c>
      <c r="M82" s="93">
        <v>50.073999999999998</v>
      </c>
      <c r="N82" s="93">
        <v>50.073999999999998</v>
      </c>
      <c r="O82" s="93">
        <v>50.109000000000002</v>
      </c>
      <c r="P82" s="93">
        <v>50.067999999999998</v>
      </c>
      <c r="Q82" s="93">
        <v>50.033999999999999</v>
      </c>
      <c r="R82" s="93">
        <v>49.984000000000002</v>
      </c>
      <c r="S82" s="93">
        <v>49.97</v>
      </c>
      <c r="T82" s="93">
        <v>50.000999999999998</v>
      </c>
      <c r="U82" s="93">
        <v>49.975000000000001</v>
      </c>
      <c r="V82" s="93">
        <v>49.83</v>
      </c>
      <c r="W82" s="93">
        <v>49.774000000000001</v>
      </c>
      <c r="X82" s="93">
        <v>49.67</v>
      </c>
      <c r="Y82" s="93">
        <v>49.83</v>
      </c>
      <c r="Z82" s="93">
        <v>49.892000000000003</v>
      </c>
      <c r="AA82" s="93">
        <v>50.054000000000002</v>
      </c>
      <c r="AB82" s="93">
        <v>50.023000000000003</v>
      </c>
      <c r="AC82" s="93">
        <v>49.94</v>
      </c>
      <c r="AD82" s="93">
        <v>49.951000000000001</v>
      </c>
      <c r="AE82" s="93">
        <v>49.96</v>
      </c>
      <c r="AF82" s="94">
        <v>49.917000000000002</v>
      </c>
      <c r="AG82" s="95"/>
      <c r="AH82" s="55">
        <f t="shared" si="16"/>
        <v>50.109000000000002</v>
      </c>
      <c r="AI82" s="56">
        <f t="shared" si="17"/>
        <v>49.67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121</v>
      </c>
      <c r="C83" s="52">
        <v>121</v>
      </c>
      <c r="D83" s="52">
        <v>120.7</v>
      </c>
      <c r="E83" s="52">
        <v>122.4</v>
      </c>
      <c r="F83" s="52">
        <v>121</v>
      </c>
      <c r="G83" s="52">
        <v>121</v>
      </c>
      <c r="H83" s="52">
        <v>122.3</v>
      </c>
      <c r="I83" s="52">
        <v>121.9</v>
      </c>
      <c r="J83" s="52">
        <v>121.9</v>
      </c>
      <c r="K83" s="52">
        <v>121.9</v>
      </c>
      <c r="L83" s="52">
        <v>121.7</v>
      </c>
      <c r="M83" s="52">
        <v>120.7</v>
      </c>
      <c r="N83" s="52">
        <v>120.7</v>
      </c>
      <c r="O83" s="52">
        <v>123.6</v>
      </c>
      <c r="P83" s="52">
        <v>125</v>
      </c>
      <c r="Q83" s="52">
        <v>125.8</v>
      </c>
      <c r="R83" s="52">
        <v>125.1</v>
      </c>
      <c r="S83" s="52">
        <v>125.3</v>
      </c>
      <c r="T83" s="97">
        <v>125</v>
      </c>
      <c r="U83" s="97">
        <v>124.6</v>
      </c>
      <c r="V83" s="97">
        <v>123.1</v>
      </c>
      <c r="W83" s="97">
        <v>122.4</v>
      </c>
      <c r="X83" s="97">
        <v>122.2</v>
      </c>
      <c r="Y83" s="97">
        <v>123.1</v>
      </c>
      <c r="Z83" s="97">
        <v>121.5</v>
      </c>
      <c r="AA83" s="52">
        <v>122.7</v>
      </c>
      <c r="AB83" s="52">
        <v>122</v>
      </c>
      <c r="AC83" s="52">
        <v>122.1</v>
      </c>
      <c r="AD83" s="52">
        <v>122.7</v>
      </c>
      <c r="AE83" s="52">
        <v>123.6</v>
      </c>
      <c r="AF83" s="98">
        <v>123.6</v>
      </c>
      <c r="AG83" s="99"/>
      <c r="AH83" s="55">
        <f t="shared" si="16"/>
        <v>125.8</v>
      </c>
      <c r="AI83" s="56">
        <f t="shared" si="17"/>
        <v>120.7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126.4</v>
      </c>
      <c r="C84" s="52">
        <v>127</v>
      </c>
      <c r="D84" s="52">
        <v>126.7</v>
      </c>
      <c r="E84" s="52">
        <v>128</v>
      </c>
      <c r="F84" s="52">
        <v>126.6</v>
      </c>
      <c r="G84" s="52">
        <v>126.6</v>
      </c>
      <c r="H84" s="52">
        <v>127.3</v>
      </c>
      <c r="I84" s="52">
        <v>126.3</v>
      </c>
      <c r="J84" s="52">
        <v>126</v>
      </c>
      <c r="K84" s="52">
        <v>126</v>
      </c>
      <c r="L84" s="52">
        <v>126.2</v>
      </c>
      <c r="M84" s="52">
        <v>125.6</v>
      </c>
      <c r="N84" s="52">
        <v>125.6</v>
      </c>
      <c r="O84" s="52">
        <v>127.7</v>
      </c>
      <c r="P84" s="52">
        <v>128.19999999999999</v>
      </c>
      <c r="Q84" s="52">
        <v>128.80000000000001</v>
      </c>
      <c r="R84" s="52">
        <v>128.30000000000001</v>
      </c>
      <c r="S84" s="52">
        <v>128.6</v>
      </c>
      <c r="T84" s="97">
        <v>128.5</v>
      </c>
      <c r="U84" s="97">
        <v>128.30000000000001</v>
      </c>
      <c r="V84" s="97">
        <v>127.2</v>
      </c>
      <c r="W84" s="97">
        <v>126.6</v>
      </c>
      <c r="X84" s="97">
        <v>126.6</v>
      </c>
      <c r="Y84" s="97">
        <v>127.2</v>
      </c>
      <c r="Z84" s="97">
        <v>126.8</v>
      </c>
      <c r="AA84" s="52">
        <v>128</v>
      </c>
      <c r="AB84" s="52">
        <v>127.8</v>
      </c>
      <c r="AC84" s="52">
        <v>128.19999999999999</v>
      </c>
      <c r="AD84" s="52">
        <v>126.6</v>
      </c>
      <c r="AE84" s="52">
        <v>129.19999999999999</v>
      </c>
      <c r="AF84" s="98">
        <v>129.4</v>
      </c>
      <c r="AG84" s="99"/>
      <c r="AH84" s="55">
        <f t="shared" si="16"/>
        <v>129.4</v>
      </c>
      <c r="AI84" s="56">
        <f t="shared" si="17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125.5</v>
      </c>
      <c r="C85" s="52">
        <v>123</v>
      </c>
      <c r="D85" s="52">
        <v>125.1</v>
      </c>
      <c r="E85" s="52">
        <v>127.2</v>
      </c>
      <c r="F85" s="52">
        <v>126.8</v>
      </c>
      <c r="G85" s="52">
        <v>126.8</v>
      </c>
      <c r="H85" s="52">
        <v>127.8</v>
      </c>
      <c r="I85" s="52">
        <v>126.8</v>
      </c>
      <c r="J85" s="52">
        <v>130.19999999999999</v>
      </c>
      <c r="K85" s="52">
        <v>128.6</v>
      </c>
      <c r="L85" s="52">
        <v>128.6</v>
      </c>
      <c r="M85" s="52">
        <v>126.7</v>
      </c>
      <c r="N85" s="52">
        <v>126.7</v>
      </c>
      <c r="O85" s="52">
        <v>128.4</v>
      </c>
      <c r="P85" s="52">
        <v>129.4</v>
      </c>
      <c r="Q85" s="52">
        <v>128.80000000000001</v>
      </c>
      <c r="R85" s="52">
        <v>128.69999999999999</v>
      </c>
      <c r="S85" s="52">
        <v>128.19999999999999</v>
      </c>
      <c r="T85" s="52">
        <v>127.6</v>
      </c>
      <c r="U85" s="52">
        <v>127.1</v>
      </c>
      <c r="V85" s="52">
        <v>124.3</v>
      </c>
      <c r="W85" s="97">
        <v>123.8</v>
      </c>
      <c r="X85" s="97">
        <v>120.5</v>
      </c>
      <c r="Y85" s="52">
        <v>124.3</v>
      </c>
      <c r="Z85" s="97">
        <v>124.7</v>
      </c>
      <c r="AA85" s="52">
        <v>126.2</v>
      </c>
      <c r="AB85" s="52">
        <v>126.5</v>
      </c>
      <c r="AC85" s="52">
        <v>127</v>
      </c>
      <c r="AD85" s="52">
        <v>132.4</v>
      </c>
      <c r="AE85" s="52">
        <v>127</v>
      </c>
      <c r="AF85" s="98">
        <v>127.3</v>
      </c>
      <c r="AG85" s="99"/>
      <c r="AH85" s="55">
        <f t="shared" si="16"/>
        <v>132.4</v>
      </c>
      <c r="AI85" s="56">
        <f t="shared" si="17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129.30000000000001</v>
      </c>
      <c r="C86" s="52">
        <v>127.5</v>
      </c>
      <c r="D86" s="52">
        <v>130.4</v>
      </c>
      <c r="E86" s="52">
        <v>131.9</v>
      </c>
      <c r="F86" s="52">
        <v>131.4</v>
      </c>
      <c r="G86" s="52">
        <v>131.4</v>
      </c>
      <c r="H86" s="52">
        <v>131.5</v>
      </c>
      <c r="I86" s="52">
        <v>129.9</v>
      </c>
      <c r="J86" s="52">
        <v>132.5</v>
      </c>
      <c r="K86" s="52">
        <v>129.69999999999999</v>
      </c>
      <c r="L86" s="52">
        <v>129.30000000000001</v>
      </c>
      <c r="M86" s="52">
        <v>129.9</v>
      </c>
      <c r="N86" s="52">
        <v>129.9</v>
      </c>
      <c r="O86" s="52">
        <v>131</v>
      </c>
      <c r="P86" s="52">
        <v>132.6</v>
      </c>
      <c r="Q86" s="52">
        <v>132.4</v>
      </c>
      <c r="R86" s="52">
        <v>132.1</v>
      </c>
      <c r="S86" s="52">
        <v>131.5</v>
      </c>
      <c r="T86" s="52">
        <v>131.1</v>
      </c>
      <c r="U86" s="52">
        <v>131.1</v>
      </c>
      <c r="V86" s="52">
        <v>128.69999999999999</v>
      </c>
      <c r="W86" s="97">
        <v>127.6</v>
      </c>
      <c r="X86" s="97">
        <v>124.7</v>
      </c>
      <c r="Y86" s="52">
        <v>128.69999999999999</v>
      </c>
      <c r="Z86" s="97">
        <v>128.9</v>
      </c>
      <c r="AA86" s="52">
        <v>130.9</v>
      </c>
      <c r="AB86" s="52">
        <v>131.19999999999999</v>
      </c>
      <c r="AC86" s="52">
        <v>131.9</v>
      </c>
      <c r="AD86" s="52">
        <v>132.4</v>
      </c>
      <c r="AE86" s="52">
        <v>132.80000000000001</v>
      </c>
      <c r="AF86" s="98">
        <v>130.9</v>
      </c>
      <c r="AG86" s="99"/>
      <c r="AH86" s="55">
        <f t="shared" si="16"/>
        <v>132.80000000000001</v>
      </c>
      <c r="AI86" s="56">
        <f t="shared" si="17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</v>
      </c>
      <c r="C87" s="101">
        <v>133</v>
      </c>
      <c r="D87" s="101">
        <v>135.69999999999999</v>
      </c>
      <c r="E87" s="101">
        <v>132.30000000000001</v>
      </c>
      <c r="F87" s="101">
        <v>132.6</v>
      </c>
      <c r="G87" s="101">
        <v>132.6</v>
      </c>
      <c r="H87" s="101">
        <v>131.80000000000001</v>
      </c>
      <c r="I87" s="101">
        <v>133.69999999999999</v>
      </c>
      <c r="J87" s="101">
        <v>135.19999999999999</v>
      </c>
      <c r="K87" s="101">
        <v>135</v>
      </c>
      <c r="L87" s="101">
        <v>132.80000000000001</v>
      </c>
      <c r="M87" s="101">
        <v>133.69999999999999</v>
      </c>
      <c r="N87" s="101">
        <v>133.69999999999999</v>
      </c>
      <c r="O87" s="101">
        <v>135.5</v>
      </c>
      <c r="P87" s="101">
        <v>135.30000000000001</v>
      </c>
      <c r="Q87" s="101">
        <v>131.4</v>
      </c>
      <c r="R87" s="101">
        <v>131.1</v>
      </c>
      <c r="S87" s="101">
        <v>136.4</v>
      </c>
      <c r="T87" s="101">
        <v>133.80000000000001</v>
      </c>
      <c r="U87" s="101">
        <v>134</v>
      </c>
      <c r="V87" s="101">
        <v>133.9</v>
      </c>
      <c r="W87" s="97">
        <v>136.30000000000001</v>
      </c>
      <c r="X87" s="97">
        <v>138.19999999999999</v>
      </c>
      <c r="Y87" s="101">
        <v>133.9</v>
      </c>
      <c r="Z87" s="97">
        <v>132.6</v>
      </c>
      <c r="AA87" s="101">
        <v>130.6</v>
      </c>
      <c r="AB87" s="101">
        <v>132.9</v>
      </c>
      <c r="AC87" s="101">
        <v>131.9</v>
      </c>
      <c r="AD87" s="101">
        <v>134.80000000000001</v>
      </c>
      <c r="AE87" s="101">
        <v>133.19999999999999</v>
      </c>
      <c r="AF87" s="102">
        <v>134.30000000000001</v>
      </c>
      <c r="AG87" s="103"/>
      <c r="AH87" s="55">
        <f t="shared" si="16"/>
        <v>138.19999999999999</v>
      </c>
      <c r="AI87" s="56">
        <f t="shared" si="17"/>
        <v>130.6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132</v>
      </c>
      <c r="C88" s="52">
        <v>134</v>
      </c>
      <c r="D88" s="52">
        <v>137.69999999999999</v>
      </c>
      <c r="E88" s="52">
        <v>130.80000000000001</v>
      </c>
      <c r="F88" s="52">
        <v>131.6</v>
      </c>
      <c r="G88" s="52">
        <v>131.6</v>
      </c>
      <c r="H88" s="52">
        <v>130.69999999999999</v>
      </c>
      <c r="I88" s="52">
        <v>133</v>
      </c>
      <c r="J88" s="52">
        <v>134.19999999999999</v>
      </c>
      <c r="K88" s="52">
        <v>132.80000000000001</v>
      </c>
      <c r="L88" s="52">
        <v>129</v>
      </c>
      <c r="M88" s="52">
        <v>128.80000000000001</v>
      </c>
      <c r="N88" s="52">
        <v>128.80000000000001</v>
      </c>
      <c r="O88" s="52">
        <v>131.19999999999999</v>
      </c>
      <c r="P88" s="52">
        <v>131.69999999999999</v>
      </c>
      <c r="Q88" s="52">
        <v>129.19999999999999</v>
      </c>
      <c r="R88" s="52">
        <v>130.19999999999999</v>
      </c>
      <c r="S88" s="52">
        <v>131.69999999999999</v>
      </c>
      <c r="T88" s="52">
        <v>130</v>
      </c>
      <c r="U88" s="52">
        <v>133.80000000000001</v>
      </c>
      <c r="V88" s="52">
        <v>130.9</v>
      </c>
      <c r="W88" s="97">
        <v>134.19999999999999</v>
      </c>
      <c r="X88" s="97">
        <v>128.69999999999999</v>
      </c>
      <c r="Y88" s="52">
        <v>130.9</v>
      </c>
      <c r="Z88" s="97">
        <v>131.19999999999999</v>
      </c>
      <c r="AA88" s="52">
        <v>133.1</v>
      </c>
      <c r="AB88" s="52">
        <v>133.4</v>
      </c>
      <c r="AC88" s="52">
        <v>130</v>
      </c>
      <c r="AD88" s="52">
        <v>134.1</v>
      </c>
      <c r="AE88" s="52">
        <v>134.4</v>
      </c>
      <c r="AF88" s="98">
        <v>134.1</v>
      </c>
      <c r="AG88" s="99"/>
      <c r="AH88" s="55">
        <f t="shared" si="16"/>
        <v>137.69999999999999</v>
      </c>
      <c r="AI88" s="56">
        <f t="shared" si="17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64.5</v>
      </c>
      <c r="C89" s="104">
        <v>64.8</v>
      </c>
      <c r="D89" s="104">
        <v>64.599999999999994</v>
      </c>
      <c r="E89" s="104">
        <v>65.2</v>
      </c>
      <c r="F89" s="104">
        <v>64.5</v>
      </c>
      <c r="G89" s="104">
        <v>64.5</v>
      </c>
      <c r="H89" s="104">
        <v>64.5</v>
      </c>
      <c r="I89" s="104">
        <v>64.3</v>
      </c>
      <c r="J89" s="104">
        <v>63.9</v>
      </c>
      <c r="K89" s="104">
        <v>63.9</v>
      </c>
      <c r="L89" s="104">
        <v>64.3</v>
      </c>
      <c r="M89" s="104">
        <v>64</v>
      </c>
      <c r="N89" s="104">
        <v>64</v>
      </c>
      <c r="O89" s="104">
        <v>64.8</v>
      </c>
      <c r="P89" s="104">
        <v>64.900000000000006</v>
      </c>
      <c r="Q89" s="104">
        <v>65.2</v>
      </c>
      <c r="R89" s="104">
        <v>64.900000000000006</v>
      </c>
      <c r="S89" s="104">
        <v>65</v>
      </c>
      <c r="T89" s="104">
        <v>64.900000000000006</v>
      </c>
      <c r="U89" s="104">
        <v>64.8</v>
      </c>
      <c r="V89" s="104">
        <v>64.400000000000006</v>
      </c>
      <c r="W89" s="104">
        <v>64.2</v>
      </c>
      <c r="X89" s="104">
        <v>64.400000000000006</v>
      </c>
      <c r="Y89" s="104">
        <v>64.400000000000006</v>
      </c>
      <c r="Z89" s="104">
        <v>64.599999999999994</v>
      </c>
      <c r="AA89" s="104">
        <v>65.3</v>
      </c>
      <c r="AB89" s="104">
        <v>65.400000000000006</v>
      </c>
      <c r="AC89" s="104">
        <v>65.5</v>
      </c>
      <c r="AD89" s="104">
        <v>65.5</v>
      </c>
      <c r="AE89" s="104">
        <v>65.7</v>
      </c>
      <c r="AF89" s="105">
        <v>65.8</v>
      </c>
      <c r="AG89" s="106"/>
      <c r="AH89" s="55">
        <f t="shared" si="16"/>
        <v>65.8</v>
      </c>
      <c r="AI89" s="56">
        <f t="shared" si="17"/>
        <v>63.9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151.23999999999995</v>
      </c>
      <c r="C91" s="178">
        <f t="shared" ref="C91:AF91" si="21">SUM(C14,C17,C20:C21,C40,C42:C43,C45,C47,C92:C95,C100,C106,C112,C121,C123,C135,C142,C145:C146,C153,C155,C157,C161:C163,C165:C167,C172,C178:C179,C181:C183,C191,C196)</f>
        <v>150.23999999999995</v>
      </c>
      <c r="D91" s="178">
        <f t="shared" si="21"/>
        <v>149.73999999999998</v>
      </c>
      <c r="E91" s="178">
        <f t="shared" si="21"/>
        <v>154.43999999999997</v>
      </c>
      <c r="F91" s="111">
        <f t="shared" si="21"/>
        <v>174.33999999999997</v>
      </c>
      <c r="G91" s="111">
        <f t="shared" si="21"/>
        <v>187.33999999999997</v>
      </c>
      <c r="H91" s="111">
        <f t="shared" si="21"/>
        <v>227.33999999999997</v>
      </c>
      <c r="I91" s="111">
        <f t="shared" si="21"/>
        <v>255.43999999999994</v>
      </c>
      <c r="J91" s="111">
        <f t="shared" si="21"/>
        <v>280.83999999999997</v>
      </c>
      <c r="K91" s="111">
        <f t="shared" si="21"/>
        <v>286.83999999999997</v>
      </c>
      <c r="L91" s="111">
        <f t="shared" si="21"/>
        <v>294.14</v>
      </c>
      <c r="M91" s="111">
        <f t="shared" si="21"/>
        <v>298.04000000000002</v>
      </c>
      <c r="N91" s="111">
        <f t="shared" si="21"/>
        <v>296.44</v>
      </c>
      <c r="O91" s="111">
        <f t="shared" si="21"/>
        <v>290.44000000000005</v>
      </c>
      <c r="P91" s="111">
        <f t="shared" si="21"/>
        <v>279.84000000000003</v>
      </c>
      <c r="Q91" s="111">
        <f t="shared" si="21"/>
        <v>282.54000000000002</v>
      </c>
      <c r="R91" s="111">
        <f t="shared" si="21"/>
        <v>265.74</v>
      </c>
      <c r="S91" s="111">
        <f t="shared" si="21"/>
        <v>285.14</v>
      </c>
      <c r="T91" s="111">
        <f t="shared" si="21"/>
        <v>280.94</v>
      </c>
      <c r="U91" s="111">
        <f t="shared" si="21"/>
        <v>281.24000000000007</v>
      </c>
      <c r="V91" s="111">
        <f t="shared" si="21"/>
        <v>308.44000000000005</v>
      </c>
      <c r="W91" s="111">
        <f t="shared" si="21"/>
        <v>384.04000000000008</v>
      </c>
      <c r="X91" s="111">
        <f t="shared" si="21"/>
        <v>381.44</v>
      </c>
      <c r="Y91" s="111">
        <f t="shared" si="21"/>
        <v>340.14000000000004</v>
      </c>
      <c r="Z91" s="111">
        <f t="shared" si="21"/>
        <v>324.14000000000004</v>
      </c>
      <c r="AA91" s="111">
        <f t="shared" si="21"/>
        <v>285.73</v>
      </c>
      <c r="AB91" s="111">
        <f t="shared" si="21"/>
        <v>267.03000000000003</v>
      </c>
      <c r="AC91" s="111">
        <f t="shared" si="21"/>
        <v>242.72999999999996</v>
      </c>
      <c r="AD91" s="111">
        <f t="shared" si="21"/>
        <v>196.22999999999996</v>
      </c>
      <c r="AE91" s="111">
        <f t="shared" si="21"/>
        <v>173.62999999999997</v>
      </c>
      <c r="AF91" s="111">
        <f t="shared" si="21"/>
        <v>154.22999999999999</v>
      </c>
      <c r="AG91" s="112"/>
      <c r="AH91" s="55">
        <f>MAX(B91:AF91)</f>
        <v>384.04000000000008</v>
      </c>
      <c r="AI91" s="56">
        <f>MIN(B91:AF91)</f>
        <v>149.73999999999998</v>
      </c>
    </row>
    <row r="92" spans="1:88" x14ac:dyDescent="0.25">
      <c r="A92" s="113" t="s">
        <v>95</v>
      </c>
      <c r="B92" s="59">
        <v>30</v>
      </c>
      <c r="C92" s="59">
        <v>34</v>
      </c>
      <c r="D92" s="59">
        <v>38.1</v>
      </c>
      <c r="E92" s="59">
        <v>34.9</v>
      </c>
      <c r="F92" s="114">
        <v>36.6</v>
      </c>
      <c r="G92" s="114">
        <v>36.6</v>
      </c>
      <c r="H92" s="114">
        <v>36.4</v>
      </c>
      <c r="I92" s="114">
        <v>33.4</v>
      </c>
      <c r="J92" s="114">
        <v>31.5</v>
      </c>
      <c r="K92" s="114">
        <v>42</v>
      </c>
      <c r="L92" s="115">
        <v>38</v>
      </c>
      <c r="M92" s="114">
        <v>36.700000000000003</v>
      </c>
      <c r="N92" s="114">
        <v>43.8</v>
      </c>
      <c r="O92" s="114">
        <v>42.9</v>
      </c>
      <c r="P92" s="114">
        <v>46.6</v>
      </c>
      <c r="Q92" s="114">
        <v>37.799999999999997</v>
      </c>
      <c r="R92" s="114">
        <v>35.9</v>
      </c>
      <c r="S92" s="114">
        <v>43</v>
      </c>
      <c r="T92" s="115">
        <v>37.799999999999997</v>
      </c>
      <c r="U92" s="115">
        <v>36.6</v>
      </c>
      <c r="V92" s="115">
        <v>27.7</v>
      </c>
      <c r="W92" s="114">
        <v>15.5</v>
      </c>
      <c r="X92" s="114">
        <v>37.299999999999997</v>
      </c>
      <c r="Y92" s="114">
        <v>13.6</v>
      </c>
      <c r="Z92" s="114">
        <v>13.6</v>
      </c>
      <c r="AA92" s="115">
        <v>21.6</v>
      </c>
      <c r="AB92" s="115">
        <v>0.8</v>
      </c>
      <c r="AC92" s="115">
        <v>-1.5</v>
      </c>
      <c r="AD92" s="115">
        <v>5.4</v>
      </c>
      <c r="AE92" s="115">
        <v>21.5</v>
      </c>
      <c r="AF92" s="116">
        <v>17.3</v>
      </c>
      <c r="AG92" s="117">
        <v>75</v>
      </c>
      <c r="AH92" s="55">
        <f t="shared" ref="AH92:AH97" si="22">IF(ABS(MAX(B92:AF92))&gt;ABS(MIN(B92:AF92)),MAX(B92:AF92),MIN(B92:AF92))</f>
        <v>46.6</v>
      </c>
      <c r="AI92" s="118">
        <f t="shared" ref="AI92:AI97" si="23">INDEX($B$9:$AF$9,1,MATCH(AH92,B92:AF92,0))</f>
        <v>0.5</v>
      </c>
    </row>
    <row r="93" spans="1:88" x14ac:dyDescent="0.25">
      <c r="A93" s="119" t="s">
        <v>96</v>
      </c>
      <c r="B93" s="61">
        <v>-110</v>
      </c>
      <c r="C93" s="61">
        <v>-110</v>
      </c>
      <c r="D93" s="61">
        <v>-112</v>
      </c>
      <c r="E93" s="61">
        <v>-112</v>
      </c>
      <c r="F93" s="61">
        <v>-93</v>
      </c>
      <c r="G93" s="61">
        <v>-80</v>
      </c>
      <c r="H93" s="61">
        <v>-55</v>
      </c>
      <c r="I93" s="61">
        <v>-80</v>
      </c>
      <c r="J93" s="61">
        <v>-62</v>
      </c>
      <c r="K93" s="61">
        <v>-68</v>
      </c>
      <c r="L93" s="61">
        <v>-67</v>
      </c>
      <c r="M93" s="61">
        <v>-68</v>
      </c>
      <c r="N93" s="61">
        <v>-70.2</v>
      </c>
      <c r="O93" s="61">
        <v>-62.6</v>
      </c>
      <c r="P93" s="61">
        <v>-44</v>
      </c>
      <c r="Q93" s="61">
        <v>-36.200000000000003</v>
      </c>
      <c r="R93" s="61">
        <v>-54.9</v>
      </c>
      <c r="S93" s="61">
        <v>-44.5</v>
      </c>
      <c r="T93" s="61">
        <v>-43.1</v>
      </c>
      <c r="U93" s="61">
        <v>-54.7</v>
      </c>
      <c r="V93" s="61">
        <v>-58.8</v>
      </c>
      <c r="W93" s="61">
        <v>-5.7</v>
      </c>
      <c r="X93" s="61">
        <v>-45</v>
      </c>
      <c r="Y93" s="61">
        <v>-51</v>
      </c>
      <c r="Z93" s="61">
        <v>-62.6</v>
      </c>
      <c r="AA93" s="52">
        <v>-75.599999999999994</v>
      </c>
      <c r="AB93" s="52">
        <v>-84</v>
      </c>
      <c r="AC93" s="52">
        <v>-92</v>
      </c>
      <c r="AD93" s="52">
        <v>-110</v>
      </c>
      <c r="AE93" s="52">
        <v>-96</v>
      </c>
      <c r="AF93" s="120">
        <v>-101</v>
      </c>
      <c r="AG93" s="117">
        <v>240</v>
      </c>
      <c r="AH93" s="55">
        <f t="shared" si="22"/>
        <v>-112</v>
      </c>
      <c r="AI93" s="118">
        <f t="shared" si="23"/>
        <v>0.125</v>
      </c>
    </row>
    <row r="94" spans="1:88" x14ac:dyDescent="0.25">
      <c r="A94" s="119" t="s">
        <v>97</v>
      </c>
      <c r="B94" s="61">
        <v>-7</v>
      </c>
      <c r="C94" s="61">
        <v>-12</v>
      </c>
      <c r="D94" s="61">
        <v>-14.8</v>
      </c>
      <c r="E94" s="61">
        <v>-6.9</v>
      </c>
      <c r="F94" s="61">
        <v>-7.7</v>
      </c>
      <c r="G94" s="61">
        <v>-7.7</v>
      </c>
      <c r="H94" s="61">
        <v>7.5</v>
      </c>
      <c r="I94" s="61">
        <v>5.9</v>
      </c>
      <c r="J94" s="61">
        <v>7</v>
      </c>
      <c r="K94" s="61">
        <v>17</v>
      </c>
      <c r="L94" s="61">
        <v>18</v>
      </c>
      <c r="M94" s="61">
        <v>19.100000000000001</v>
      </c>
      <c r="N94" s="61">
        <v>17.5</v>
      </c>
      <c r="O94" s="61">
        <v>40.4</v>
      </c>
      <c r="P94" s="61">
        <v>41.1</v>
      </c>
      <c r="Q94" s="61">
        <v>41.3</v>
      </c>
      <c r="R94" s="61">
        <v>39.799999999999997</v>
      </c>
      <c r="S94" s="61">
        <v>43.5</v>
      </c>
      <c r="T94" s="61">
        <v>42.5</v>
      </c>
      <c r="U94" s="61">
        <v>41.3</v>
      </c>
      <c r="V94" s="61">
        <v>44.3</v>
      </c>
      <c r="W94" s="61">
        <v>43.4</v>
      </c>
      <c r="X94" s="61">
        <v>45.2</v>
      </c>
      <c r="Y94" s="61">
        <v>40.799999999999997</v>
      </c>
      <c r="Z94" s="61">
        <v>40</v>
      </c>
      <c r="AA94" s="52">
        <v>31.9</v>
      </c>
      <c r="AB94" s="52">
        <v>32</v>
      </c>
      <c r="AC94" s="52">
        <v>16.8</v>
      </c>
      <c r="AD94" s="52">
        <v>8</v>
      </c>
      <c r="AE94" s="52">
        <v>8.6</v>
      </c>
      <c r="AF94" s="120">
        <v>-1.6</v>
      </c>
      <c r="AG94" s="117">
        <v>60</v>
      </c>
      <c r="AH94" s="55">
        <f t="shared" si="22"/>
        <v>45.2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65.3</v>
      </c>
      <c r="J95" s="84">
        <v>73.5</v>
      </c>
      <c r="K95" s="84">
        <v>65</v>
      </c>
      <c r="L95" s="84">
        <v>67</v>
      </c>
      <c r="M95" s="84">
        <v>72.099999999999994</v>
      </c>
      <c r="N95" s="84">
        <v>67.2</v>
      </c>
      <c r="O95" s="84">
        <v>30.5</v>
      </c>
      <c r="P95" s="84">
        <v>-3.1</v>
      </c>
      <c r="Q95" s="84">
        <v>0</v>
      </c>
      <c r="R95" s="84">
        <v>5.3</v>
      </c>
      <c r="S95" s="84">
        <v>4.0999999999999996</v>
      </c>
      <c r="T95" s="84">
        <v>4.5</v>
      </c>
      <c r="U95" s="84">
        <v>18.8</v>
      </c>
      <c r="V95" s="84">
        <v>56</v>
      </c>
      <c r="W95" s="84">
        <v>91.6</v>
      </c>
      <c r="X95" s="84">
        <v>104.7</v>
      </c>
      <c r="Y95" s="84">
        <v>97.5</v>
      </c>
      <c r="Z95" s="84">
        <v>93.9</v>
      </c>
      <c r="AA95" s="122">
        <v>68.3</v>
      </c>
      <c r="AB95" s="122">
        <v>78.7</v>
      </c>
      <c r="AC95" s="122">
        <v>79.900000000000006</v>
      </c>
      <c r="AD95" s="122">
        <v>53.3</v>
      </c>
      <c r="AE95" s="122">
        <v>0</v>
      </c>
      <c r="AF95" s="123">
        <v>0</v>
      </c>
      <c r="AG95" s="124">
        <v>120</v>
      </c>
      <c r="AH95" s="55">
        <f t="shared" si="22"/>
        <v>104.7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58</v>
      </c>
      <c r="C96" s="84">
        <v>63</v>
      </c>
      <c r="D96" s="84">
        <v>58.5</v>
      </c>
      <c r="E96" s="84">
        <v>50</v>
      </c>
      <c r="F96" s="84">
        <v>74</v>
      </c>
      <c r="G96" s="84">
        <v>74</v>
      </c>
      <c r="H96" s="84">
        <v>87.4</v>
      </c>
      <c r="I96" s="84">
        <v>71.7</v>
      </c>
      <c r="J96" s="84">
        <v>75.099999999999994</v>
      </c>
      <c r="K96" s="84">
        <v>71.599999999999994</v>
      </c>
      <c r="L96" s="84">
        <v>71</v>
      </c>
      <c r="M96" s="84">
        <v>71</v>
      </c>
      <c r="N96" s="84">
        <v>71</v>
      </c>
      <c r="O96" s="84">
        <v>44.5</v>
      </c>
      <c r="P96" s="84">
        <v>15.8</v>
      </c>
      <c r="Q96" s="84">
        <v>10</v>
      </c>
      <c r="R96" s="84">
        <v>15.7</v>
      </c>
      <c r="S96" s="84">
        <v>9.3000000000000007</v>
      </c>
      <c r="T96" s="84">
        <v>18.3</v>
      </c>
      <c r="U96" s="84">
        <v>25.4</v>
      </c>
      <c r="V96" s="84">
        <v>60.2</v>
      </c>
      <c r="W96" s="84">
        <v>84.1</v>
      </c>
      <c r="X96" s="84">
        <v>93.8</v>
      </c>
      <c r="Y96" s="84">
        <v>93.7</v>
      </c>
      <c r="Z96" s="84">
        <v>85.9</v>
      </c>
      <c r="AA96" s="122">
        <v>70.099999999999994</v>
      </c>
      <c r="AB96" s="122">
        <v>79.900000000000006</v>
      </c>
      <c r="AC96" s="122">
        <v>81.400000000000006</v>
      </c>
      <c r="AD96" s="122">
        <v>65.8</v>
      </c>
      <c r="AE96" s="122">
        <v>72</v>
      </c>
      <c r="AF96" s="123">
        <v>74.900000000000006</v>
      </c>
      <c r="AG96" s="124"/>
      <c r="AH96" s="55">
        <f t="shared" si="22"/>
        <v>93.8</v>
      </c>
      <c r="AI96" s="118">
        <f t="shared" si="23"/>
        <v>0.77083333333333337</v>
      </c>
    </row>
    <row r="97" spans="1:37" ht="15.75" thickBot="1" x14ac:dyDescent="0.3">
      <c r="A97" s="121" t="s">
        <v>100</v>
      </c>
      <c r="B97" s="84">
        <v>69</v>
      </c>
      <c r="C97" s="84">
        <v>61</v>
      </c>
      <c r="D97" s="84">
        <v>65.7</v>
      </c>
      <c r="E97" s="84">
        <v>70.599999999999994</v>
      </c>
      <c r="F97" s="84">
        <v>69</v>
      </c>
      <c r="G97" s="84">
        <v>69</v>
      </c>
      <c r="H97" s="84">
        <v>66.900000000000006</v>
      </c>
      <c r="I97" s="84">
        <v>68.8</v>
      </c>
      <c r="J97" s="84">
        <v>69.2</v>
      </c>
      <c r="K97" s="84">
        <v>70</v>
      </c>
      <c r="L97" s="84">
        <v>69</v>
      </c>
      <c r="M97" s="84">
        <v>67.2</v>
      </c>
      <c r="N97" s="84">
        <v>67</v>
      </c>
      <c r="O97" s="84">
        <v>34.299999999999997</v>
      </c>
      <c r="P97" s="84">
        <v>36.4</v>
      </c>
      <c r="Q97" s="84">
        <v>32.299999999999997</v>
      </c>
      <c r="R97" s="84">
        <v>34.700000000000003</v>
      </c>
      <c r="S97" s="84">
        <v>33.6</v>
      </c>
      <c r="T97" s="84">
        <v>34.5</v>
      </c>
      <c r="U97" s="84">
        <v>34</v>
      </c>
      <c r="V97" s="84">
        <v>69.7</v>
      </c>
      <c r="W97" s="84">
        <v>86.1</v>
      </c>
      <c r="X97" s="84">
        <v>80.599999999999994</v>
      </c>
      <c r="Y97" s="84">
        <v>76</v>
      </c>
      <c r="Z97" s="84">
        <v>79.5</v>
      </c>
      <c r="AA97" s="122">
        <v>74.3</v>
      </c>
      <c r="AB97" s="122">
        <v>80</v>
      </c>
      <c r="AC97" s="122">
        <v>79.2</v>
      </c>
      <c r="AD97" s="122">
        <v>82</v>
      </c>
      <c r="AE97" s="122">
        <v>64.8</v>
      </c>
      <c r="AF97" s="123">
        <v>77.900000000000006</v>
      </c>
      <c r="AG97" s="125"/>
      <c r="AH97" s="55">
        <f t="shared" si="22"/>
        <v>86.1</v>
      </c>
      <c r="AI97" s="118">
        <f t="shared" si="23"/>
        <v>0.75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1289.04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20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2078/04/20)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2078/04/20)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1129.94</v>
      </c>
      <c r="U211" s="170">
        <f t="shared" si="52"/>
        <v>1137.54</v>
      </c>
      <c r="V211" s="170">
        <f t="shared" si="52"/>
        <v>1110.8399999999999</v>
      </c>
      <c r="W211" s="170">
        <f t="shared" si="52"/>
        <v>1076.54</v>
      </c>
      <c r="X211" s="170">
        <f t="shared" si="52"/>
        <v>1116.8399999999999</v>
      </c>
      <c r="Y211" s="170">
        <f t="shared" si="52"/>
        <v>1139.8400000000001</v>
      </c>
      <c r="Z211" s="170">
        <f t="shared" si="52"/>
        <v>1166.04</v>
      </c>
      <c r="AA211" s="170">
        <f t="shared" si="52"/>
        <v>1196.1400000000001</v>
      </c>
      <c r="AB211" s="170">
        <f t="shared" si="52"/>
        <v>1193.1399999999999</v>
      </c>
      <c r="AC211" s="170">
        <f t="shared" si="52"/>
        <v>1229.8399999999999</v>
      </c>
      <c r="AD211" s="170">
        <f t="shared" si="52"/>
        <v>1269.94</v>
      </c>
      <c r="AE211" s="170">
        <f t="shared" si="52"/>
        <v>1289.04</v>
      </c>
      <c r="AF211" s="170">
        <f t="shared" si="52"/>
        <v>1300.8400000000001</v>
      </c>
      <c r="AG211" s="170">
        <f t="shared" si="52"/>
        <v>1313.74</v>
      </c>
      <c r="AH211" s="170">
        <f t="shared" si="52"/>
        <v>1252.3399999999999</v>
      </c>
      <c r="AI211" s="170">
        <f t="shared" si="52"/>
        <v>1248.04</v>
      </c>
      <c r="AJ211" s="170">
        <f t="shared" si="52"/>
        <v>1306.04</v>
      </c>
      <c r="AK211" s="170">
        <f t="shared" si="52"/>
        <v>1252.54</v>
      </c>
      <c r="AL211" s="170">
        <f t="shared" si="52"/>
        <v>1280.94</v>
      </c>
      <c r="AM211" s="170">
        <f t="shared" si="52"/>
        <v>1270.8399999999999</v>
      </c>
      <c r="AN211" s="170">
        <f t="shared" si="52"/>
        <v>1288.94</v>
      </c>
      <c r="AO211" s="170">
        <f t="shared" si="52"/>
        <v>1407.04</v>
      </c>
      <c r="AP211" s="170">
        <f t="shared" si="52"/>
        <v>1509.44</v>
      </c>
      <c r="AQ211" s="170">
        <f t="shared" si="52"/>
        <v>1490.94</v>
      </c>
      <c r="AR211" s="170">
        <f t="shared" si="52"/>
        <v>1477.24</v>
      </c>
      <c r="AS211" s="170">
        <f t="shared" si="52"/>
        <v>1411.0300000000002</v>
      </c>
      <c r="AT211" s="170">
        <f t="shared" si="52"/>
        <v>1404.13</v>
      </c>
      <c r="AU211" s="170">
        <f t="shared" si="52"/>
        <v>1367.3300000000002</v>
      </c>
      <c r="AV211" s="170">
        <f t="shared" si="52"/>
        <v>1269.8300000000002</v>
      </c>
      <c r="AW211" s="170">
        <f t="shared" si="52"/>
        <v>1206.73</v>
      </c>
      <c r="AX211" s="170">
        <f t="shared" si="52"/>
        <v>1189.1300000000001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24" priority="477">
      <formula>S$9&gt;=20/24</formula>
    </cfRule>
    <cfRule type="expression" dxfId="4623" priority="478">
      <formula>AND(S$9&gt;=14/24,S$9&lt;20/24)</formula>
    </cfRule>
    <cfRule type="expression" dxfId="4622" priority="479">
      <formula>AND(S$9&gt;=8/24,S$9&lt;14/24)</formula>
    </cfRule>
    <cfRule type="expression" dxfId="4621" priority="480">
      <formula>S$9&lt;8/24</formula>
    </cfRule>
  </conditionalFormatting>
  <conditionalFormatting sqref="B8:AF10 AA79:AF79 B79:Q79 B54:AF54 B80:AF80 C191:AF197 L35:Q35 AE55:AF58 B66:AF70 B55:K57 M60:M65 T210:AX210 B58:N58 O37:Q37 L37:N40 B59:M59 N59:N65 O38:P40 Q40 L12:Q13 Q38:S39 L18:N26 L56:V57 W83:X89 AA82:AF89 B72:AF76 B78:AF78 B61:C65 M27:N31 Q15 L15:P17 M43:Q46 O58:Q65 R44:U44 T38:X40 L51:AF53 Z83:Z89 L11:AD11 Y12:AD13 AE13:AF13 Y15:AF30 Y38:AF41">
    <cfRule type="expression" dxfId="4620" priority="473">
      <formula>B$9&gt;=20/24</formula>
    </cfRule>
    <cfRule type="expression" dxfId="4619" priority="474">
      <formula>AND(B$9&gt;=14/24,B$9&lt;20/24)</formula>
    </cfRule>
    <cfRule type="expression" dxfId="4618" priority="475">
      <formula>AND(B$9&gt;=8/24,B$9&lt;14/24)</formula>
    </cfRule>
    <cfRule type="expression" dxfId="4617" priority="476">
      <formula>B$9&lt;8/24</formula>
    </cfRule>
  </conditionalFormatting>
  <conditionalFormatting sqref="B189:AF189">
    <cfRule type="expression" dxfId="4616" priority="469">
      <formula>B$9&gt;=20/24</formula>
    </cfRule>
    <cfRule type="expression" dxfId="4615" priority="470">
      <formula>AND(B$9&gt;=14/24,B$9&lt;20/24)</formula>
    </cfRule>
    <cfRule type="expression" dxfId="4614" priority="471">
      <formula>AND(B$9&gt;=8/24,B$9&lt;14/24)</formula>
    </cfRule>
    <cfRule type="expression" dxfId="4613" priority="472">
      <formula>B$9&lt;8/24</formula>
    </cfRule>
  </conditionalFormatting>
  <conditionalFormatting sqref="AL4:AL6">
    <cfRule type="iconSet" priority="468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4612" priority="464">
      <formula>L$9&gt;=20/24</formula>
    </cfRule>
    <cfRule type="expression" dxfId="4611" priority="465">
      <formula>AND(L$9&gt;=14/24,L$9&lt;20/24)</formula>
    </cfRule>
    <cfRule type="expression" dxfId="4610" priority="466">
      <formula>AND(L$9&gt;=8/24,L$9&lt;14/24)</formula>
    </cfRule>
    <cfRule type="expression" dxfId="4609" priority="467">
      <formula>L$9&lt;8/24</formula>
    </cfRule>
  </conditionalFormatting>
  <conditionalFormatting sqref="L41:Q41">
    <cfRule type="expression" dxfId="4608" priority="460">
      <formula>L$9&gt;=20/24</formula>
    </cfRule>
    <cfRule type="expression" dxfId="4607" priority="461">
      <formula>AND(L$9&gt;=14/24,L$9&lt;20/24)</formula>
    </cfRule>
    <cfRule type="expression" dxfId="4606" priority="462">
      <formula>AND(L$9&gt;=8/24,L$9&lt;14/24)</formula>
    </cfRule>
    <cfRule type="expression" dxfId="4605" priority="463">
      <formula>L$9&lt;8/24</formula>
    </cfRule>
  </conditionalFormatting>
  <conditionalFormatting sqref="Y31:AF31">
    <cfRule type="expression" dxfId="4604" priority="456">
      <formula>Y$9&gt;=20/24</formula>
    </cfRule>
    <cfRule type="expression" dxfId="4603" priority="457">
      <formula>AND(Y$9&gt;=14/24,Y$9&lt;20/24)</formula>
    </cfRule>
    <cfRule type="expression" dxfId="4602" priority="458">
      <formula>AND(Y$9&gt;=8/24,Y$9&lt;14/24)</formula>
    </cfRule>
    <cfRule type="expression" dxfId="4601" priority="459">
      <formula>Y$9&lt;8/24</formula>
    </cfRule>
  </conditionalFormatting>
  <conditionalFormatting sqref="R37:AD37">
    <cfRule type="expression" dxfId="4600" priority="452">
      <formula>R$9&gt;=20/24</formula>
    </cfRule>
    <cfRule type="expression" dxfId="4599" priority="453">
      <formula>AND(R$9&gt;=14/24,R$9&lt;20/24)</formula>
    </cfRule>
    <cfRule type="expression" dxfId="4598" priority="454">
      <formula>AND(R$9&gt;=8/24,R$9&lt;14/24)</formula>
    </cfRule>
    <cfRule type="expression" dxfId="4597" priority="455">
      <formula>R$9&lt;8/24</formula>
    </cfRule>
  </conditionalFormatting>
  <conditionalFormatting sqref="R55:AD55">
    <cfRule type="expression" dxfId="4596" priority="448">
      <formula>R$9&gt;=20/24</formula>
    </cfRule>
    <cfRule type="expression" dxfId="4595" priority="449">
      <formula>AND(R$9&gt;=14/24,R$9&lt;20/24)</formula>
    </cfRule>
    <cfRule type="expression" dxfId="4594" priority="450">
      <formula>AND(R$9&gt;=8/24,R$9&lt;14/24)</formula>
    </cfRule>
    <cfRule type="expression" dxfId="4593" priority="451">
      <formula>R$9&lt;8/24</formula>
    </cfRule>
  </conditionalFormatting>
  <conditionalFormatting sqref="R79:Z79">
    <cfRule type="expression" dxfId="4592" priority="444">
      <formula>R$9&gt;=20/24</formula>
    </cfRule>
    <cfRule type="expression" dxfId="4591" priority="445">
      <formula>AND(R$9&gt;=14/24,R$9&lt;20/24)</formula>
    </cfRule>
    <cfRule type="expression" dxfId="4590" priority="446">
      <formula>AND(R$9&gt;=8/24,R$9&lt;14/24)</formula>
    </cfRule>
    <cfRule type="expression" dxfId="4589" priority="447">
      <formula>R$9&lt;8/24</formula>
    </cfRule>
  </conditionalFormatting>
  <conditionalFormatting sqref="T82:X82 Z82">
    <cfRule type="expression" dxfId="4588" priority="440">
      <formula>T$9&gt;=20/24</formula>
    </cfRule>
    <cfRule type="expression" dxfId="4587" priority="441">
      <formula>AND(T$9&gt;=14/24,T$9&lt;20/24)</formula>
    </cfRule>
    <cfRule type="expression" dxfId="4586" priority="442">
      <formula>AND(T$9&gt;=8/24,T$9&lt;14/24)</formula>
    </cfRule>
    <cfRule type="expression" dxfId="4585" priority="443">
      <formula>T$9&lt;8/24</formula>
    </cfRule>
  </conditionalFormatting>
  <conditionalFormatting sqref="M33:N33">
    <cfRule type="expression" dxfId="4584" priority="436">
      <formula>M$9&gt;=20/24</formula>
    </cfRule>
    <cfRule type="expression" dxfId="4583" priority="437">
      <formula>AND(M$9&gt;=14/24,M$9&lt;20/24)</formula>
    </cfRule>
    <cfRule type="expression" dxfId="4582" priority="438">
      <formula>AND(M$9&gt;=8/24,M$9&lt;14/24)</formula>
    </cfRule>
    <cfRule type="expression" dxfId="4581" priority="439">
      <formula>M$9&lt;8/24</formula>
    </cfRule>
  </conditionalFormatting>
  <conditionalFormatting sqref="L47:Q47">
    <cfRule type="expression" dxfId="4580" priority="432">
      <formula>L$9&gt;=20/24</formula>
    </cfRule>
    <cfRule type="expression" dxfId="4579" priority="433">
      <formula>AND(L$9&gt;=14/24,L$9&lt;20/24)</formula>
    </cfRule>
    <cfRule type="expression" dxfId="4578" priority="434">
      <formula>AND(L$9&gt;=8/24,L$9&lt;14/24)</formula>
    </cfRule>
    <cfRule type="expression" dxfId="4577" priority="435">
      <formula>L$9&lt;8/24</formula>
    </cfRule>
  </conditionalFormatting>
  <conditionalFormatting sqref="L48:Q48">
    <cfRule type="expression" dxfId="4576" priority="428">
      <formula>L$9&gt;=20/24</formula>
    </cfRule>
    <cfRule type="expression" dxfId="4575" priority="429">
      <formula>AND(L$9&gt;=14/24,L$9&lt;20/24)</formula>
    </cfRule>
    <cfRule type="expression" dxfId="4574" priority="430">
      <formula>AND(L$9&gt;=8/24,L$9&lt;14/24)</formula>
    </cfRule>
    <cfRule type="expression" dxfId="4573" priority="431">
      <formula>L$9&lt;8/24</formula>
    </cfRule>
  </conditionalFormatting>
  <conditionalFormatting sqref="L43:Q46 R44:U44">
    <cfRule type="expression" dxfId="4572" priority="424">
      <formula>L$9&gt;=20/24</formula>
    </cfRule>
    <cfRule type="expression" dxfId="4571" priority="425">
      <formula>AND(L$9&gt;=14/24,L$9&lt;20/24)</formula>
    </cfRule>
    <cfRule type="expression" dxfId="4570" priority="426">
      <formula>AND(L$9&gt;=8/24,L$9&lt;14/24)</formula>
    </cfRule>
    <cfRule type="expression" dxfId="4569" priority="427">
      <formula>L$9&lt;8/24</formula>
    </cfRule>
  </conditionalFormatting>
  <conditionalFormatting sqref="R35:AE35">
    <cfRule type="expression" dxfId="4568" priority="420">
      <formula>R$9&gt;=20/24</formula>
    </cfRule>
    <cfRule type="expression" dxfId="4567" priority="421">
      <formula>AND(R$9&gt;=14/24,R$9&lt;20/24)</formula>
    </cfRule>
    <cfRule type="expression" dxfId="4566" priority="422">
      <formula>AND(R$9&gt;=8/24,R$9&lt;14/24)</formula>
    </cfRule>
    <cfRule type="expression" dxfId="4565" priority="423">
      <formula>R$9&lt;8/24</formula>
    </cfRule>
  </conditionalFormatting>
  <conditionalFormatting sqref="Y33:AF33">
    <cfRule type="expression" dxfId="4564" priority="416">
      <formula>Y$9&gt;=20/24</formula>
    </cfRule>
    <cfRule type="expression" dxfId="4563" priority="417">
      <formula>AND(Y$9&gt;=14/24,Y$9&lt;20/24)</formula>
    </cfRule>
    <cfRule type="expression" dxfId="4562" priority="418">
      <formula>AND(Y$9&gt;=8/24,Y$9&lt;14/24)</formula>
    </cfRule>
    <cfRule type="expression" dxfId="4561" priority="419">
      <formula>Y$9&lt;8/24</formula>
    </cfRule>
  </conditionalFormatting>
  <conditionalFormatting sqref="R40:S40 V44:X44 T41:X41 V46:X46 Y43:AF46">
    <cfRule type="expression" dxfId="4560" priority="412">
      <formula>R$9&gt;=20/24</formula>
    </cfRule>
    <cfRule type="expression" dxfId="4559" priority="413">
      <formula>AND(R$9&gt;=14/24,R$9&lt;20/24)</formula>
    </cfRule>
    <cfRule type="expression" dxfId="4558" priority="414">
      <formula>AND(R$9&gt;=8/24,R$9&lt;14/24)</formula>
    </cfRule>
    <cfRule type="expression" dxfId="4557" priority="415">
      <formula>R$9&lt;8/24</formula>
    </cfRule>
  </conditionalFormatting>
  <conditionalFormatting sqref="Y47:AF47">
    <cfRule type="expression" dxfId="4556" priority="408">
      <formula>Y$9&gt;=20/24</formula>
    </cfRule>
    <cfRule type="expression" dxfId="4555" priority="409">
      <formula>AND(Y$9&gt;=14/24,Y$9&lt;20/24)</formula>
    </cfRule>
    <cfRule type="expression" dxfId="4554" priority="410">
      <formula>AND(Y$9&gt;=8/24,Y$9&lt;14/24)</formula>
    </cfRule>
    <cfRule type="expression" dxfId="4553" priority="411">
      <formula>Y$9&lt;8/24</formula>
    </cfRule>
  </conditionalFormatting>
  <conditionalFormatting sqref="Y48:AF48">
    <cfRule type="expression" dxfId="4552" priority="404">
      <formula>Y$9&gt;=20/24</formula>
    </cfRule>
    <cfRule type="expression" dxfId="4551" priority="405">
      <formula>AND(Y$9&gt;=14/24,Y$9&lt;20/24)</formula>
    </cfRule>
    <cfRule type="expression" dxfId="4550" priority="406">
      <formula>AND(Y$9&gt;=8/24,Y$9&lt;14/24)</formula>
    </cfRule>
    <cfRule type="expression" dxfId="4549" priority="407">
      <formula>Y$9&lt;8/24</formula>
    </cfRule>
  </conditionalFormatting>
  <conditionalFormatting sqref="AE59:AF59 R58:S65 W58:AD59 Y60:AF65">
    <cfRule type="expression" dxfId="4548" priority="400">
      <formula>R$9&gt;=20/24</formula>
    </cfRule>
    <cfRule type="expression" dxfId="4547" priority="401">
      <formula>AND(R$9&gt;=14/24,R$9&lt;20/24)</formula>
    </cfRule>
    <cfRule type="expression" dxfId="4546" priority="402">
      <formula>AND(R$9&gt;=8/24,R$9&lt;14/24)</formula>
    </cfRule>
    <cfRule type="expression" dxfId="4545" priority="403">
      <formula>R$9&lt;8/24</formula>
    </cfRule>
  </conditionalFormatting>
  <conditionalFormatting sqref="AA92:AF95">
    <cfRule type="expression" dxfId="4544" priority="396">
      <formula>AA$9&gt;=20/24</formula>
    </cfRule>
    <cfRule type="expression" dxfId="4543" priority="397">
      <formula>AND(AA$9&gt;=14/24,AA$9&lt;20/24)</formula>
    </cfRule>
    <cfRule type="expression" dxfId="4542" priority="398">
      <formula>AND(AA$9&gt;=8/24,AA$9&lt;14/24)</formula>
    </cfRule>
    <cfRule type="expression" dxfId="4541" priority="399">
      <formula>AA$9&lt;8/24</formula>
    </cfRule>
  </conditionalFormatting>
  <conditionalFormatting sqref="H61:H65 B60:H60 I60:K65">
    <cfRule type="expression" dxfId="4540" priority="392">
      <formula>B$9&gt;=20/24</formula>
    </cfRule>
    <cfRule type="expression" dxfId="4539" priority="393">
      <formula>AND(B$9&gt;=14/24,B$9&lt;20/24)</formula>
    </cfRule>
    <cfRule type="expression" dxfId="4538" priority="394">
      <formula>AND(B$9&gt;=8/24,B$9&lt;14/24)</formula>
    </cfRule>
    <cfRule type="expression" dxfId="4537" priority="395">
      <formula>B$9&lt;8/24</formula>
    </cfRule>
  </conditionalFormatting>
  <conditionalFormatting sqref="T92:Z95">
    <cfRule type="expression" dxfId="4536" priority="388">
      <formula>T$9&gt;=20/24</formula>
    </cfRule>
    <cfRule type="expression" dxfId="4535" priority="389">
      <formula>AND(T$9&gt;=14/24,T$9&lt;20/24)</formula>
    </cfRule>
    <cfRule type="expression" dxfId="4534" priority="390">
      <formula>AND(T$9&gt;=8/24,T$9&lt;14/24)</formula>
    </cfRule>
    <cfRule type="expression" dxfId="4533" priority="391">
      <formula>T$9&lt;8/24</formula>
    </cfRule>
  </conditionalFormatting>
  <conditionalFormatting sqref="AG49 L12:Q13 B15:K31 B11:K13 B33:N34 L18:N31 Q15 L15:P17 B43:Q48 B41:Q41 T41 B37:T40 R44:X44 V46:X46 B49:AF54 L11:AF11 B35:AF36 Y15:AF31 Y12:AF13 Y33:AF34 Y43:AF48 U37:AF41">
    <cfRule type="expression" dxfId="4532" priority="387">
      <formula>B11&gt;$AG11</formula>
    </cfRule>
  </conditionalFormatting>
  <conditionalFormatting sqref="A98:A154 A82:A95 A11:A13 A15:A31 A43:A70 A78:A80 A72:A76 A33:A41 A167:A198">
    <cfRule type="expression" dxfId="4531" priority="386">
      <formula>$AH11=0</formula>
    </cfRule>
  </conditionalFormatting>
  <conditionalFormatting sqref="AA96:AF96">
    <cfRule type="expression" dxfId="4530" priority="382">
      <formula>AA$9&gt;=20/24</formula>
    </cfRule>
    <cfRule type="expression" dxfId="4529" priority="383">
      <formula>AND(AA$9&gt;=14/24,AA$9&lt;20/24)</formula>
    </cfRule>
    <cfRule type="expression" dxfId="4528" priority="384">
      <formula>AND(AA$9&gt;=8/24,AA$9&lt;14/24)</formula>
    </cfRule>
    <cfRule type="expression" dxfId="4527" priority="385">
      <formula>AA$9&lt;8/24</formula>
    </cfRule>
  </conditionalFormatting>
  <conditionalFormatting sqref="T96:Z96">
    <cfRule type="expression" dxfId="4526" priority="378">
      <formula>T$9&gt;=20/24</formula>
    </cfRule>
    <cfRule type="expression" dxfId="4525" priority="379">
      <formula>AND(T$9&gt;=14/24,T$9&lt;20/24)</formula>
    </cfRule>
    <cfRule type="expression" dxfId="4524" priority="380">
      <formula>AND(T$9&gt;=8/24,T$9&lt;14/24)</formula>
    </cfRule>
    <cfRule type="expression" dxfId="4523" priority="381">
      <formula>T$9&lt;8/24</formula>
    </cfRule>
  </conditionalFormatting>
  <conditionalFormatting sqref="A96">
    <cfRule type="expression" dxfId="4522" priority="377">
      <formula>$AH96=0</formula>
    </cfRule>
  </conditionalFormatting>
  <conditionalFormatting sqref="F34:N34 Y34:AF34">
    <cfRule type="expression" dxfId="4521" priority="373">
      <formula>F$9&gt;=20/24</formula>
    </cfRule>
    <cfRule type="expression" dxfId="4520" priority="374">
      <formula>AND(F$9&gt;=14/24,F$9&lt;20/24)</formula>
    </cfRule>
    <cfRule type="expression" dxfId="4519" priority="375">
      <formula>AND(F$9&gt;=8/24,F$9&lt;14/24)</formula>
    </cfRule>
    <cfRule type="expression" dxfId="4518" priority="376">
      <formula>F$9&lt;8/24</formula>
    </cfRule>
  </conditionalFormatting>
  <conditionalFormatting sqref="Y34:AF34">
    <cfRule type="expression" dxfId="4517" priority="369">
      <formula>Y$9&gt;=20/24</formula>
    </cfRule>
    <cfRule type="expression" dxfId="4516" priority="370">
      <formula>AND(Y$9&gt;=14/24,Y$9&lt;20/24)</formula>
    </cfRule>
    <cfRule type="expression" dxfId="4515" priority="371">
      <formula>AND(Y$9&gt;=8/24,Y$9&lt;14/24)</formula>
    </cfRule>
    <cfRule type="expression" dxfId="4514" priority="372">
      <formula>Y$9&lt;8/24</formula>
    </cfRule>
  </conditionalFormatting>
  <conditionalFormatting sqref="B34:E34">
    <cfRule type="expression" dxfId="4513" priority="365">
      <formula>B$9&gt;=20/24</formula>
    </cfRule>
    <cfRule type="expression" dxfId="4512" priority="366">
      <formula>AND(B$9&gt;=14/24,B$9&lt;20/24)</formula>
    </cfRule>
    <cfRule type="expression" dxfId="4511" priority="367">
      <formula>AND(B$9&gt;=8/24,B$9&lt;14/24)</formula>
    </cfRule>
    <cfRule type="expression" dxfId="4510" priority="368">
      <formula>B$9&lt;8/24</formula>
    </cfRule>
  </conditionalFormatting>
  <conditionalFormatting sqref="D61:G65">
    <cfRule type="expression" dxfId="4509" priority="361">
      <formula>D$9&gt;=20/24</formula>
    </cfRule>
    <cfRule type="expression" dxfId="4508" priority="362">
      <formula>AND(D$9&gt;=14/24,D$9&lt;20/24)</formula>
    </cfRule>
    <cfRule type="expression" dxfId="4507" priority="363">
      <formula>AND(D$9&gt;=8/24,D$9&lt;14/24)</formula>
    </cfRule>
    <cfRule type="expression" dxfId="4506" priority="364">
      <formula>D$9&lt;8/24</formula>
    </cfRule>
  </conditionalFormatting>
  <conditionalFormatting sqref="L60:L65">
    <cfRule type="expression" dxfId="4505" priority="357">
      <formula>L$9&gt;=20/24</formula>
    </cfRule>
    <cfRule type="expression" dxfId="4504" priority="358">
      <formula>AND(L$9&gt;=14/24,L$9&lt;20/24)</formula>
    </cfRule>
    <cfRule type="expression" dxfId="4503" priority="359">
      <formula>AND(L$9&gt;=8/24,L$9&lt;14/24)</formula>
    </cfRule>
    <cfRule type="expression" dxfId="4502" priority="360">
      <formula>L$9&lt;8/24</formula>
    </cfRule>
  </conditionalFormatting>
  <conditionalFormatting sqref="AL31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4501" priority="352">
      <formula>Y$9&gt;=20/24</formula>
    </cfRule>
    <cfRule type="expression" dxfId="4500" priority="353">
      <formula>AND(Y$9&gt;=14/24,Y$9&lt;20/24)</formula>
    </cfRule>
    <cfRule type="expression" dxfId="4499" priority="354">
      <formula>AND(Y$9&gt;=8/24,Y$9&lt;14/24)</formula>
    </cfRule>
    <cfRule type="expression" dxfId="4498" priority="355">
      <formula>Y$9&lt;8/24</formula>
    </cfRule>
  </conditionalFormatting>
  <conditionalFormatting sqref="M32:N32">
    <cfRule type="expression" dxfId="4497" priority="348">
      <formula>M$9&gt;=20/24</formula>
    </cfRule>
    <cfRule type="expression" dxfId="4496" priority="349">
      <formula>AND(M$9&gt;=14/24,M$9&lt;20/24)</formula>
    </cfRule>
    <cfRule type="expression" dxfId="4495" priority="350">
      <formula>AND(M$9&gt;=8/24,M$9&lt;14/24)</formula>
    </cfRule>
    <cfRule type="expression" dxfId="4494" priority="351">
      <formula>M$9&lt;8/24</formula>
    </cfRule>
  </conditionalFormatting>
  <conditionalFormatting sqref="B32:N32 Y32:AF32">
    <cfRule type="expression" dxfId="4493" priority="343">
      <formula>B32&gt;$AG32</formula>
    </cfRule>
  </conditionalFormatting>
  <conditionalFormatting sqref="A32">
    <cfRule type="expression" dxfId="4492" priority="342">
      <formula>$AH32=0</formula>
    </cfRule>
  </conditionalFormatting>
  <conditionalFormatting sqref="B81:AF81">
    <cfRule type="expression" dxfId="4491" priority="338">
      <formula>B$9&gt;=20/24</formula>
    </cfRule>
    <cfRule type="expression" dxfId="4490" priority="339">
      <formula>AND(B$9&gt;=14/24,B$9&lt;20/24)</formula>
    </cfRule>
    <cfRule type="expression" dxfId="4489" priority="340">
      <formula>AND(B$9&gt;=8/24,B$9&lt;14/24)</formula>
    </cfRule>
    <cfRule type="expression" dxfId="4488" priority="341">
      <formula>B$9&lt;8/24</formula>
    </cfRule>
  </conditionalFormatting>
  <conditionalFormatting sqref="A81">
    <cfRule type="expression" dxfId="4487" priority="337">
      <formula>$AH81=0</formula>
    </cfRule>
  </conditionalFormatting>
  <conditionalFormatting sqref="Y14:AF14">
    <cfRule type="expression" dxfId="4486" priority="333">
      <formula>Y$9&gt;=20/24</formula>
    </cfRule>
    <cfRule type="expression" dxfId="4485" priority="334">
      <formula>AND(Y$9&gt;=14/24,Y$9&lt;20/24)</formula>
    </cfRule>
    <cfRule type="expression" dxfId="4484" priority="335">
      <formula>AND(Y$9&gt;=8/24,Y$9&lt;14/24)</formula>
    </cfRule>
    <cfRule type="expression" dxfId="4483" priority="336">
      <formula>Y$9&lt;8/24</formula>
    </cfRule>
  </conditionalFormatting>
  <conditionalFormatting sqref="L14:Q14">
    <cfRule type="expression" dxfId="4482" priority="329">
      <formula>L$9&gt;=20/24</formula>
    </cfRule>
    <cfRule type="expression" dxfId="4481" priority="330">
      <formula>AND(L$9&gt;=14/24,L$9&lt;20/24)</formula>
    </cfRule>
    <cfRule type="expression" dxfId="4480" priority="331">
      <formula>AND(L$9&gt;=8/24,L$9&lt;14/24)</formula>
    </cfRule>
    <cfRule type="expression" dxfId="4479" priority="332">
      <formula>L$9&lt;8/24</formula>
    </cfRule>
  </conditionalFormatting>
  <conditionalFormatting sqref="B14:Q14 Y14:AF14">
    <cfRule type="expression" dxfId="4478" priority="328">
      <formula>B14&gt;$AG14</formula>
    </cfRule>
  </conditionalFormatting>
  <conditionalFormatting sqref="A14">
    <cfRule type="expression" dxfId="4477" priority="327">
      <formula>$AH14=0</formula>
    </cfRule>
  </conditionalFormatting>
  <conditionalFormatting sqref="A161:A166">
    <cfRule type="expression" dxfId="4476" priority="326">
      <formula>$AH161=0</formula>
    </cfRule>
  </conditionalFormatting>
  <conditionalFormatting sqref="A155:A160">
    <cfRule type="expression" dxfId="4475" priority="325">
      <formula>$AH155=0</formula>
    </cfRule>
  </conditionalFormatting>
  <conditionalFormatting sqref="Y42:AF42">
    <cfRule type="expression" dxfId="4474" priority="321">
      <formula>Y$9&gt;=20/24</formula>
    </cfRule>
    <cfRule type="expression" dxfId="4473" priority="322">
      <formula>AND(Y$9&gt;=14/24,Y$9&lt;20/24)</formula>
    </cfRule>
    <cfRule type="expression" dxfId="4472" priority="323">
      <formula>AND(Y$9&gt;=8/24,Y$9&lt;14/24)</formula>
    </cfRule>
    <cfRule type="expression" dxfId="4471" priority="324">
      <formula>Y$9&lt;8/24</formula>
    </cfRule>
  </conditionalFormatting>
  <conditionalFormatting sqref="L42:Q42">
    <cfRule type="expression" dxfId="4470" priority="317">
      <formula>L$9&gt;=20/24</formula>
    </cfRule>
    <cfRule type="expression" dxfId="4469" priority="318">
      <formula>AND(L$9&gt;=14/24,L$9&lt;20/24)</formula>
    </cfRule>
    <cfRule type="expression" dxfId="4468" priority="319">
      <formula>AND(L$9&gt;=8/24,L$9&lt;14/24)</formula>
    </cfRule>
    <cfRule type="expression" dxfId="4467" priority="320">
      <formula>L$9&lt;8/24</formula>
    </cfRule>
  </conditionalFormatting>
  <conditionalFormatting sqref="B42:Q42 Y42:AF42">
    <cfRule type="expression" dxfId="4466" priority="312">
      <formula>B42&gt;$AG42</formula>
    </cfRule>
  </conditionalFormatting>
  <conditionalFormatting sqref="A42">
    <cfRule type="expression" dxfId="4465" priority="311">
      <formula>$AH42=0</formula>
    </cfRule>
  </conditionalFormatting>
  <conditionalFormatting sqref="B77:AF77">
    <cfRule type="expression" dxfId="4464" priority="307">
      <formula>B$9&gt;=20/24</formula>
    </cfRule>
    <cfRule type="expression" dxfId="4463" priority="308">
      <formula>AND(B$9&gt;=14/24,B$9&lt;20/24)</formula>
    </cfRule>
    <cfRule type="expression" dxfId="4462" priority="309">
      <formula>AND(B$9&gt;=8/24,B$9&lt;14/24)</formula>
    </cfRule>
    <cfRule type="expression" dxfId="4461" priority="310">
      <formula>B$9&lt;8/24</formula>
    </cfRule>
  </conditionalFormatting>
  <conditionalFormatting sqref="A77">
    <cfRule type="expression" dxfId="4460" priority="306">
      <formula>$AH77=0</formula>
    </cfRule>
  </conditionalFormatting>
  <conditionalFormatting sqref="B71:AG71">
    <cfRule type="expression" dxfId="4459" priority="302">
      <formula>B$9&gt;=20/24</formula>
    </cfRule>
    <cfRule type="expression" dxfId="4458" priority="303">
      <formula>AND(B$9&gt;=14/24,B$9&lt;20/24)</formula>
    </cfRule>
    <cfRule type="expression" dxfId="4457" priority="304">
      <formula>AND(B$9&gt;=8/24,B$9&lt;14/24)</formula>
    </cfRule>
    <cfRule type="expression" dxfId="4456" priority="305">
      <formula>B$9&lt;8/24</formula>
    </cfRule>
  </conditionalFormatting>
  <conditionalFormatting sqref="A71">
    <cfRule type="expression" dxfId="4455" priority="301">
      <formula>$AH71=0</formula>
    </cfRule>
  </conditionalFormatting>
  <conditionalFormatting sqref="AL32:AL33 AL7:AL30">
    <cfRule type="iconSet" priority="483">
      <iconSet iconSet="3TrafficLights2" reverse="1">
        <cfvo type="percent" val="0"/>
        <cfvo type="num" val="1"/>
        <cfvo type="num" val="1"/>
      </iconSet>
    </cfRule>
  </conditionalFormatting>
  <conditionalFormatting sqref="T58:V65 W60:X65">
    <cfRule type="expression" dxfId="4454" priority="297">
      <formula>T$9&gt;=20/24</formula>
    </cfRule>
    <cfRule type="expression" dxfId="4453" priority="298">
      <formula>AND(T$9&gt;=14/24,T$9&lt;20/24)</formula>
    </cfRule>
    <cfRule type="expression" dxfId="4452" priority="299">
      <formula>AND(T$9&gt;=8/24,T$9&lt;14/24)</formula>
    </cfRule>
    <cfRule type="expression" dxfId="4451" priority="300">
      <formula>T$9&lt;8/24</formula>
    </cfRule>
  </conditionalFormatting>
  <conditionalFormatting sqref="T83:V89">
    <cfRule type="expression" dxfId="4450" priority="293">
      <formula>T$9&gt;=20/24</formula>
    </cfRule>
    <cfRule type="expression" dxfId="4449" priority="294">
      <formula>AND(T$9&gt;=14/24,T$9&lt;20/24)</formula>
    </cfRule>
    <cfRule type="expression" dxfId="4448" priority="295">
      <formula>AND(T$9&gt;=8/24,T$9&lt;14/24)</formula>
    </cfRule>
    <cfRule type="expression" dxfId="4447" priority="296">
      <formula>T$9&lt;8/24</formula>
    </cfRule>
  </conditionalFormatting>
  <conditionalFormatting sqref="R83:S89 B82:Q89">
    <cfRule type="expression" dxfId="4446" priority="289">
      <formula>B$9&gt;=20/24</formula>
    </cfRule>
    <cfRule type="expression" dxfId="4445" priority="290">
      <formula>AND(B$9&gt;=14/24,B$9&lt;20/24)</formula>
    </cfRule>
    <cfRule type="expression" dxfId="4444" priority="291">
      <formula>AND(B$9&gt;=8/24,B$9&lt;14/24)</formula>
    </cfRule>
    <cfRule type="expression" dxfId="4443" priority="292">
      <formula>B$9&lt;8/24</formula>
    </cfRule>
  </conditionalFormatting>
  <conditionalFormatting sqref="R82:S82">
    <cfRule type="expression" dxfId="4442" priority="285">
      <formula>R$9&gt;=20/24</formula>
    </cfRule>
    <cfRule type="expression" dxfId="4441" priority="286">
      <formula>AND(R$9&gt;=14/24,R$9&lt;20/24)</formula>
    </cfRule>
    <cfRule type="expression" dxfId="4440" priority="287">
      <formula>AND(R$9&gt;=8/24,R$9&lt;14/24)</formula>
    </cfRule>
    <cfRule type="expression" dxfId="4439" priority="288">
      <formula>R$9&lt;8/24</formula>
    </cfRule>
  </conditionalFormatting>
  <conditionalFormatting sqref="B92:E92 B93:L95">
    <cfRule type="expression" dxfId="4438" priority="281">
      <formula>B$9&gt;=20/24</formula>
    </cfRule>
    <cfRule type="expression" dxfId="4437" priority="282">
      <formula>AND(B$9&gt;=14/24,B$9&lt;20/24)</formula>
    </cfRule>
    <cfRule type="expression" dxfId="4436" priority="283">
      <formula>AND(B$9&gt;=8/24,B$9&lt;14/24)</formula>
    </cfRule>
    <cfRule type="expression" dxfId="4435" priority="284">
      <formula>B$9&lt;8/24</formula>
    </cfRule>
  </conditionalFormatting>
  <conditionalFormatting sqref="M93:Q95 N92:Q92">
    <cfRule type="expression" dxfId="4434" priority="277">
      <formula>M$9&gt;=20/24</formula>
    </cfRule>
    <cfRule type="expression" dxfId="4433" priority="278">
      <formula>AND(M$9&gt;=14/24,M$9&lt;20/24)</formula>
    </cfRule>
    <cfRule type="expression" dxfId="4432" priority="279">
      <formula>AND(M$9&gt;=8/24,M$9&lt;14/24)</formula>
    </cfRule>
    <cfRule type="expression" dxfId="4431" priority="280">
      <formula>M$9&lt;8/24</formula>
    </cfRule>
  </conditionalFormatting>
  <conditionalFormatting sqref="R92:S95">
    <cfRule type="expression" dxfId="4430" priority="273">
      <formula>R$9&gt;=20/24</formula>
    </cfRule>
    <cfRule type="expression" dxfId="4429" priority="274">
      <formula>AND(R$9&gt;=14/24,R$9&lt;20/24)</formula>
    </cfRule>
    <cfRule type="expression" dxfId="4428" priority="275">
      <formula>AND(R$9&gt;=8/24,R$9&lt;14/24)</formula>
    </cfRule>
    <cfRule type="expression" dxfId="4427" priority="276">
      <formula>R$9&lt;8/24</formula>
    </cfRule>
  </conditionalFormatting>
  <conditionalFormatting sqref="B96:L96">
    <cfRule type="expression" dxfId="4426" priority="269">
      <formula>B$9&gt;=20/24</formula>
    </cfRule>
    <cfRule type="expression" dxfId="4425" priority="270">
      <formula>AND(B$9&gt;=14/24,B$9&lt;20/24)</formula>
    </cfRule>
    <cfRule type="expression" dxfId="4424" priority="271">
      <formula>AND(B$9&gt;=8/24,B$9&lt;14/24)</formula>
    </cfRule>
    <cfRule type="expression" dxfId="4423" priority="272">
      <formula>B$9&lt;8/24</formula>
    </cfRule>
  </conditionalFormatting>
  <conditionalFormatting sqref="M96:Q96">
    <cfRule type="expression" dxfId="4422" priority="265">
      <formula>M$9&gt;=20/24</formula>
    </cfRule>
    <cfRule type="expression" dxfId="4421" priority="266">
      <formula>AND(M$9&gt;=14/24,M$9&lt;20/24)</formula>
    </cfRule>
    <cfRule type="expression" dxfId="4420" priority="267">
      <formula>AND(M$9&gt;=8/24,M$9&lt;14/24)</formula>
    </cfRule>
    <cfRule type="expression" dxfId="4419" priority="268">
      <formula>M$9&lt;8/24</formula>
    </cfRule>
  </conditionalFormatting>
  <conditionalFormatting sqref="R96:S96">
    <cfRule type="expression" dxfId="4418" priority="261">
      <formula>R$9&gt;=20/24</formula>
    </cfRule>
    <cfRule type="expression" dxfId="4417" priority="262">
      <formula>AND(R$9&gt;=14/24,R$9&lt;20/24)</formula>
    </cfRule>
    <cfRule type="expression" dxfId="4416" priority="263">
      <formula>AND(R$9&gt;=8/24,R$9&lt;14/24)</formula>
    </cfRule>
    <cfRule type="expression" dxfId="4415" priority="264">
      <formula>R$9&lt;8/24</formula>
    </cfRule>
  </conditionalFormatting>
  <conditionalFormatting sqref="L92:M92">
    <cfRule type="expression" dxfId="4414" priority="257">
      <formula>L$9&gt;=20/24</formula>
    </cfRule>
    <cfRule type="expression" dxfId="4413" priority="258">
      <formula>AND(L$9&gt;=14/24,L$9&lt;20/24)</formula>
    </cfRule>
    <cfRule type="expression" dxfId="4412" priority="259">
      <formula>AND(L$9&gt;=8/24,L$9&lt;14/24)</formula>
    </cfRule>
    <cfRule type="expression" dxfId="4411" priority="260">
      <formula>L$9&lt;8/24</formula>
    </cfRule>
  </conditionalFormatting>
  <conditionalFormatting sqref="F92:K92">
    <cfRule type="expression" dxfId="4410" priority="253">
      <formula>F$9&gt;=20/24</formula>
    </cfRule>
    <cfRule type="expression" dxfId="4409" priority="254">
      <formula>AND(F$9&gt;=14/24,F$9&lt;20/24)</formula>
    </cfRule>
    <cfRule type="expression" dxfId="4408" priority="255">
      <formula>AND(F$9&gt;=8/24,F$9&lt;14/24)</formula>
    </cfRule>
    <cfRule type="expression" dxfId="4407" priority="256">
      <formula>F$9&lt;8/24</formula>
    </cfRule>
  </conditionalFormatting>
  <conditionalFormatting sqref="T92:V92">
    <cfRule type="expression" dxfId="4406" priority="249">
      <formula>T$9&gt;=20/24</formula>
    </cfRule>
    <cfRule type="expression" dxfId="4405" priority="250">
      <formula>AND(T$9&gt;=14/24,T$9&lt;20/24)</formula>
    </cfRule>
    <cfRule type="expression" dxfId="4404" priority="251">
      <formula>AND(T$9&gt;=8/24,T$9&lt;14/24)</formula>
    </cfRule>
    <cfRule type="expression" dxfId="4403" priority="252">
      <formula>T$9&lt;8/24</formula>
    </cfRule>
  </conditionalFormatting>
  <conditionalFormatting sqref="M92:S92">
    <cfRule type="expression" dxfId="4402" priority="245">
      <formula>M$9&gt;=20/24</formula>
    </cfRule>
    <cfRule type="expression" dxfId="4401" priority="246">
      <formula>AND(M$9&gt;=14/24,M$9&lt;20/24)</formula>
    </cfRule>
    <cfRule type="expression" dxfId="4400" priority="247">
      <formula>AND(M$9&gt;=8/24,M$9&lt;14/24)</formula>
    </cfRule>
    <cfRule type="expression" dxfId="4399" priority="248">
      <formula>M$9&lt;8/24</formula>
    </cfRule>
  </conditionalFormatting>
  <conditionalFormatting sqref="AA97:AF97">
    <cfRule type="expression" dxfId="4398" priority="241">
      <formula>AA$9&gt;=20/24</formula>
    </cfRule>
    <cfRule type="expression" dxfId="4397" priority="242">
      <formula>AND(AA$9&gt;=14/24,AA$9&lt;20/24)</formula>
    </cfRule>
    <cfRule type="expression" dxfId="4396" priority="243">
      <formula>AND(AA$9&gt;=8/24,AA$9&lt;14/24)</formula>
    </cfRule>
    <cfRule type="expression" dxfId="4395" priority="244">
      <formula>AA$9&lt;8/24</formula>
    </cfRule>
  </conditionalFormatting>
  <conditionalFormatting sqref="T97:Z97">
    <cfRule type="expression" dxfId="4394" priority="237">
      <formula>T$9&gt;=20/24</formula>
    </cfRule>
    <cfRule type="expression" dxfId="4393" priority="238">
      <formula>AND(T$9&gt;=14/24,T$9&lt;20/24)</formula>
    </cfRule>
    <cfRule type="expression" dxfId="4392" priority="239">
      <formula>AND(T$9&gt;=8/24,T$9&lt;14/24)</formula>
    </cfRule>
    <cfRule type="expression" dxfId="4391" priority="240">
      <formula>T$9&lt;8/24</formula>
    </cfRule>
  </conditionalFormatting>
  <conditionalFormatting sqref="A97">
    <cfRule type="expression" dxfId="4390" priority="236">
      <formula>$AH97=0</formula>
    </cfRule>
  </conditionalFormatting>
  <conditionalFormatting sqref="B97:L97">
    <cfRule type="expression" dxfId="4389" priority="232">
      <formula>B$9&gt;=20/24</formula>
    </cfRule>
    <cfRule type="expression" dxfId="4388" priority="233">
      <formula>AND(B$9&gt;=14/24,B$9&lt;20/24)</formula>
    </cfRule>
    <cfRule type="expression" dxfId="4387" priority="234">
      <formula>AND(B$9&gt;=8/24,B$9&lt;14/24)</formula>
    </cfRule>
    <cfRule type="expression" dxfId="4386" priority="235">
      <formula>B$9&lt;8/24</formula>
    </cfRule>
  </conditionalFormatting>
  <conditionalFormatting sqref="M97:Q97">
    <cfRule type="expression" dxfId="4385" priority="228">
      <formula>M$9&gt;=20/24</formula>
    </cfRule>
    <cfRule type="expression" dxfId="4384" priority="229">
      <formula>AND(M$9&gt;=14/24,M$9&lt;20/24)</formula>
    </cfRule>
    <cfRule type="expression" dxfId="4383" priority="230">
      <formula>AND(M$9&gt;=8/24,M$9&lt;14/24)</formula>
    </cfRule>
    <cfRule type="expression" dxfId="4382" priority="231">
      <formula>M$9&lt;8/24</formula>
    </cfRule>
  </conditionalFormatting>
  <conditionalFormatting sqref="R97:S97">
    <cfRule type="expression" dxfId="4381" priority="224">
      <formula>R$9&gt;=20/24</formula>
    </cfRule>
    <cfRule type="expression" dxfId="4380" priority="225">
      <formula>AND(R$9&gt;=14/24,R$9&lt;20/24)</formula>
    </cfRule>
    <cfRule type="expression" dxfId="4379" priority="226">
      <formula>AND(R$9&gt;=8/24,R$9&lt;14/24)</formula>
    </cfRule>
    <cfRule type="expression" dxfId="4378" priority="227">
      <formula>R$9&lt;8/24</formula>
    </cfRule>
  </conditionalFormatting>
  <conditionalFormatting sqref="R12:X14">
    <cfRule type="expression" dxfId="4377" priority="220">
      <formula>R$9&gt;=20/24</formula>
    </cfRule>
    <cfRule type="expression" dxfId="4376" priority="221">
      <formula>AND(R$9&gt;=14/24,R$9&lt;20/24)</formula>
    </cfRule>
    <cfRule type="expression" dxfId="4375" priority="222">
      <formula>AND(R$9&gt;=8/24,R$9&lt;14/24)</formula>
    </cfRule>
    <cfRule type="expression" dxfId="4374" priority="223">
      <formula>R$9&lt;8/24</formula>
    </cfRule>
  </conditionalFormatting>
  <conditionalFormatting sqref="R12:X12">
    <cfRule type="expression" dxfId="4373" priority="212">
      <formula>R$9&gt;=20/24</formula>
    </cfRule>
    <cfRule type="expression" dxfId="4372" priority="213">
      <formula>AND(R$9&gt;=14/24,R$9&lt;20/24)</formula>
    </cfRule>
    <cfRule type="expression" dxfId="4371" priority="214">
      <formula>AND(R$9&gt;=8/24,R$9&lt;14/24)</formula>
    </cfRule>
    <cfRule type="expression" dxfId="4370" priority="215">
      <formula>R$9&lt;8/24</formula>
    </cfRule>
  </conditionalFormatting>
  <conditionalFormatting sqref="AA56:AD57">
    <cfRule type="expression" dxfId="4369" priority="208">
      <formula>AA$9&gt;=20/24</formula>
    </cfRule>
    <cfRule type="expression" dxfId="4368" priority="209">
      <formula>AND(AA$9&gt;=14/24,AA$9&lt;20/24)</formula>
    </cfRule>
    <cfRule type="expression" dxfId="4367" priority="210">
      <formula>AND(AA$9&gt;=8/24,AA$9&lt;14/24)</formula>
    </cfRule>
    <cfRule type="expression" dxfId="4366" priority="211">
      <formula>AA$9&lt;8/24</formula>
    </cfRule>
  </conditionalFormatting>
  <conditionalFormatting sqref="O18:P31">
    <cfRule type="expression" dxfId="4365" priority="204">
      <formula>O$9&gt;=20/24</formula>
    </cfRule>
    <cfRule type="expression" dxfId="4364" priority="205">
      <formula>AND(O$9&gt;=14/24,O$9&lt;20/24)</formula>
    </cfRule>
    <cfRule type="expression" dxfId="4363" priority="206">
      <formula>AND(O$9&gt;=8/24,O$9&lt;14/24)</formula>
    </cfRule>
    <cfRule type="expression" dxfId="4362" priority="207">
      <formula>O$9&lt;8/24</formula>
    </cfRule>
  </conditionalFormatting>
  <conditionalFormatting sqref="O33:P33">
    <cfRule type="expression" dxfId="4361" priority="200">
      <formula>O$9&gt;=20/24</formula>
    </cfRule>
    <cfRule type="expression" dxfId="4360" priority="201">
      <formula>AND(O$9&gt;=14/24,O$9&lt;20/24)</formula>
    </cfRule>
    <cfRule type="expression" dxfId="4359" priority="202">
      <formula>AND(O$9&gt;=8/24,O$9&lt;14/24)</formula>
    </cfRule>
    <cfRule type="expression" dxfId="4358" priority="203">
      <formula>O$9&lt;8/24</formula>
    </cfRule>
  </conditionalFormatting>
  <conditionalFormatting sqref="O33:P34 O18:P31">
    <cfRule type="expression" dxfId="4357" priority="199">
      <formula>O18&gt;$AG18</formula>
    </cfRule>
  </conditionalFormatting>
  <conditionalFormatting sqref="O34:P34">
    <cfRule type="expression" dxfId="4356" priority="195">
      <formula>O$9&gt;=20/24</formula>
    </cfRule>
    <cfRule type="expression" dxfId="4355" priority="196">
      <formula>AND(O$9&gt;=14/24,O$9&lt;20/24)</formula>
    </cfRule>
    <cfRule type="expression" dxfId="4354" priority="197">
      <formula>AND(O$9&gt;=8/24,O$9&lt;14/24)</formula>
    </cfRule>
    <cfRule type="expression" dxfId="4353" priority="198">
      <formula>O$9&lt;8/24</formula>
    </cfRule>
  </conditionalFormatting>
  <conditionalFormatting sqref="O32:P32">
    <cfRule type="expression" dxfId="4352" priority="191">
      <formula>O$9&gt;=20/24</formula>
    </cfRule>
    <cfRule type="expression" dxfId="4351" priority="192">
      <formula>AND(O$9&gt;=14/24,O$9&lt;20/24)</formula>
    </cfRule>
    <cfRule type="expression" dxfId="4350" priority="193">
      <formula>AND(O$9&gt;=8/24,O$9&lt;14/24)</formula>
    </cfRule>
    <cfRule type="expression" dxfId="4349" priority="194">
      <formula>O$9&lt;8/24</formula>
    </cfRule>
  </conditionalFormatting>
  <conditionalFormatting sqref="O32:P32">
    <cfRule type="expression" dxfId="4348" priority="190">
      <formula>O32&gt;$AG32</formula>
    </cfRule>
  </conditionalFormatting>
  <conditionalFormatting sqref="Q16:Q17">
    <cfRule type="expression" dxfId="4347" priority="186">
      <formula>Q$9&gt;=20/24</formula>
    </cfRule>
    <cfRule type="expression" dxfId="4346" priority="187">
      <formula>AND(Q$9&gt;=14/24,Q$9&lt;20/24)</formula>
    </cfRule>
    <cfRule type="expression" dxfId="4345" priority="188">
      <formula>AND(Q$9&gt;=8/24,Q$9&lt;14/24)</formula>
    </cfRule>
    <cfRule type="expression" dxfId="4344" priority="189">
      <formula>Q$9&lt;8/24</formula>
    </cfRule>
  </conditionalFormatting>
  <conditionalFormatting sqref="Q16:Q17">
    <cfRule type="expression" dxfId="4343" priority="185">
      <formula>Q16&gt;$AG16</formula>
    </cfRule>
  </conditionalFormatting>
  <conditionalFormatting sqref="Q18:Q31">
    <cfRule type="expression" dxfId="4342" priority="181">
      <formula>Q$9&gt;=20/24</formula>
    </cfRule>
    <cfRule type="expression" dxfId="4341" priority="182">
      <formula>AND(Q$9&gt;=14/24,Q$9&lt;20/24)</formula>
    </cfRule>
    <cfRule type="expression" dxfId="4340" priority="183">
      <formula>AND(Q$9&gt;=8/24,Q$9&lt;14/24)</formula>
    </cfRule>
    <cfRule type="expression" dxfId="4339" priority="184">
      <formula>Q$9&lt;8/24</formula>
    </cfRule>
  </conditionalFormatting>
  <conditionalFormatting sqref="Q33">
    <cfRule type="expression" dxfId="4338" priority="177">
      <formula>Q$9&gt;=20/24</formula>
    </cfRule>
    <cfRule type="expression" dxfId="4337" priority="178">
      <formula>AND(Q$9&gt;=14/24,Q$9&lt;20/24)</formula>
    </cfRule>
    <cfRule type="expression" dxfId="4336" priority="179">
      <formula>AND(Q$9&gt;=8/24,Q$9&lt;14/24)</formula>
    </cfRule>
    <cfRule type="expression" dxfId="4335" priority="180">
      <formula>Q$9&lt;8/24</formula>
    </cfRule>
  </conditionalFormatting>
  <conditionalFormatting sqref="Q33:Q34 Q18:Q31">
    <cfRule type="expression" dxfId="4334" priority="176">
      <formula>Q18&gt;$AG18</formula>
    </cfRule>
  </conditionalFormatting>
  <conditionalFormatting sqref="Q34">
    <cfRule type="expression" dxfId="4333" priority="172">
      <formula>Q$9&gt;=20/24</formula>
    </cfRule>
    <cfRule type="expression" dxfId="4332" priority="173">
      <formula>AND(Q$9&gt;=14/24,Q$9&lt;20/24)</formula>
    </cfRule>
    <cfRule type="expression" dxfId="4331" priority="174">
      <formula>AND(Q$9&gt;=8/24,Q$9&lt;14/24)</formula>
    </cfRule>
    <cfRule type="expression" dxfId="4330" priority="175">
      <formula>Q$9&lt;8/24</formula>
    </cfRule>
  </conditionalFormatting>
  <conditionalFormatting sqref="Q32">
    <cfRule type="expression" dxfId="4329" priority="168">
      <formula>Q$9&gt;=20/24</formula>
    </cfRule>
    <cfRule type="expression" dxfId="4328" priority="169">
      <formula>AND(Q$9&gt;=14/24,Q$9&lt;20/24)</formula>
    </cfRule>
    <cfRule type="expression" dxfId="4327" priority="170">
      <formula>AND(Q$9&gt;=8/24,Q$9&lt;14/24)</formula>
    </cfRule>
    <cfRule type="expression" dxfId="4326" priority="171">
      <formula>Q$9&lt;8/24</formula>
    </cfRule>
  </conditionalFormatting>
  <conditionalFormatting sqref="Q32">
    <cfRule type="expression" dxfId="4325" priority="167">
      <formula>Q32&gt;$AG32</formula>
    </cfRule>
  </conditionalFormatting>
  <conditionalFormatting sqref="R15">
    <cfRule type="expression" dxfId="4324" priority="163">
      <formula>R$9&gt;=20/24</formula>
    </cfRule>
    <cfRule type="expression" dxfId="4323" priority="164">
      <formula>AND(R$9&gt;=14/24,R$9&lt;20/24)</formula>
    </cfRule>
    <cfRule type="expression" dxfId="4322" priority="165">
      <formula>AND(R$9&gt;=8/24,R$9&lt;14/24)</formula>
    </cfRule>
    <cfRule type="expression" dxfId="4321" priority="166">
      <formula>R$9&lt;8/24</formula>
    </cfRule>
  </conditionalFormatting>
  <conditionalFormatting sqref="R15">
    <cfRule type="expression" dxfId="4320" priority="162">
      <formula>R15&gt;$AG15</formula>
    </cfRule>
  </conditionalFormatting>
  <conditionalFormatting sqref="R16:R17">
    <cfRule type="expression" dxfId="4319" priority="158">
      <formula>R$9&gt;=20/24</formula>
    </cfRule>
    <cfRule type="expression" dxfId="4318" priority="159">
      <formula>AND(R$9&gt;=14/24,R$9&lt;20/24)</formula>
    </cfRule>
    <cfRule type="expression" dxfId="4317" priority="160">
      <formula>AND(R$9&gt;=8/24,R$9&lt;14/24)</formula>
    </cfRule>
    <cfRule type="expression" dxfId="4316" priority="161">
      <formula>R$9&lt;8/24</formula>
    </cfRule>
  </conditionalFormatting>
  <conditionalFormatting sqref="R16:R17">
    <cfRule type="expression" dxfId="4315" priority="157">
      <formula>R16&gt;$AG16</formula>
    </cfRule>
  </conditionalFormatting>
  <conditionalFormatting sqref="R18:R31">
    <cfRule type="expression" dxfId="4314" priority="153">
      <formula>R$9&gt;=20/24</formula>
    </cfRule>
    <cfRule type="expression" dxfId="4313" priority="154">
      <formula>AND(R$9&gt;=14/24,R$9&lt;20/24)</formula>
    </cfRule>
    <cfRule type="expression" dxfId="4312" priority="155">
      <formula>AND(R$9&gt;=8/24,R$9&lt;14/24)</formula>
    </cfRule>
    <cfRule type="expression" dxfId="4311" priority="156">
      <formula>R$9&lt;8/24</formula>
    </cfRule>
  </conditionalFormatting>
  <conditionalFormatting sqref="R33">
    <cfRule type="expression" dxfId="4310" priority="149">
      <formula>R$9&gt;=20/24</formula>
    </cfRule>
    <cfRule type="expression" dxfId="4309" priority="150">
      <formula>AND(R$9&gt;=14/24,R$9&lt;20/24)</formula>
    </cfRule>
    <cfRule type="expression" dxfId="4308" priority="151">
      <formula>AND(R$9&gt;=8/24,R$9&lt;14/24)</formula>
    </cfRule>
    <cfRule type="expression" dxfId="4307" priority="152">
      <formula>R$9&lt;8/24</formula>
    </cfRule>
  </conditionalFormatting>
  <conditionalFormatting sqref="R33:R34 R18:R31">
    <cfRule type="expression" dxfId="4306" priority="148">
      <formula>R18&gt;$AG18</formula>
    </cfRule>
  </conditionalFormatting>
  <conditionalFormatting sqref="R34">
    <cfRule type="expression" dxfId="4305" priority="144">
      <formula>R$9&gt;=20/24</formula>
    </cfRule>
    <cfRule type="expression" dxfId="4304" priority="145">
      <formula>AND(R$9&gt;=14/24,R$9&lt;20/24)</formula>
    </cfRule>
    <cfRule type="expression" dxfId="4303" priority="146">
      <formula>AND(R$9&gt;=8/24,R$9&lt;14/24)</formula>
    </cfRule>
    <cfRule type="expression" dxfId="4302" priority="147">
      <formula>R$9&lt;8/24</formula>
    </cfRule>
  </conditionalFormatting>
  <conditionalFormatting sqref="R32">
    <cfRule type="expression" dxfId="4301" priority="140">
      <formula>R$9&gt;=20/24</formula>
    </cfRule>
    <cfRule type="expression" dxfId="4300" priority="141">
      <formula>AND(R$9&gt;=14/24,R$9&lt;20/24)</formula>
    </cfRule>
    <cfRule type="expression" dxfId="4299" priority="142">
      <formula>AND(R$9&gt;=8/24,R$9&lt;14/24)</formula>
    </cfRule>
    <cfRule type="expression" dxfId="4298" priority="143">
      <formula>R$9&lt;8/24</formula>
    </cfRule>
  </conditionalFormatting>
  <conditionalFormatting sqref="R32">
    <cfRule type="expression" dxfId="4297" priority="139">
      <formula>R32&gt;$AG32</formula>
    </cfRule>
  </conditionalFormatting>
  <conditionalFormatting sqref="R43 S46:T46 R45:R46">
    <cfRule type="expression" dxfId="4296" priority="135">
      <formula>R$9&gt;=20/24</formula>
    </cfRule>
    <cfRule type="expression" dxfId="4295" priority="136">
      <formula>AND(R$9&gt;=14/24,R$9&lt;20/24)</formula>
    </cfRule>
    <cfRule type="expression" dxfId="4294" priority="137">
      <formula>AND(R$9&gt;=8/24,R$9&lt;14/24)</formula>
    </cfRule>
    <cfRule type="expression" dxfId="4293" priority="138">
      <formula>R$9&lt;8/24</formula>
    </cfRule>
  </conditionalFormatting>
  <conditionalFormatting sqref="R41">
    <cfRule type="expression" dxfId="4292" priority="131">
      <formula>R$9&gt;=20/24</formula>
    </cfRule>
    <cfRule type="expression" dxfId="4291" priority="132">
      <formula>AND(R$9&gt;=14/24,R$9&lt;20/24)</formula>
    </cfRule>
    <cfRule type="expression" dxfId="4290" priority="133">
      <formula>AND(R$9&gt;=8/24,R$9&lt;14/24)</formula>
    </cfRule>
    <cfRule type="expression" dxfId="4289" priority="134">
      <formula>R$9&lt;8/24</formula>
    </cfRule>
  </conditionalFormatting>
  <conditionalFormatting sqref="R47">
    <cfRule type="expression" dxfId="4288" priority="127">
      <formula>R$9&gt;=20/24</formula>
    </cfRule>
    <cfRule type="expression" dxfId="4287" priority="128">
      <formula>AND(R$9&gt;=14/24,R$9&lt;20/24)</formula>
    </cfRule>
    <cfRule type="expression" dxfId="4286" priority="129">
      <formula>AND(R$9&gt;=8/24,R$9&lt;14/24)</formula>
    </cfRule>
    <cfRule type="expression" dxfId="4285" priority="130">
      <formula>R$9&lt;8/24</formula>
    </cfRule>
  </conditionalFormatting>
  <conditionalFormatting sqref="R48">
    <cfRule type="expression" dxfId="4284" priority="123">
      <formula>R$9&gt;=20/24</formula>
    </cfRule>
    <cfRule type="expression" dxfId="4283" priority="124">
      <formula>AND(R$9&gt;=14/24,R$9&lt;20/24)</formula>
    </cfRule>
    <cfRule type="expression" dxfId="4282" priority="125">
      <formula>AND(R$9&gt;=8/24,R$9&lt;14/24)</formula>
    </cfRule>
    <cfRule type="expression" dxfId="4281" priority="126">
      <formula>R$9&lt;8/24</formula>
    </cfRule>
  </conditionalFormatting>
  <conditionalFormatting sqref="R43 S46:T46 R45:R46">
    <cfRule type="expression" dxfId="4280" priority="119">
      <formula>R$9&gt;=20/24</formula>
    </cfRule>
    <cfRule type="expression" dxfId="4279" priority="120">
      <formula>AND(R$9&gt;=14/24,R$9&lt;20/24)</formula>
    </cfRule>
    <cfRule type="expression" dxfId="4278" priority="121">
      <formula>AND(R$9&gt;=8/24,R$9&lt;14/24)</formula>
    </cfRule>
    <cfRule type="expression" dxfId="4277" priority="122">
      <formula>R$9&lt;8/24</formula>
    </cfRule>
  </conditionalFormatting>
  <conditionalFormatting sqref="R43 R41 S46:T46 R45:R48">
    <cfRule type="expression" dxfId="4276" priority="118">
      <formula>R41&gt;$AG41</formula>
    </cfRule>
  </conditionalFormatting>
  <conditionalFormatting sqref="R42">
    <cfRule type="expression" dxfId="4275" priority="114">
      <formula>R$9&gt;=20/24</formula>
    </cfRule>
    <cfRule type="expression" dxfId="4274" priority="115">
      <formula>AND(R$9&gt;=14/24,R$9&lt;20/24)</formula>
    </cfRule>
    <cfRule type="expression" dxfId="4273" priority="116">
      <formula>AND(R$9&gt;=8/24,R$9&lt;14/24)</formula>
    </cfRule>
    <cfRule type="expression" dxfId="4272" priority="117">
      <formula>R$9&lt;8/24</formula>
    </cfRule>
  </conditionalFormatting>
  <conditionalFormatting sqref="R42">
    <cfRule type="expression" dxfId="4271" priority="113">
      <formula>R42&gt;$AG42</formula>
    </cfRule>
  </conditionalFormatting>
  <conditionalFormatting sqref="S15">
    <cfRule type="expression" dxfId="4270" priority="109">
      <formula>S$9&gt;=20/24</formula>
    </cfRule>
    <cfRule type="expression" dxfId="4269" priority="110">
      <formula>AND(S$9&gt;=14/24,S$9&lt;20/24)</formula>
    </cfRule>
    <cfRule type="expression" dxfId="4268" priority="111">
      <formula>AND(S$9&gt;=8/24,S$9&lt;14/24)</formula>
    </cfRule>
    <cfRule type="expression" dxfId="4267" priority="112">
      <formula>S$9&lt;8/24</formula>
    </cfRule>
  </conditionalFormatting>
  <conditionalFormatting sqref="S15">
    <cfRule type="expression" dxfId="4266" priority="108">
      <formula>S15&gt;$AG15</formula>
    </cfRule>
  </conditionalFormatting>
  <conditionalFormatting sqref="S16:S17">
    <cfRule type="expression" dxfId="4265" priority="104">
      <formula>S$9&gt;=20/24</formula>
    </cfRule>
    <cfRule type="expression" dxfId="4264" priority="105">
      <formula>AND(S$9&gt;=14/24,S$9&lt;20/24)</formula>
    </cfRule>
    <cfRule type="expression" dxfId="4263" priority="106">
      <formula>AND(S$9&gt;=8/24,S$9&lt;14/24)</formula>
    </cfRule>
    <cfRule type="expression" dxfId="4262" priority="107">
      <formula>S$9&lt;8/24</formula>
    </cfRule>
  </conditionalFormatting>
  <conditionalFormatting sqref="S16:S17">
    <cfRule type="expression" dxfId="4261" priority="103">
      <formula>S16&gt;$AG16</formula>
    </cfRule>
  </conditionalFormatting>
  <conditionalFormatting sqref="S18:S31">
    <cfRule type="expression" dxfId="4260" priority="99">
      <formula>S$9&gt;=20/24</formula>
    </cfRule>
    <cfRule type="expression" dxfId="4259" priority="100">
      <formula>AND(S$9&gt;=14/24,S$9&lt;20/24)</formula>
    </cfRule>
    <cfRule type="expression" dxfId="4258" priority="101">
      <formula>AND(S$9&gt;=8/24,S$9&lt;14/24)</formula>
    </cfRule>
    <cfRule type="expression" dxfId="4257" priority="102">
      <formula>S$9&lt;8/24</formula>
    </cfRule>
  </conditionalFormatting>
  <conditionalFormatting sqref="S33">
    <cfRule type="expression" dxfId="4256" priority="95">
      <formula>S$9&gt;=20/24</formula>
    </cfRule>
    <cfRule type="expression" dxfId="4255" priority="96">
      <formula>AND(S$9&gt;=14/24,S$9&lt;20/24)</formula>
    </cfRule>
    <cfRule type="expression" dxfId="4254" priority="97">
      <formula>AND(S$9&gt;=8/24,S$9&lt;14/24)</formula>
    </cfRule>
    <cfRule type="expression" dxfId="4253" priority="98">
      <formula>S$9&lt;8/24</formula>
    </cfRule>
  </conditionalFormatting>
  <conditionalFormatting sqref="S33:S34 S18:S31">
    <cfRule type="expression" dxfId="4252" priority="94">
      <formula>S18&gt;$AG18</formula>
    </cfRule>
  </conditionalFormatting>
  <conditionalFormatting sqref="S34">
    <cfRule type="expression" dxfId="4251" priority="90">
      <formula>S$9&gt;=20/24</formula>
    </cfRule>
    <cfRule type="expression" dxfId="4250" priority="91">
      <formula>AND(S$9&gt;=14/24,S$9&lt;20/24)</formula>
    </cfRule>
    <cfRule type="expression" dxfId="4249" priority="92">
      <formula>AND(S$9&gt;=8/24,S$9&lt;14/24)</formula>
    </cfRule>
    <cfRule type="expression" dxfId="4248" priority="93">
      <formula>S$9&lt;8/24</formula>
    </cfRule>
  </conditionalFormatting>
  <conditionalFormatting sqref="S32">
    <cfRule type="expression" dxfId="4247" priority="86">
      <formula>S$9&gt;=20/24</formula>
    </cfRule>
    <cfRule type="expression" dxfId="4246" priority="87">
      <formula>AND(S$9&gt;=14/24,S$9&lt;20/24)</formula>
    </cfRule>
    <cfRule type="expression" dxfId="4245" priority="88">
      <formula>AND(S$9&gt;=8/24,S$9&lt;14/24)</formula>
    </cfRule>
    <cfRule type="expression" dxfId="4244" priority="89">
      <formula>S$9&lt;8/24</formula>
    </cfRule>
  </conditionalFormatting>
  <conditionalFormatting sqref="S32">
    <cfRule type="expression" dxfId="4243" priority="85">
      <formula>S32&gt;$AG32</formula>
    </cfRule>
  </conditionalFormatting>
  <conditionalFormatting sqref="S43 S45">
    <cfRule type="expression" dxfId="4242" priority="81">
      <formula>S$9&gt;=20/24</formula>
    </cfRule>
    <cfRule type="expression" dxfId="4241" priority="82">
      <formula>AND(S$9&gt;=14/24,S$9&lt;20/24)</formula>
    </cfRule>
    <cfRule type="expression" dxfId="4240" priority="83">
      <formula>AND(S$9&gt;=8/24,S$9&lt;14/24)</formula>
    </cfRule>
    <cfRule type="expression" dxfId="4239" priority="84">
      <formula>S$9&lt;8/24</formula>
    </cfRule>
  </conditionalFormatting>
  <conditionalFormatting sqref="S41">
    <cfRule type="expression" dxfId="4238" priority="77">
      <formula>S$9&gt;=20/24</formula>
    </cfRule>
    <cfRule type="expression" dxfId="4237" priority="78">
      <formula>AND(S$9&gt;=14/24,S$9&lt;20/24)</formula>
    </cfRule>
    <cfRule type="expression" dxfId="4236" priority="79">
      <formula>AND(S$9&gt;=8/24,S$9&lt;14/24)</formula>
    </cfRule>
    <cfRule type="expression" dxfId="4235" priority="80">
      <formula>S$9&lt;8/24</formula>
    </cfRule>
  </conditionalFormatting>
  <conditionalFormatting sqref="S47">
    <cfRule type="expression" dxfId="4234" priority="73">
      <formula>S$9&gt;=20/24</formula>
    </cfRule>
    <cfRule type="expression" dxfId="4233" priority="74">
      <formula>AND(S$9&gt;=14/24,S$9&lt;20/24)</formula>
    </cfRule>
    <cfRule type="expression" dxfId="4232" priority="75">
      <formula>AND(S$9&gt;=8/24,S$9&lt;14/24)</formula>
    </cfRule>
    <cfRule type="expression" dxfId="4231" priority="76">
      <formula>S$9&lt;8/24</formula>
    </cfRule>
  </conditionalFormatting>
  <conditionalFormatting sqref="S48">
    <cfRule type="expression" dxfId="4230" priority="69">
      <formula>S$9&gt;=20/24</formula>
    </cfRule>
    <cfRule type="expression" dxfId="4229" priority="70">
      <formula>AND(S$9&gt;=14/24,S$9&lt;20/24)</formula>
    </cfRule>
    <cfRule type="expression" dxfId="4228" priority="71">
      <formula>AND(S$9&gt;=8/24,S$9&lt;14/24)</formula>
    </cfRule>
    <cfRule type="expression" dxfId="4227" priority="72">
      <formula>S$9&lt;8/24</formula>
    </cfRule>
  </conditionalFormatting>
  <conditionalFormatting sqref="S43 S45">
    <cfRule type="expression" dxfId="4226" priority="65">
      <formula>S$9&gt;=20/24</formula>
    </cfRule>
    <cfRule type="expression" dxfId="4225" priority="66">
      <formula>AND(S$9&gt;=14/24,S$9&lt;20/24)</formula>
    </cfRule>
    <cfRule type="expression" dxfId="4224" priority="67">
      <formula>AND(S$9&gt;=8/24,S$9&lt;14/24)</formula>
    </cfRule>
    <cfRule type="expression" dxfId="4223" priority="68">
      <formula>S$9&lt;8/24</formula>
    </cfRule>
  </conditionalFormatting>
  <conditionalFormatting sqref="S43 S41 S47:S48 S45">
    <cfRule type="expression" dxfId="4222" priority="64">
      <formula>S41&gt;$AG41</formula>
    </cfRule>
  </conditionalFormatting>
  <conditionalFormatting sqref="S42">
    <cfRule type="expression" dxfId="4221" priority="60">
      <formula>S$9&gt;=20/24</formula>
    </cfRule>
    <cfRule type="expression" dxfId="4220" priority="61">
      <formula>AND(S$9&gt;=14/24,S$9&lt;20/24)</formula>
    </cfRule>
    <cfRule type="expression" dxfId="4219" priority="62">
      <formula>AND(S$9&gt;=8/24,S$9&lt;14/24)</formula>
    </cfRule>
    <cfRule type="expression" dxfId="4218" priority="63">
      <formula>S$9&lt;8/24</formula>
    </cfRule>
  </conditionalFormatting>
  <conditionalFormatting sqref="S42">
    <cfRule type="expression" dxfId="4217" priority="59">
      <formula>S42&gt;$AG42</formula>
    </cfRule>
  </conditionalFormatting>
  <conditionalFormatting sqref="T15:X15">
    <cfRule type="expression" dxfId="4216" priority="55">
      <formula>T$9&gt;=20/24</formula>
    </cfRule>
    <cfRule type="expression" dxfId="4215" priority="56">
      <formula>AND(T$9&gt;=14/24,T$9&lt;20/24)</formula>
    </cfRule>
    <cfRule type="expression" dxfId="4214" priority="57">
      <formula>AND(T$9&gt;=8/24,T$9&lt;14/24)</formula>
    </cfRule>
    <cfRule type="expression" dxfId="4213" priority="58">
      <formula>T$9&lt;8/24</formula>
    </cfRule>
  </conditionalFormatting>
  <conditionalFormatting sqref="T15:X15">
    <cfRule type="expression" dxfId="4212" priority="54">
      <formula>T15&gt;$AG15</formula>
    </cfRule>
  </conditionalFormatting>
  <conditionalFormatting sqref="T16:X17">
    <cfRule type="expression" dxfId="4211" priority="50">
      <formula>T$9&gt;=20/24</formula>
    </cfRule>
    <cfRule type="expression" dxfId="4210" priority="51">
      <formula>AND(T$9&gt;=14/24,T$9&lt;20/24)</formula>
    </cfRule>
    <cfRule type="expression" dxfId="4209" priority="52">
      <formula>AND(T$9&gt;=8/24,T$9&lt;14/24)</formula>
    </cfRule>
    <cfRule type="expression" dxfId="4208" priority="53">
      <formula>T$9&lt;8/24</formula>
    </cfRule>
  </conditionalFormatting>
  <conditionalFormatting sqref="T16:X17">
    <cfRule type="expression" dxfId="4207" priority="49">
      <formula>T16&gt;$AG16</formula>
    </cfRule>
  </conditionalFormatting>
  <conditionalFormatting sqref="T18:X31">
    <cfRule type="expression" dxfId="4206" priority="45">
      <formula>T$9&gt;=20/24</formula>
    </cfRule>
    <cfRule type="expression" dxfId="4205" priority="46">
      <formula>AND(T$9&gt;=14/24,T$9&lt;20/24)</formula>
    </cfRule>
    <cfRule type="expression" dxfId="4204" priority="47">
      <formula>AND(T$9&gt;=8/24,T$9&lt;14/24)</formula>
    </cfRule>
    <cfRule type="expression" dxfId="4203" priority="48">
      <formula>T$9&lt;8/24</formula>
    </cfRule>
  </conditionalFormatting>
  <conditionalFormatting sqref="T33:X33">
    <cfRule type="expression" dxfId="4202" priority="41">
      <formula>T$9&gt;=20/24</formula>
    </cfRule>
    <cfRule type="expression" dxfId="4201" priority="42">
      <formula>AND(T$9&gt;=14/24,T$9&lt;20/24)</formula>
    </cfRule>
    <cfRule type="expression" dxfId="4200" priority="43">
      <formula>AND(T$9&gt;=8/24,T$9&lt;14/24)</formula>
    </cfRule>
    <cfRule type="expression" dxfId="4199" priority="44">
      <formula>T$9&lt;8/24</formula>
    </cfRule>
  </conditionalFormatting>
  <conditionalFormatting sqref="T33:X34 T18:X31">
    <cfRule type="expression" dxfId="4198" priority="40">
      <formula>T18&gt;$AG18</formula>
    </cfRule>
  </conditionalFormatting>
  <conditionalFormatting sqref="T34:X34">
    <cfRule type="expression" dxfId="4197" priority="36">
      <formula>T$9&gt;=20/24</formula>
    </cfRule>
    <cfRule type="expression" dxfId="4196" priority="37">
      <formula>AND(T$9&gt;=14/24,T$9&lt;20/24)</formula>
    </cfRule>
    <cfRule type="expression" dxfId="4195" priority="38">
      <formula>AND(T$9&gt;=8/24,T$9&lt;14/24)</formula>
    </cfRule>
    <cfRule type="expression" dxfId="4194" priority="39">
      <formula>T$9&lt;8/24</formula>
    </cfRule>
  </conditionalFormatting>
  <conditionalFormatting sqref="T32:X32">
    <cfRule type="expression" dxfId="4193" priority="32">
      <formula>T$9&gt;=20/24</formula>
    </cfRule>
    <cfRule type="expression" dxfId="4192" priority="33">
      <formula>AND(T$9&gt;=14/24,T$9&lt;20/24)</formula>
    </cfRule>
    <cfRule type="expression" dxfId="4191" priority="34">
      <formula>AND(T$9&gt;=8/24,T$9&lt;14/24)</formula>
    </cfRule>
    <cfRule type="expression" dxfId="4190" priority="35">
      <formula>T$9&lt;8/24</formula>
    </cfRule>
  </conditionalFormatting>
  <conditionalFormatting sqref="T32:X32">
    <cfRule type="expression" dxfId="4189" priority="31">
      <formula>T32&gt;$AG32</formula>
    </cfRule>
  </conditionalFormatting>
  <conditionalFormatting sqref="U46 T43:X43 T45:X45">
    <cfRule type="expression" dxfId="4188" priority="27">
      <formula>T$9&gt;=20/24</formula>
    </cfRule>
    <cfRule type="expression" dxfId="4187" priority="28">
      <formula>AND(T$9&gt;=14/24,T$9&lt;20/24)</formula>
    </cfRule>
    <cfRule type="expression" dxfId="4186" priority="29">
      <formula>AND(T$9&gt;=8/24,T$9&lt;14/24)</formula>
    </cfRule>
    <cfRule type="expression" dxfId="4185" priority="30">
      <formula>T$9&lt;8/24</formula>
    </cfRule>
  </conditionalFormatting>
  <conditionalFormatting sqref="T47:X47">
    <cfRule type="expression" dxfId="4184" priority="23">
      <formula>T$9&gt;=20/24</formula>
    </cfRule>
    <cfRule type="expression" dxfId="4183" priority="24">
      <formula>AND(T$9&gt;=14/24,T$9&lt;20/24)</formula>
    </cfRule>
    <cfRule type="expression" dxfId="4182" priority="25">
      <formula>AND(T$9&gt;=8/24,T$9&lt;14/24)</formula>
    </cfRule>
    <cfRule type="expression" dxfId="4181" priority="26">
      <formula>T$9&lt;8/24</formula>
    </cfRule>
  </conditionalFormatting>
  <conditionalFormatting sqref="T48:X48">
    <cfRule type="expression" dxfId="4180" priority="19">
      <formula>T$9&gt;=20/24</formula>
    </cfRule>
    <cfRule type="expression" dxfId="4179" priority="20">
      <formula>AND(T$9&gt;=14/24,T$9&lt;20/24)</formula>
    </cfRule>
    <cfRule type="expression" dxfId="4178" priority="21">
      <formula>AND(T$9&gt;=8/24,T$9&lt;14/24)</formula>
    </cfRule>
    <cfRule type="expression" dxfId="4177" priority="22">
      <formula>T$9&lt;8/24</formula>
    </cfRule>
  </conditionalFormatting>
  <conditionalFormatting sqref="U46 T43:X43 T45:X45">
    <cfRule type="expression" dxfId="4176" priority="15">
      <formula>T$9&gt;=20/24</formula>
    </cfRule>
    <cfRule type="expression" dxfId="4175" priority="16">
      <formula>AND(T$9&gt;=14/24,T$9&lt;20/24)</formula>
    </cfRule>
    <cfRule type="expression" dxfId="4174" priority="17">
      <formula>AND(T$9&gt;=8/24,T$9&lt;14/24)</formula>
    </cfRule>
    <cfRule type="expression" dxfId="4173" priority="18">
      <formula>T$9&lt;8/24</formula>
    </cfRule>
  </conditionalFormatting>
  <conditionalFormatting sqref="U46 T43:X43 T45:X45 T47:X48">
    <cfRule type="expression" dxfId="4172" priority="14">
      <formula>T43&gt;$AG43</formula>
    </cfRule>
  </conditionalFormatting>
  <conditionalFormatting sqref="T42:X42">
    <cfRule type="expression" dxfId="4171" priority="10">
      <formula>T$9&gt;=20/24</formula>
    </cfRule>
    <cfRule type="expression" dxfId="4170" priority="11">
      <formula>AND(T$9&gt;=14/24,T$9&lt;20/24)</formula>
    </cfRule>
    <cfRule type="expression" dxfId="4169" priority="12">
      <formula>AND(T$9&gt;=8/24,T$9&lt;14/24)</formula>
    </cfRule>
    <cfRule type="expression" dxfId="4168" priority="13">
      <formula>T$9&lt;8/24</formula>
    </cfRule>
  </conditionalFormatting>
  <conditionalFormatting sqref="T42:X42">
    <cfRule type="expression" dxfId="4167" priority="9">
      <formula>T42&gt;$AG42</formula>
    </cfRule>
  </conditionalFormatting>
  <conditionalFormatting sqref="Y82">
    <cfRule type="expression" dxfId="4166" priority="5">
      <formula>Y$9&gt;=20/24</formula>
    </cfRule>
    <cfRule type="expression" dxfId="4165" priority="6">
      <formula>AND(Y$9&gt;=14/24,Y$9&lt;20/24)</formula>
    </cfRule>
    <cfRule type="expression" dxfId="4164" priority="7">
      <formula>AND(Y$9&gt;=8/24,Y$9&lt;14/24)</formula>
    </cfRule>
    <cfRule type="expression" dxfId="4163" priority="8">
      <formula>Y$9&lt;8/24</formula>
    </cfRule>
  </conditionalFormatting>
  <conditionalFormatting sqref="Y83:Y89">
    <cfRule type="expression" dxfId="4162" priority="1">
      <formula>Y$9&gt;=20/24</formula>
    </cfRule>
    <cfRule type="expression" dxfId="4161" priority="2">
      <formula>AND(Y$9&gt;=14/24,Y$9&lt;20/24)</formula>
    </cfRule>
    <cfRule type="expression" dxfId="4160" priority="3">
      <formula>AND(Y$9&gt;=8/24,Y$9&lt;14/24)</formula>
    </cfRule>
    <cfRule type="expression" dxfId="4159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X56" sqref="X56:AF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2078/04/21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-207.6</v>
      </c>
      <c r="C5" s="32">
        <f t="shared" ref="C5:AF5" si="0">C66</f>
        <v>-205.5</v>
      </c>
      <c r="D5" s="32">
        <f t="shared" si="0"/>
        <v>-175.4</v>
      </c>
      <c r="E5" s="32">
        <f t="shared" si="0"/>
        <v>-216.7</v>
      </c>
      <c r="F5" s="32">
        <f t="shared" si="0"/>
        <v>-172.4</v>
      </c>
      <c r="G5" s="32">
        <f t="shared" si="0"/>
        <v>-209.4</v>
      </c>
      <c r="H5" s="32">
        <f t="shared" si="0"/>
        <v>-198.6</v>
      </c>
      <c r="I5" s="32">
        <f t="shared" si="0"/>
        <v>-169.2</v>
      </c>
      <c r="J5" s="32">
        <f t="shared" si="0"/>
        <v>-198.6</v>
      </c>
      <c r="K5" s="32">
        <f t="shared" si="0"/>
        <v>-168.29999999999998</v>
      </c>
      <c r="L5" s="32">
        <f t="shared" si="0"/>
        <v>-106.19999999999999</v>
      </c>
      <c r="M5" s="32">
        <f t="shared" si="0"/>
        <v>-129.30000000000001</v>
      </c>
      <c r="N5" s="32">
        <f t="shared" si="0"/>
        <v>-115.30000000000001</v>
      </c>
      <c r="O5" s="32">
        <f t="shared" si="0"/>
        <v>-61.2</v>
      </c>
      <c r="P5" s="32">
        <f t="shared" si="0"/>
        <v>-61.3</v>
      </c>
      <c r="Q5" s="32">
        <f t="shared" si="0"/>
        <v>-51.3</v>
      </c>
      <c r="R5" s="32">
        <f t="shared" si="0"/>
        <v>-25</v>
      </c>
      <c r="S5" s="32">
        <f t="shared" si="0"/>
        <v>-36</v>
      </c>
      <c r="T5" s="32">
        <f t="shared" si="0"/>
        <v>-19</v>
      </c>
      <c r="U5" s="32">
        <f t="shared" si="0"/>
        <v>-49.2</v>
      </c>
      <c r="V5" s="32">
        <f t="shared" si="0"/>
        <v>-20.7</v>
      </c>
      <c r="W5" s="32">
        <f t="shared" si="0"/>
        <v>-144.80000000000001</v>
      </c>
      <c r="X5" s="32">
        <f t="shared" si="0"/>
        <v>-69.300000000000011</v>
      </c>
      <c r="Y5" s="32">
        <f t="shared" si="0"/>
        <v>-74.36</v>
      </c>
      <c r="Z5" s="32">
        <f t="shared" si="0"/>
        <v>-131.9</v>
      </c>
      <c r="AA5" s="32">
        <f t="shared" si="0"/>
        <v>-140.07</v>
      </c>
      <c r="AB5" s="32">
        <f t="shared" si="0"/>
        <v>-169.07</v>
      </c>
      <c r="AC5" s="32">
        <f t="shared" si="0"/>
        <v>-172.8</v>
      </c>
      <c r="AD5" s="32">
        <f t="shared" si="0"/>
        <v>-182.5</v>
      </c>
      <c r="AE5" s="32">
        <f t="shared" si="0"/>
        <v>-182.2</v>
      </c>
      <c r="AF5" s="32">
        <f t="shared" si="0"/>
        <v>-157.5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1287MW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Load=1094</v>
      </c>
      <c r="B7" s="37">
        <f t="shared" ref="B7:AF7" si="1">B73</f>
        <v>1168.5300000000002</v>
      </c>
      <c r="C7" s="37">
        <f t="shared" si="1"/>
        <v>1158.1300000000001</v>
      </c>
      <c r="D7" s="37">
        <f t="shared" si="1"/>
        <v>1167.1399999999999</v>
      </c>
      <c r="E7" s="37">
        <f t="shared" si="1"/>
        <v>1094.44</v>
      </c>
      <c r="F7" s="37">
        <f t="shared" si="1"/>
        <v>1139.1399999999999</v>
      </c>
      <c r="G7" s="37">
        <f t="shared" si="1"/>
        <v>1156.1400000000001</v>
      </c>
      <c r="H7" s="37">
        <f t="shared" si="1"/>
        <v>1166.54</v>
      </c>
      <c r="I7" s="37">
        <f t="shared" si="1"/>
        <v>1196.24</v>
      </c>
      <c r="J7" s="37">
        <f t="shared" si="1"/>
        <v>1171.9390000000001</v>
      </c>
      <c r="K7" s="37">
        <f t="shared" si="1"/>
        <v>1212.94</v>
      </c>
      <c r="L7" s="37">
        <f>L73</f>
        <v>1276.43</v>
      </c>
      <c r="M7" s="37">
        <f t="shared" si="1"/>
        <v>1287.1399999999999</v>
      </c>
      <c r="N7" s="37">
        <f t="shared" si="1"/>
        <v>1299.04</v>
      </c>
      <c r="O7" s="37">
        <f t="shared" si="1"/>
        <v>1286.2399999999998</v>
      </c>
      <c r="P7" s="37">
        <f t="shared" si="1"/>
        <v>1254.94</v>
      </c>
      <c r="Q7" s="37">
        <f t="shared" si="1"/>
        <v>1260.2399999999998</v>
      </c>
      <c r="R7" s="37">
        <f t="shared" si="1"/>
        <v>1288.7399999999998</v>
      </c>
      <c r="S7" s="37">
        <f t="shared" si="1"/>
        <v>1324.6399999999999</v>
      </c>
      <c r="T7" s="37">
        <f t="shared" si="1"/>
        <v>1285.7399999999998</v>
      </c>
      <c r="U7" s="37">
        <f t="shared" si="1"/>
        <v>1267.04</v>
      </c>
      <c r="V7" s="37">
        <f t="shared" si="1"/>
        <v>1293.04</v>
      </c>
      <c r="W7" s="37">
        <f t="shared" si="1"/>
        <v>1407.8400000000001</v>
      </c>
      <c r="X7" s="37">
        <f t="shared" si="1"/>
        <v>1523.1399999999999</v>
      </c>
      <c r="Y7" s="37">
        <f t="shared" si="1"/>
        <v>1526.58</v>
      </c>
      <c r="Z7" s="37">
        <f>Z73</f>
        <v>1468.9399999999998</v>
      </c>
      <c r="AA7" s="37">
        <f t="shared" si="1"/>
        <v>1463.87</v>
      </c>
      <c r="AB7" s="37">
        <f t="shared" si="1"/>
        <v>1418.27</v>
      </c>
      <c r="AC7" s="37">
        <f t="shared" si="1"/>
        <v>1404.14</v>
      </c>
      <c r="AD7" s="37">
        <f t="shared" si="1"/>
        <v>1274.94</v>
      </c>
      <c r="AE7" s="37">
        <f t="shared" si="1"/>
        <v>1234.1400000000001</v>
      </c>
      <c r="AF7" s="37">
        <f t="shared" si="1"/>
        <v>1208.8400000000001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329</v>
      </c>
      <c r="C11" s="49">
        <v>329</v>
      </c>
      <c r="D11" s="49">
        <v>305</v>
      </c>
      <c r="E11" s="49">
        <v>275</v>
      </c>
      <c r="F11" s="49">
        <v>275</v>
      </c>
      <c r="G11" s="49">
        <v>340</v>
      </c>
      <c r="H11" s="49">
        <v>340</v>
      </c>
      <c r="I11" s="49">
        <v>340</v>
      </c>
      <c r="J11" s="49">
        <v>340</v>
      </c>
      <c r="K11" s="49">
        <v>340</v>
      </c>
      <c r="L11" s="50">
        <v>340</v>
      </c>
      <c r="M11" s="50">
        <v>360</v>
      </c>
      <c r="N11" s="50">
        <v>360</v>
      </c>
      <c r="O11" s="50">
        <v>256</v>
      </c>
      <c r="P11" s="50">
        <v>227</v>
      </c>
      <c r="Q11" s="50">
        <v>250</v>
      </c>
      <c r="R11" s="50">
        <v>275</v>
      </c>
      <c r="S11" s="52">
        <v>290</v>
      </c>
      <c r="T11" s="52">
        <v>250</v>
      </c>
      <c r="U11" s="52">
        <v>260</v>
      </c>
      <c r="V11" s="52">
        <v>260</v>
      </c>
      <c r="W11" s="52">
        <v>420</v>
      </c>
      <c r="X11" s="52">
        <v>456</v>
      </c>
      <c r="Y11" s="53">
        <v>456</v>
      </c>
      <c r="Z11" s="53">
        <v>456</v>
      </c>
      <c r="AA11" s="115">
        <v>456</v>
      </c>
      <c r="AB11" s="115">
        <v>456</v>
      </c>
      <c r="AC11" s="115">
        <v>456</v>
      </c>
      <c r="AD11" s="115">
        <v>400</v>
      </c>
      <c r="AE11" s="115">
        <v>360</v>
      </c>
      <c r="AF11" s="115">
        <v>350</v>
      </c>
      <c r="AG11" s="54">
        <v>456</v>
      </c>
      <c r="AH11" s="55">
        <f>MAX(B11:AF11)</f>
        <v>456</v>
      </c>
      <c r="AI11" s="56">
        <f>MIN(B11:AF11)</f>
        <v>227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50</v>
      </c>
      <c r="H12" s="49">
        <v>50</v>
      </c>
      <c r="I12" s="49">
        <v>50</v>
      </c>
      <c r="J12" s="49">
        <v>50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45.69</v>
      </c>
      <c r="C14" s="62">
        <v>45.69</v>
      </c>
      <c r="D14" s="62">
        <v>40</v>
      </c>
      <c r="E14" s="62">
        <v>40</v>
      </c>
      <c r="F14" s="62">
        <v>40</v>
      </c>
      <c r="G14" s="62">
        <v>40</v>
      </c>
      <c r="H14" s="62">
        <v>40</v>
      </c>
      <c r="I14" s="62">
        <v>40</v>
      </c>
      <c r="J14" s="62">
        <v>45</v>
      </c>
      <c r="K14" s="62">
        <v>45</v>
      </c>
      <c r="L14" s="50">
        <v>45.6</v>
      </c>
      <c r="M14" s="50">
        <v>45.6</v>
      </c>
      <c r="N14" s="50">
        <v>45.6</v>
      </c>
      <c r="O14" s="50">
        <v>45.6</v>
      </c>
      <c r="P14" s="50">
        <v>45.6</v>
      </c>
      <c r="Q14" s="50">
        <v>45.6</v>
      </c>
      <c r="R14" s="50">
        <v>45.6</v>
      </c>
      <c r="S14" s="50">
        <v>45.6</v>
      </c>
      <c r="T14" s="50">
        <v>45.6</v>
      </c>
      <c r="U14" s="50">
        <v>45.6</v>
      </c>
      <c r="V14" s="50">
        <v>45.6</v>
      </c>
      <c r="W14" s="50">
        <v>45.6</v>
      </c>
      <c r="X14" s="50">
        <v>45.6</v>
      </c>
      <c r="Y14" s="50">
        <v>45.6</v>
      </c>
      <c r="Z14" s="50">
        <v>45.6</v>
      </c>
      <c r="AA14" s="50">
        <v>45.9</v>
      </c>
      <c r="AB14" s="50">
        <v>45.7</v>
      </c>
      <c r="AC14" s="50">
        <v>45.7</v>
      </c>
      <c r="AD14" s="50">
        <v>45</v>
      </c>
      <c r="AE14" s="50">
        <v>45</v>
      </c>
      <c r="AF14" s="50">
        <v>45</v>
      </c>
      <c r="AG14" s="63">
        <v>45</v>
      </c>
      <c r="AH14" s="55">
        <f t="shared" si="2"/>
        <v>45.9</v>
      </c>
      <c r="AI14" s="56">
        <f t="shared" si="3"/>
        <v>40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28</v>
      </c>
      <c r="C15" s="49">
        <v>28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0">
        <v>28</v>
      </c>
      <c r="Z15" s="50">
        <v>28</v>
      </c>
      <c r="AA15" s="50">
        <v>28</v>
      </c>
      <c r="AB15" s="50">
        <v>28</v>
      </c>
      <c r="AC15" s="50">
        <v>28</v>
      </c>
      <c r="AD15" s="50">
        <v>14</v>
      </c>
      <c r="AE15" s="50">
        <v>26</v>
      </c>
      <c r="AF15" s="50">
        <v>26</v>
      </c>
      <c r="AG15" s="60">
        <v>45</v>
      </c>
      <c r="AH15" s="55">
        <f t="shared" si="2"/>
        <v>28</v>
      </c>
      <c r="AI15" s="56">
        <f t="shared" si="3"/>
        <v>14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22</v>
      </c>
      <c r="F16" s="49">
        <v>22</v>
      </c>
      <c r="G16" s="49">
        <v>22</v>
      </c>
      <c r="H16" s="49">
        <v>22</v>
      </c>
      <c r="I16" s="49">
        <v>22</v>
      </c>
      <c r="J16" s="49">
        <v>22</v>
      </c>
      <c r="K16" s="49">
        <v>22</v>
      </c>
      <c r="L16" s="50">
        <v>22</v>
      </c>
      <c r="M16" s="50">
        <v>22</v>
      </c>
      <c r="N16" s="50">
        <v>22</v>
      </c>
      <c r="O16" s="50">
        <v>22</v>
      </c>
      <c r="P16" s="50">
        <v>22</v>
      </c>
      <c r="Q16" s="50">
        <v>22</v>
      </c>
      <c r="R16" s="50">
        <v>22</v>
      </c>
      <c r="S16" s="50">
        <v>22</v>
      </c>
      <c r="T16" s="50">
        <v>22</v>
      </c>
      <c r="U16" s="50">
        <v>22</v>
      </c>
      <c r="V16" s="50">
        <v>22</v>
      </c>
      <c r="W16" s="50">
        <v>22</v>
      </c>
      <c r="X16" s="50">
        <v>22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22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25.2</v>
      </c>
      <c r="C18" s="49">
        <v>25.2</v>
      </c>
      <c r="D18" s="49">
        <v>25.2</v>
      </c>
      <c r="E18" s="49">
        <v>25</v>
      </c>
      <c r="F18" s="49">
        <v>25</v>
      </c>
      <c r="G18" s="49">
        <v>25</v>
      </c>
      <c r="H18" s="49">
        <v>25</v>
      </c>
      <c r="I18" s="49">
        <v>25</v>
      </c>
      <c r="J18" s="49">
        <v>25</v>
      </c>
      <c r="K18" s="49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25.4</v>
      </c>
      <c r="Z18" s="50">
        <v>25.4</v>
      </c>
      <c r="AA18" s="50">
        <v>25.2</v>
      </c>
      <c r="AB18" s="50">
        <v>25.1</v>
      </c>
      <c r="AC18" s="50">
        <v>25.1</v>
      </c>
      <c r="AD18" s="50">
        <v>25.1</v>
      </c>
      <c r="AE18" s="50">
        <v>25.1</v>
      </c>
      <c r="AF18" s="50">
        <v>25.1</v>
      </c>
      <c r="AG18" s="60">
        <v>30</v>
      </c>
      <c r="AH18" s="55">
        <f t="shared" si="2"/>
        <v>25.4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22.1</v>
      </c>
      <c r="C22" s="49">
        <v>22.1</v>
      </c>
      <c r="D22" s="49">
        <v>22.1</v>
      </c>
      <c r="E22" s="49">
        <v>22.1</v>
      </c>
      <c r="F22" s="49">
        <v>22.1</v>
      </c>
      <c r="G22" s="49">
        <v>22.1</v>
      </c>
      <c r="H22" s="49">
        <v>22.1</v>
      </c>
      <c r="I22" s="49">
        <v>22.1</v>
      </c>
      <c r="J22" s="49">
        <v>22.1</v>
      </c>
      <c r="K22" s="49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0">
        <v>25</v>
      </c>
      <c r="AH22" s="55">
        <f t="shared" si="2"/>
        <v>22.1</v>
      </c>
      <c r="AI22" s="56">
        <f t="shared" si="3"/>
        <v>22.1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20</v>
      </c>
      <c r="D24" s="49">
        <v>20</v>
      </c>
      <c r="E24" s="49">
        <v>20</v>
      </c>
      <c r="F24" s="49">
        <v>20</v>
      </c>
      <c r="G24" s="49">
        <v>20</v>
      </c>
      <c r="H24" s="49">
        <v>20</v>
      </c>
      <c r="I24" s="49">
        <v>20</v>
      </c>
      <c r="J24" s="49">
        <v>20</v>
      </c>
      <c r="K24" s="49">
        <v>20</v>
      </c>
      <c r="L24" s="50">
        <v>20</v>
      </c>
      <c r="M24" s="50">
        <v>20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14</v>
      </c>
      <c r="Z25" s="50">
        <v>14</v>
      </c>
      <c r="AA25" s="50">
        <v>14</v>
      </c>
      <c r="AB25" s="50">
        <v>14</v>
      </c>
      <c r="AC25" s="50">
        <v>14</v>
      </c>
      <c r="AD25" s="50">
        <v>14</v>
      </c>
      <c r="AE25" s="50">
        <v>10</v>
      </c>
      <c r="AF25" s="50">
        <v>10</v>
      </c>
      <c r="AG25" s="60">
        <v>20</v>
      </c>
      <c r="AH25" s="55">
        <f t="shared" si="2"/>
        <v>14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>
        <v>14.9</v>
      </c>
      <c r="AE26" s="49">
        <v>14.9</v>
      </c>
      <c r="AF26" s="49">
        <v>14.9</v>
      </c>
      <c r="AG26" s="60">
        <v>23.5</v>
      </c>
      <c r="AH26" s="55">
        <f t="shared" si="2"/>
        <v>14.9</v>
      </c>
      <c r="AI26" s="56">
        <f t="shared" si="3"/>
        <v>14.9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12.4</v>
      </c>
      <c r="AI28" s="56">
        <f t="shared" si="3"/>
        <v>12.4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>
        <v>166.10000000000002</v>
      </c>
      <c r="C35" s="62">
        <f>93.7+72.6</f>
        <v>166.3</v>
      </c>
      <c r="D35" s="62">
        <v>162.30000000000001</v>
      </c>
      <c r="E35" s="62">
        <v>165.3</v>
      </c>
      <c r="F35" s="62">
        <v>166</v>
      </c>
      <c r="G35" s="62">
        <v>160.6</v>
      </c>
      <c r="H35" s="62">
        <v>160.9</v>
      </c>
      <c r="I35" s="62">
        <v>159.6</v>
      </c>
      <c r="J35" s="62">
        <v>163.5</v>
      </c>
      <c r="K35" s="62">
        <v>161.80000000000001</v>
      </c>
      <c r="L35" s="70">
        <v>162.5</v>
      </c>
      <c r="M35" s="70">
        <v>161.9</v>
      </c>
      <c r="N35" s="70">
        <v>161.9</v>
      </c>
      <c r="O35" s="70">
        <v>150</v>
      </c>
      <c r="P35" s="70">
        <v>157.69999999999999</v>
      </c>
      <c r="Q35" s="70">
        <v>163.30000000000001</v>
      </c>
      <c r="R35" s="70">
        <v>163.30000000000001</v>
      </c>
      <c r="S35" s="70">
        <v>149</v>
      </c>
      <c r="T35" s="70">
        <f>92.6+70.4</f>
        <v>163</v>
      </c>
      <c r="U35" s="70">
        <v>158</v>
      </c>
      <c r="V35" s="70">
        <v>162</v>
      </c>
      <c r="W35" s="70">
        <v>162</v>
      </c>
      <c r="X35" s="70">
        <v>158</v>
      </c>
      <c r="Y35" s="70">
        <v>160</v>
      </c>
      <c r="Z35" s="70">
        <v>159</v>
      </c>
      <c r="AA35" s="70">
        <f>68.8+91</f>
        <v>159.80000000000001</v>
      </c>
      <c r="AB35" s="70">
        <f>68.9+91</f>
        <v>159.9</v>
      </c>
      <c r="AC35" s="70">
        <f>70+91</f>
        <v>161</v>
      </c>
      <c r="AD35" s="70">
        <f>70.3+92.5</f>
        <v>162.80000000000001</v>
      </c>
      <c r="AE35" s="70">
        <f>70.3+92.8</f>
        <v>163.1</v>
      </c>
      <c r="AF35" s="70">
        <f>70.5+92.9</f>
        <v>163.4</v>
      </c>
      <c r="AG35" s="67">
        <v>240</v>
      </c>
      <c r="AH35" s="55">
        <f t="shared" si="2"/>
        <v>166.3</v>
      </c>
      <c r="AI35" s="56">
        <f t="shared" si="3"/>
        <v>149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934.49000000000012</v>
      </c>
      <c r="C36" s="72">
        <f t="shared" si="4"/>
        <v>932.49000000000012</v>
      </c>
      <c r="D36" s="72">
        <f t="shared" si="4"/>
        <v>900.8</v>
      </c>
      <c r="E36" s="72">
        <f t="shared" si="4"/>
        <v>867.6</v>
      </c>
      <c r="F36" s="72">
        <f t="shared" si="4"/>
        <v>867.6</v>
      </c>
      <c r="G36" s="72">
        <f t="shared" si="4"/>
        <v>922.6</v>
      </c>
      <c r="H36" s="72">
        <f t="shared" si="4"/>
        <v>922.6</v>
      </c>
      <c r="I36" s="72">
        <f t="shared" si="4"/>
        <v>922.6</v>
      </c>
      <c r="J36" s="72">
        <f t="shared" si="4"/>
        <v>927.6</v>
      </c>
      <c r="K36" s="72">
        <f t="shared" si="4"/>
        <v>937.6</v>
      </c>
      <c r="L36" s="72">
        <f t="shared" si="4"/>
        <v>938.2</v>
      </c>
      <c r="M36" s="72">
        <f t="shared" si="4"/>
        <v>958.2</v>
      </c>
      <c r="N36" s="72">
        <f t="shared" si="4"/>
        <v>958.2</v>
      </c>
      <c r="O36" s="72">
        <f t="shared" si="4"/>
        <v>854.19999999999993</v>
      </c>
      <c r="P36" s="72">
        <f t="shared" si="4"/>
        <v>825.2</v>
      </c>
      <c r="Q36" s="72">
        <f t="shared" si="4"/>
        <v>848.19999999999993</v>
      </c>
      <c r="R36" s="72">
        <f t="shared" si="4"/>
        <v>873.19999999999993</v>
      </c>
      <c r="S36" s="72">
        <f t="shared" si="4"/>
        <v>888.19999999999993</v>
      </c>
      <c r="T36" s="72">
        <f t="shared" si="4"/>
        <v>848.19999999999993</v>
      </c>
      <c r="U36" s="72">
        <f t="shared" si="4"/>
        <v>858.19999999999993</v>
      </c>
      <c r="V36" s="72">
        <f t="shared" si="4"/>
        <v>858.19999999999993</v>
      </c>
      <c r="W36" s="72">
        <f t="shared" si="4"/>
        <v>1018.2</v>
      </c>
      <c r="X36" s="72">
        <f t="shared" si="4"/>
        <v>1054.2</v>
      </c>
      <c r="Y36" s="72">
        <f t="shared" si="4"/>
        <v>1065.5999999999999</v>
      </c>
      <c r="Z36" s="72">
        <f t="shared" si="4"/>
        <v>1065.5999999999999</v>
      </c>
      <c r="AA36" s="72">
        <f t="shared" si="4"/>
        <v>1065.7</v>
      </c>
      <c r="AB36" s="72">
        <f t="shared" si="4"/>
        <v>1065.4000000000001</v>
      </c>
      <c r="AC36" s="72">
        <f t="shared" si="4"/>
        <v>1065.4000000000001</v>
      </c>
      <c r="AD36" s="72">
        <f t="shared" si="4"/>
        <v>994.7</v>
      </c>
      <c r="AE36" s="72">
        <f t="shared" si="4"/>
        <v>962.7</v>
      </c>
      <c r="AF36" s="72">
        <f t="shared" si="4"/>
        <v>952.7</v>
      </c>
      <c r="AG36" s="67">
        <f>SUM(AG11:AG35)</f>
        <v>1431.83</v>
      </c>
      <c r="AH36" s="55">
        <f t="shared" si="2"/>
        <v>1065.7</v>
      </c>
      <c r="AI36" s="56">
        <f t="shared" si="3"/>
        <v>825.2</v>
      </c>
      <c r="AK36" s="57"/>
    </row>
    <row r="37" spans="1:88" x14ac:dyDescent="0.25">
      <c r="A37" s="58" t="s">
        <v>44</v>
      </c>
      <c r="B37" s="62">
        <v>144.5</v>
      </c>
      <c r="C37" s="62">
        <v>144.69999999999999</v>
      </c>
      <c r="D37" s="62">
        <v>145</v>
      </c>
      <c r="E37" s="62">
        <v>145</v>
      </c>
      <c r="F37" s="62">
        <v>145</v>
      </c>
      <c r="G37" s="62">
        <v>145</v>
      </c>
      <c r="H37" s="62">
        <v>144.6</v>
      </c>
      <c r="I37" s="62">
        <v>144.9</v>
      </c>
      <c r="J37" s="62">
        <v>144.999</v>
      </c>
      <c r="K37" s="62">
        <v>145.6</v>
      </c>
      <c r="L37" s="50">
        <v>145.6</v>
      </c>
      <c r="M37" s="50">
        <v>145</v>
      </c>
      <c r="N37" s="50">
        <v>143.1</v>
      </c>
      <c r="O37" s="50">
        <v>143.1</v>
      </c>
      <c r="P37" s="50">
        <v>143.4</v>
      </c>
      <c r="Q37" s="50">
        <v>144.9</v>
      </c>
      <c r="R37" s="50">
        <v>144.9</v>
      </c>
      <c r="S37" s="50">
        <v>144.4</v>
      </c>
      <c r="T37" s="50">
        <v>144.9</v>
      </c>
      <c r="U37" s="50">
        <v>144.9</v>
      </c>
      <c r="V37" s="50">
        <v>145</v>
      </c>
      <c r="W37" s="50">
        <v>144.9</v>
      </c>
      <c r="X37" s="50">
        <v>145</v>
      </c>
      <c r="Y37" s="50">
        <v>145</v>
      </c>
      <c r="Z37" s="50">
        <v>145</v>
      </c>
      <c r="AA37" s="50">
        <v>144.9</v>
      </c>
      <c r="AB37" s="50">
        <v>145.1</v>
      </c>
      <c r="AC37" s="50">
        <v>145.19999999999999</v>
      </c>
      <c r="AD37" s="50">
        <v>145.19999999999999</v>
      </c>
      <c r="AE37" s="49">
        <v>145.1</v>
      </c>
      <c r="AF37" s="49">
        <v>139.30000000000001</v>
      </c>
      <c r="AG37" s="63">
        <v>144</v>
      </c>
      <c r="AH37" s="55">
        <f t="shared" si="2"/>
        <v>145.6</v>
      </c>
      <c r="AI37" s="56">
        <f t="shared" si="3"/>
        <v>139.30000000000001</v>
      </c>
      <c r="AK37" s="57"/>
    </row>
    <row r="38" spans="1:88" x14ac:dyDescent="0.25">
      <c r="A38" s="66" t="s">
        <v>45</v>
      </c>
      <c r="B38" s="62">
        <v>70</v>
      </c>
      <c r="C38" s="62">
        <v>70.5</v>
      </c>
      <c r="D38" s="62">
        <v>70</v>
      </c>
      <c r="E38" s="62">
        <v>71</v>
      </c>
      <c r="F38" s="62">
        <v>71.5</v>
      </c>
      <c r="G38" s="62">
        <v>71</v>
      </c>
      <c r="H38" s="62">
        <v>71</v>
      </c>
      <c r="I38" s="62">
        <v>71</v>
      </c>
      <c r="J38" s="62">
        <v>71</v>
      </c>
      <c r="K38" s="62">
        <v>71.3</v>
      </c>
      <c r="L38" s="52">
        <v>71.599999999999994</v>
      </c>
      <c r="M38" s="52">
        <v>69.3</v>
      </c>
      <c r="N38" s="52">
        <v>69.3</v>
      </c>
      <c r="O38" s="52">
        <v>71.5</v>
      </c>
      <c r="P38" s="52">
        <v>71.5</v>
      </c>
      <c r="Q38" s="52">
        <v>70</v>
      </c>
      <c r="R38" s="52">
        <v>70</v>
      </c>
      <c r="S38" s="52">
        <v>70</v>
      </c>
      <c r="T38" s="52">
        <v>68.5</v>
      </c>
      <c r="U38" s="52">
        <v>72.5</v>
      </c>
      <c r="V38" s="52">
        <v>70.5</v>
      </c>
      <c r="W38" s="52">
        <v>70.5</v>
      </c>
      <c r="X38" s="52">
        <v>70.5</v>
      </c>
      <c r="Y38" s="52">
        <v>69</v>
      </c>
      <c r="Z38" s="52">
        <v>69</v>
      </c>
      <c r="AA38" s="52">
        <v>69.900000000000006</v>
      </c>
      <c r="AB38" s="52">
        <v>70.900000000000006</v>
      </c>
      <c r="AC38" s="52">
        <v>69.2</v>
      </c>
      <c r="AD38" s="52">
        <v>70.8</v>
      </c>
      <c r="AE38" s="62">
        <v>70</v>
      </c>
      <c r="AF38" s="62">
        <v>59.9</v>
      </c>
      <c r="AG38" s="67">
        <v>70</v>
      </c>
      <c r="AH38" s="55">
        <f t="shared" si="2"/>
        <v>72.5</v>
      </c>
      <c r="AI38" s="56">
        <f t="shared" si="3"/>
        <v>59.9</v>
      </c>
      <c r="AK38" s="57"/>
    </row>
    <row r="39" spans="1:88" x14ac:dyDescent="0.25">
      <c r="A39" s="66" t="s">
        <v>46</v>
      </c>
      <c r="B39" s="62">
        <v>70.3</v>
      </c>
      <c r="C39" s="62">
        <v>59.1</v>
      </c>
      <c r="D39" s="62">
        <v>70</v>
      </c>
      <c r="E39" s="62">
        <v>70.900000000000006</v>
      </c>
      <c r="F39" s="62">
        <v>70.5</v>
      </c>
      <c r="G39" s="62">
        <v>70.099999999999994</v>
      </c>
      <c r="H39" s="62">
        <v>70.099999999999994</v>
      </c>
      <c r="I39" s="62">
        <v>70.099999999999994</v>
      </c>
      <c r="J39" s="62">
        <v>70.099999999999994</v>
      </c>
      <c r="K39" s="62">
        <v>69.8</v>
      </c>
      <c r="L39" s="52">
        <v>69.8</v>
      </c>
      <c r="M39" s="52">
        <v>69.7</v>
      </c>
      <c r="N39" s="52">
        <v>69.900000000000006</v>
      </c>
      <c r="O39" s="52">
        <v>70.3</v>
      </c>
      <c r="P39" s="52">
        <v>70.3</v>
      </c>
      <c r="Q39" s="52">
        <v>70</v>
      </c>
      <c r="R39" s="52">
        <v>70</v>
      </c>
      <c r="S39" s="52">
        <v>69.599999999999994</v>
      </c>
      <c r="T39" s="52">
        <v>70</v>
      </c>
      <c r="U39" s="52">
        <v>69.7</v>
      </c>
      <c r="V39" s="52">
        <v>70.400000000000006</v>
      </c>
      <c r="W39" s="52">
        <v>69.900000000000006</v>
      </c>
      <c r="X39" s="52">
        <v>69.900000000000006</v>
      </c>
      <c r="Y39" s="52">
        <v>70.3</v>
      </c>
      <c r="Z39" s="52">
        <v>70.3</v>
      </c>
      <c r="AA39" s="52">
        <v>70.2</v>
      </c>
      <c r="AB39" s="52">
        <v>69.8</v>
      </c>
      <c r="AC39" s="52">
        <v>69.5</v>
      </c>
      <c r="AD39" s="52">
        <v>70</v>
      </c>
      <c r="AE39" s="62">
        <v>69</v>
      </c>
      <c r="AF39" s="62">
        <v>69</v>
      </c>
      <c r="AG39" s="67">
        <v>69</v>
      </c>
      <c r="AH39" s="55">
        <f t="shared" si="2"/>
        <v>70.900000000000006</v>
      </c>
      <c r="AI39" s="56">
        <f t="shared" si="3"/>
        <v>59.1</v>
      </c>
      <c r="AK39" s="57"/>
    </row>
    <row r="40" spans="1:88" x14ac:dyDescent="0.25">
      <c r="A40" s="66" t="s">
        <v>47</v>
      </c>
      <c r="B40" s="62">
        <v>61.4</v>
      </c>
      <c r="C40" s="62">
        <v>61.4</v>
      </c>
      <c r="D40" s="62">
        <v>61.3</v>
      </c>
      <c r="E40" s="62">
        <v>61.2</v>
      </c>
      <c r="F40" s="62">
        <v>61.5</v>
      </c>
      <c r="G40" s="62">
        <v>61.4</v>
      </c>
      <c r="H40" s="62">
        <v>61.4</v>
      </c>
      <c r="I40" s="62">
        <v>61.4</v>
      </c>
      <c r="J40" s="62">
        <v>61.4</v>
      </c>
      <c r="K40" s="62">
        <v>61.5</v>
      </c>
      <c r="L40" s="52">
        <v>61.9</v>
      </c>
      <c r="M40" s="52">
        <v>56.9</v>
      </c>
      <c r="N40" s="52">
        <v>56.9</v>
      </c>
      <c r="O40" s="52">
        <v>55.2</v>
      </c>
      <c r="P40" s="52">
        <v>60.2</v>
      </c>
      <c r="Q40" s="52">
        <v>60.2</v>
      </c>
      <c r="R40" s="52">
        <v>60.2</v>
      </c>
      <c r="S40" s="52">
        <v>60.4</v>
      </c>
      <c r="T40" s="52">
        <v>60.4</v>
      </c>
      <c r="U40" s="52">
        <v>60.4</v>
      </c>
      <c r="V40" s="52">
        <v>60.4</v>
      </c>
      <c r="W40" s="52">
        <v>60.4</v>
      </c>
      <c r="X40" s="52">
        <v>60.4</v>
      </c>
      <c r="Y40" s="52">
        <v>61.2</v>
      </c>
      <c r="Z40" s="52">
        <v>61.2</v>
      </c>
      <c r="AA40" s="52">
        <v>60.4</v>
      </c>
      <c r="AB40" s="52">
        <v>60.4</v>
      </c>
      <c r="AC40" s="52">
        <v>60</v>
      </c>
      <c r="AD40" s="52">
        <v>60</v>
      </c>
      <c r="AE40" s="62">
        <v>60</v>
      </c>
      <c r="AF40" s="62">
        <v>50</v>
      </c>
      <c r="AG40" s="67">
        <v>60</v>
      </c>
      <c r="AH40" s="55">
        <f t="shared" si="2"/>
        <v>61.9</v>
      </c>
      <c r="AI40" s="56">
        <f t="shared" si="3"/>
        <v>50</v>
      </c>
      <c r="AK40" s="57"/>
    </row>
    <row r="41" spans="1:88" x14ac:dyDescent="0.25">
      <c r="A41" s="66" t="s">
        <v>48</v>
      </c>
      <c r="B41" s="62">
        <v>29.9</v>
      </c>
      <c r="C41" s="62">
        <v>29.9</v>
      </c>
      <c r="D41" s="62">
        <v>29.9</v>
      </c>
      <c r="E41" s="62">
        <v>29.9</v>
      </c>
      <c r="F41" s="62">
        <v>29.9</v>
      </c>
      <c r="G41" s="62">
        <v>29.9</v>
      </c>
      <c r="H41" s="62">
        <v>29.9</v>
      </c>
      <c r="I41" s="62">
        <v>29.9</v>
      </c>
      <c r="J41" s="62">
        <v>29.9</v>
      </c>
      <c r="K41" s="62">
        <v>29.9</v>
      </c>
      <c r="L41" s="50">
        <v>29.99</v>
      </c>
      <c r="M41" s="50">
        <v>29.9</v>
      </c>
      <c r="N41" s="50">
        <v>29.9</v>
      </c>
      <c r="O41" s="50">
        <v>29.9</v>
      </c>
      <c r="P41" s="50">
        <v>29.9</v>
      </c>
      <c r="Q41" s="50">
        <v>29.9</v>
      </c>
      <c r="R41" s="50">
        <v>29.9</v>
      </c>
      <c r="S41" s="50">
        <v>29.9</v>
      </c>
      <c r="T41" s="50">
        <v>29.9</v>
      </c>
      <c r="U41" s="50">
        <v>29.9</v>
      </c>
      <c r="V41" s="50">
        <v>29.9</v>
      </c>
      <c r="W41" s="50">
        <v>29.9</v>
      </c>
      <c r="X41" s="50">
        <v>29.9</v>
      </c>
      <c r="Y41" s="52">
        <v>29.9</v>
      </c>
      <c r="Z41" s="52">
        <v>29.9</v>
      </c>
      <c r="AA41" s="52">
        <v>29.9</v>
      </c>
      <c r="AB41" s="52">
        <v>29.9</v>
      </c>
      <c r="AC41" s="52">
        <v>29.9</v>
      </c>
      <c r="AD41" s="52">
        <v>29.9</v>
      </c>
      <c r="AE41" s="62">
        <v>29.9</v>
      </c>
      <c r="AF41" s="62">
        <v>29.9</v>
      </c>
      <c r="AG41" s="67">
        <v>30</v>
      </c>
      <c r="AH41" s="55">
        <f t="shared" si="2"/>
        <v>29.99</v>
      </c>
      <c r="AI41" s="56">
        <f t="shared" si="3"/>
        <v>29.9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62">
        <v>18</v>
      </c>
      <c r="AF43" s="62">
        <v>18</v>
      </c>
      <c r="AG43" s="67">
        <v>24</v>
      </c>
      <c r="AH43" s="55">
        <f t="shared" si="2"/>
        <v>18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2.2000000000000002</v>
      </c>
      <c r="C44" s="62">
        <v>2.2000000000000002</v>
      </c>
      <c r="D44" s="62">
        <v>2.2000000000000002</v>
      </c>
      <c r="E44" s="62">
        <v>2.2000000000000002</v>
      </c>
      <c r="F44" s="62">
        <v>2.2000000000000002</v>
      </c>
      <c r="G44" s="62">
        <v>2.2000000000000002</v>
      </c>
      <c r="H44" s="62">
        <v>2.2000000000000002</v>
      </c>
      <c r="I44" s="62">
        <v>2.2000000000000002</v>
      </c>
      <c r="J44" s="62">
        <v>2.2000000000000002</v>
      </c>
      <c r="K44" s="62">
        <v>2.2000000000000002</v>
      </c>
      <c r="L44" s="50">
        <v>2.2000000000000002</v>
      </c>
      <c r="M44" s="50">
        <v>2.2000000000000002</v>
      </c>
      <c r="N44" s="50">
        <v>2.2000000000000002</v>
      </c>
      <c r="O44" s="50">
        <v>2.2000000000000002</v>
      </c>
      <c r="P44" s="50">
        <v>2.2000000000000002</v>
      </c>
      <c r="Q44" s="50">
        <v>2.2000000000000002</v>
      </c>
      <c r="R44" s="50">
        <v>2.2000000000000002</v>
      </c>
      <c r="S44" s="50">
        <v>2.2000000000000002</v>
      </c>
      <c r="T44" s="50">
        <v>2.2000000000000002</v>
      </c>
      <c r="U44" s="50">
        <v>2.2000000000000002</v>
      </c>
      <c r="V44" s="50">
        <v>2.2000000000000002</v>
      </c>
      <c r="W44" s="50">
        <v>2.2000000000000002</v>
      </c>
      <c r="X44" s="50">
        <v>2.2000000000000002</v>
      </c>
      <c r="Y44" s="50">
        <v>2.2000000000000002</v>
      </c>
      <c r="Z44" s="50">
        <v>2.2000000000000002</v>
      </c>
      <c r="AA44" s="50">
        <v>2.2000000000000002</v>
      </c>
      <c r="AB44" s="50">
        <v>2.2000000000000002</v>
      </c>
      <c r="AC44" s="50">
        <v>2.2000000000000002</v>
      </c>
      <c r="AD44" s="50">
        <v>2.2000000000000002</v>
      </c>
      <c r="AE44" s="62">
        <v>2.2000000000000002</v>
      </c>
      <c r="AF44" s="62">
        <v>2.2000000000000002</v>
      </c>
      <c r="AG44" s="67">
        <v>15</v>
      </c>
      <c r="AH44" s="55">
        <f t="shared" si="2"/>
        <v>2.2000000000000002</v>
      </c>
      <c r="AI44" s="56">
        <f t="shared" si="3"/>
        <v>2.2000000000000002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62">
        <v>12</v>
      </c>
      <c r="AF45" s="62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73">
        <v>14</v>
      </c>
      <c r="M46" s="73">
        <v>14</v>
      </c>
      <c r="N46" s="73">
        <v>14</v>
      </c>
      <c r="O46" s="73">
        <v>14</v>
      </c>
      <c r="P46" s="73">
        <v>14</v>
      </c>
      <c r="Q46" s="73">
        <v>14</v>
      </c>
      <c r="R46" s="73">
        <v>14</v>
      </c>
      <c r="S46" s="73">
        <v>14</v>
      </c>
      <c r="T46" s="73">
        <v>14</v>
      </c>
      <c r="U46" s="73">
        <v>14</v>
      </c>
      <c r="V46" s="73">
        <v>14</v>
      </c>
      <c r="W46" s="73">
        <v>14</v>
      </c>
      <c r="X46" s="73">
        <v>14</v>
      </c>
      <c r="Y46" s="50">
        <v>11</v>
      </c>
      <c r="Z46" s="50">
        <v>11</v>
      </c>
      <c r="AA46" s="50">
        <v>14</v>
      </c>
      <c r="AB46" s="50">
        <v>14</v>
      </c>
      <c r="AC46" s="50">
        <v>14</v>
      </c>
      <c r="AD46" s="50">
        <v>14</v>
      </c>
      <c r="AE46" s="62">
        <v>14</v>
      </c>
      <c r="AF46" s="62">
        <v>14</v>
      </c>
      <c r="AG46" s="67">
        <v>14</v>
      </c>
      <c r="AH46" s="55">
        <f t="shared" si="2"/>
        <v>14</v>
      </c>
      <c r="AI46" s="56">
        <f t="shared" si="3"/>
        <v>11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2">
        <v>9.6</v>
      </c>
      <c r="AF47" s="62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2">
        <v>6.2</v>
      </c>
      <c r="AF48" s="62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441.64</v>
      </c>
      <c r="C50" s="72">
        <f t="shared" si="6"/>
        <v>431.14</v>
      </c>
      <c r="D50" s="72">
        <f t="shared" si="6"/>
        <v>441.74</v>
      </c>
      <c r="E50" s="72">
        <f t="shared" si="6"/>
        <v>443.53999999999996</v>
      </c>
      <c r="F50" s="72">
        <f t="shared" si="6"/>
        <v>443.94</v>
      </c>
      <c r="G50" s="72">
        <f t="shared" si="6"/>
        <v>442.94</v>
      </c>
      <c r="H50" s="72">
        <f t="shared" si="6"/>
        <v>442.53999999999996</v>
      </c>
      <c r="I50" s="72">
        <f t="shared" si="6"/>
        <v>442.84</v>
      </c>
      <c r="J50" s="72">
        <f t="shared" si="6"/>
        <v>442.93899999999996</v>
      </c>
      <c r="K50" s="72">
        <f t="shared" si="6"/>
        <v>443.64</v>
      </c>
      <c r="L50" s="72">
        <f t="shared" si="6"/>
        <v>444.43</v>
      </c>
      <c r="M50" s="72">
        <f t="shared" si="6"/>
        <v>436.34</v>
      </c>
      <c r="N50" s="72">
        <f t="shared" si="6"/>
        <v>434.63999999999993</v>
      </c>
      <c r="O50" s="72">
        <f t="shared" si="6"/>
        <v>435.53999999999996</v>
      </c>
      <c r="P50" s="72">
        <f t="shared" si="6"/>
        <v>440.84</v>
      </c>
      <c r="Q50" s="72">
        <f t="shared" si="6"/>
        <v>440.53999999999996</v>
      </c>
      <c r="R50" s="72">
        <f t="shared" si="6"/>
        <v>440.53999999999996</v>
      </c>
      <c r="S50" s="72">
        <f t="shared" si="6"/>
        <v>439.84</v>
      </c>
      <c r="T50" s="72">
        <f t="shared" si="6"/>
        <v>439.23999999999995</v>
      </c>
      <c r="U50" s="72">
        <f t="shared" si="6"/>
        <v>442.94</v>
      </c>
      <c r="V50" s="72">
        <f t="shared" si="6"/>
        <v>441.73999999999995</v>
      </c>
      <c r="W50" s="72">
        <f t="shared" si="6"/>
        <v>441.14</v>
      </c>
      <c r="X50" s="72">
        <f t="shared" si="6"/>
        <v>441.23999999999995</v>
      </c>
      <c r="Y50" s="72">
        <f t="shared" si="6"/>
        <v>437.94</v>
      </c>
      <c r="Z50" s="72">
        <f t="shared" si="6"/>
        <v>437.94</v>
      </c>
      <c r="AA50" s="72">
        <f t="shared" si="6"/>
        <v>440.84</v>
      </c>
      <c r="AB50" s="72">
        <f t="shared" si="6"/>
        <v>441.64</v>
      </c>
      <c r="AC50" s="72">
        <f t="shared" si="6"/>
        <v>439.34</v>
      </c>
      <c r="AD50" s="72">
        <f t="shared" si="6"/>
        <v>441.44</v>
      </c>
      <c r="AE50" s="72">
        <f t="shared" si="6"/>
        <v>439.54</v>
      </c>
      <c r="AF50" s="72">
        <f t="shared" si="6"/>
        <v>413.64000000000004</v>
      </c>
      <c r="AG50" s="77">
        <f>SUM(AG37:AG49)</f>
        <v>489.91</v>
      </c>
      <c r="AH50" s="55">
        <f t="shared" si="2"/>
        <v>444.43</v>
      </c>
      <c r="AI50" s="56">
        <f t="shared" si="3"/>
        <v>413.64000000000004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14.1</v>
      </c>
      <c r="N51" s="62">
        <v>14.1</v>
      </c>
      <c r="O51" s="62">
        <v>36.700000000000003</v>
      </c>
      <c r="P51" s="62">
        <v>29.6</v>
      </c>
      <c r="Q51" s="62">
        <v>14.2</v>
      </c>
      <c r="R51" s="50">
        <v>0</v>
      </c>
      <c r="S51" s="50">
        <v>20.3</v>
      </c>
      <c r="T51" s="50">
        <v>9.9</v>
      </c>
      <c r="U51" s="50">
        <v>9.8000000000000007</v>
      </c>
      <c r="V51" s="50">
        <v>9.8000000000000007</v>
      </c>
      <c r="W51" s="50">
        <v>59.3</v>
      </c>
      <c r="X51" s="50">
        <v>59.5</v>
      </c>
      <c r="Y51" s="50">
        <v>59.9</v>
      </c>
      <c r="Z51" s="50">
        <v>59.5</v>
      </c>
      <c r="AA51" s="50">
        <v>59.4</v>
      </c>
      <c r="AB51" s="50">
        <v>50</v>
      </c>
      <c r="AC51" s="50">
        <v>45.2</v>
      </c>
      <c r="AD51" s="50">
        <v>10.4</v>
      </c>
      <c r="AE51" s="50">
        <v>10</v>
      </c>
      <c r="AF51" s="50">
        <v>0</v>
      </c>
      <c r="AG51" s="63">
        <v>60</v>
      </c>
      <c r="AH51" s="55">
        <f t="shared" si="2"/>
        <v>59.9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5.7</v>
      </c>
      <c r="N52" s="62">
        <v>5.4</v>
      </c>
      <c r="O52" s="62">
        <v>15.4</v>
      </c>
      <c r="P52" s="62">
        <v>15.1</v>
      </c>
      <c r="Q52" s="62">
        <v>6.3</v>
      </c>
      <c r="R52" s="50">
        <v>0</v>
      </c>
      <c r="S52" s="50">
        <v>9</v>
      </c>
      <c r="T52" s="50">
        <v>5.4</v>
      </c>
      <c r="U52" s="52">
        <v>3.9</v>
      </c>
      <c r="V52" s="52">
        <v>2.9</v>
      </c>
      <c r="W52" s="52">
        <v>24.9</v>
      </c>
      <c r="X52" s="52">
        <v>27.5</v>
      </c>
      <c r="Y52" s="52">
        <v>27.5</v>
      </c>
      <c r="Z52" s="52">
        <v>27.8</v>
      </c>
      <c r="AA52" s="52">
        <v>27.8</v>
      </c>
      <c r="AB52" s="52">
        <v>22.2</v>
      </c>
      <c r="AC52" s="52">
        <v>19.8</v>
      </c>
      <c r="AD52" s="52">
        <v>8</v>
      </c>
      <c r="AE52" s="52">
        <v>3</v>
      </c>
      <c r="AF52" s="52">
        <v>0</v>
      </c>
      <c r="AG52" s="67">
        <v>32</v>
      </c>
      <c r="AH52" s="55">
        <f t="shared" si="2"/>
        <v>27.8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62">
        <v>0</v>
      </c>
      <c r="C53" s="62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73">
        <v>0</v>
      </c>
      <c r="M53" s="73">
        <v>2.1</v>
      </c>
      <c r="N53" s="73">
        <v>2</v>
      </c>
      <c r="O53" s="73">
        <v>5.6</v>
      </c>
      <c r="P53" s="73">
        <v>5.5</v>
      </c>
      <c r="Q53" s="73">
        <v>2.2999999999999998</v>
      </c>
      <c r="R53" s="50">
        <v>0</v>
      </c>
      <c r="S53" s="50">
        <v>3.3</v>
      </c>
      <c r="T53" s="50">
        <v>2</v>
      </c>
      <c r="U53" s="78">
        <v>1.4</v>
      </c>
      <c r="V53" s="78">
        <v>1.1000000000000001</v>
      </c>
      <c r="W53" s="78">
        <v>9.1</v>
      </c>
      <c r="X53" s="78">
        <v>10</v>
      </c>
      <c r="Y53" s="78">
        <v>10</v>
      </c>
      <c r="Z53" s="78">
        <v>10</v>
      </c>
      <c r="AA53" s="78">
        <v>10.199999999999999</v>
      </c>
      <c r="AB53" s="78">
        <v>8.1</v>
      </c>
      <c r="AC53" s="78">
        <v>7.2</v>
      </c>
      <c r="AD53" s="78">
        <v>2.9</v>
      </c>
      <c r="AE53" s="78">
        <v>1.1000000000000001</v>
      </c>
      <c r="AF53" s="78">
        <v>0</v>
      </c>
      <c r="AG53" s="79">
        <v>14</v>
      </c>
      <c r="AH53" s="55">
        <f t="shared" si="2"/>
        <v>10.199999999999999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21.900000000000002</v>
      </c>
      <c r="N54" s="72">
        <f t="shared" si="7"/>
        <v>21.5</v>
      </c>
      <c r="O54" s="72">
        <f t="shared" si="7"/>
        <v>57.7</v>
      </c>
      <c r="P54" s="72">
        <f t="shared" si="7"/>
        <v>50.2</v>
      </c>
      <c r="Q54" s="72">
        <f t="shared" si="7"/>
        <v>22.8</v>
      </c>
      <c r="R54" s="72">
        <f t="shared" si="7"/>
        <v>0</v>
      </c>
      <c r="S54" s="72">
        <f t="shared" si="7"/>
        <v>32.6</v>
      </c>
      <c r="T54" s="72">
        <f t="shared" si="7"/>
        <v>17.3</v>
      </c>
      <c r="U54" s="72">
        <f t="shared" si="7"/>
        <v>15.100000000000001</v>
      </c>
      <c r="V54" s="72">
        <f t="shared" si="7"/>
        <v>13.8</v>
      </c>
      <c r="W54" s="72">
        <f t="shared" si="7"/>
        <v>93.299999999999983</v>
      </c>
      <c r="X54" s="72">
        <f t="shared" si="7"/>
        <v>97</v>
      </c>
      <c r="Y54" s="72">
        <f t="shared" si="7"/>
        <v>97.4</v>
      </c>
      <c r="Z54" s="72">
        <f t="shared" si="7"/>
        <v>97.3</v>
      </c>
      <c r="AA54" s="72">
        <f t="shared" si="7"/>
        <v>97.4</v>
      </c>
      <c r="AB54" s="72">
        <f t="shared" si="7"/>
        <v>80.3</v>
      </c>
      <c r="AC54" s="72">
        <f t="shared" si="7"/>
        <v>72.2</v>
      </c>
      <c r="AD54" s="72">
        <f t="shared" si="7"/>
        <v>21.299999999999997</v>
      </c>
      <c r="AE54" s="72">
        <f t="shared" si="7"/>
        <v>14.1</v>
      </c>
      <c r="AF54" s="72">
        <f t="shared" si="7"/>
        <v>0</v>
      </c>
      <c r="AG54" s="77">
        <f>SUM(AG51:AG53)</f>
        <v>106</v>
      </c>
      <c r="AH54" s="55">
        <f t="shared" si="2"/>
        <v>97.4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42</v>
      </c>
      <c r="Y55" s="50">
        <v>53.84</v>
      </c>
      <c r="Z55" s="50">
        <v>15.9</v>
      </c>
      <c r="AA55" s="50">
        <v>17.53</v>
      </c>
      <c r="AB55" s="50">
        <v>14.13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53.84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-63.1</v>
      </c>
      <c r="C56" s="52">
        <v>-65.2</v>
      </c>
      <c r="D56" s="52">
        <v>-62.9</v>
      </c>
      <c r="E56" s="52">
        <v>-63</v>
      </c>
      <c r="F56" s="52">
        <v>-58.9</v>
      </c>
      <c r="G56" s="52">
        <v>-57</v>
      </c>
      <c r="H56" s="52">
        <v>-43.6</v>
      </c>
      <c r="I56" s="52">
        <v>-36.1</v>
      </c>
      <c r="J56" s="52">
        <v>-32.700000000000003</v>
      </c>
      <c r="K56" s="52">
        <v>-33.200000000000003</v>
      </c>
      <c r="L56" s="50">
        <v>-30.3</v>
      </c>
      <c r="M56" s="50">
        <f>-35.3-1.8</f>
        <v>-37.099999999999994</v>
      </c>
      <c r="N56" s="50">
        <v>-39.5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-4.7</v>
      </c>
      <c r="W56" s="80">
        <v>-15.9</v>
      </c>
      <c r="X56" s="80">
        <v>-72.900000000000006</v>
      </c>
      <c r="Y56" s="80">
        <v>-70.7</v>
      </c>
      <c r="Z56" s="80">
        <v>-75.400000000000006</v>
      </c>
      <c r="AA56" s="52">
        <v>-86.9</v>
      </c>
      <c r="AB56" s="52">
        <v>-85.5</v>
      </c>
      <c r="AC56" s="52">
        <v>-78.099999999999994</v>
      </c>
      <c r="AD56" s="52">
        <v>-75.5</v>
      </c>
      <c r="AE56" s="52">
        <v>-73.3</v>
      </c>
      <c r="AF56" s="52">
        <v>-64.5</v>
      </c>
      <c r="AG56" s="67"/>
      <c r="AH56" s="55">
        <f t="shared" si="2"/>
        <v>0</v>
      </c>
      <c r="AI56" s="56">
        <f t="shared" si="3"/>
        <v>-86.9</v>
      </c>
      <c r="AK56" s="57"/>
    </row>
    <row r="57" spans="1:37" x14ac:dyDescent="0.25">
      <c r="A57" s="66" t="s">
        <v>64</v>
      </c>
      <c r="B57" s="52">
        <v>-44</v>
      </c>
      <c r="C57" s="52">
        <v>-45.9</v>
      </c>
      <c r="D57" s="52">
        <v>-15</v>
      </c>
      <c r="E57" s="52">
        <v>-50</v>
      </c>
      <c r="F57" s="52">
        <v>-12</v>
      </c>
      <c r="G57" s="50">
        <v>-52</v>
      </c>
      <c r="H57" s="50">
        <v>-60</v>
      </c>
      <c r="I57" s="50">
        <v>-51.6</v>
      </c>
      <c r="J57" s="50">
        <v>-80</v>
      </c>
      <c r="K57" s="50">
        <v>-65</v>
      </c>
      <c r="L57" s="52">
        <v>-1</v>
      </c>
      <c r="M57" s="52">
        <v>-41</v>
      </c>
      <c r="N57" s="52">
        <v>-23.1</v>
      </c>
      <c r="O57" s="52">
        <v>-12.5</v>
      </c>
      <c r="P57" s="52">
        <v>-7.4</v>
      </c>
      <c r="Q57" s="52">
        <v>-51.3</v>
      </c>
      <c r="R57" s="52">
        <v>-25</v>
      </c>
      <c r="S57" s="52">
        <v>-36</v>
      </c>
      <c r="T57" s="52">
        <v>-19</v>
      </c>
      <c r="U57" s="52">
        <v>-49.2</v>
      </c>
      <c r="V57" s="52">
        <v>-6</v>
      </c>
      <c r="W57" s="81">
        <v>-64</v>
      </c>
      <c r="X57" s="81">
        <v>10</v>
      </c>
      <c r="Y57" s="81">
        <v>13</v>
      </c>
      <c r="Z57" s="81">
        <v>-2.8</v>
      </c>
      <c r="AA57" s="52">
        <v>-5.6</v>
      </c>
      <c r="AB57" s="52">
        <v>-32.299999999999997</v>
      </c>
      <c r="AC57" s="52">
        <v>-25</v>
      </c>
      <c r="AD57" s="52">
        <v>-40</v>
      </c>
      <c r="AE57" s="52">
        <v>-45</v>
      </c>
      <c r="AF57" s="52">
        <v>-26</v>
      </c>
      <c r="AG57" s="82"/>
      <c r="AH57" s="55">
        <f t="shared" si="2"/>
        <v>13</v>
      </c>
      <c r="AI57" s="56">
        <f t="shared" si="3"/>
        <v>-80</v>
      </c>
      <c r="AK57" s="57"/>
    </row>
    <row r="58" spans="1:37" x14ac:dyDescent="0.25">
      <c r="A58" s="66" t="s">
        <v>65</v>
      </c>
      <c r="B58" s="59">
        <v>-42</v>
      </c>
      <c r="C58" s="59">
        <v>-36</v>
      </c>
      <c r="D58" s="59">
        <v>-39</v>
      </c>
      <c r="E58" s="59">
        <v>-42</v>
      </c>
      <c r="F58" s="59">
        <v>-40</v>
      </c>
      <c r="G58" s="59">
        <v>-36</v>
      </c>
      <c r="H58" s="59">
        <v>-35</v>
      </c>
      <c r="I58" s="59">
        <v>-30</v>
      </c>
      <c r="J58" s="59">
        <v>-33.9</v>
      </c>
      <c r="K58" s="59">
        <v>-31</v>
      </c>
      <c r="L58" s="52">
        <v>-32</v>
      </c>
      <c r="M58" s="52">
        <v>1.5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1.5</v>
      </c>
      <c r="AI58" s="56">
        <f t="shared" si="3"/>
        <v>-42</v>
      </c>
      <c r="AK58" s="57"/>
    </row>
    <row r="59" spans="1:37" x14ac:dyDescent="0.25">
      <c r="A59" s="66" t="s">
        <v>66</v>
      </c>
      <c r="B59" s="59">
        <v>-66.5</v>
      </c>
      <c r="C59" s="59">
        <v>-66.400000000000006</v>
      </c>
      <c r="D59" s="59">
        <v>-66.5</v>
      </c>
      <c r="E59" s="59">
        <v>-61.7</v>
      </c>
      <c r="F59" s="59">
        <v>-61.5</v>
      </c>
      <c r="G59" s="59">
        <v>-64.400000000000006</v>
      </c>
      <c r="H59" s="59">
        <v>-60</v>
      </c>
      <c r="I59" s="59">
        <v>-51.5</v>
      </c>
      <c r="J59" s="59">
        <v>-52</v>
      </c>
      <c r="K59" s="59">
        <v>-39.1</v>
      </c>
      <c r="L59" s="50">
        <v>-42.9</v>
      </c>
      <c r="M59" s="50">
        <v>-52.7</v>
      </c>
      <c r="N59" s="50">
        <v>-52.7</v>
      </c>
      <c r="O59" s="50">
        <v>-48.7</v>
      </c>
      <c r="P59" s="50">
        <v>-53.9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-10</v>
      </c>
      <c r="W59" s="50">
        <v>-64.900000000000006</v>
      </c>
      <c r="X59" s="50">
        <v>-48.4</v>
      </c>
      <c r="Y59" s="50">
        <v>-70.5</v>
      </c>
      <c r="Z59" s="50">
        <v>-69.599999999999994</v>
      </c>
      <c r="AA59" s="50">
        <v>-75.099999999999994</v>
      </c>
      <c r="AB59" s="50">
        <v>-75.400000000000006</v>
      </c>
      <c r="AC59" s="50">
        <v>-77.7</v>
      </c>
      <c r="AD59" s="50">
        <v>-75</v>
      </c>
      <c r="AE59" s="50">
        <v>-71.900000000000006</v>
      </c>
      <c r="AF59" s="50">
        <v>-75</v>
      </c>
      <c r="AG59" s="82"/>
      <c r="AH59" s="55">
        <f t="shared" si="2"/>
        <v>0</v>
      </c>
      <c r="AI59" s="56">
        <f t="shared" si="3"/>
        <v>-77.7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10</v>
      </c>
      <c r="AB62" s="59">
        <v>10</v>
      </c>
      <c r="AC62" s="59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-207.6</v>
      </c>
      <c r="C66" s="72">
        <f t="shared" ref="C66:AF66" si="8">SUM(C55:C65)</f>
        <v>-205.5</v>
      </c>
      <c r="D66" s="72">
        <f t="shared" si="8"/>
        <v>-175.4</v>
      </c>
      <c r="E66" s="72">
        <f t="shared" si="8"/>
        <v>-216.7</v>
      </c>
      <c r="F66" s="72">
        <f t="shared" si="8"/>
        <v>-172.4</v>
      </c>
      <c r="G66" s="72">
        <f t="shared" si="8"/>
        <v>-209.4</v>
      </c>
      <c r="H66" s="72">
        <f t="shared" si="8"/>
        <v>-198.6</v>
      </c>
      <c r="I66" s="72">
        <f t="shared" si="8"/>
        <v>-169.2</v>
      </c>
      <c r="J66" s="72">
        <f t="shared" si="8"/>
        <v>-198.6</v>
      </c>
      <c r="K66" s="72">
        <f t="shared" si="8"/>
        <v>-168.29999999999998</v>
      </c>
      <c r="L66" s="72">
        <f t="shared" si="8"/>
        <v>-106.19999999999999</v>
      </c>
      <c r="M66" s="72">
        <f t="shared" si="8"/>
        <v>-129.30000000000001</v>
      </c>
      <c r="N66" s="72">
        <f t="shared" si="8"/>
        <v>-115.30000000000001</v>
      </c>
      <c r="O66" s="72">
        <f t="shared" si="8"/>
        <v>-61.2</v>
      </c>
      <c r="P66" s="72">
        <f t="shared" si="8"/>
        <v>-61.3</v>
      </c>
      <c r="Q66" s="72">
        <f t="shared" si="8"/>
        <v>-51.3</v>
      </c>
      <c r="R66" s="72">
        <f t="shared" si="8"/>
        <v>-25</v>
      </c>
      <c r="S66" s="72">
        <f t="shared" si="8"/>
        <v>-36</v>
      </c>
      <c r="T66" s="72">
        <f t="shared" si="8"/>
        <v>-19</v>
      </c>
      <c r="U66" s="72">
        <f t="shared" si="8"/>
        <v>-49.2</v>
      </c>
      <c r="V66" s="72">
        <f t="shared" si="8"/>
        <v>-20.7</v>
      </c>
      <c r="W66" s="72">
        <f t="shared" si="8"/>
        <v>-144.80000000000001</v>
      </c>
      <c r="X66" s="72">
        <f t="shared" si="8"/>
        <v>-69.300000000000011</v>
      </c>
      <c r="Y66" s="72">
        <f t="shared" si="8"/>
        <v>-74.36</v>
      </c>
      <c r="Z66" s="72">
        <f t="shared" si="8"/>
        <v>-131.9</v>
      </c>
      <c r="AA66" s="72">
        <f t="shared" si="8"/>
        <v>-140.07</v>
      </c>
      <c r="AB66" s="72">
        <f t="shared" si="8"/>
        <v>-169.07</v>
      </c>
      <c r="AC66" s="72">
        <f t="shared" si="8"/>
        <v>-172.8</v>
      </c>
      <c r="AD66" s="72">
        <f t="shared" si="8"/>
        <v>-182.5</v>
      </c>
      <c r="AE66" s="72">
        <f t="shared" si="8"/>
        <v>-182.2</v>
      </c>
      <c r="AF66" s="72">
        <f t="shared" si="8"/>
        <v>-157.5</v>
      </c>
      <c r="AG66" s="77">
        <f>SUM(AG55:AG65)</f>
        <v>0</v>
      </c>
      <c r="AH66" s="55">
        <f t="shared" si="2"/>
        <v>-19</v>
      </c>
      <c r="AI66" s="56">
        <f t="shared" si="3"/>
        <v>-216.7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1168.5300000000002</v>
      </c>
      <c r="C71" s="87">
        <f t="shared" ref="C71:AG71" si="10">C66+C54+C50+C36+C70</f>
        <v>1158.1300000000001</v>
      </c>
      <c r="D71" s="87">
        <f t="shared" si="10"/>
        <v>1167.1399999999999</v>
      </c>
      <c r="E71" s="87">
        <f t="shared" si="10"/>
        <v>1094.44</v>
      </c>
      <c r="F71" s="87">
        <f t="shared" si="10"/>
        <v>1139.1399999999999</v>
      </c>
      <c r="G71" s="87">
        <f t="shared" si="10"/>
        <v>1156.1400000000001</v>
      </c>
      <c r="H71" s="87">
        <f t="shared" si="10"/>
        <v>1166.54</v>
      </c>
      <c r="I71" s="87">
        <f t="shared" si="10"/>
        <v>1196.24</v>
      </c>
      <c r="J71" s="87">
        <f t="shared" si="10"/>
        <v>1171.9390000000001</v>
      </c>
      <c r="K71" s="87">
        <f t="shared" si="10"/>
        <v>1212.94</v>
      </c>
      <c r="L71" s="87">
        <f t="shared" si="10"/>
        <v>1276.43</v>
      </c>
      <c r="M71" s="87">
        <f t="shared" si="10"/>
        <v>1287.1399999999999</v>
      </c>
      <c r="N71" s="87">
        <f t="shared" si="10"/>
        <v>1299.04</v>
      </c>
      <c r="O71" s="87">
        <f t="shared" si="10"/>
        <v>1286.2399999999998</v>
      </c>
      <c r="P71" s="87">
        <f t="shared" si="10"/>
        <v>1254.94</v>
      </c>
      <c r="Q71" s="87">
        <f t="shared" si="10"/>
        <v>1260.2399999999998</v>
      </c>
      <c r="R71" s="87">
        <f t="shared" si="10"/>
        <v>1288.7399999999998</v>
      </c>
      <c r="S71" s="87">
        <f t="shared" si="10"/>
        <v>1324.6399999999999</v>
      </c>
      <c r="T71" s="87">
        <f t="shared" si="10"/>
        <v>1285.7399999999998</v>
      </c>
      <c r="U71" s="87">
        <f t="shared" si="10"/>
        <v>1267.04</v>
      </c>
      <c r="V71" s="87">
        <f t="shared" si="10"/>
        <v>1293.04</v>
      </c>
      <c r="W71" s="87">
        <f t="shared" si="10"/>
        <v>1407.8400000000001</v>
      </c>
      <c r="X71" s="87">
        <f t="shared" si="10"/>
        <v>1523.1399999999999</v>
      </c>
      <c r="Y71" s="87">
        <f t="shared" si="10"/>
        <v>1526.58</v>
      </c>
      <c r="Z71" s="87">
        <f t="shared" si="10"/>
        <v>1468.9399999999998</v>
      </c>
      <c r="AA71" s="87">
        <f t="shared" si="10"/>
        <v>1463.87</v>
      </c>
      <c r="AB71" s="87">
        <f t="shared" si="10"/>
        <v>1418.27</v>
      </c>
      <c r="AC71" s="87">
        <f t="shared" si="10"/>
        <v>1404.14</v>
      </c>
      <c r="AD71" s="87">
        <f t="shared" si="10"/>
        <v>1274.94</v>
      </c>
      <c r="AE71" s="87">
        <f t="shared" si="10"/>
        <v>1234.1400000000001</v>
      </c>
      <c r="AF71" s="87">
        <f t="shared" si="10"/>
        <v>1208.8400000000001</v>
      </c>
      <c r="AG71" s="87">
        <f t="shared" si="10"/>
        <v>2083.14</v>
      </c>
      <c r="AH71" s="55">
        <f t="shared" si="2"/>
        <v>1526.58</v>
      </c>
      <c r="AI71" s="56">
        <f t="shared" si="3"/>
        <v>1094.44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1168.5300000000002</v>
      </c>
      <c r="C73" s="87">
        <f t="shared" ref="C73:AF73" si="11">C70+C66+C54+C50+C36+C72</f>
        <v>1158.1300000000001</v>
      </c>
      <c r="D73" s="87">
        <f t="shared" si="11"/>
        <v>1167.1399999999999</v>
      </c>
      <c r="E73" s="87">
        <f t="shared" si="11"/>
        <v>1094.44</v>
      </c>
      <c r="F73" s="87">
        <f t="shared" si="11"/>
        <v>1139.1399999999999</v>
      </c>
      <c r="G73" s="87">
        <f t="shared" si="11"/>
        <v>1156.1400000000001</v>
      </c>
      <c r="H73" s="87">
        <f t="shared" si="11"/>
        <v>1166.54</v>
      </c>
      <c r="I73" s="87">
        <f t="shared" si="11"/>
        <v>1196.24</v>
      </c>
      <c r="J73" s="87">
        <f t="shared" si="11"/>
        <v>1171.9390000000001</v>
      </c>
      <c r="K73" s="87">
        <f t="shared" si="11"/>
        <v>1212.94</v>
      </c>
      <c r="L73" s="87">
        <f t="shared" si="11"/>
        <v>1276.43</v>
      </c>
      <c r="M73" s="87">
        <f t="shared" si="11"/>
        <v>1287.1399999999999</v>
      </c>
      <c r="N73" s="87">
        <f t="shared" si="11"/>
        <v>1299.04</v>
      </c>
      <c r="O73" s="87">
        <f t="shared" si="11"/>
        <v>1286.2399999999998</v>
      </c>
      <c r="P73" s="87">
        <f t="shared" si="11"/>
        <v>1254.94</v>
      </c>
      <c r="Q73" s="87">
        <f t="shared" si="11"/>
        <v>1260.2399999999998</v>
      </c>
      <c r="R73" s="87">
        <f t="shared" si="11"/>
        <v>1288.7399999999998</v>
      </c>
      <c r="S73" s="87">
        <f t="shared" si="11"/>
        <v>1324.6399999999999</v>
      </c>
      <c r="T73" s="87">
        <f t="shared" si="11"/>
        <v>1285.7399999999998</v>
      </c>
      <c r="U73" s="87">
        <f t="shared" si="11"/>
        <v>1267.04</v>
      </c>
      <c r="V73" s="87">
        <f t="shared" si="11"/>
        <v>1293.04</v>
      </c>
      <c r="W73" s="87">
        <f t="shared" si="11"/>
        <v>1407.8400000000001</v>
      </c>
      <c r="X73" s="87">
        <f t="shared" si="11"/>
        <v>1523.1399999999999</v>
      </c>
      <c r="Y73" s="87">
        <f t="shared" si="11"/>
        <v>1526.58</v>
      </c>
      <c r="Z73" s="87">
        <f>Z70+Z66+Z54+Z50+Z36+Z72</f>
        <v>1468.9399999999998</v>
      </c>
      <c r="AA73" s="87">
        <f t="shared" si="11"/>
        <v>1463.87</v>
      </c>
      <c r="AB73" s="87">
        <f t="shared" si="11"/>
        <v>1418.27</v>
      </c>
      <c r="AC73" s="87">
        <f t="shared" si="11"/>
        <v>1404.14</v>
      </c>
      <c r="AD73" s="87">
        <f t="shared" si="11"/>
        <v>1274.94</v>
      </c>
      <c r="AE73" s="87">
        <f t="shared" si="11"/>
        <v>1234.1400000000001</v>
      </c>
      <c r="AF73" s="87">
        <f t="shared" si="11"/>
        <v>1208.8400000000001</v>
      </c>
      <c r="AG73" s="77">
        <f>AG70+AG66+AG54+AG50+AG36+AG72</f>
        <v>2083.14</v>
      </c>
      <c r="AH73" s="55">
        <f t="shared" si="2"/>
        <v>1526.58</v>
      </c>
      <c r="AI73" s="56">
        <f t="shared" si="3"/>
        <v>1094.44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42</v>
      </c>
      <c r="C74" s="59">
        <f t="shared" ref="C74:AF74" si="12">IF(C58&lt;0,C58*-1,0)</f>
        <v>36</v>
      </c>
      <c r="D74" s="59">
        <f t="shared" si="12"/>
        <v>39</v>
      </c>
      <c r="E74" s="59">
        <f t="shared" si="12"/>
        <v>42</v>
      </c>
      <c r="F74" s="59">
        <f t="shared" si="12"/>
        <v>40</v>
      </c>
      <c r="G74" s="59">
        <f t="shared" si="12"/>
        <v>36</v>
      </c>
      <c r="H74" s="59">
        <f t="shared" si="12"/>
        <v>35</v>
      </c>
      <c r="I74" s="59">
        <f t="shared" si="12"/>
        <v>30</v>
      </c>
      <c r="J74" s="59">
        <f t="shared" si="12"/>
        <v>33.9</v>
      </c>
      <c r="K74" s="59">
        <f t="shared" si="12"/>
        <v>31</v>
      </c>
      <c r="L74" s="59">
        <f t="shared" si="12"/>
        <v>32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42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63.1</v>
      </c>
      <c r="C75" s="59">
        <f t="shared" ref="C75:AF75" si="13">IF(C56&lt;0,C56*-1,0)</f>
        <v>65.2</v>
      </c>
      <c r="D75" s="59">
        <f t="shared" si="13"/>
        <v>62.9</v>
      </c>
      <c r="E75" s="59">
        <f t="shared" si="13"/>
        <v>63</v>
      </c>
      <c r="F75" s="59">
        <f t="shared" si="13"/>
        <v>58.9</v>
      </c>
      <c r="G75" s="59">
        <f t="shared" si="13"/>
        <v>57</v>
      </c>
      <c r="H75" s="59">
        <f t="shared" si="13"/>
        <v>43.6</v>
      </c>
      <c r="I75" s="59">
        <f t="shared" si="13"/>
        <v>36.1</v>
      </c>
      <c r="J75" s="59">
        <f t="shared" si="13"/>
        <v>32.700000000000003</v>
      </c>
      <c r="K75" s="59">
        <f t="shared" si="13"/>
        <v>33.200000000000003</v>
      </c>
      <c r="L75" s="59">
        <f t="shared" si="13"/>
        <v>30.3</v>
      </c>
      <c r="M75" s="59">
        <f t="shared" si="13"/>
        <v>37.099999999999994</v>
      </c>
      <c r="N75" s="59">
        <f t="shared" si="13"/>
        <v>39.5</v>
      </c>
      <c r="O75" s="59">
        <f t="shared" si="13"/>
        <v>0</v>
      </c>
      <c r="P75" s="59">
        <f t="shared" si="13"/>
        <v>0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4.7</v>
      </c>
      <c r="W75" s="59">
        <f t="shared" si="13"/>
        <v>15.9</v>
      </c>
      <c r="X75" s="59">
        <f t="shared" si="13"/>
        <v>72.900000000000006</v>
      </c>
      <c r="Y75" s="59">
        <f t="shared" si="13"/>
        <v>70.7</v>
      </c>
      <c r="Z75" s="59">
        <f t="shared" si="13"/>
        <v>75.400000000000006</v>
      </c>
      <c r="AA75" s="59">
        <f t="shared" si="13"/>
        <v>86.9</v>
      </c>
      <c r="AB75" s="59">
        <f t="shared" si="13"/>
        <v>85.5</v>
      </c>
      <c r="AC75" s="59">
        <f t="shared" si="13"/>
        <v>78.099999999999994</v>
      </c>
      <c r="AD75" s="59">
        <f t="shared" si="13"/>
        <v>75.5</v>
      </c>
      <c r="AE75" s="59">
        <f t="shared" si="13"/>
        <v>73.3</v>
      </c>
      <c r="AF75" s="59">
        <f t="shared" si="13"/>
        <v>64.5</v>
      </c>
      <c r="AG75" s="67"/>
      <c r="AH75" s="55">
        <f t="shared" si="2"/>
        <v>86.9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66.5</v>
      </c>
      <c r="C76" s="59">
        <f t="shared" ref="C76:AF76" si="14">IF(C59&lt;0,C59*-1,0)</f>
        <v>66.400000000000006</v>
      </c>
      <c r="D76" s="59">
        <f t="shared" si="14"/>
        <v>66.5</v>
      </c>
      <c r="E76" s="59">
        <f t="shared" si="14"/>
        <v>61.7</v>
      </c>
      <c r="F76" s="59">
        <f t="shared" si="14"/>
        <v>61.5</v>
      </c>
      <c r="G76" s="59">
        <f t="shared" si="14"/>
        <v>64.400000000000006</v>
      </c>
      <c r="H76" s="59">
        <f t="shared" si="14"/>
        <v>60</v>
      </c>
      <c r="I76" s="59">
        <f t="shared" si="14"/>
        <v>51.5</v>
      </c>
      <c r="J76" s="59">
        <f t="shared" si="14"/>
        <v>52</v>
      </c>
      <c r="K76" s="59">
        <f t="shared" si="14"/>
        <v>39.1</v>
      </c>
      <c r="L76" s="59">
        <f t="shared" si="14"/>
        <v>42.9</v>
      </c>
      <c r="M76" s="59">
        <f t="shared" si="14"/>
        <v>52.7</v>
      </c>
      <c r="N76" s="59">
        <f t="shared" si="14"/>
        <v>52.7</v>
      </c>
      <c r="O76" s="59">
        <f t="shared" si="14"/>
        <v>48.7</v>
      </c>
      <c r="P76" s="59">
        <f t="shared" si="14"/>
        <v>53.9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10</v>
      </c>
      <c r="W76" s="59">
        <f t="shared" si="14"/>
        <v>64.900000000000006</v>
      </c>
      <c r="X76" s="59">
        <f t="shared" si="14"/>
        <v>48.4</v>
      </c>
      <c r="Y76" s="59">
        <f t="shared" si="14"/>
        <v>70.5</v>
      </c>
      <c r="Z76" s="59">
        <f t="shared" si="14"/>
        <v>69.599999999999994</v>
      </c>
      <c r="AA76" s="59">
        <f t="shared" si="14"/>
        <v>75.099999999999994</v>
      </c>
      <c r="AB76" s="59">
        <f t="shared" si="14"/>
        <v>75.400000000000006</v>
      </c>
      <c r="AC76" s="59">
        <f t="shared" si="14"/>
        <v>77.7</v>
      </c>
      <c r="AD76" s="59">
        <f t="shared" si="14"/>
        <v>75</v>
      </c>
      <c r="AE76" s="59">
        <f t="shared" si="14"/>
        <v>71.900000000000006</v>
      </c>
      <c r="AF76" s="59">
        <f t="shared" si="14"/>
        <v>75</v>
      </c>
      <c r="AG76" s="90"/>
      <c r="AH76" s="55">
        <f t="shared" si="2"/>
        <v>77.7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44</v>
      </c>
      <c r="C77" s="59">
        <f t="shared" ref="C77:AF77" si="15">IF(C57&lt;0,C57*-1,0)</f>
        <v>45.9</v>
      </c>
      <c r="D77" s="59">
        <f t="shared" si="15"/>
        <v>15</v>
      </c>
      <c r="E77" s="59">
        <f t="shared" si="15"/>
        <v>50</v>
      </c>
      <c r="F77" s="59">
        <f t="shared" si="15"/>
        <v>12</v>
      </c>
      <c r="G77" s="59">
        <f t="shared" si="15"/>
        <v>52</v>
      </c>
      <c r="H77" s="59">
        <f t="shared" si="15"/>
        <v>60</v>
      </c>
      <c r="I77" s="59">
        <f t="shared" si="15"/>
        <v>51.6</v>
      </c>
      <c r="J77" s="59">
        <f t="shared" si="15"/>
        <v>80</v>
      </c>
      <c r="K77" s="59">
        <f t="shared" si="15"/>
        <v>65</v>
      </c>
      <c r="L77" s="59">
        <f t="shared" si="15"/>
        <v>1</v>
      </c>
      <c r="M77" s="59">
        <f t="shared" si="15"/>
        <v>41</v>
      </c>
      <c r="N77" s="59">
        <f t="shared" si="15"/>
        <v>23.1</v>
      </c>
      <c r="O77" s="59">
        <f t="shared" si="15"/>
        <v>12.5</v>
      </c>
      <c r="P77" s="59">
        <f t="shared" si="15"/>
        <v>7.4</v>
      </c>
      <c r="Q77" s="59">
        <f t="shared" si="15"/>
        <v>51.3</v>
      </c>
      <c r="R77" s="59">
        <f t="shared" si="15"/>
        <v>25</v>
      </c>
      <c r="S77" s="59">
        <f t="shared" si="15"/>
        <v>36</v>
      </c>
      <c r="T77" s="59">
        <f t="shared" si="15"/>
        <v>19</v>
      </c>
      <c r="U77" s="59">
        <f t="shared" si="15"/>
        <v>49.2</v>
      </c>
      <c r="V77" s="59">
        <f t="shared" si="15"/>
        <v>6</v>
      </c>
      <c r="W77" s="59">
        <f t="shared" si="15"/>
        <v>64</v>
      </c>
      <c r="X77" s="59">
        <f t="shared" si="15"/>
        <v>0</v>
      </c>
      <c r="Y77" s="59">
        <f t="shared" si="15"/>
        <v>0</v>
      </c>
      <c r="Z77" s="59">
        <f t="shared" si="15"/>
        <v>2.8</v>
      </c>
      <c r="AA77" s="59">
        <f t="shared" si="15"/>
        <v>5.6</v>
      </c>
      <c r="AB77" s="59">
        <f t="shared" si="15"/>
        <v>32.299999999999997</v>
      </c>
      <c r="AC77" s="59">
        <f t="shared" si="15"/>
        <v>25</v>
      </c>
      <c r="AD77" s="59">
        <f t="shared" si="15"/>
        <v>40</v>
      </c>
      <c r="AE77" s="59">
        <f t="shared" si="15"/>
        <v>45</v>
      </c>
      <c r="AF77" s="59">
        <f t="shared" si="15"/>
        <v>26</v>
      </c>
      <c r="AG77" s="90"/>
      <c r="AH77" s="55">
        <f t="shared" ref="AH77:AH89" si="16">MAX(B77:AF77)</f>
        <v>80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215.6</v>
      </c>
      <c r="C80" s="72">
        <f t="shared" si="19"/>
        <v>213.50000000000003</v>
      </c>
      <c r="D80" s="72">
        <f t="shared" si="19"/>
        <v>183.4</v>
      </c>
      <c r="E80" s="72">
        <f t="shared" si="19"/>
        <v>216.7</v>
      </c>
      <c r="F80" s="72">
        <f t="shared" si="19"/>
        <v>172.4</v>
      </c>
      <c r="G80" s="72">
        <f t="shared" si="19"/>
        <v>209.4</v>
      </c>
      <c r="H80" s="72">
        <f t="shared" si="19"/>
        <v>198.6</v>
      </c>
      <c r="I80" s="72">
        <f t="shared" si="19"/>
        <v>169.2</v>
      </c>
      <c r="J80" s="72">
        <f t="shared" si="19"/>
        <v>198.6</v>
      </c>
      <c r="K80" s="72">
        <f t="shared" si="19"/>
        <v>168.3</v>
      </c>
      <c r="L80" s="72">
        <f t="shared" si="19"/>
        <v>106.19999999999999</v>
      </c>
      <c r="M80" s="72">
        <f t="shared" si="19"/>
        <v>130.80000000000001</v>
      </c>
      <c r="N80" s="72">
        <f t="shared" si="19"/>
        <v>115.30000000000001</v>
      </c>
      <c r="O80" s="72">
        <f t="shared" si="19"/>
        <v>61.2</v>
      </c>
      <c r="P80" s="72">
        <f t="shared" si="19"/>
        <v>61.3</v>
      </c>
      <c r="Q80" s="72">
        <f t="shared" si="19"/>
        <v>51.3</v>
      </c>
      <c r="R80" s="72">
        <f t="shared" si="19"/>
        <v>25</v>
      </c>
      <c r="S80" s="72">
        <f t="shared" si="19"/>
        <v>36</v>
      </c>
      <c r="T80" s="72">
        <f t="shared" si="19"/>
        <v>19</v>
      </c>
      <c r="U80" s="72">
        <f t="shared" si="19"/>
        <v>49.2</v>
      </c>
      <c r="V80" s="72">
        <f t="shared" si="19"/>
        <v>20.7</v>
      </c>
      <c r="W80" s="72">
        <f t="shared" si="19"/>
        <v>144.80000000000001</v>
      </c>
      <c r="X80" s="72">
        <f t="shared" si="19"/>
        <v>121.30000000000001</v>
      </c>
      <c r="Y80" s="72">
        <f t="shared" si="19"/>
        <v>141.19999999999999</v>
      </c>
      <c r="Z80" s="72">
        <f t="shared" si="19"/>
        <v>147.80000000000001</v>
      </c>
      <c r="AA80" s="72">
        <f t="shared" si="19"/>
        <v>167.6</v>
      </c>
      <c r="AB80" s="72">
        <f t="shared" si="19"/>
        <v>193.2</v>
      </c>
      <c r="AC80" s="72">
        <f t="shared" si="19"/>
        <v>180.8</v>
      </c>
      <c r="AD80" s="72">
        <f t="shared" si="19"/>
        <v>190.5</v>
      </c>
      <c r="AE80" s="72">
        <f t="shared" si="19"/>
        <v>190.2</v>
      </c>
      <c r="AF80" s="72">
        <f t="shared" si="19"/>
        <v>165.5</v>
      </c>
      <c r="AG80" s="77">
        <f t="shared" si="19"/>
        <v>0</v>
      </c>
      <c r="AH80" s="55">
        <f t="shared" si="16"/>
        <v>216.7</v>
      </c>
      <c r="AI80" s="56">
        <f t="shared" si="17"/>
        <v>19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2768.26</v>
      </c>
      <c r="C81" s="72">
        <f t="shared" si="20"/>
        <v>2743.26</v>
      </c>
      <c r="D81" s="72">
        <f t="shared" si="20"/>
        <v>2701.08</v>
      </c>
      <c r="E81" s="72">
        <f t="shared" si="20"/>
        <v>2622.2799999999997</v>
      </c>
      <c r="F81" s="72">
        <f t="shared" si="20"/>
        <v>2623.08</v>
      </c>
      <c r="G81" s="72">
        <f t="shared" si="20"/>
        <v>2731.0800000000004</v>
      </c>
      <c r="H81" s="72">
        <f t="shared" si="20"/>
        <v>2730.2799999999997</v>
      </c>
      <c r="I81" s="72">
        <f t="shared" si="20"/>
        <v>2730.8799999999997</v>
      </c>
      <c r="J81" s="72">
        <f t="shared" si="20"/>
        <v>2741.078</v>
      </c>
      <c r="K81" s="72">
        <f t="shared" si="20"/>
        <v>2762.48</v>
      </c>
      <c r="L81" s="72">
        <f t="shared" si="20"/>
        <v>2765.26</v>
      </c>
      <c r="M81" s="72">
        <f t="shared" si="20"/>
        <v>2835.8799999999997</v>
      </c>
      <c r="N81" s="72">
        <f t="shared" si="20"/>
        <v>2828.68</v>
      </c>
      <c r="O81" s="72">
        <f t="shared" si="20"/>
        <v>2694.8799999999992</v>
      </c>
      <c r="P81" s="72">
        <f t="shared" si="20"/>
        <v>2632.4800000000005</v>
      </c>
      <c r="Q81" s="72">
        <f t="shared" si="20"/>
        <v>2623.08</v>
      </c>
      <c r="R81" s="72">
        <f t="shared" si="20"/>
        <v>2627.4799999999996</v>
      </c>
      <c r="S81" s="72">
        <f t="shared" si="20"/>
        <v>2721.2799999999997</v>
      </c>
      <c r="T81" s="72">
        <f t="shared" si="20"/>
        <v>2609.4799999999996</v>
      </c>
      <c r="U81" s="72">
        <f t="shared" si="20"/>
        <v>2632.4799999999996</v>
      </c>
      <c r="V81" s="72">
        <f t="shared" si="20"/>
        <v>2627.4799999999996</v>
      </c>
      <c r="W81" s="72">
        <f t="shared" si="20"/>
        <v>3105.2800000000007</v>
      </c>
      <c r="X81" s="72">
        <f t="shared" si="20"/>
        <v>3288.88</v>
      </c>
      <c r="Y81" s="72">
        <f t="shared" si="20"/>
        <v>3335.5599999999995</v>
      </c>
      <c r="Z81" s="72">
        <f t="shared" si="20"/>
        <v>3233.48</v>
      </c>
      <c r="AA81" s="72">
        <f t="shared" si="20"/>
        <v>3262.9399999999996</v>
      </c>
      <c r="AB81" s="72">
        <f t="shared" si="20"/>
        <v>3222.94</v>
      </c>
      <c r="AC81" s="72">
        <f t="shared" si="20"/>
        <v>3169.88</v>
      </c>
      <c r="AD81" s="72">
        <f t="shared" si="20"/>
        <v>2930.88</v>
      </c>
      <c r="AE81" s="72">
        <f t="shared" si="20"/>
        <v>2848.6800000000003</v>
      </c>
      <c r="AF81" s="72">
        <f t="shared" si="20"/>
        <v>2748.6800000000003</v>
      </c>
      <c r="AG81" s="77">
        <f t="shared" si="20"/>
        <v>4238.08</v>
      </c>
      <c r="AH81" s="55">
        <f t="shared" si="16"/>
        <v>3335.5599999999995</v>
      </c>
      <c r="AI81" s="56">
        <f t="shared" si="17"/>
        <v>2609.4799999999996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</v>
      </c>
      <c r="C82" s="93">
        <v>49.966000000000001</v>
      </c>
      <c r="D82" s="93">
        <v>50.027000000000001</v>
      </c>
      <c r="E82" s="93">
        <v>50</v>
      </c>
      <c r="F82" s="93">
        <v>49.81</v>
      </c>
      <c r="G82" s="93">
        <v>49.997999999999998</v>
      </c>
      <c r="H82" s="93">
        <v>49.962000000000003</v>
      </c>
      <c r="I82" s="93">
        <v>49.984999999999999</v>
      </c>
      <c r="J82" s="93">
        <v>49.838000000000001</v>
      </c>
      <c r="K82" s="93">
        <v>50.024000000000001</v>
      </c>
      <c r="L82" s="93">
        <v>50.034999999999997</v>
      </c>
      <c r="M82" s="93">
        <v>49.94</v>
      </c>
      <c r="N82" s="93">
        <v>49.99</v>
      </c>
      <c r="O82" s="93">
        <v>49.89</v>
      </c>
      <c r="P82" s="93">
        <v>49.75</v>
      </c>
      <c r="Q82" s="93">
        <v>49.83</v>
      </c>
      <c r="R82" s="93">
        <v>49.901000000000003</v>
      </c>
      <c r="S82" s="93">
        <v>49.953000000000003</v>
      </c>
      <c r="T82" s="93">
        <v>50.026000000000003</v>
      </c>
      <c r="U82" s="93">
        <v>49.762</v>
      </c>
      <c r="V82" s="93">
        <v>49.823999999999998</v>
      </c>
      <c r="W82" s="93">
        <v>49.7</v>
      </c>
      <c r="X82" s="93">
        <v>49.59</v>
      </c>
      <c r="Y82" s="93">
        <v>49.860999999999997</v>
      </c>
      <c r="Z82" s="93">
        <v>49.972999999999999</v>
      </c>
      <c r="AA82" s="93">
        <v>49.978999999999999</v>
      </c>
      <c r="AB82" s="93">
        <v>49.927</v>
      </c>
      <c r="AC82" s="93">
        <v>49.99</v>
      </c>
      <c r="AD82" s="93">
        <v>49.9</v>
      </c>
      <c r="AE82" s="93">
        <v>50</v>
      </c>
      <c r="AF82" s="94">
        <v>50.02</v>
      </c>
      <c r="AG82" s="95"/>
      <c r="AH82" s="55">
        <f t="shared" si="16"/>
        <v>50.034999999999997</v>
      </c>
      <c r="AI82" s="56">
        <f t="shared" si="17"/>
        <v>49.59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122.3</v>
      </c>
      <c r="C83" s="52">
        <v>122.9</v>
      </c>
      <c r="D83" s="52">
        <v>123.7</v>
      </c>
      <c r="E83" s="52">
        <v>123</v>
      </c>
      <c r="F83" s="52">
        <v>122.8</v>
      </c>
      <c r="G83" s="52">
        <v>123.1</v>
      </c>
      <c r="H83" s="52">
        <v>123.6</v>
      </c>
      <c r="I83" s="52">
        <v>122.7</v>
      </c>
      <c r="J83" s="52">
        <v>122.9</v>
      </c>
      <c r="K83" s="52">
        <v>122.2</v>
      </c>
      <c r="L83" s="52">
        <v>121</v>
      </c>
      <c r="M83" s="52">
        <v>119.4</v>
      </c>
      <c r="N83" s="52">
        <v>119.8</v>
      </c>
      <c r="O83" s="52">
        <v>122</v>
      </c>
      <c r="P83" s="52">
        <v>118.5</v>
      </c>
      <c r="Q83" s="52">
        <v>121.6</v>
      </c>
      <c r="R83" s="52">
        <v>119.3</v>
      </c>
      <c r="S83" s="52">
        <v>121.8</v>
      </c>
      <c r="T83" s="97">
        <v>122.2</v>
      </c>
      <c r="U83" s="97">
        <v>121.8</v>
      </c>
      <c r="V83" s="97">
        <v>122.4</v>
      </c>
      <c r="W83" s="97">
        <v>120</v>
      </c>
      <c r="X83" s="97">
        <v>120</v>
      </c>
      <c r="Y83" s="97">
        <v>121.8</v>
      </c>
      <c r="Z83" s="97">
        <v>121.7</v>
      </c>
      <c r="AA83" s="52">
        <v>123.3</v>
      </c>
      <c r="AB83" s="52">
        <v>123.4</v>
      </c>
      <c r="AC83" s="52">
        <v>122.7</v>
      </c>
      <c r="AD83" s="52">
        <v>121.9</v>
      </c>
      <c r="AE83" s="52">
        <v>120.4</v>
      </c>
      <c r="AF83" s="98">
        <v>121.9</v>
      </c>
      <c r="AG83" s="99"/>
      <c r="AH83" s="55">
        <f t="shared" si="16"/>
        <v>123.7</v>
      </c>
      <c r="AI83" s="56">
        <f t="shared" si="17"/>
        <v>118.5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128.5</v>
      </c>
      <c r="C84" s="52">
        <v>128.9</v>
      </c>
      <c r="D84" s="52">
        <v>129.80000000000001</v>
      </c>
      <c r="E84" s="52">
        <v>128.6</v>
      </c>
      <c r="F84" s="52">
        <v>128.30000000000001</v>
      </c>
      <c r="G84" s="52">
        <v>128.30000000000001</v>
      </c>
      <c r="H84" s="52">
        <v>128.19999999999999</v>
      </c>
      <c r="I84" s="52">
        <v>127.2</v>
      </c>
      <c r="J84" s="52">
        <v>126.7</v>
      </c>
      <c r="K84" s="52">
        <v>126.3</v>
      </c>
      <c r="L84" s="52">
        <v>125.6</v>
      </c>
      <c r="M84" s="52">
        <v>125</v>
      </c>
      <c r="N84" s="52">
        <v>124.6</v>
      </c>
      <c r="O84" s="52">
        <v>125.9</v>
      </c>
      <c r="P84" s="52">
        <v>123</v>
      </c>
      <c r="Q84" s="52">
        <v>126.1</v>
      </c>
      <c r="R84" s="52">
        <v>124.2</v>
      </c>
      <c r="S84" s="52">
        <v>126.3</v>
      </c>
      <c r="T84" s="97">
        <v>126.4</v>
      </c>
      <c r="U84" s="97">
        <v>126.5</v>
      </c>
      <c r="V84" s="97">
        <v>126.7</v>
      </c>
      <c r="W84" s="97">
        <v>125</v>
      </c>
      <c r="X84" s="97">
        <v>125</v>
      </c>
      <c r="Y84" s="97">
        <v>126.8</v>
      </c>
      <c r="Z84" s="97">
        <v>126.6</v>
      </c>
      <c r="AA84" s="52">
        <v>128.30000000000001</v>
      </c>
      <c r="AB84" s="52">
        <v>128.69999999999999</v>
      </c>
      <c r="AC84" s="52">
        <v>128.6</v>
      </c>
      <c r="AD84" s="52">
        <v>127.8</v>
      </c>
      <c r="AE84" s="52">
        <v>126.6</v>
      </c>
      <c r="AF84" s="98">
        <v>128.30000000000001</v>
      </c>
      <c r="AG84" s="99"/>
      <c r="AH84" s="55">
        <f t="shared" si="16"/>
        <v>129.80000000000001</v>
      </c>
      <c r="AI84" s="56">
        <f t="shared" si="17"/>
        <v>123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127.2</v>
      </c>
      <c r="C85" s="52">
        <v>128.6</v>
      </c>
      <c r="D85" s="52">
        <v>127.8</v>
      </c>
      <c r="E85" s="52">
        <v>128.19999999999999</v>
      </c>
      <c r="F85" s="52">
        <v>129.9</v>
      </c>
      <c r="G85" s="52">
        <v>129.9</v>
      </c>
      <c r="H85" s="52">
        <v>132.69999999999999</v>
      </c>
      <c r="I85" s="52">
        <v>128.9</v>
      </c>
      <c r="J85" s="52">
        <v>126.8</v>
      </c>
      <c r="K85" s="52">
        <v>128.30000000000001</v>
      </c>
      <c r="L85" s="52">
        <v>126.1</v>
      </c>
      <c r="M85" s="52">
        <v>126.6</v>
      </c>
      <c r="N85" s="52">
        <v>127.9</v>
      </c>
      <c r="O85" s="52">
        <v>124.5</v>
      </c>
      <c r="P85" s="52">
        <v>127.7</v>
      </c>
      <c r="Q85" s="52">
        <v>128.5</v>
      </c>
      <c r="R85" s="52">
        <v>124.6</v>
      </c>
      <c r="S85" s="52">
        <v>127.4</v>
      </c>
      <c r="T85" s="52">
        <v>128.4</v>
      </c>
      <c r="U85" s="52">
        <v>128.80000000000001</v>
      </c>
      <c r="V85" s="52">
        <v>129</v>
      </c>
      <c r="W85" s="97">
        <v>127</v>
      </c>
      <c r="X85" s="97">
        <v>127</v>
      </c>
      <c r="Y85" s="97">
        <v>127.8</v>
      </c>
      <c r="Z85" s="97">
        <v>125</v>
      </c>
      <c r="AA85" s="52">
        <v>126.4</v>
      </c>
      <c r="AB85" s="52">
        <v>125.4</v>
      </c>
      <c r="AC85" s="52">
        <v>127.8</v>
      </c>
      <c r="AD85" s="52">
        <v>128.19999999999999</v>
      </c>
      <c r="AE85" s="52">
        <v>127.5</v>
      </c>
      <c r="AF85" s="98">
        <v>130.19999999999999</v>
      </c>
      <c r="AG85" s="99"/>
      <c r="AH85" s="55">
        <f t="shared" si="16"/>
        <v>132.69999999999999</v>
      </c>
      <c r="AI85" s="56">
        <f t="shared" si="17"/>
        <v>124.5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131.19999999999999</v>
      </c>
      <c r="C86" s="52">
        <v>132.30000000000001</v>
      </c>
      <c r="D86" s="52">
        <v>131.80000000000001</v>
      </c>
      <c r="E86" s="52">
        <v>133.1</v>
      </c>
      <c r="F86" s="52">
        <v>132.9</v>
      </c>
      <c r="G86" s="52">
        <v>133.30000000000001</v>
      </c>
      <c r="H86" s="52">
        <v>134.6</v>
      </c>
      <c r="I86" s="52">
        <v>133.9</v>
      </c>
      <c r="J86" s="52">
        <v>131</v>
      </c>
      <c r="K86" s="52">
        <v>133.19999999999999</v>
      </c>
      <c r="L86" s="52">
        <v>131.30000000000001</v>
      </c>
      <c r="M86" s="52">
        <v>129.4</v>
      </c>
      <c r="N86" s="52">
        <v>130.30000000000001</v>
      </c>
      <c r="O86" s="52">
        <v>127.3</v>
      </c>
      <c r="P86" s="52">
        <v>130.9</v>
      </c>
      <c r="Q86" s="52">
        <v>131.5</v>
      </c>
      <c r="R86" s="52">
        <v>128</v>
      </c>
      <c r="S86" s="52">
        <v>130.6</v>
      </c>
      <c r="T86" s="52">
        <v>132.1</v>
      </c>
      <c r="U86" s="52">
        <v>132.1</v>
      </c>
      <c r="V86" s="52">
        <v>132</v>
      </c>
      <c r="W86" s="97">
        <v>128.5</v>
      </c>
      <c r="X86" s="97">
        <v>128.5</v>
      </c>
      <c r="Y86" s="97">
        <v>133.6</v>
      </c>
      <c r="Z86" s="97">
        <v>129.69999999999999</v>
      </c>
      <c r="AA86" s="52">
        <v>130.80000000000001</v>
      </c>
      <c r="AB86" s="52">
        <v>130.19999999999999</v>
      </c>
      <c r="AC86" s="52">
        <v>132.4</v>
      </c>
      <c r="AD86" s="52">
        <v>133.30000000000001</v>
      </c>
      <c r="AE86" s="52">
        <v>132.69999999999999</v>
      </c>
      <c r="AF86" s="98">
        <v>134.80000000000001</v>
      </c>
      <c r="AG86" s="99"/>
      <c r="AH86" s="55">
        <f t="shared" si="16"/>
        <v>134.80000000000001</v>
      </c>
      <c r="AI86" s="56">
        <f t="shared" si="17"/>
        <v>127.3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132.30000000000001</v>
      </c>
      <c r="C87" s="101">
        <v>132.80000000000001</v>
      </c>
      <c r="D87" s="101">
        <v>134.19999999999999</v>
      </c>
      <c r="E87" s="101">
        <v>131.19999999999999</v>
      </c>
      <c r="F87" s="101">
        <v>133.69999999999999</v>
      </c>
      <c r="G87" s="101">
        <v>132.4</v>
      </c>
      <c r="H87" s="101">
        <v>133.69999999999999</v>
      </c>
      <c r="I87" s="101">
        <v>135.6</v>
      </c>
      <c r="J87" s="101">
        <v>134.1</v>
      </c>
      <c r="K87" s="101">
        <v>130</v>
      </c>
      <c r="L87" s="101">
        <v>130.69999999999999</v>
      </c>
      <c r="M87" s="101">
        <v>145.19999999999999</v>
      </c>
      <c r="N87" s="101">
        <v>132.6</v>
      </c>
      <c r="O87" s="101">
        <v>135.6</v>
      </c>
      <c r="P87" s="101">
        <v>131.19999999999999</v>
      </c>
      <c r="Q87" s="101">
        <v>131.69999999999999</v>
      </c>
      <c r="R87" s="101">
        <v>130.5</v>
      </c>
      <c r="S87" s="101">
        <v>134.4</v>
      </c>
      <c r="T87" s="101">
        <v>135.30000000000001</v>
      </c>
      <c r="U87" s="101">
        <v>134.69999999999999</v>
      </c>
      <c r="V87" s="101">
        <v>133.5</v>
      </c>
      <c r="W87" s="97">
        <v>129.5</v>
      </c>
      <c r="X87" s="97">
        <v>129.5</v>
      </c>
      <c r="Y87" s="97">
        <v>133.9</v>
      </c>
      <c r="Z87" s="97">
        <v>128</v>
      </c>
      <c r="AA87" s="101">
        <v>128.80000000000001</v>
      </c>
      <c r="AB87" s="101">
        <v>134.6</v>
      </c>
      <c r="AC87" s="101">
        <v>133.1</v>
      </c>
      <c r="AD87" s="101">
        <v>134.9</v>
      </c>
      <c r="AE87" s="101">
        <v>134.1</v>
      </c>
      <c r="AF87" s="102">
        <v>134.6</v>
      </c>
      <c r="AG87" s="103"/>
      <c r="AH87" s="55">
        <f t="shared" si="16"/>
        <v>145.19999999999999</v>
      </c>
      <c r="AI87" s="56">
        <f t="shared" si="17"/>
        <v>128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132.19999999999999</v>
      </c>
      <c r="C88" s="52">
        <v>132.30000000000001</v>
      </c>
      <c r="D88" s="52">
        <v>133.6</v>
      </c>
      <c r="E88" s="52">
        <v>128.19999999999999</v>
      </c>
      <c r="F88" s="52">
        <v>131.30000000000001</v>
      </c>
      <c r="G88" s="52">
        <v>130.4</v>
      </c>
      <c r="H88" s="52">
        <v>130.9</v>
      </c>
      <c r="I88" s="52">
        <v>133.19999999999999</v>
      </c>
      <c r="J88" s="52">
        <v>131.19999999999999</v>
      </c>
      <c r="K88" s="52">
        <v>128.9</v>
      </c>
      <c r="L88" s="52">
        <v>126.8</v>
      </c>
      <c r="M88" s="52">
        <v>131.19999999999999</v>
      </c>
      <c r="N88" s="52">
        <v>130.4</v>
      </c>
      <c r="O88" s="52">
        <v>133.69999999999999</v>
      </c>
      <c r="P88" s="52">
        <v>129.30000000000001</v>
      </c>
      <c r="Q88" s="52">
        <v>129.30000000000001</v>
      </c>
      <c r="R88" s="52">
        <v>126.3</v>
      </c>
      <c r="S88" s="52">
        <v>133.6</v>
      </c>
      <c r="T88" s="52">
        <v>131.6</v>
      </c>
      <c r="U88" s="52">
        <v>131.6</v>
      </c>
      <c r="V88" s="52"/>
      <c r="W88" s="97"/>
      <c r="X88" s="97"/>
      <c r="Y88" s="97"/>
      <c r="Z88" s="97"/>
      <c r="AA88" s="52"/>
      <c r="AB88" s="52"/>
      <c r="AC88" s="52">
        <v>131.69999999999999</v>
      </c>
      <c r="AD88" s="52">
        <v>133.19999999999999</v>
      </c>
      <c r="AE88" s="52">
        <v>129.6</v>
      </c>
      <c r="AF88" s="98">
        <v>130.4</v>
      </c>
      <c r="AG88" s="99"/>
      <c r="AH88" s="55">
        <f t="shared" si="16"/>
        <v>133.69999999999999</v>
      </c>
      <c r="AI88" s="56">
        <f t="shared" si="17"/>
        <v>126.3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65.2</v>
      </c>
      <c r="C89" s="104">
        <v>65.5</v>
      </c>
      <c r="D89" s="104">
        <v>65.8</v>
      </c>
      <c r="E89" s="104">
        <v>65.400000000000006</v>
      </c>
      <c r="F89" s="104">
        <v>65.099999999999994</v>
      </c>
      <c r="G89" s="104">
        <v>65.099999999999994</v>
      </c>
      <c r="H89" s="104">
        <v>65</v>
      </c>
      <c r="I89" s="104">
        <v>64.599999999999994</v>
      </c>
      <c r="J89" s="104">
        <v>64.3</v>
      </c>
      <c r="K89" s="104">
        <v>64.3</v>
      </c>
      <c r="L89" s="104">
        <v>63.8</v>
      </c>
      <c r="M89" s="104">
        <v>63.5</v>
      </c>
      <c r="N89" s="104">
        <v>63.5</v>
      </c>
      <c r="O89" s="104">
        <v>64</v>
      </c>
      <c r="P89" s="104">
        <v>62.5</v>
      </c>
      <c r="Q89" s="104">
        <v>63.7</v>
      </c>
      <c r="R89" s="104">
        <v>63</v>
      </c>
      <c r="S89" s="104">
        <v>64.2</v>
      </c>
      <c r="T89" s="104">
        <v>64.2</v>
      </c>
      <c r="U89" s="104">
        <v>64.3</v>
      </c>
      <c r="V89" s="104">
        <v>64.3</v>
      </c>
      <c r="W89" s="104">
        <v>63.6</v>
      </c>
      <c r="X89" s="104">
        <v>63.6</v>
      </c>
      <c r="Y89" s="104">
        <v>64.900000000000006</v>
      </c>
      <c r="Z89" s="104">
        <v>64.5</v>
      </c>
      <c r="AA89" s="104">
        <v>65.400000000000006</v>
      </c>
      <c r="AB89" s="104">
        <v>65.7</v>
      </c>
      <c r="AC89" s="104">
        <v>65.7</v>
      </c>
      <c r="AD89" s="104">
        <v>65.2</v>
      </c>
      <c r="AE89" s="104">
        <v>64.599999999999994</v>
      </c>
      <c r="AF89" s="105">
        <v>65.5</v>
      </c>
      <c r="AG89" s="106"/>
      <c r="AH89" s="55">
        <f t="shared" si="16"/>
        <v>65.8</v>
      </c>
      <c r="AI89" s="56">
        <f t="shared" si="17"/>
        <v>62.5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147.72999999999999</v>
      </c>
      <c r="C91" s="178">
        <f t="shared" ref="C91:AF91" si="21">SUM(C14,C17,C20:C21,C40,C42:C43,C45,C47,C92:C95,C100,C106,C112,C121,C123,C135,C142,C145:C146,C153,C155,C157,C161:C163,C165:C167,C172,C178:C179,C181:C183,C191,C196)</f>
        <v>146.22999999999996</v>
      </c>
      <c r="D91" s="178">
        <f t="shared" si="21"/>
        <v>144.74</v>
      </c>
      <c r="E91" s="178">
        <f t="shared" si="21"/>
        <v>144.63999999999996</v>
      </c>
      <c r="F91" s="111">
        <f t="shared" si="21"/>
        <v>158.73999999999998</v>
      </c>
      <c r="G91" s="111">
        <f t="shared" si="21"/>
        <v>175.93999999999997</v>
      </c>
      <c r="H91" s="111">
        <f t="shared" si="21"/>
        <v>209.83999999999997</v>
      </c>
      <c r="I91" s="111">
        <f t="shared" si="21"/>
        <v>229.53999999999996</v>
      </c>
      <c r="J91" s="111">
        <f t="shared" si="21"/>
        <v>247.04</v>
      </c>
      <c r="K91" s="111">
        <f t="shared" si="21"/>
        <v>356.04</v>
      </c>
      <c r="L91" s="111">
        <f t="shared" si="21"/>
        <v>285.94</v>
      </c>
      <c r="M91" s="111">
        <f t="shared" si="21"/>
        <v>285.44</v>
      </c>
      <c r="N91" s="111">
        <f t="shared" si="21"/>
        <v>297.44</v>
      </c>
      <c r="O91" s="111">
        <f t="shared" si="21"/>
        <v>263.44</v>
      </c>
      <c r="P91" s="111">
        <f t="shared" si="21"/>
        <v>259.6400000000001</v>
      </c>
      <c r="Q91" s="111">
        <f t="shared" si="21"/>
        <v>219.54</v>
      </c>
      <c r="R91" s="111">
        <f t="shared" si="21"/>
        <v>260.34000000000009</v>
      </c>
      <c r="S91" s="111">
        <f t="shared" si="21"/>
        <v>266.64000000000004</v>
      </c>
      <c r="T91" s="111">
        <f t="shared" si="21"/>
        <v>263.24</v>
      </c>
      <c r="U91" s="111">
        <f t="shared" si="21"/>
        <v>271.34000000000003</v>
      </c>
      <c r="V91" s="111">
        <f t="shared" si="21"/>
        <v>298.44000000000005</v>
      </c>
      <c r="W91" s="111">
        <f t="shared" si="21"/>
        <v>325.44000000000005</v>
      </c>
      <c r="X91" s="111">
        <f t="shared" si="21"/>
        <v>344.94000000000005</v>
      </c>
      <c r="Y91" s="111">
        <f t="shared" si="21"/>
        <v>328.34000000000003</v>
      </c>
      <c r="Z91" s="111">
        <f t="shared" si="21"/>
        <v>315.04000000000008</v>
      </c>
      <c r="AA91" s="111">
        <f t="shared" si="21"/>
        <v>287.44</v>
      </c>
      <c r="AB91" s="111">
        <f t="shared" si="21"/>
        <v>279.34000000000003</v>
      </c>
      <c r="AC91" s="111">
        <f t="shared" si="21"/>
        <v>264.94</v>
      </c>
      <c r="AD91" s="111">
        <f t="shared" si="21"/>
        <v>190.54</v>
      </c>
      <c r="AE91" s="111">
        <f t="shared" si="21"/>
        <v>155.54</v>
      </c>
      <c r="AF91" s="111">
        <f t="shared" si="21"/>
        <v>140.13999999999999</v>
      </c>
      <c r="AG91" s="112"/>
      <c r="AH91" s="55">
        <f>MAX(B91:AF91)</f>
        <v>356.04</v>
      </c>
      <c r="AI91" s="56">
        <f>MIN(B91:AF91)</f>
        <v>140.13999999999999</v>
      </c>
    </row>
    <row r="92" spans="1:88" x14ac:dyDescent="0.25">
      <c r="A92" s="113" t="s">
        <v>95</v>
      </c>
      <c r="B92" s="59">
        <v>19.5</v>
      </c>
      <c r="C92" s="59">
        <v>19.600000000000001</v>
      </c>
      <c r="D92" s="59">
        <v>28.8</v>
      </c>
      <c r="E92" s="59">
        <v>35.1</v>
      </c>
      <c r="F92" s="114">
        <v>29.5</v>
      </c>
      <c r="G92" s="114">
        <v>27.2</v>
      </c>
      <c r="H92" s="114">
        <v>31.9</v>
      </c>
      <c r="I92" s="114">
        <v>40.200000000000003</v>
      </c>
      <c r="J92" s="114">
        <v>39.4</v>
      </c>
      <c r="K92" s="114">
        <v>39.5</v>
      </c>
      <c r="L92" s="115">
        <v>28.2</v>
      </c>
      <c r="M92" s="115">
        <v>47.9</v>
      </c>
      <c r="N92" s="115">
        <v>44.8</v>
      </c>
      <c r="O92" s="115">
        <v>42.1</v>
      </c>
      <c r="P92" s="115">
        <v>47.9</v>
      </c>
      <c r="Q92" s="115">
        <v>42.9</v>
      </c>
      <c r="R92" s="114">
        <v>38.200000000000003</v>
      </c>
      <c r="S92" s="114">
        <v>26.1</v>
      </c>
      <c r="T92" s="115">
        <v>31.6</v>
      </c>
      <c r="U92" s="115">
        <v>43.1</v>
      </c>
      <c r="V92" s="115">
        <v>43.7</v>
      </c>
      <c r="W92" s="114">
        <v>25.9</v>
      </c>
      <c r="X92" s="114">
        <v>29.6</v>
      </c>
      <c r="Y92" s="114">
        <v>28.7</v>
      </c>
      <c r="Z92" s="114">
        <v>20.3</v>
      </c>
      <c r="AA92" s="115">
        <v>26.6</v>
      </c>
      <c r="AB92" s="115">
        <v>26.3</v>
      </c>
      <c r="AC92" s="115">
        <v>20.100000000000001</v>
      </c>
      <c r="AD92" s="115">
        <v>20.9</v>
      </c>
      <c r="AE92" s="115">
        <v>41.5</v>
      </c>
      <c r="AF92" s="116">
        <v>34.1</v>
      </c>
      <c r="AG92" s="117">
        <v>75</v>
      </c>
      <c r="AH92" s="55">
        <f t="shared" ref="AH92:AH97" si="22">IF(ABS(MAX(B92:AF92))&gt;ABS(MIN(B92:AF92)),MAX(B92:AF92),MIN(B92:AF92))</f>
        <v>47.9</v>
      </c>
      <c r="AI92" s="118">
        <f t="shared" ref="AI92:AI97" si="23">INDEX($B$9:$AF$9,1,MATCH(AH92,B92:AF92,0))</f>
        <v>0.375</v>
      </c>
    </row>
    <row r="93" spans="1:88" x14ac:dyDescent="0.25">
      <c r="A93" s="119" t="s">
        <v>96</v>
      </c>
      <c r="B93" s="61">
        <v>-103</v>
      </c>
      <c r="C93" s="61">
        <v>-105</v>
      </c>
      <c r="D93" s="61">
        <v>-106.5</v>
      </c>
      <c r="E93" s="61">
        <v>-112</v>
      </c>
      <c r="F93" s="61">
        <v>-96.6</v>
      </c>
      <c r="G93" s="61">
        <v>-81.5</v>
      </c>
      <c r="H93" s="61">
        <v>-62.2</v>
      </c>
      <c r="I93" s="61">
        <v>-50.2</v>
      </c>
      <c r="J93" s="61">
        <v>-40.5</v>
      </c>
      <c r="K93" s="61">
        <v>75.599999999999994</v>
      </c>
      <c r="L93" s="61">
        <v>-64</v>
      </c>
      <c r="M93" s="61">
        <f>-32.5-40.4</f>
        <v>-72.900000000000006</v>
      </c>
      <c r="N93" s="61">
        <f>-29-36.9</f>
        <v>-65.900000000000006</v>
      </c>
      <c r="O93" s="61">
        <f>-16.2-24.7</f>
        <v>-40.9</v>
      </c>
      <c r="P93" s="61">
        <f>-20.7-29.4</f>
        <v>-50.099999999999994</v>
      </c>
      <c r="Q93" s="61">
        <f>-29.3-37.2</f>
        <v>-66.5</v>
      </c>
      <c r="R93" s="61">
        <v>-72</v>
      </c>
      <c r="S93" s="61">
        <v>-65</v>
      </c>
      <c r="T93" s="61">
        <v>-70</v>
      </c>
      <c r="U93" s="61">
        <v>-67</v>
      </c>
      <c r="V93" s="61">
        <v>-63</v>
      </c>
      <c r="W93" s="61">
        <v>-56</v>
      </c>
      <c r="X93" s="61">
        <v>-54</v>
      </c>
      <c r="Y93" s="61">
        <v>-61</v>
      </c>
      <c r="Z93" s="61">
        <v>-66</v>
      </c>
      <c r="AA93" s="52">
        <v>-76.900000000000006</v>
      </c>
      <c r="AB93" s="52">
        <v>-87.1</v>
      </c>
      <c r="AC93" s="52">
        <f>-40.2-53.3</f>
        <v>-93.5</v>
      </c>
      <c r="AD93" s="52">
        <f>-50.7-62.9</f>
        <v>-113.6</v>
      </c>
      <c r="AE93" s="52">
        <f>-50-61.6</f>
        <v>-111.6</v>
      </c>
      <c r="AF93" s="120">
        <f>-51-60.8</f>
        <v>-111.8</v>
      </c>
      <c r="AG93" s="117">
        <v>240</v>
      </c>
      <c r="AH93" s="55">
        <f t="shared" si="22"/>
        <v>-113.6</v>
      </c>
      <c r="AI93" s="118">
        <f t="shared" si="23"/>
        <v>0.91666666666666696</v>
      </c>
    </row>
    <row r="94" spans="1:88" x14ac:dyDescent="0.25">
      <c r="A94" s="119" t="s">
        <v>97</v>
      </c>
      <c r="B94" s="61">
        <v>-8.3000000000000007</v>
      </c>
      <c r="C94" s="61">
        <v>-7.9</v>
      </c>
      <c r="D94" s="61">
        <v>-11.3</v>
      </c>
      <c r="E94" s="61">
        <v>-12.1</v>
      </c>
      <c r="F94" s="61">
        <v>-8.1</v>
      </c>
      <c r="G94" s="61">
        <v>-3.6</v>
      </c>
      <c r="H94" s="61">
        <v>6.3</v>
      </c>
      <c r="I94" s="61">
        <v>5.7</v>
      </c>
      <c r="J94" s="61">
        <v>9.3000000000000007</v>
      </c>
      <c r="K94" s="61">
        <v>2</v>
      </c>
      <c r="L94" s="61">
        <v>2.8</v>
      </c>
      <c r="M94" s="61">
        <v>9.1999999999999993</v>
      </c>
      <c r="N94" s="61">
        <v>12.5</v>
      </c>
      <c r="O94" s="61">
        <v>29</v>
      </c>
      <c r="P94" s="61">
        <v>23.6</v>
      </c>
      <c r="Q94" s="61">
        <v>4.9000000000000004</v>
      </c>
      <c r="R94" s="61">
        <v>6.3</v>
      </c>
      <c r="S94" s="61">
        <v>15.3</v>
      </c>
      <c r="T94" s="61">
        <v>10.7</v>
      </c>
      <c r="U94" s="61">
        <v>10.1</v>
      </c>
      <c r="V94" s="61">
        <v>15.6</v>
      </c>
      <c r="W94" s="61">
        <v>39.4</v>
      </c>
      <c r="X94" s="61">
        <v>39.5</v>
      </c>
      <c r="Y94" s="61">
        <v>38.799999999999997</v>
      </c>
      <c r="Z94" s="61">
        <v>36.9</v>
      </c>
      <c r="AA94" s="52">
        <v>33.4</v>
      </c>
      <c r="AB94" s="52">
        <v>30.6</v>
      </c>
      <c r="AC94" s="52">
        <v>30.5</v>
      </c>
      <c r="AD94" s="52">
        <v>-4.8</v>
      </c>
      <c r="AE94" s="52">
        <v>-11.8</v>
      </c>
      <c r="AF94" s="120">
        <v>-9.6</v>
      </c>
      <c r="AG94" s="117">
        <v>60</v>
      </c>
      <c r="AH94" s="55">
        <f t="shared" si="22"/>
        <v>39.5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79</v>
      </c>
      <c r="M95" s="84">
        <v>66.3</v>
      </c>
      <c r="N95" s="84">
        <v>71.099999999999994</v>
      </c>
      <c r="O95" s="84">
        <v>0</v>
      </c>
      <c r="P95" s="84">
        <v>0</v>
      </c>
      <c r="Q95" s="84">
        <v>0</v>
      </c>
      <c r="R95" s="84">
        <v>49.6</v>
      </c>
      <c r="S95" s="84">
        <v>51.8</v>
      </c>
      <c r="T95" s="84">
        <v>52.5</v>
      </c>
      <c r="U95" s="84">
        <v>46.7</v>
      </c>
      <c r="V95" s="84">
        <v>63.7</v>
      </c>
      <c r="W95" s="84">
        <v>77.7</v>
      </c>
      <c r="X95" s="84">
        <v>91.4</v>
      </c>
      <c r="Y95" s="84">
        <v>82.6</v>
      </c>
      <c r="Z95" s="84">
        <v>84.6</v>
      </c>
      <c r="AA95" s="122">
        <v>65.599999999999994</v>
      </c>
      <c r="AB95" s="122">
        <v>71</v>
      </c>
      <c r="AC95" s="122">
        <v>69.7</v>
      </c>
      <c r="AD95" s="122">
        <v>50.6</v>
      </c>
      <c r="AE95" s="122">
        <v>0</v>
      </c>
      <c r="AF95" s="123">
        <v>0</v>
      </c>
      <c r="AG95" s="124">
        <v>120</v>
      </c>
      <c r="AH95" s="55">
        <f t="shared" si="22"/>
        <v>91.4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80.2</v>
      </c>
      <c r="C96" s="84">
        <v>73.3</v>
      </c>
      <c r="D96" s="84">
        <v>65</v>
      </c>
      <c r="E96" s="84">
        <v>51</v>
      </c>
      <c r="F96" s="84">
        <v>72.5</v>
      </c>
      <c r="G96" s="84">
        <v>80.400000000000006</v>
      </c>
      <c r="H96" s="84">
        <v>82.8</v>
      </c>
      <c r="I96" s="84">
        <v>87.5</v>
      </c>
      <c r="J96" s="84">
        <v>0</v>
      </c>
      <c r="K96" s="84">
        <v>59.6</v>
      </c>
      <c r="L96" s="84">
        <v>81.7</v>
      </c>
      <c r="M96" s="84">
        <v>70.900000000000006</v>
      </c>
      <c r="N96" s="84">
        <v>73.099999999999994</v>
      </c>
      <c r="O96" s="84">
        <v>53.9</v>
      </c>
      <c r="P96" s="84">
        <v>64.400000000000006</v>
      </c>
      <c r="Q96" s="84">
        <v>45.6</v>
      </c>
      <c r="R96" s="84">
        <v>51.5</v>
      </c>
      <c r="S96" s="84">
        <v>52.2</v>
      </c>
      <c r="T96" s="84">
        <v>55.6</v>
      </c>
      <c r="U96" s="84">
        <v>50.2</v>
      </c>
      <c r="V96" s="84">
        <v>69.2</v>
      </c>
      <c r="W96" s="84">
        <v>72.7</v>
      </c>
      <c r="X96" s="84">
        <v>81.5</v>
      </c>
      <c r="Y96" s="84">
        <v>78.400000000000006</v>
      </c>
      <c r="Z96" s="84">
        <v>83.6</v>
      </c>
      <c r="AA96" s="122">
        <v>63.2</v>
      </c>
      <c r="AB96" s="122">
        <v>68.400000000000006</v>
      </c>
      <c r="AC96" s="122">
        <v>73.8</v>
      </c>
      <c r="AD96" s="122">
        <v>63.6</v>
      </c>
      <c r="AE96" s="122">
        <v>61.5</v>
      </c>
      <c r="AF96" s="123">
        <v>67.2</v>
      </c>
      <c r="AG96" s="124"/>
      <c r="AH96" s="55">
        <f t="shared" si="22"/>
        <v>87.5</v>
      </c>
      <c r="AI96" s="118">
        <f t="shared" si="23"/>
        <v>0.27083333333333331</v>
      </c>
    </row>
    <row r="97" spans="1:37" ht="15.75" thickBot="1" x14ac:dyDescent="0.3">
      <c r="A97" s="121" t="s">
        <v>100</v>
      </c>
      <c r="B97" s="84">
        <v>84</v>
      </c>
      <c r="C97" s="84">
        <v>78.400000000000006</v>
      </c>
      <c r="D97" s="84">
        <v>77.099999999999994</v>
      </c>
      <c r="E97" s="84">
        <v>75</v>
      </c>
      <c r="F97" s="84">
        <v>76</v>
      </c>
      <c r="G97" s="84">
        <v>73.099999999999994</v>
      </c>
      <c r="H97" s="84">
        <v>68</v>
      </c>
      <c r="I97" s="84">
        <v>63.5</v>
      </c>
      <c r="J97" s="84">
        <v>56.1</v>
      </c>
      <c r="K97" s="84">
        <v>66</v>
      </c>
      <c r="L97" s="84">
        <v>65</v>
      </c>
      <c r="M97" s="84">
        <v>34</v>
      </c>
      <c r="N97" s="84">
        <v>37.4</v>
      </c>
      <c r="O97" s="84">
        <v>39.1</v>
      </c>
      <c r="P97" s="84">
        <v>36</v>
      </c>
      <c r="Q97" s="84">
        <v>34.6</v>
      </c>
      <c r="R97" s="84">
        <v>38.1</v>
      </c>
      <c r="S97" s="84">
        <v>38.1</v>
      </c>
      <c r="T97" s="84">
        <v>33.9</v>
      </c>
      <c r="U97" s="84">
        <v>32.299999999999997</v>
      </c>
      <c r="V97" s="84">
        <v>27.5</v>
      </c>
      <c r="W97" s="84">
        <v>34.700000000000003</v>
      </c>
      <c r="X97" s="84">
        <v>39</v>
      </c>
      <c r="Y97" s="84">
        <v>41.1</v>
      </c>
      <c r="Z97" s="84">
        <v>41.7</v>
      </c>
      <c r="AA97" s="122">
        <v>40.1</v>
      </c>
      <c r="AB97" s="122">
        <v>41.3</v>
      </c>
      <c r="AC97" s="122">
        <v>40.4</v>
      </c>
      <c r="AD97" s="122">
        <v>40.299999999999997</v>
      </c>
      <c r="AE97" s="122">
        <v>40.9</v>
      </c>
      <c r="AF97" s="123">
        <v>39.5</v>
      </c>
      <c r="AG97" s="125"/>
      <c r="AH97" s="55">
        <f t="shared" si="22"/>
        <v>84</v>
      </c>
      <c r="AI97" s="118">
        <f t="shared" si="23"/>
        <v>4.1666666666666664E-2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1287.1399999999999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21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2078/04/21)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2078/04/21)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1168.5300000000002</v>
      </c>
      <c r="U211" s="170">
        <f t="shared" si="52"/>
        <v>1158.1300000000001</v>
      </c>
      <c r="V211" s="170">
        <f t="shared" si="52"/>
        <v>1167.1399999999999</v>
      </c>
      <c r="W211" s="170">
        <f t="shared" si="52"/>
        <v>1094.44</v>
      </c>
      <c r="X211" s="170">
        <f t="shared" si="52"/>
        <v>1139.1399999999999</v>
      </c>
      <c r="Y211" s="170">
        <f t="shared" si="52"/>
        <v>1156.1400000000001</v>
      </c>
      <c r="Z211" s="170">
        <f t="shared" si="52"/>
        <v>1166.54</v>
      </c>
      <c r="AA211" s="170">
        <f t="shared" si="52"/>
        <v>1196.24</v>
      </c>
      <c r="AB211" s="170">
        <f t="shared" si="52"/>
        <v>1171.9390000000001</v>
      </c>
      <c r="AC211" s="170">
        <f t="shared" si="52"/>
        <v>1212.94</v>
      </c>
      <c r="AD211" s="170">
        <f t="shared" si="52"/>
        <v>1276.43</v>
      </c>
      <c r="AE211" s="170">
        <f t="shared" si="52"/>
        <v>1287.1399999999999</v>
      </c>
      <c r="AF211" s="170">
        <f t="shared" si="52"/>
        <v>1299.04</v>
      </c>
      <c r="AG211" s="170">
        <f t="shared" si="52"/>
        <v>1286.2399999999998</v>
      </c>
      <c r="AH211" s="170">
        <f t="shared" si="52"/>
        <v>1254.94</v>
      </c>
      <c r="AI211" s="170">
        <f t="shared" si="52"/>
        <v>1260.2399999999998</v>
      </c>
      <c r="AJ211" s="170">
        <f t="shared" si="52"/>
        <v>1288.7399999999998</v>
      </c>
      <c r="AK211" s="170">
        <f t="shared" si="52"/>
        <v>1324.6399999999999</v>
      </c>
      <c r="AL211" s="170">
        <f t="shared" si="52"/>
        <v>1285.7399999999998</v>
      </c>
      <c r="AM211" s="170">
        <f t="shared" si="52"/>
        <v>1267.04</v>
      </c>
      <c r="AN211" s="170">
        <f t="shared" si="52"/>
        <v>1293.04</v>
      </c>
      <c r="AO211" s="170">
        <f t="shared" si="52"/>
        <v>1407.8400000000001</v>
      </c>
      <c r="AP211" s="170">
        <f t="shared" si="52"/>
        <v>1523.1399999999999</v>
      </c>
      <c r="AQ211" s="170">
        <f t="shared" si="52"/>
        <v>1526.58</v>
      </c>
      <c r="AR211" s="170">
        <f t="shared" si="52"/>
        <v>1468.9399999999998</v>
      </c>
      <c r="AS211" s="170">
        <f t="shared" si="52"/>
        <v>1463.87</v>
      </c>
      <c r="AT211" s="170">
        <f t="shared" si="52"/>
        <v>1418.27</v>
      </c>
      <c r="AU211" s="170">
        <f t="shared" si="52"/>
        <v>1404.14</v>
      </c>
      <c r="AV211" s="170">
        <f t="shared" si="52"/>
        <v>1274.94</v>
      </c>
      <c r="AW211" s="170">
        <f t="shared" si="52"/>
        <v>1234.1400000000001</v>
      </c>
      <c r="AX211" s="170">
        <f t="shared" si="52"/>
        <v>1208.8400000000001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158" priority="270">
      <formula>S$9&gt;=20/24</formula>
    </cfRule>
    <cfRule type="expression" dxfId="4157" priority="271">
      <formula>AND(S$9&gt;=14/24,S$9&lt;20/24)</formula>
    </cfRule>
    <cfRule type="expression" dxfId="4156" priority="272">
      <formula>AND(S$9&gt;=8/24,S$9&lt;14/24)</formula>
    </cfRule>
    <cfRule type="expression" dxfId="4155" priority="273">
      <formula>S$9&lt;8/24</formula>
    </cfRule>
  </conditionalFormatting>
  <conditionalFormatting sqref="B8:AF10 AA79:AF79 B79:Q79 B80:AF80 C191:AF197 AE55:AF58 B66:AF70 T210:AX210 S38:S39 L56:L57 B72:AF76 B78:AF78 D58:L59 D55:K57 B61:C65 B55:C59 B54:AF54 R56:V57 M56:Q59 L37:R40 L35:S35 L15:X31 T38:X40 W83:Z89 Y15:Z30 Y38:AD41 L51:AF53 AA82:AF89 AA27:AF30 AA15:AF25 L11:AF13">
    <cfRule type="expression" dxfId="4154" priority="266">
      <formula>B$9&gt;=20/24</formula>
    </cfRule>
    <cfRule type="expression" dxfId="4153" priority="267">
      <formula>AND(B$9&gt;=14/24,B$9&lt;20/24)</formula>
    </cfRule>
    <cfRule type="expression" dxfId="4152" priority="268">
      <formula>AND(B$9&gt;=8/24,B$9&lt;14/24)</formula>
    </cfRule>
    <cfRule type="expression" dxfId="4151" priority="269">
      <formula>B$9&lt;8/24</formula>
    </cfRule>
  </conditionalFormatting>
  <conditionalFormatting sqref="B189:AF189">
    <cfRule type="expression" dxfId="4150" priority="262">
      <formula>B$9&gt;=20/24</formula>
    </cfRule>
    <cfRule type="expression" dxfId="4149" priority="263">
      <formula>AND(B$9&gt;=14/24,B$9&lt;20/24)</formula>
    </cfRule>
    <cfRule type="expression" dxfId="4148" priority="264">
      <formula>AND(B$9&gt;=8/24,B$9&lt;14/24)</formula>
    </cfRule>
    <cfRule type="expression" dxfId="4147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4146" priority="257">
      <formula>L$9&gt;=20/24</formula>
    </cfRule>
    <cfRule type="expression" dxfId="4145" priority="258">
      <formula>AND(L$9&gt;=14/24,L$9&lt;20/24)</formula>
    </cfRule>
    <cfRule type="expression" dxfId="4144" priority="259">
      <formula>AND(L$9&gt;=8/24,L$9&lt;14/24)</formula>
    </cfRule>
    <cfRule type="expression" dxfId="4143" priority="260">
      <formula>L$9&lt;8/24</formula>
    </cfRule>
  </conditionalFormatting>
  <conditionalFormatting sqref="L41:S41">
    <cfRule type="expression" dxfId="4142" priority="253">
      <formula>L$9&gt;=20/24</formula>
    </cfRule>
    <cfRule type="expression" dxfId="4141" priority="254">
      <formula>AND(L$9&gt;=14/24,L$9&lt;20/24)</formula>
    </cfRule>
    <cfRule type="expression" dxfId="4140" priority="255">
      <formula>AND(L$9&gt;=8/24,L$9&lt;14/24)</formula>
    </cfRule>
    <cfRule type="expression" dxfId="4139" priority="256">
      <formula>L$9&lt;8/24</formula>
    </cfRule>
  </conditionalFormatting>
  <conditionalFormatting sqref="Y31:AF31">
    <cfRule type="expression" dxfId="4138" priority="249">
      <formula>Y$9&gt;=20/24</formula>
    </cfRule>
    <cfRule type="expression" dxfId="4137" priority="250">
      <formula>AND(Y$9&gt;=14/24,Y$9&lt;20/24)</formula>
    </cfRule>
    <cfRule type="expression" dxfId="4136" priority="251">
      <formula>AND(Y$9&gt;=8/24,Y$9&lt;14/24)</formula>
    </cfRule>
    <cfRule type="expression" dxfId="4135" priority="252">
      <formula>Y$9&lt;8/24</formula>
    </cfRule>
  </conditionalFormatting>
  <conditionalFormatting sqref="S37:AD37">
    <cfRule type="expression" dxfId="4134" priority="245">
      <formula>S$9&gt;=20/24</formula>
    </cfRule>
    <cfRule type="expression" dxfId="4133" priority="246">
      <formula>AND(S$9&gt;=14/24,S$9&lt;20/24)</formula>
    </cfRule>
    <cfRule type="expression" dxfId="4132" priority="247">
      <formula>AND(S$9&gt;=8/24,S$9&lt;14/24)</formula>
    </cfRule>
    <cfRule type="expression" dxfId="4131" priority="248">
      <formula>S$9&lt;8/24</formula>
    </cfRule>
  </conditionalFormatting>
  <conditionalFormatting sqref="R55:AD55">
    <cfRule type="expression" dxfId="4130" priority="241">
      <formula>R$9&gt;=20/24</formula>
    </cfRule>
    <cfRule type="expression" dxfId="4129" priority="242">
      <formula>AND(R$9&gt;=14/24,R$9&lt;20/24)</formula>
    </cfRule>
    <cfRule type="expression" dxfId="4128" priority="243">
      <formula>AND(R$9&gt;=8/24,R$9&lt;14/24)</formula>
    </cfRule>
    <cfRule type="expression" dxfId="4127" priority="244">
      <formula>R$9&lt;8/24</formula>
    </cfRule>
  </conditionalFormatting>
  <conditionalFormatting sqref="R79:Z79">
    <cfRule type="expression" dxfId="4126" priority="237">
      <formula>R$9&gt;=20/24</formula>
    </cfRule>
    <cfRule type="expression" dxfId="4125" priority="238">
      <formula>AND(R$9&gt;=14/24,R$9&lt;20/24)</formula>
    </cfRule>
    <cfRule type="expression" dxfId="4124" priority="239">
      <formula>AND(R$9&gt;=8/24,R$9&lt;14/24)</formula>
    </cfRule>
    <cfRule type="expression" dxfId="4123" priority="240">
      <formula>R$9&lt;8/24</formula>
    </cfRule>
  </conditionalFormatting>
  <conditionalFormatting sqref="T82:Z82">
    <cfRule type="expression" dxfId="4122" priority="233">
      <formula>T$9&gt;=20/24</formula>
    </cfRule>
    <cfRule type="expression" dxfId="4121" priority="234">
      <formula>AND(T$9&gt;=14/24,T$9&lt;20/24)</formula>
    </cfRule>
    <cfRule type="expression" dxfId="4120" priority="235">
      <formula>AND(T$9&gt;=8/24,T$9&lt;14/24)</formula>
    </cfRule>
    <cfRule type="expression" dxfId="4119" priority="236">
      <formula>T$9&lt;8/24</formula>
    </cfRule>
  </conditionalFormatting>
  <conditionalFormatting sqref="L33:X33">
    <cfRule type="expression" dxfId="4118" priority="229">
      <formula>L$9&gt;=20/24</formula>
    </cfRule>
    <cfRule type="expression" dxfId="4117" priority="230">
      <formula>AND(L$9&gt;=14/24,L$9&lt;20/24)</formula>
    </cfRule>
    <cfRule type="expression" dxfId="4116" priority="231">
      <formula>AND(L$9&gt;=8/24,L$9&lt;14/24)</formula>
    </cfRule>
    <cfRule type="expression" dxfId="4115" priority="232">
      <formula>L$9&lt;8/24</formula>
    </cfRule>
  </conditionalFormatting>
  <conditionalFormatting sqref="L47:X47">
    <cfRule type="expression" dxfId="4114" priority="225">
      <formula>L$9&gt;=20/24</formula>
    </cfRule>
    <cfRule type="expression" dxfId="4113" priority="226">
      <formula>AND(L$9&gt;=14/24,L$9&lt;20/24)</formula>
    </cfRule>
    <cfRule type="expression" dxfId="4112" priority="227">
      <formula>AND(L$9&gt;=8/24,L$9&lt;14/24)</formula>
    </cfRule>
    <cfRule type="expression" dxfId="4111" priority="228">
      <formula>L$9&lt;8/24</formula>
    </cfRule>
  </conditionalFormatting>
  <conditionalFormatting sqref="L48:X48">
    <cfRule type="expression" dxfId="4110" priority="221">
      <formula>L$9&gt;=20/24</formula>
    </cfRule>
    <cfRule type="expression" dxfId="4109" priority="222">
      <formula>AND(L$9&gt;=14/24,L$9&lt;20/24)</formula>
    </cfRule>
    <cfRule type="expression" dxfId="4108" priority="223">
      <formula>AND(L$9&gt;=8/24,L$9&lt;14/24)</formula>
    </cfRule>
    <cfRule type="expression" dxfId="4107" priority="224">
      <formula>L$9&lt;8/24</formula>
    </cfRule>
  </conditionalFormatting>
  <conditionalFormatting sqref="L43:X46">
    <cfRule type="expression" dxfId="4106" priority="217">
      <formula>L$9&gt;=20/24</formula>
    </cfRule>
    <cfRule type="expression" dxfId="4105" priority="218">
      <formula>AND(L$9&gt;=14/24,L$9&lt;20/24)</formula>
    </cfRule>
    <cfRule type="expression" dxfId="4104" priority="219">
      <formula>AND(L$9&gt;=8/24,L$9&lt;14/24)</formula>
    </cfRule>
    <cfRule type="expression" dxfId="4103" priority="220">
      <formula>L$9&lt;8/24</formula>
    </cfRule>
  </conditionalFormatting>
  <conditionalFormatting sqref="T35:AF35">
    <cfRule type="expression" dxfId="4102" priority="213">
      <formula>T$9&gt;=20/24</formula>
    </cfRule>
    <cfRule type="expression" dxfId="4101" priority="214">
      <formula>AND(T$9&gt;=14/24,T$9&lt;20/24)</formula>
    </cfRule>
    <cfRule type="expression" dxfId="4100" priority="215">
      <formula>AND(T$9&gt;=8/24,T$9&lt;14/24)</formula>
    </cfRule>
    <cfRule type="expression" dxfId="4099" priority="216">
      <formula>T$9&lt;8/24</formula>
    </cfRule>
  </conditionalFormatting>
  <conditionalFormatting sqref="Y33:AF33">
    <cfRule type="expression" dxfId="4098" priority="209">
      <formula>Y$9&gt;=20/24</formula>
    </cfRule>
    <cfRule type="expression" dxfId="4097" priority="210">
      <formula>AND(Y$9&gt;=14/24,Y$9&lt;20/24)</formula>
    </cfRule>
    <cfRule type="expression" dxfId="4096" priority="211">
      <formula>AND(Y$9&gt;=8/24,Y$9&lt;14/24)</formula>
    </cfRule>
    <cfRule type="expression" dxfId="4095" priority="212">
      <formula>Y$9&lt;8/24</formula>
    </cfRule>
  </conditionalFormatting>
  <conditionalFormatting sqref="S40 T41:X41 Y43:AD46">
    <cfRule type="expression" dxfId="4094" priority="205">
      <formula>S$9&gt;=20/24</formula>
    </cfRule>
    <cfRule type="expression" dxfId="4093" priority="206">
      <formula>AND(S$9&gt;=14/24,S$9&lt;20/24)</formula>
    </cfRule>
    <cfRule type="expression" dxfId="4092" priority="207">
      <formula>AND(S$9&gt;=8/24,S$9&lt;14/24)</formula>
    </cfRule>
    <cfRule type="expression" dxfId="4091" priority="208">
      <formula>S$9&lt;8/24</formula>
    </cfRule>
  </conditionalFormatting>
  <conditionalFormatting sqref="Y47:AD47">
    <cfRule type="expression" dxfId="4090" priority="201">
      <formula>Y$9&gt;=20/24</formula>
    </cfRule>
    <cfRule type="expression" dxfId="4089" priority="202">
      <formula>AND(Y$9&gt;=14/24,Y$9&lt;20/24)</formula>
    </cfRule>
    <cfRule type="expression" dxfId="4088" priority="203">
      <formula>AND(Y$9&gt;=8/24,Y$9&lt;14/24)</formula>
    </cfRule>
    <cfRule type="expression" dxfId="4087" priority="204">
      <formula>Y$9&lt;8/24</formula>
    </cfRule>
  </conditionalFormatting>
  <conditionalFormatting sqref="Y48:AD48">
    <cfRule type="expression" dxfId="4086" priority="197">
      <formula>Y$9&gt;=20/24</formula>
    </cfRule>
    <cfRule type="expression" dxfId="4085" priority="198">
      <formula>AND(Y$9&gt;=14/24,Y$9&lt;20/24)</formula>
    </cfRule>
    <cfRule type="expression" dxfId="4084" priority="199">
      <formula>AND(Y$9&gt;=8/24,Y$9&lt;14/24)</formula>
    </cfRule>
    <cfRule type="expression" dxfId="4083" priority="200">
      <formula>Y$9&lt;8/24</formula>
    </cfRule>
  </conditionalFormatting>
  <conditionalFormatting sqref="AE59:AF65 R58:S59 W58:AA59 AA60:AA65 AB58:AD65">
    <cfRule type="expression" dxfId="4082" priority="193">
      <formula>R$9&gt;=20/24</formula>
    </cfRule>
    <cfRule type="expression" dxfId="4081" priority="194">
      <formula>AND(R$9&gt;=14/24,R$9&lt;20/24)</formula>
    </cfRule>
    <cfRule type="expression" dxfId="4080" priority="195">
      <formula>AND(R$9&gt;=8/24,R$9&lt;14/24)</formula>
    </cfRule>
    <cfRule type="expression" dxfId="4079" priority="196">
      <formula>R$9&lt;8/24</formula>
    </cfRule>
  </conditionalFormatting>
  <conditionalFormatting sqref="AA92:AF95">
    <cfRule type="expression" dxfId="4078" priority="189">
      <formula>AA$9&gt;=20/24</formula>
    </cfRule>
    <cfRule type="expression" dxfId="4077" priority="190">
      <formula>AND(AA$9&gt;=14/24,AA$9&lt;20/24)</formula>
    </cfRule>
    <cfRule type="expression" dxfId="4076" priority="191">
      <formula>AND(AA$9&gt;=8/24,AA$9&lt;14/24)</formula>
    </cfRule>
    <cfRule type="expression" dxfId="4075" priority="192">
      <formula>AA$9&lt;8/24</formula>
    </cfRule>
  </conditionalFormatting>
  <conditionalFormatting sqref="H61:H65 B60:H60 I60:K65 L61:S65">
    <cfRule type="expression" dxfId="4074" priority="185">
      <formula>B$9&gt;=20/24</formula>
    </cfRule>
    <cfRule type="expression" dxfId="4073" priority="186">
      <formula>AND(B$9&gt;=14/24,B$9&lt;20/24)</formula>
    </cfRule>
    <cfRule type="expression" dxfId="4072" priority="187">
      <formula>AND(B$9&gt;=8/24,B$9&lt;14/24)</formula>
    </cfRule>
    <cfRule type="expression" dxfId="4071" priority="188">
      <formula>B$9&lt;8/24</formula>
    </cfRule>
  </conditionalFormatting>
  <conditionalFormatting sqref="T92:Z95">
    <cfRule type="expression" dxfId="4070" priority="181">
      <formula>T$9&gt;=20/24</formula>
    </cfRule>
    <cfRule type="expression" dxfId="4069" priority="182">
      <formula>AND(T$9&gt;=14/24,T$9&lt;20/24)</formula>
    </cfRule>
    <cfRule type="expression" dxfId="4068" priority="183">
      <formula>AND(T$9&gt;=8/24,T$9&lt;14/24)</formula>
    </cfRule>
    <cfRule type="expression" dxfId="4067" priority="184">
      <formula>T$9&lt;8/24</formula>
    </cfRule>
  </conditionalFormatting>
  <conditionalFormatting sqref="AG49 B43:AF54 B15:AF31 B11:AF13 B33:AF41">
    <cfRule type="expression" dxfId="4066" priority="180">
      <formula>B11&gt;$AG11</formula>
    </cfRule>
  </conditionalFormatting>
  <conditionalFormatting sqref="A98:A154 A82:A95 A11:A13 A15:A31 A43:A70 A78:A80 A72:A76 A33:A41 A167:A198">
    <cfRule type="expression" dxfId="4065" priority="179">
      <formula>$AH11=0</formula>
    </cfRule>
  </conditionalFormatting>
  <conditionalFormatting sqref="AA96:AF96">
    <cfRule type="expression" dxfId="4064" priority="175">
      <formula>AA$9&gt;=20/24</formula>
    </cfRule>
    <cfRule type="expression" dxfId="4063" priority="176">
      <formula>AND(AA$9&gt;=14/24,AA$9&lt;20/24)</formula>
    </cfRule>
    <cfRule type="expression" dxfId="4062" priority="177">
      <formula>AND(AA$9&gt;=8/24,AA$9&lt;14/24)</formula>
    </cfRule>
    <cfRule type="expression" dxfId="4061" priority="178">
      <formula>AA$9&lt;8/24</formula>
    </cfRule>
  </conditionalFormatting>
  <conditionalFormatting sqref="T96:Z96">
    <cfRule type="expression" dxfId="4060" priority="171">
      <formula>T$9&gt;=20/24</formula>
    </cfRule>
    <cfRule type="expression" dxfId="4059" priority="172">
      <formula>AND(T$9&gt;=14/24,T$9&lt;20/24)</formula>
    </cfRule>
    <cfRule type="expression" dxfId="4058" priority="173">
      <formula>AND(T$9&gt;=8/24,T$9&lt;14/24)</formula>
    </cfRule>
    <cfRule type="expression" dxfId="4057" priority="174">
      <formula>T$9&lt;8/24</formula>
    </cfRule>
  </conditionalFormatting>
  <conditionalFormatting sqref="A96">
    <cfRule type="expression" dxfId="4056" priority="170">
      <formula>$AH96=0</formula>
    </cfRule>
  </conditionalFormatting>
  <conditionalFormatting sqref="L34:AF34">
    <cfRule type="expression" dxfId="4055" priority="166">
      <formula>L$9&gt;=20/24</formula>
    </cfRule>
    <cfRule type="expression" dxfId="4054" priority="167">
      <formula>AND(L$9&gt;=14/24,L$9&lt;20/24)</formula>
    </cfRule>
    <cfRule type="expression" dxfId="4053" priority="168">
      <formula>AND(L$9&gt;=8/24,L$9&lt;14/24)</formula>
    </cfRule>
    <cfRule type="expression" dxfId="4052" priority="169">
      <formula>L$9&lt;8/24</formula>
    </cfRule>
  </conditionalFormatting>
  <conditionalFormatting sqref="T34:AF34">
    <cfRule type="expression" dxfId="4051" priority="162">
      <formula>T$9&gt;=20/24</formula>
    </cfRule>
    <cfRule type="expression" dxfId="4050" priority="163">
      <formula>AND(T$9&gt;=14/24,T$9&lt;20/24)</formula>
    </cfRule>
    <cfRule type="expression" dxfId="4049" priority="164">
      <formula>AND(T$9&gt;=8/24,T$9&lt;14/24)</formula>
    </cfRule>
    <cfRule type="expression" dxfId="4048" priority="165">
      <formula>T$9&lt;8/24</formula>
    </cfRule>
  </conditionalFormatting>
  <conditionalFormatting sqref="B34:K34">
    <cfRule type="expression" dxfId="4047" priority="158">
      <formula>B$9&gt;=20/24</formula>
    </cfRule>
    <cfRule type="expression" dxfId="4046" priority="159">
      <formula>AND(B$9&gt;=14/24,B$9&lt;20/24)</formula>
    </cfRule>
    <cfRule type="expression" dxfId="4045" priority="160">
      <formula>AND(B$9&gt;=8/24,B$9&lt;14/24)</formula>
    </cfRule>
    <cfRule type="expression" dxfId="4044" priority="161">
      <formula>B$9&lt;8/24</formula>
    </cfRule>
  </conditionalFormatting>
  <conditionalFormatting sqref="D61:G65">
    <cfRule type="expression" dxfId="4043" priority="154">
      <formula>D$9&gt;=20/24</formula>
    </cfRule>
    <cfRule type="expression" dxfId="4042" priority="155">
      <formula>AND(D$9&gt;=14/24,D$9&lt;20/24)</formula>
    </cfRule>
    <cfRule type="expression" dxfId="4041" priority="156">
      <formula>AND(D$9&gt;=8/24,D$9&lt;14/24)</formula>
    </cfRule>
    <cfRule type="expression" dxfId="4040" priority="157">
      <formula>D$9&lt;8/24</formula>
    </cfRule>
  </conditionalFormatting>
  <conditionalFormatting sqref="L60:S60">
    <cfRule type="expression" dxfId="4039" priority="150">
      <formula>L$9&gt;=20/24</formula>
    </cfRule>
    <cfRule type="expression" dxfId="4038" priority="151">
      <formula>AND(L$9&gt;=14/24,L$9&lt;20/24)</formula>
    </cfRule>
    <cfRule type="expression" dxfId="4037" priority="152">
      <formula>AND(L$9&gt;=8/24,L$9&lt;14/24)</formula>
    </cfRule>
    <cfRule type="expression" dxfId="4036" priority="153">
      <formula>L$9&lt;8/24</formula>
    </cfRule>
  </conditionalFormatting>
  <conditionalFormatting sqref="AL31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4035" priority="145">
      <formula>Y$9&gt;=20/24</formula>
    </cfRule>
    <cfRule type="expression" dxfId="4034" priority="146">
      <formula>AND(Y$9&gt;=14/24,Y$9&lt;20/24)</formula>
    </cfRule>
    <cfRule type="expression" dxfId="4033" priority="147">
      <formula>AND(Y$9&gt;=8/24,Y$9&lt;14/24)</formula>
    </cfRule>
    <cfRule type="expression" dxfId="4032" priority="148">
      <formula>Y$9&lt;8/24</formula>
    </cfRule>
  </conditionalFormatting>
  <conditionalFormatting sqref="L32:X32">
    <cfRule type="expression" dxfId="4031" priority="141">
      <formula>L$9&gt;=20/24</formula>
    </cfRule>
    <cfRule type="expression" dxfId="4030" priority="142">
      <formula>AND(L$9&gt;=14/24,L$9&lt;20/24)</formula>
    </cfRule>
    <cfRule type="expression" dxfId="4029" priority="143">
      <formula>AND(L$9&gt;=8/24,L$9&lt;14/24)</formula>
    </cfRule>
    <cfRule type="expression" dxfId="4028" priority="144">
      <formula>L$9&lt;8/24</formula>
    </cfRule>
  </conditionalFormatting>
  <conditionalFormatting sqref="B32:AF32">
    <cfRule type="expression" dxfId="4027" priority="136">
      <formula>B32&gt;$AG32</formula>
    </cfRule>
  </conditionalFormatting>
  <conditionalFormatting sqref="A32">
    <cfRule type="expression" dxfId="4026" priority="135">
      <formula>$AH32=0</formula>
    </cfRule>
  </conditionalFormatting>
  <conditionalFormatting sqref="B81:AF81">
    <cfRule type="expression" dxfId="4025" priority="131">
      <formula>B$9&gt;=20/24</formula>
    </cfRule>
    <cfRule type="expression" dxfId="4024" priority="132">
      <formula>AND(B$9&gt;=14/24,B$9&lt;20/24)</formula>
    </cfRule>
    <cfRule type="expression" dxfId="4023" priority="133">
      <formula>AND(B$9&gt;=8/24,B$9&lt;14/24)</formula>
    </cfRule>
    <cfRule type="expression" dxfId="4022" priority="134">
      <formula>B$9&lt;8/24</formula>
    </cfRule>
  </conditionalFormatting>
  <conditionalFormatting sqref="A81">
    <cfRule type="expression" dxfId="4021" priority="130">
      <formula>$AH81=0</formula>
    </cfRule>
  </conditionalFormatting>
  <conditionalFormatting sqref="Y14:AF14">
    <cfRule type="expression" dxfId="4020" priority="126">
      <formula>Y$9&gt;=20/24</formula>
    </cfRule>
    <cfRule type="expression" dxfId="4019" priority="127">
      <formula>AND(Y$9&gt;=14/24,Y$9&lt;20/24)</formula>
    </cfRule>
    <cfRule type="expression" dxfId="4018" priority="128">
      <formula>AND(Y$9&gt;=8/24,Y$9&lt;14/24)</formula>
    </cfRule>
    <cfRule type="expression" dxfId="4017" priority="129">
      <formula>Y$9&lt;8/24</formula>
    </cfRule>
  </conditionalFormatting>
  <conditionalFormatting sqref="L14:X14">
    <cfRule type="expression" dxfId="4016" priority="122">
      <formula>L$9&gt;=20/24</formula>
    </cfRule>
    <cfRule type="expression" dxfId="4015" priority="123">
      <formula>AND(L$9&gt;=14/24,L$9&lt;20/24)</formula>
    </cfRule>
    <cfRule type="expression" dxfId="4014" priority="124">
      <formula>AND(L$9&gt;=8/24,L$9&lt;14/24)</formula>
    </cfRule>
    <cfRule type="expression" dxfId="4013" priority="125">
      <formula>L$9&lt;8/24</formula>
    </cfRule>
  </conditionalFormatting>
  <conditionalFormatting sqref="B14:AF14">
    <cfRule type="expression" dxfId="4012" priority="121">
      <formula>B14&gt;$AG14</formula>
    </cfRule>
  </conditionalFormatting>
  <conditionalFormatting sqref="A14">
    <cfRule type="expression" dxfId="4011" priority="120">
      <formula>$AH14=0</formula>
    </cfRule>
  </conditionalFormatting>
  <conditionalFormatting sqref="A161:A166">
    <cfRule type="expression" dxfId="4010" priority="119">
      <formula>$AH161=0</formula>
    </cfRule>
  </conditionalFormatting>
  <conditionalFormatting sqref="A155:A160">
    <cfRule type="expression" dxfId="4009" priority="118">
      <formula>$AH155=0</formula>
    </cfRule>
  </conditionalFormatting>
  <conditionalFormatting sqref="Y42:AD42">
    <cfRule type="expression" dxfId="4008" priority="114">
      <formula>Y$9&gt;=20/24</formula>
    </cfRule>
    <cfRule type="expression" dxfId="4007" priority="115">
      <formula>AND(Y$9&gt;=14/24,Y$9&lt;20/24)</formula>
    </cfRule>
    <cfRule type="expression" dxfId="4006" priority="116">
      <formula>AND(Y$9&gt;=8/24,Y$9&lt;14/24)</formula>
    </cfRule>
    <cfRule type="expression" dxfId="4005" priority="117">
      <formula>Y$9&lt;8/24</formula>
    </cfRule>
  </conditionalFormatting>
  <conditionalFormatting sqref="L42:X42">
    <cfRule type="expression" dxfId="4004" priority="110">
      <formula>L$9&gt;=20/24</formula>
    </cfRule>
    <cfRule type="expression" dxfId="4003" priority="111">
      <formula>AND(L$9&gt;=14/24,L$9&lt;20/24)</formula>
    </cfRule>
    <cfRule type="expression" dxfId="4002" priority="112">
      <formula>AND(L$9&gt;=8/24,L$9&lt;14/24)</formula>
    </cfRule>
    <cfRule type="expression" dxfId="4001" priority="113">
      <formula>L$9&lt;8/24</formula>
    </cfRule>
  </conditionalFormatting>
  <conditionalFormatting sqref="B42:AF42">
    <cfRule type="expression" dxfId="4000" priority="105">
      <formula>B42&gt;$AG42</formula>
    </cfRule>
  </conditionalFormatting>
  <conditionalFormatting sqref="A42">
    <cfRule type="expression" dxfId="3999" priority="104">
      <formula>$AH42=0</formula>
    </cfRule>
  </conditionalFormatting>
  <conditionalFormatting sqref="B77:AF77">
    <cfRule type="expression" dxfId="3998" priority="100">
      <formula>B$9&gt;=20/24</formula>
    </cfRule>
    <cfRule type="expression" dxfId="3997" priority="101">
      <formula>AND(B$9&gt;=14/24,B$9&lt;20/24)</formula>
    </cfRule>
    <cfRule type="expression" dxfId="3996" priority="102">
      <formula>AND(B$9&gt;=8/24,B$9&lt;14/24)</formula>
    </cfRule>
    <cfRule type="expression" dxfId="3995" priority="103">
      <formula>B$9&lt;8/24</formula>
    </cfRule>
  </conditionalFormatting>
  <conditionalFormatting sqref="A77">
    <cfRule type="expression" dxfId="3994" priority="99">
      <formula>$AH77=0</formula>
    </cfRule>
  </conditionalFormatting>
  <conditionalFormatting sqref="B71:AG71">
    <cfRule type="expression" dxfId="3993" priority="95">
      <formula>B$9&gt;=20/24</formula>
    </cfRule>
    <cfRule type="expression" dxfId="3992" priority="96">
      <formula>AND(B$9&gt;=14/24,B$9&lt;20/24)</formula>
    </cfRule>
    <cfRule type="expression" dxfId="3991" priority="97">
      <formula>AND(B$9&gt;=8/24,B$9&lt;14/24)</formula>
    </cfRule>
    <cfRule type="expression" dxfId="3990" priority="98">
      <formula>B$9&lt;8/24</formula>
    </cfRule>
  </conditionalFormatting>
  <conditionalFormatting sqref="A71">
    <cfRule type="expression" dxfId="3989" priority="94">
      <formula>$AH71=0</formula>
    </cfRule>
  </conditionalFormatting>
  <conditionalFormatting sqref="AL32:AL33 AL7:AL30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8:V65 W60:Z65">
    <cfRule type="expression" dxfId="3988" priority="90">
      <formula>T$9&gt;=20/24</formula>
    </cfRule>
    <cfRule type="expression" dxfId="3987" priority="91">
      <formula>AND(T$9&gt;=14/24,T$9&lt;20/24)</formula>
    </cfRule>
    <cfRule type="expression" dxfId="3986" priority="92">
      <formula>AND(T$9&gt;=8/24,T$9&lt;14/24)</formula>
    </cfRule>
    <cfRule type="expression" dxfId="3985" priority="93">
      <formula>T$9&lt;8/24</formula>
    </cfRule>
  </conditionalFormatting>
  <conditionalFormatting sqref="T83:V89">
    <cfRule type="expression" dxfId="3984" priority="86">
      <formula>T$9&gt;=20/24</formula>
    </cfRule>
    <cfRule type="expression" dxfId="3983" priority="87">
      <formula>AND(T$9&gt;=14/24,T$9&lt;20/24)</formula>
    </cfRule>
    <cfRule type="expression" dxfId="3982" priority="88">
      <formula>AND(T$9&gt;=8/24,T$9&lt;14/24)</formula>
    </cfRule>
    <cfRule type="expression" dxfId="3981" priority="89">
      <formula>T$9&lt;8/24</formula>
    </cfRule>
  </conditionalFormatting>
  <conditionalFormatting sqref="R83:S89 B82:Q89">
    <cfRule type="expression" dxfId="3980" priority="82">
      <formula>B$9&gt;=20/24</formula>
    </cfRule>
    <cfRule type="expression" dxfId="3979" priority="83">
      <formula>AND(B$9&gt;=14/24,B$9&lt;20/24)</formula>
    </cfRule>
    <cfRule type="expression" dxfId="3978" priority="84">
      <formula>AND(B$9&gt;=8/24,B$9&lt;14/24)</formula>
    </cfRule>
    <cfRule type="expression" dxfId="3977" priority="85">
      <formula>B$9&lt;8/24</formula>
    </cfRule>
  </conditionalFormatting>
  <conditionalFormatting sqref="R82:S82">
    <cfRule type="expression" dxfId="3976" priority="78">
      <formula>R$9&gt;=20/24</formula>
    </cfRule>
    <cfRule type="expression" dxfId="3975" priority="79">
      <formula>AND(R$9&gt;=14/24,R$9&lt;20/24)</formula>
    </cfRule>
    <cfRule type="expression" dxfId="3974" priority="80">
      <formula>AND(R$9&gt;=8/24,R$9&lt;14/24)</formula>
    </cfRule>
    <cfRule type="expression" dxfId="3973" priority="81">
      <formula>R$9&lt;8/24</formula>
    </cfRule>
  </conditionalFormatting>
  <conditionalFormatting sqref="B92:E92 B93:Q95">
    <cfRule type="expression" dxfId="3972" priority="74">
      <formula>B$9&gt;=20/24</formula>
    </cfRule>
    <cfRule type="expression" dxfId="3971" priority="75">
      <formula>AND(B$9&gt;=14/24,B$9&lt;20/24)</formula>
    </cfRule>
    <cfRule type="expression" dxfId="3970" priority="76">
      <formula>AND(B$9&gt;=8/24,B$9&lt;14/24)</formula>
    </cfRule>
    <cfRule type="expression" dxfId="3969" priority="77">
      <formula>B$9&lt;8/24</formula>
    </cfRule>
  </conditionalFormatting>
  <conditionalFormatting sqref="R92:S95">
    <cfRule type="expression" dxfId="3968" priority="66">
      <formula>R$9&gt;=20/24</formula>
    </cfRule>
    <cfRule type="expression" dxfId="3967" priority="67">
      <formula>AND(R$9&gt;=14/24,R$9&lt;20/24)</formula>
    </cfRule>
    <cfRule type="expression" dxfId="3966" priority="68">
      <formula>AND(R$9&gt;=8/24,R$9&lt;14/24)</formula>
    </cfRule>
    <cfRule type="expression" dxfId="3965" priority="69">
      <formula>R$9&lt;8/24</formula>
    </cfRule>
  </conditionalFormatting>
  <conditionalFormatting sqref="B96:Q96">
    <cfRule type="expression" dxfId="3964" priority="62">
      <formula>B$9&gt;=20/24</formula>
    </cfRule>
    <cfRule type="expression" dxfId="3963" priority="63">
      <formula>AND(B$9&gt;=14/24,B$9&lt;20/24)</formula>
    </cfRule>
    <cfRule type="expression" dxfId="3962" priority="64">
      <formula>AND(B$9&gt;=8/24,B$9&lt;14/24)</formula>
    </cfRule>
    <cfRule type="expression" dxfId="3961" priority="65">
      <formula>B$9&lt;8/24</formula>
    </cfRule>
  </conditionalFormatting>
  <conditionalFormatting sqref="R96:S96">
    <cfRule type="expression" dxfId="3960" priority="54">
      <formula>R$9&gt;=20/24</formula>
    </cfRule>
    <cfRule type="expression" dxfId="3959" priority="55">
      <formula>AND(R$9&gt;=14/24,R$9&lt;20/24)</formula>
    </cfRule>
    <cfRule type="expression" dxfId="3958" priority="56">
      <formula>AND(R$9&gt;=8/24,R$9&lt;14/24)</formula>
    </cfRule>
    <cfRule type="expression" dxfId="3957" priority="57">
      <formula>R$9&lt;8/24</formula>
    </cfRule>
  </conditionalFormatting>
  <conditionalFormatting sqref="L92:Q92">
    <cfRule type="expression" dxfId="3956" priority="50">
      <formula>L$9&gt;=20/24</formula>
    </cfRule>
    <cfRule type="expression" dxfId="3955" priority="51">
      <formula>AND(L$9&gt;=14/24,L$9&lt;20/24)</formula>
    </cfRule>
    <cfRule type="expression" dxfId="3954" priority="52">
      <formula>AND(L$9&gt;=8/24,L$9&lt;14/24)</formula>
    </cfRule>
    <cfRule type="expression" dxfId="3953" priority="53">
      <formula>L$9&lt;8/24</formula>
    </cfRule>
  </conditionalFormatting>
  <conditionalFormatting sqref="F92:K92">
    <cfRule type="expression" dxfId="3952" priority="46">
      <formula>F$9&gt;=20/24</formula>
    </cfRule>
    <cfRule type="expression" dxfId="3951" priority="47">
      <formula>AND(F$9&gt;=14/24,F$9&lt;20/24)</formula>
    </cfRule>
    <cfRule type="expression" dxfId="3950" priority="48">
      <formula>AND(F$9&gt;=8/24,F$9&lt;14/24)</formula>
    </cfRule>
    <cfRule type="expression" dxfId="3949" priority="49">
      <formula>F$9&lt;8/24</formula>
    </cfRule>
  </conditionalFormatting>
  <conditionalFormatting sqref="T92:V92">
    <cfRule type="expression" dxfId="3948" priority="42">
      <formula>T$9&gt;=20/24</formula>
    </cfRule>
    <cfRule type="expression" dxfId="3947" priority="43">
      <formula>AND(T$9&gt;=14/24,T$9&lt;20/24)</formula>
    </cfRule>
    <cfRule type="expression" dxfId="3946" priority="44">
      <formula>AND(T$9&gt;=8/24,T$9&lt;14/24)</formula>
    </cfRule>
    <cfRule type="expression" dxfId="3945" priority="45">
      <formula>T$9&lt;8/24</formula>
    </cfRule>
  </conditionalFormatting>
  <conditionalFormatting sqref="R92:S92">
    <cfRule type="expression" dxfId="3944" priority="38">
      <formula>R$9&gt;=20/24</formula>
    </cfRule>
    <cfRule type="expression" dxfId="3943" priority="39">
      <formula>AND(R$9&gt;=14/24,R$9&lt;20/24)</formula>
    </cfRule>
    <cfRule type="expression" dxfId="3942" priority="40">
      <formula>AND(R$9&gt;=8/24,R$9&lt;14/24)</formula>
    </cfRule>
    <cfRule type="expression" dxfId="3941" priority="41">
      <formula>R$9&lt;8/24</formula>
    </cfRule>
  </conditionalFormatting>
  <conditionalFormatting sqref="AA97:AF97">
    <cfRule type="expression" dxfId="3940" priority="34">
      <formula>AA$9&gt;=20/24</formula>
    </cfRule>
    <cfRule type="expression" dxfId="3939" priority="35">
      <formula>AND(AA$9&gt;=14/24,AA$9&lt;20/24)</formula>
    </cfRule>
    <cfRule type="expression" dxfId="3938" priority="36">
      <formula>AND(AA$9&gt;=8/24,AA$9&lt;14/24)</formula>
    </cfRule>
    <cfRule type="expression" dxfId="3937" priority="37">
      <formula>AA$9&lt;8/24</formula>
    </cfRule>
  </conditionalFormatting>
  <conditionalFormatting sqref="T97:Z97">
    <cfRule type="expression" dxfId="3936" priority="30">
      <formula>T$9&gt;=20/24</formula>
    </cfRule>
    <cfRule type="expression" dxfId="3935" priority="31">
      <formula>AND(T$9&gt;=14/24,T$9&lt;20/24)</formula>
    </cfRule>
    <cfRule type="expression" dxfId="3934" priority="32">
      <formula>AND(T$9&gt;=8/24,T$9&lt;14/24)</formula>
    </cfRule>
    <cfRule type="expression" dxfId="3933" priority="33">
      <formula>T$9&lt;8/24</formula>
    </cfRule>
  </conditionalFormatting>
  <conditionalFormatting sqref="A97">
    <cfRule type="expression" dxfId="3932" priority="29">
      <formula>$AH97=0</formula>
    </cfRule>
  </conditionalFormatting>
  <conditionalFormatting sqref="B97:Q97">
    <cfRule type="expression" dxfId="3931" priority="25">
      <formula>B$9&gt;=20/24</formula>
    </cfRule>
    <cfRule type="expression" dxfId="3930" priority="26">
      <formula>AND(B$9&gt;=14/24,B$9&lt;20/24)</formula>
    </cfRule>
    <cfRule type="expression" dxfId="3929" priority="27">
      <formula>AND(B$9&gt;=8/24,B$9&lt;14/24)</formula>
    </cfRule>
    <cfRule type="expression" dxfId="3928" priority="28">
      <formula>B$9&lt;8/24</formula>
    </cfRule>
  </conditionalFormatting>
  <conditionalFormatting sqref="R97:S97">
    <cfRule type="expression" dxfId="3927" priority="17">
      <formula>R$9&gt;=20/24</formula>
    </cfRule>
    <cfRule type="expression" dxfId="3926" priority="18">
      <formula>AND(R$9&gt;=14/24,R$9&lt;20/24)</formula>
    </cfRule>
    <cfRule type="expression" dxfId="3925" priority="19">
      <formula>AND(R$9&gt;=8/24,R$9&lt;14/24)</formula>
    </cfRule>
    <cfRule type="expression" dxfId="3924" priority="20">
      <formula>R$9&lt;8/24</formula>
    </cfRule>
  </conditionalFormatting>
  <conditionalFormatting sqref="AA56:AD57">
    <cfRule type="expression" dxfId="3923" priority="1">
      <formula>AA$9&gt;=20/24</formula>
    </cfRule>
    <cfRule type="expression" dxfId="3922" priority="2">
      <formula>AND(AA$9&gt;=14/24,AA$9&lt;20/24)</formula>
    </cfRule>
    <cfRule type="expression" dxfId="3921" priority="3">
      <formula>AND(AA$9&gt;=8/24,AA$9&lt;14/24)</formula>
    </cfRule>
    <cfRule type="expression" dxfId="3920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AL37" sqref="AL3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2078/04/22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-172</v>
      </c>
      <c r="C5" s="32">
        <f t="shared" ref="C5:AF5" si="0">C66</f>
        <v>-169.7</v>
      </c>
      <c r="D5" s="32">
        <f t="shared" si="0"/>
        <v>-166.8</v>
      </c>
      <c r="E5" s="32">
        <f t="shared" si="0"/>
        <v>-169.9</v>
      </c>
      <c r="F5" s="32">
        <f t="shared" si="0"/>
        <v>-173.60000000000002</v>
      </c>
      <c r="G5" s="32">
        <f t="shared" si="0"/>
        <v>-163.89999999999998</v>
      </c>
      <c r="H5" s="32">
        <f t="shared" si="0"/>
        <v>-132.4</v>
      </c>
      <c r="I5" s="32">
        <f t="shared" si="0"/>
        <v>-165.1</v>
      </c>
      <c r="J5" s="32">
        <f t="shared" si="0"/>
        <v>-113</v>
      </c>
      <c r="K5" s="32">
        <f t="shared" si="0"/>
        <v>-109.20000000000002</v>
      </c>
      <c r="L5" s="32">
        <f t="shared" si="0"/>
        <v>-70.599999999999994</v>
      </c>
      <c r="M5" s="32">
        <f t="shared" si="0"/>
        <v>-138</v>
      </c>
      <c r="N5" s="32">
        <f t="shared" si="0"/>
        <v>-140.5</v>
      </c>
      <c r="O5" s="32">
        <f t="shared" si="0"/>
        <v>-137.5</v>
      </c>
      <c r="P5" s="32">
        <f t="shared" si="0"/>
        <v>-147.10000000000002</v>
      </c>
      <c r="Q5" s="32">
        <f t="shared" si="0"/>
        <v>-129.30000000000001</v>
      </c>
      <c r="R5" s="32">
        <f t="shared" si="0"/>
        <v>-154.10000000000002</v>
      </c>
      <c r="S5" s="32">
        <f t="shared" si="0"/>
        <v>-131.80000000000001</v>
      </c>
      <c r="T5" s="32">
        <f t="shared" si="0"/>
        <v>-78.900000000000006</v>
      </c>
      <c r="U5" s="32">
        <f t="shared" si="0"/>
        <v>-25.5</v>
      </c>
      <c r="V5" s="32">
        <f t="shared" si="0"/>
        <v>-137.29999999999998</v>
      </c>
      <c r="W5" s="32">
        <f t="shared" si="0"/>
        <v>-208.2</v>
      </c>
      <c r="X5" s="32">
        <f t="shared" si="0"/>
        <v>-55.5</v>
      </c>
      <c r="Y5" s="32">
        <f t="shared" si="0"/>
        <v>-65.8</v>
      </c>
      <c r="Z5" s="32">
        <f t="shared" si="0"/>
        <v>-118.1</v>
      </c>
      <c r="AA5" s="32">
        <f t="shared" si="0"/>
        <v>-175.2</v>
      </c>
      <c r="AB5" s="32">
        <f t="shared" si="0"/>
        <v>-175.2</v>
      </c>
      <c r="AC5" s="32">
        <f t="shared" si="0"/>
        <v>-214.1</v>
      </c>
      <c r="AD5" s="32">
        <f t="shared" si="0"/>
        <v>-203.29999999999998</v>
      </c>
      <c r="AE5" s="32">
        <f t="shared" si="0"/>
        <v>-189</v>
      </c>
      <c r="AF5" s="32">
        <f t="shared" si="0"/>
        <v>-199.70000000000002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1280MW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Load=1119</v>
      </c>
      <c r="B7" s="37">
        <f t="shared" ref="B7:AF7" si="1">B73</f>
        <v>1173.54</v>
      </c>
      <c r="C7" s="37">
        <f t="shared" si="1"/>
        <v>1154.04</v>
      </c>
      <c r="D7" s="37">
        <f t="shared" si="1"/>
        <v>1142.1399999999999</v>
      </c>
      <c r="E7" s="37">
        <f t="shared" si="1"/>
        <v>1119.3399999999999</v>
      </c>
      <c r="F7" s="37">
        <f t="shared" si="1"/>
        <v>1121.04</v>
      </c>
      <c r="G7" s="37">
        <f t="shared" si="1"/>
        <v>1167.8399999999999</v>
      </c>
      <c r="H7" s="37">
        <f t="shared" si="1"/>
        <v>1201.8400000000001</v>
      </c>
      <c r="I7" s="37">
        <f t="shared" si="1"/>
        <v>1182.94</v>
      </c>
      <c r="J7" s="37">
        <f t="shared" si="1"/>
        <v>1224.44</v>
      </c>
      <c r="K7" s="37">
        <f t="shared" si="1"/>
        <v>1237.94</v>
      </c>
      <c r="L7" s="37">
        <f>L73</f>
        <v>1276.54</v>
      </c>
      <c r="M7" s="37">
        <f t="shared" si="1"/>
        <v>1279.8400000000001</v>
      </c>
      <c r="N7" s="37">
        <f t="shared" si="1"/>
        <v>1293.1400000000001</v>
      </c>
      <c r="O7" s="37">
        <f t="shared" si="1"/>
        <v>1373.04</v>
      </c>
      <c r="P7" s="37">
        <f t="shared" si="1"/>
        <v>1406.34</v>
      </c>
      <c r="Q7" s="37">
        <f t="shared" si="1"/>
        <v>1380.6399999999999</v>
      </c>
      <c r="R7" s="37">
        <f t="shared" si="1"/>
        <v>1356.74</v>
      </c>
      <c r="S7" s="37">
        <f t="shared" si="1"/>
        <v>1343.3400000000001</v>
      </c>
      <c r="T7" s="37">
        <f t="shared" si="1"/>
        <v>1360.04</v>
      </c>
      <c r="U7" s="37">
        <f t="shared" si="1"/>
        <v>1450.94</v>
      </c>
      <c r="V7" s="37">
        <f t="shared" si="1"/>
        <v>1357.54</v>
      </c>
      <c r="W7" s="37">
        <f t="shared" si="1"/>
        <v>1380.64</v>
      </c>
      <c r="X7" s="37">
        <f t="shared" si="1"/>
        <v>1656.8400000000001</v>
      </c>
      <c r="Y7" s="37">
        <f t="shared" si="1"/>
        <v>1526.54</v>
      </c>
      <c r="Z7" s="37">
        <f t="shared" si="1"/>
        <v>1474.24</v>
      </c>
      <c r="AA7" s="37">
        <f t="shared" si="1"/>
        <v>1421.44</v>
      </c>
      <c r="AB7" s="37">
        <f t="shared" si="1"/>
        <v>1415.44</v>
      </c>
      <c r="AC7" s="37">
        <f t="shared" si="1"/>
        <v>1359.04</v>
      </c>
      <c r="AD7" s="37">
        <f t="shared" si="1"/>
        <v>1280.04</v>
      </c>
      <c r="AE7" s="37">
        <f t="shared" si="1"/>
        <v>1213.6400000000001</v>
      </c>
      <c r="AF7" s="37">
        <f t="shared" si="1"/>
        <v>1162.8399999999999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115">
        <v>320</v>
      </c>
      <c r="C11" s="115">
        <v>330</v>
      </c>
      <c r="D11" s="115">
        <v>330</v>
      </c>
      <c r="E11" s="49">
        <v>320</v>
      </c>
      <c r="F11" s="49">
        <v>330</v>
      </c>
      <c r="G11" s="49">
        <v>330</v>
      </c>
      <c r="H11" s="49">
        <v>330</v>
      </c>
      <c r="I11" s="49">
        <v>320</v>
      </c>
      <c r="J11" s="49">
        <v>300</v>
      </c>
      <c r="K11" s="49">
        <v>320</v>
      </c>
      <c r="L11" s="50">
        <v>320</v>
      </c>
      <c r="M11" s="50">
        <v>380</v>
      </c>
      <c r="N11" s="50">
        <v>380</v>
      </c>
      <c r="O11" s="50">
        <v>420</v>
      </c>
      <c r="P11" s="50">
        <v>450</v>
      </c>
      <c r="Q11" s="50">
        <v>410</v>
      </c>
      <c r="R11" s="52">
        <v>435</v>
      </c>
      <c r="S11" s="52">
        <v>377</v>
      </c>
      <c r="T11" s="52">
        <v>348</v>
      </c>
      <c r="U11" s="52">
        <v>381</v>
      </c>
      <c r="V11" s="52">
        <v>381</v>
      </c>
      <c r="W11" s="52">
        <v>456</v>
      </c>
      <c r="X11" s="52">
        <v>456</v>
      </c>
      <c r="Y11" s="52">
        <v>456</v>
      </c>
      <c r="Z11" s="52">
        <v>456</v>
      </c>
      <c r="AA11" s="52">
        <v>456</v>
      </c>
      <c r="AB11" s="52">
        <v>450</v>
      </c>
      <c r="AC11" s="52">
        <v>450</v>
      </c>
      <c r="AD11" s="52">
        <v>400</v>
      </c>
      <c r="AE11" s="52">
        <v>350</v>
      </c>
      <c r="AF11" s="52">
        <v>340</v>
      </c>
      <c r="AG11" s="54">
        <v>456</v>
      </c>
      <c r="AH11" s="55">
        <f>MAX(B11:AF11)</f>
        <v>456</v>
      </c>
      <c r="AI11" s="56">
        <f>MIN(B11:AF11)</f>
        <v>300</v>
      </c>
      <c r="AJ11" s="1">
        <v>357</v>
      </c>
      <c r="AK11" s="1">
        <f>450-357</f>
        <v>93</v>
      </c>
      <c r="AL11" s="30">
        <f>AK11*17</f>
        <v>1581</v>
      </c>
      <c r="AM11" s="30">
        <v>1780</v>
      </c>
      <c r="AN11" s="26"/>
      <c r="AO11" s="30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60</v>
      </c>
      <c r="C12" s="50">
        <v>60</v>
      </c>
      <c r="D12" s="50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9">
        <v>60</v>
      </c>
      <c r="AB12" s="59">
        <v>60</v>
      </c>
      <c r="AC12" s="59">
        <v>60</v>
      </c>
      <c r="AD12" s="59">
        <v>60</v>
      </c>
      <c r="AE12" s="59">
        <v>60</v>
      </c>
      <c r="AF12" s="5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45</v>
      </c>
      <c r="C14" s="50">
        <v>40</v>
      </c>
      <c r="D14" s="50">
        <v>36.9</v>
      </c>
      <c r="E14" s="62">
        <v>36.799999999999997</v>
      </c>
      <c r="F14" s="62">
        <v>36.799999999999997</v>
      </c>
      <c r="G14" s="62">
        <v>36.9</v>
      </c>
      <c r="H14" s="62">
        <v>40</v>
      </c>
      <c r="I14" s="62">
        <v>41.1</v>
      </c>
      <c r="J14" s="62">
        <v>41.1</v>
      </c>
      <c r="K14" s="62">
        <v>46.3</v>
      </c>
      <c r="L14" s="50">
        <v>46.3</v>
      </c>
      <c r="M14" s="50">
        <v>46.3</v>
      </c>
      <c r="N14" s="50">
        <v>45.9</v>
      </c>
      <c r="O14" s="50">
        <v>45.9</v>
      </c>
      <c r="P14" s="50">
        <v>45.6</v>
      </c>
      <c r="Q14" s="50">
        <v>46</v>
      </c>
      <c r="R14" s="50">
        <v>46</v>
      </c>
      <c r="S14" s="50">
        <v>46</v>
      </c>
      <c r="T14" s="50">
        <v>46</v>
      </c>
      <c r="U14" s="50">
        <v>46</v>
      </c>
      <c r="V14" s="50">
        <v>46</v>
      </c>
      <c r="W14" s="50">
        <v>46</v>
      </c>
      <c r="X14" s="50">
        <v>46</v>
      </c>
      <c r="Y14" s="50">
        <v>46</v>
      </c>
      <c r="Z14" s="50">
        <v>46</v>
      </c>
      <c r="AA14" s="50">
        <v>45.8</v>
      </c>
      <c r="AB14" s="50">
        <v>45.8</v>
      </c>
      <c r="AC14" s="50">
        <v>45.7</v>
      </c>
      <c r="AD14" s="50">
        <v>45.8</v>
      </c>
      <c r="AE14" s="50">
        <v>45.9</v>
      </c>
      <c r="AF14" s="50">
        <v>45.9</v>
      </c>
      <c r="AG14" s="63">
        <v>45</v>
      </c>
      <c r="AH14" s="55">
        <f t="shared" si="2"/>
        <v>46.3</v>
      </c>
      <c r="AI14" s="56">
        <f t="shared" si="3"/>
        <v>36.799999999999997</v>
      </c>
      <c r="AK14" s="57"/>
      <c r="AL14" s="30">
        <v>31.5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50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0">
        <v>26</v>
      </c>
      <c r="Z15" s="50">
        <v>26</v>
      </c>
      <c r="AA15" s="50">
        <v>32</v>
      </c>
      <c r="AB15" s="50">
        <v>32</v>
      </c>
      <c r="AC15" s="50">
        <v>32</v>
      </c>
      <c r="AD15" s="50">
        <v>28</v>
      </c>
      <c r="AE15" s="50">
        <v>28</v>
      </c>
      <c r="AF15" s="50">
        <v>28</v>
      </c>
      <c r="AG15" s="60">
        <v>45</v>
      </c>
      <c r="AH15" s="55">
        <f t="shared" si="2"/>
        <v>32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50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50">
        <v>20</v>
      </c>
      <c r="E17" s="49">
        <v>20</v>
      </c>
      <c r="F17" s="49">
        <v>20</v>
      </c>
      <c r="G17" s="49">
        <v>20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>
        <v>15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20</v>
      </c>
      <c r="C18" s="50">
        <v>20</v>
      </c>
      <c r="D18" s="50">
        <v>20.3</v>
      </c>
      <c r="E18" s="49">
        <v>20.399999999999999</v>
      </c>
      <c r="F18" s="49">
        <v>20.399999999999999</v>
      </c>
      <c r="G18" s="49">
        <v>25.4</v>
      </c>
      <c r="H18" s="49">
        <v>25.4</v>
      </c>
      <c r="I18" s="49">
        <v>25.4</v>
      </c>
      <c r="J18" s="49">
        <v>25</v>
      </c>
      <c r="K18" s="49">
        <v>25.4</v>
      </c>
      <c r="L18" s="50">
        <v>25.4</v>
      </c>
      <c r="M18" s="50">
        <v>25.4</v>
      </c>
      <c r="N18" s="50">
        <v>25.4</v>
      </c>
      <c r="O18" s="50">
        <v>25.4</v>
      </c>
      <c r="P18" s="50">
        <v>25.4</v>
      </c>
      <c r="Q18" s="50">
        <v>25.4</v>
      </c>
      <c r="R18" s="50">
        <v>25.4</v>
      </c>
      <c r="S18" s="50">
        <v>25.4</v>
      </c>
      <c r="T18" s="50">
        <v>25.4</v>
      </c>
      <c r="U18" s="50">
        <v>25.4</v>
      </c>
      <c r="V18" s="50">
        <v>25.4</v>
      </c>
      <c r="W18" s="50">
        <v>25.4</v>
      </c>
      <c r="X18" s="50">
        <v>25.4</v>
      </c>
      <c r="Y18" s="50">
        <v>25.4</v>
      </c>
      <c r="Z18" s="50">
        <v>25.4</v>
      </c>
      <c r="AA18" s="50">
        <v>25.4</v>
      </c>
      <c r="AB18" s="50">
        <v>25.4</v>
      </c>
      <c r="AC18" s="50">
        <v>25.4</v>
      </c>
      <c r="AD18" s="50">
        <v>25.4</v>
      </c>
      <c r="AE18" s="50">
        <v>25.4</v>
      </c>
      <c r="AF18" s="50">
        <v>25.4</v>
      </c>
      <c r="AG18" s="60">
        <v>30</v>
      </c>
      <c r="AH18" s="55">
        <f t="shared" si="2"/>
        <v>25.4</v>
      </c>
      <c r="AI18" s="56">
        <f t="shared" si="3"/>
        <v>20</v>
      </c>
      <c r="AK18" s="57"/>
      <c r="AL18" s="30">
        <v>25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20</v>
      </c>
      <c r="E21" s="49">
        <v>20</v>
      </c>
      <c r="F21" s="49">
        <v>20</v>
      </c>
      <c r="G21" s="49">
        <v>20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20</v>
      </c>
      <c r="AK21" s="57"/>
      <c r="AL21" s="30">
        <v>7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22.1</v>
      </c>
      <c r="C22" s="50">
        <v>22.1</v>
      </c>
      <c r="D22" s="50">
        <v>22.1</v>
      </c>
      <c r="E22" s="49">
        <v>22.1</v>
      </c>
      <c r="F22" s="49">
        <v>22.1</v>
      </c>
      <c r="G22" s="49">
        <v>22.1</v>
      </c>
      <c r="H22" s="49">
        <v>22.1</v>
      </c>
      <c r="I22" s="49">
        <v>22.1</v>
      </c>
      <c r="J22" s="49">
        <v>22.1</v>
      </c>
      <c r="K22" s="49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19</v>
      </c>
      <c r="S22" s="50">
        <v>19</v>
      </c>
      <c r="T22" s="50">
        <v>19</v>
      </c>
      <c r="U22" s="50">
        <v>19</v>
      </c>
      <c r="V22" s="50">
        <v>19</v>
      </c>
      <c r="W22" s="50">
        <v>19</v>
      </c>
      <c r="X22" s="50">
        <v>19</v>
      </c>
      <c r="Y22" s="50">
        <v>19</v>
      </c>
      <c r="Z22" s="50">
        <v>19</v>
      </c>
      <c r="AA22" s="50">
        <v>19</v>
      </c>
      <c r="AB22" s="50">
        <v>19</v>
      </c>
      <c r="AC22" s="50">
        <v>19</v>
      </c>
      <c r="AD22" s="50">
        <v>19</v>
      </c>
      <c r="AE22" s="50">
        <v>19</v>
      </c>
      <c r="AF22" s="50">
        <v>19</v>
      </c>
      <c r="AG22" s="60">
        <v>25</v>
      </c>
      <c r="AH22" s="55">
        <f t="shared" si="2"/>
        <v>22.1</v>
      </c>
      <c r="AI22" s="56">
        <f t="shared" si="3"/>
        <v>19</v>
      </c>
      <c r="AK22" s="57"/>
      <c r="AL22" s="30">
        <v>0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50">
        <v>22</v>
      </c>
      <c r="E23" s="49">
        <v>18</v>
      </c>
      <c r="F23" s="49">
        <v>18</v>
      </c>
      <c r="G23" s="49">
        <v>18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18</v>
      </c>
      <c r="AK23" s="57"/>
      <c r="AL23" s="30">
        <v>8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10</v>
      </c>
      <c r="C25" s="50">
        <v>10</v>
      </c>
      <c r="D25" s="50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10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60">
        <v>23.5</v>
      </c>
      <c r="AH26" s="55">
        <f t="shared" si="2"/>
        <v>14.9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12.4</v>
      </c>
      <c r="C28" s="50">
        <v>12.4</v>
      </c>
      <c r="D28" s="50">
        <v>12.4</v>
      </c>
      <c r="E28" s="49">
        <v>12.4</v>
      </c>
      <c r="F28" s="49">
        <v>12.4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12.4</v>
      </c>
      <c r="AI28" s="56">
        <f t="shared" si="3"/>
        <v>12.4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12</v>
      </c>
      <c r="C29" s="50">
        <v>12</v>
      </c>
      <c r="D29" s="50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50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70">
        <f>71.1+93.2</f>
        <v>164.3</v>
      </c>
      <c r="C35" s="70">
        <f>71+93.2</f>
        <v>164.2</v>
      </c>
      <c r="D35" s="70">
        <f>71+93.2</f>
        <v>164.2</v>
      </c>
      <c r="E35" s="62">
        <f>71.3+93.2</f>
        <v>164.5</v>
      </c>
      <c r="F35" s="62">
        <f>71.9+92.9</f>
        <v>164.8</v>
      </c>
      <c r="G35" s="62">
        <f>71.6+92.3</f>
        <v>163.89999999999998</v>
      </c>
      <c r="H35" s="62">
        <f>70.9+92.1</f>
        <v>163</v>
      </c>
      <c r="I35" s="62">
        <f>70.5+91.9</f>
        <v>162.4</v>
      </c>
      <c r="J35" s="62">
        <f>69.1+91.8</f>
        <v>160.89999999999998</v>
      </c>
      <c r="K35" s="62">
        <f>68.9+91.7</f>
        <v>160.60000000000002</v>
      </c>
      <c r="L35" s="70">
        <f>67.7+84.1</f>
        <v>151.80000000000001</v>
      </c>
      <c r="M35" s="70">
        <f>67.7+84.1</f>
        <v>151.80000000000001</v>
      </c>
      <c r="N35" s="70">
        <f>82.2+68.5</f>
        <v>150.69999999999999</v>
      </c>
      <c r="O35" s="70">
        <v>151.1</v>
      </c>
      <c r="P35" s="70">
        <f>83+69.5</f>
        <v>152.5</v>
      </c>
      <c r="Q35" s="70">
        <v>155</v>
      </c>
      <c r="R35" s="70">
        <f>83.2+70.2</f>
        <v>153.4</v>
      </c>
      <c r="S35" s="70">
        <f>85.3+70.5</f>
        <v>155.80000000000001</v>
      </c>
      <c r="T35" s="70">
        <f>85.8+71.7</f>
        <v>157.5</v>
      </c>
      <c r="U35" s="70">
        <f>85.3+64.9</f>
        <v>150.19999999999999</v>
      </c>
      <c r="V35" s="70">
        <f>82.2+63.3</f>
        <v>145.5</v>
      </c>
      <c r="W35" s="70">
        <f>89.4+62.6</f>
        <v>152</v>
      </c>
      <c r="X35" s="70">
        <v>0</v>
      </c>
      <c r="Y35" s="70">
        <v>145</v>
      </c>
      <c r="Z35" s="70">
        <v>146</v>
      </c>
      <c r="AA35" s="70">
        <v>151.4</v>
      </c>
      <c r="AB35" s="70">
        <v>151.4</v>
      </c>
      <c r="AC35" s="70">
        <v>153</v>
      </c>
      <c r="AD35" s="70">
        <v>164</v>
      </c>
      <c r="AE35" s="70">
        <v>165</v>
      </c>
      <c r="AF35" s="70">
        <v>153.4</v>
      </c>
      <c r="AG35" s="67">
        <v>240</v>
      </c>
      <c r="AH35" s="55">
        <f t="shared" si="2"/>
        <v>165</v>
      </c>
      <c r="AI35" s="56">
        <f t="shared" si="3"/>
        <v>0</v>
      </c>
      <c r="AK35" s="57"/>
    </row>
    <row r="36" spans="1:88" ht="15.75" thickBot="1" x14ac:dyDescent="0.3">
      <c r="A36" s="71" t="s">
        <v>43</v>
      </c>
      <c r="B36" s="72">
        <f>SUM(B11:B34)</f>
        <v>917.6</v>
      </c>
      <c r="C36" s="72">
        <f t="shared" ref="C36:AF36" si="4">SUM(C11:C34)</f>
        <v>922.6</v>
      </c>
      <c r="D36" s="72">
        <f t="shared" si="4"/>
        <v>912.8</v>
      </c>
      <c r="E36" s="72">
        <f t="shared" si="4"/>
        <v>898.8</v>
      </c>
      <c r="F36" s="72">
        <f t="shared" si="4"/>
        <v>908.80000000000007</v>
      </c>
      <c r="G36" s="72">
        <f t="shared" si="4"/>
        <v>913.9</v>
      </c>
      <c r="H36" s="72">
        <f t="shared" si="4"/>
        <v>928</v>
      </c>
      <c r="I36" s="72">
        <f t="shared" si="4"/>
        <v>919.1</v>
      </c>
      <c r="J36" s="72">
        <f t="shared" si="4"/>
        <v>898.69999999999993</v>
      </c>
      <c r="K36" s="72">
        <f t="shared" si="4"/>
        <v>924.30000000000007</v>
      </c>
      <c r="L36" s="72">
        <f t="shared" si="4"/>
        <v>924.30000000000007</v>
      </c>
      <c r="M36" s="72">
        <f t="shared" si="4"/>
        <v>984.3</v>
      </c>
      <c r="N36" s="72">
        <f t="shared" si="4"/>
        <v>983.9</v>
      </c>
      <c r="O36" s="72">
        <f t="shared" si="4"/>
        <v>1023.9</v>
      </c>
      <c r="P36" s="72">
        <f t="shared" si="4"/>
        <v>1053.5999999999999</v>
      </c>
      <c r="Q36" s="72">
        <f t="shared" si="4"/>
        <v>1014</v>
      </c>
      <c r="R36" s="72">
        <f t="shared" si="4"/>
        <v>1029</v>
      </c>
      <c r="S36" s="72">
        <f t="shared" si="4"/>
        <v>971</v>
      </c>
      <c r="T36" s="72">
        <f t="shared" si="4"/>
        <v>942</v>
      </c>
      <c r="U36" s="72">
        <f t="shared" si="4"/>
        <v>975</v>
      </c>
      <c r="V36" s="72">
        <f t="shared" si="4"/>
        <v>975</v>
      </c>
      <c r="W36" s="72">
        <f t="shared" si="4"/>
        <v>1050</v>
      </c>
      <c r="X36" s="72">
        <f t="shared" si="4"/>
        <v>1050</v>
      </c>
      <c r="Y36" s="72">
        <f t="shared" si="4"/>
        <v>1050</v>
      </c>
      <c r="Z36" s="72">
        <f t="shared" si="4"/>
        <v>1050</v>
      </c>
      <c r="AA36" s="72">
        <f t="shared" si="4"/>
        <v>1055.8</v>
      </c>
      <c r="AB36" s="72">
        <f t="shared" si="4"/>
        <v>1049.8</v>
      </c>
      <c r="AC36" s="72">
        <f t="shared" si="4"/>
        <v>1049.7</v>
      </c>
      <c r="AD36" s="72">
        <f t="shared" si="4"/>
        <v>995.8</v>
      </c>
      <c r="AE36" s="72">
        <f t="shared" si="4"/>
        <v>945.9</v>
      </c>
      <c r="AF36" s="72">
        <f t="shared" si="4"/>
        <v>935.9</v>
      </c>
      <c r="AG36" s="67">
        <f>SUM(AG11:AG35)</f>
        <v>1431.83</v>
      </c>
      <c r="AH36" s="55">
        <f t="shared" si="2"/>
        <v>1055.8</v>
      </c>
      <c r="AI36" s="56">
        <f t="shared" si="3"/>
        <v>898.69999999999993</v>
      </c>
      <c r="AK36" s="57"/>
    </row>
    <row r="37" spans="1:88" x14ac:dyDescent="0.25">
      <c r="A37" s="58" t="s">
        <v>44</v>
      </c>
      <c r="B37" s="49">
        <v>139.30000000000001</v>
      </c>
      <c r="C37" s="62">
        <v>131.1</v>
      </c>
      <c r="D37" s="62">
        <v>126.7</v>
      </c>
      <c r="E37" s="62">
        <v>126.4</v>
      </c>
      <c r="F37" s="62">
        <v>121.3</v>
      </c>
      <c r="G37" s="62">
        <v>121.2</v>
      </c>
      <c r="H37" s="62">
        <v>121.3</v>
      </c>
      <c r="I37" s="62">
        <v>131.19999999999999</v>
      </c>
      <c r="J37" s="62">
        <v>142</v>
      </c>
      <c r="K37" s="62">
        <v>126.4</v>
      </c>
      <c r="L37" s="50">
        <v>126.4</v>
      </c>
      <c r="M37" s="50">
        <v>136.30000000000001</v>
      </c>
      <c r="N37" s="50">
        <v>129.80000000000001</v>
      </c>
      <c r="O37" s="50">
        <v>145.30000000000001</v>
      </c>
      <c r="P37" s="50">
        <v>143.30000000000001</v>
      </c>
      <c r="Q37" s="50">
        <v>145.1</v>
      </c>
      <c r="R37" s="50">
        <v>145.4</v>
      </c>
      <c r="S37" s="50">
        <v>144.9</v>
      </c>
      <c r="T37" s="50">
        <v>144.69999999999999</v>
      </c>
      <c r="U37" s="50">
        <v>144.69999999999999</v>
      </c>
      <c r="V37" s="50">
        <v>144.80000000000001</v>
      </c>
      <c r="W37" s="50">
        <v>144.80000000000001</v>
      </c>
      <c r="X37" s="50">
        <v>145</v>
      </c>
      <c r="Y37" s="50">
        <v>145</v>
      </c>
      <c r="Z37" s="50">
        <v>145</v>
      </c>
      <c r="AA37" s="50">
        <v>145.19999999999999</v>
      </c>
      <c r="AB37" s="50">
        <v>145.19999999999999</v>
      </c>
      <c r="AC37" s="50">
        <v>145.1</v>
      </c>
      <c r="AD37" s="50">
        <v>145.30000000000001</v>
      </c>
      <c r="AE37" s="50">
        <v>139.6</v>
      </c>
      <c r="AF37" s="50">
        <v>139.69999999999999</v>
      </c>
      <c r="AG37" s="63">
        <v>144</v>
      </c>
      <c r="AH37" s="55">
        <f t="shared" si="2"/>
        <v>145.4</v>
      </c>
      <c r="AI37" s="56">
        <f t="shared" si="3"/>
        <v>121.2</v>
      </c>
      <c r="AK37" s="57"/>
      <c r="AL37">
        <f>14*9</f>
        <v>126</v>
      </c>
    </row>
    <row r="38" spans="1:88" x14ac:dyDescent="0.25">
      <c r="A38" s="66" t="s">
        <v>45</v>
      </c>
      <c r="B38" s="62">
        <v>62.6</v>
      </c>
      <c r="C38" s="62">
        <v>61.7</v>
      </c>
      <c r="D38" s="62">
        <v>60.6</v>
      </c>
      <c r="E38" s="62">
        <v>60.6</v>
      </c>
      <c r="F38" s="62">
        <v>61.2</v>
      </c>
      <c r="G38" s="62">
        <v>70.8</v>
      </c>
      <c r="H38" s="62">
        <v>69.8</v>
      </c>
      <c r="I38" s="62">
        <v>71.7</v>
      </c>
      <c r="J38" s="62">
        <v>70.599999999999994</v>
      </c>
      <c r="K38" s="62">
        <v>70.3</v>
      </c>
      <c r="L38" s="52">
        <v>70.3</v>
      </c>
      <c r="M38" s="52">
        <v>69.900000000000006</v>
      </c>
      <c r="N38" s="52">
        <v>70.8</v>
      </c>
      <c r="O38" s="52">
        <v>64.7</v>
      </c>
      <c r="P38" s="52">
        <v>60</v>
      </c>
      <c r="Q38" s="52">
        <v>66.599999999999994</v>
      </c>
      <c r="R38" s="52">
        <v>68.7</v>
      </c>
      <c r="S38" s="52">
        <v>68.7</v>
      </c>
      <c r="T38" s="52">
        <v>68</v>
      </c>
      <c r="U38" s="52">
        <v>68</v>
      </c>
      <c r="V38" s="52">
        <v>70.8</v>
      </c>
      <c r="W38" s="52">
        <v>71.5</v>
      </c>
      <c r="X38" s="52">
        <v>71.5</v>
      </c>
      <c r="Y38" s="52">
        <v>71.5</v>
      </c>
      <c r="Z38" s="52">
        <v>71.5</v>
      </c>
      <c r="AA38" s="52">
        <v>70.8</v>
      </c>
      <c r="AB38" s="52">
        <v>70.8</v>
      </c>
      <c r="AC38" s="52">
        <v>70.900000000000006</v>
      </c>
      <c r="AD38" s="52">
        <v>69.8</v>
      </c>
      <c r="AE38" s="52">
        <v>71.599999999999994</v>
      </c>
      <c r="AF38" s="52">
        <v>61.8</v>
      </c>
      <c r="AG38" s="67">
        <v>70</v>
      </c>
      <c r="AH38" s="55">
        <f t="shared" si="2"/>
        <v>71.7</v>
      </c>
      <c r="AI38" s="56">
        <f t="shared" si="3"/>
        <v>60</v>
      </c>
      <c r="AK38" s="57"/>
      <c r="AL38">
        <f>9*4</f>
        <v>36</v>
      </c>
    </row>
    <row r="39" spans="1:88" x14ac:dyDescent="0.25">
      <c r="A39" s="66" t="s">
        <v>46</v>
      </c>
      <c r="B39" s="62">
        <v>70.599999999999994</v>
      </c>
      <c r="C39" s="62">
        <v>61.9</v>
      </c>
      <c r="D39" s="62">
        <v>62.6</v>
      </c>
      <c r="E39" s="62">
        <v>62.2</v>
      </c>
      <c r="F39" s="62">
        <v>62</v>
      </c>
      <c r="G39" s="62">
        <v>69.900000000000006</v>
      </c>
      <c r="H39" s="62">
        <v>69.2</v>
      </c>
      <c r="I39" s="62">
        <v>69.099999999999994</v>
      </c>
      <c r="J39" s="62">
        <v>69.400000000000006</v>
      </c>
      <c r="K39" s="62">
        <v>69.400000000000006</v>
      </c>
      <c r="L39" s="52">
        <v>69.400000000000006</v>
      </c>
      <c r="M39" s="52">
        <v>70</v>
      </c>
      <c r="N39" s="52">
        <v>70.5</v>
      </c>
      <c r="O39" s="52">
        <v>69.400000000000006</v>
      </c>
      <c r="P39" s="52">
        <v>69.7</v>
      </c>
      <c r="Q39" s="52">
        <v>69.599999999999994</v>
      </c>
      <c r="R39" s="52">
        <v>70</v>
      </c>
      <c r="S39" s="52">
        <v>70.3</v>
      </c>
      <c r="T39" s="52">
        <v>70.3</v>
      </c>
      <c r="U39" s="52">
        <v>70.3</v>
      </c>
      <c r="V39" s="52">
        <v>70.3</v>
      </c>
      <c r="W39" s="52">
        <v>70.3</v>
      </c>
      <c r="X39" s="52">
        <v>70.3</v>
      </c>
      <c r="Y39" s="52">
        <v>70.3</v>
      </c>
      <c r="Z39" s="52">
        <v>70.3</v>
      </c>
      <c r="AA39" s="52">
        <v>70</v>
      </c>
      <c r="AB39" s="52">
        <v>70</v>
      </c>
      <c r="AC39" s="52">
        <v>70.2</v>
      </c>
      <c r="AD39" s="52">
        <v>64.5</v>
      </c>
      <c r="AE39" s="52">
        <v>68.5</v>
      </c>
      <c r="AF39" s="52">
        <v>69</v>
      </c>
      <c r="AG39" s="67">
        <v>69</v>
      </c>
      <c r="AH39" s="55">
        <f t="shared" si="2"/>
        <v>70.599999999999994</v>
      </c>
      <c r="AI39" s="56">
        <f t="shared" si="3"/>
        <v>61.9</v>
      </c>
      <c r="AK39" s="57"/>
      <c r="AL39">
        <v>32</v>
      </c>
    </row>
    <row r="40" spans="1:88" x14ac:dyDescent="0.25">
      <c r="A40" s="66" t="s">
        <v>47</v>
      </c>
      <c r="B40" s="62">
        <v>60</v>
      </c>
      <c r="C40" s="62">
        <v>51</v>
      </c>
      <c r="D40" s="62">
        <v>50.9</v>
      </c>
      <c r="E40" s="62">
        <v>45.9</v>
      </c>
      <c r="F40" s="62">
        <v>45.9</v>
      </c>
      <c r="G40" s="62">
        <v>60.4</v>
      </c>
      <c r="H40" s="62">
        <v>50.4</v>
      </c>
      <c r="I40" s="62">
        <v>61.4</v>
      </c>
      <c r="J40" s="62">
        <v>61.2</v>
      </c>
      <c r="K40" s="62">
        <v>61.2</v>
      </c>
      <c r="L40" s="52">
        <v>61.2</v>
      </c>
      <c r="M40" s="52">
        <v>61.4</v>
      </c>
      <c r="N40" s="52">
        <v>61.4</v>
      </c>
      <c r="O40" s="52">
        <v>55.9</v>
      </c>
      <c r="P40" s="52">
        <v>56.2</v>
      </c>
      <c r="Q40" s="52">
        <v>60.7</v>
      </c>
      <c r="R40" s="52">
        <v>30</v>
      </c>
      <c r="S40" s="52">
        <v>60</v>
      </c>
      <c r="T40" s="52">
        <v>60</v>
      </c>
      <c r="U40" s="52">
        <v>60</v>
      </c>
      <c r="V40" s="52">
        <v>60</v>
      </c>
      <c r="W40" s="52">
        <v>59.7</v>
      </c>
      <c r="X40" s="52">
        <v>59.7</v>
      </c>
      <c r="Y40" s="52">
        <v>59.7</v>
      </c>
      <c r="Z40" s="52">
        <v>59.7</v>
      </c>
      <c r="AA40" s="52">
        <v>60.7</v>
      </c>
      <c r="AB40" s="52">
        <v>60.7</v>
      </c>
      <c r="AC40" s="52">
        <v>60.9</v>
      </c>
      <c r="AD40" s="52">
        <v>61.2</v>
      </c>
      <c r="AE40" s="52">
        <v>60.7</v>
      </c>
      <c r="AF40" s="52">
        <v>60.7</v>
      </c>
      <c r="AG40" s="67">
        <v>60</v>
      </c>
      <c r="AH40" s="55">
        <f t="shared" si="2"/>
        <v>61.4</v>
      </c>
      <c r="AI40" s="56">
        <f t="shared" si="3"/>
        <v>30</v>
      </c>
      <c r="AK40" s="57"/>
      <c r="AL40">
        <v>50</v>
      </c>
    </row>
    <row r="41" spans="1:88" x14ac:dyDescent="0.25">
      <c r="A41" s="66" t="s">
        <v>48</v>
      </c>
      <c r="B41" s="62">
        <v>29.9</v>
      </c>
      <c r="C41" s="62">
        <v>29.9</v>
      </c>
      <c r="D41" s="62">
        <v>29.8</v>
      </c>
      <c r="E41" s="62">
        <v>29.8</v>
      </c>
      <c r="F41" s="62">
        <v>29.9</v>
      </c>
      <c r="G41" s="62">
        <v>30</v>
      </c>
      <c r="H41" s="62">
        <v>30</v>
      </c>
      <c r="I41" s="62">
        <v>30</v>
      </c>
      <c r="J41" s="62">
        <v>30</v>
      </c>
      <c r="K41" s="62">
        <v>30</v>
      </c>
      <c r="L41" s="50">
        <v>30</v>
      </c>
      <c r="M41" s="50">
        <v>30</v>
      </c>
      <c r="N41" s="50">
        <v>30</v>
      </c>
      <c r="O41" s="50">
        <v>30</v>
      </c>
      <c r="P41" s="50">
        <v>30</v>
      </c>
      <c r="Q41" s="50">
        <v>30</v>
      </c>
      <c r="R41" s="50">
        <v>30</v>
      </c>
      <c r="S41" s="50">
        <v>30</v>
      </c>
      <c r="T41" s="50">
        <v>30</v>
      </c>
      <c r="U41" s="50">
        <v>30</v>
      </c>
      <c r="V41" s="50">
        <v>30</v>
      </c>
      <c r="W41" s="50">
        <v>29.8</v>
      </c>
      <c r="X41" s="50">
        <v>29.8</v>
      </c>
      <c r="Y41" s="50">
        <v>29.8</v>
      </c>
      <c r="Z41" s="50">
        <v>29.8</v>
      </c>
      <c r="AA41" s="50">
        <v>29.6</v>
      </c>
      <c r="AB41" s="50">
        <v>29.6</v>
      </c>
      <c r="AC41" s="50">
        <v>29.6</v>
      </c>
      <c r="AD41" s="50">
        <v>29.6</v>
      </c>
      <c r="AE41" s="50">
        <v>29.6</v>
      </c>
      <c r="AF41" s="50">
        <v>29.5</v>
      </c>
      <c r="AG41" s="67">
        <v>30</v>
      </c>
      <c r="AH41" s="55">
        <f t="shared" si="2"/>
        <v>30</v>
      </c>
      <c r="AI41" s="56">
        <f t="shared" si="3"/>
        <v>29.5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62">
        <v>18</v>
      </c>
      <c r="C43" s="73">
        <v>18</v>
      </c>
      <c r="D43" s="73">
        <v>18</v>
      </c>
      <c r="E43" s="73">
        <v>18</v>
      </c>
      <c r="F43" s="73">
        <v>18</v>
      </c>
      <c r="G43" s="73">
        <v>18</v>
      </c>
      <c r="H43" s="73">
        <v>18</v>
      </c>
      <c r="I43" s="73">
        <v>18</v>
      </c>
      <c r="J43" s="73">
        <v>18</v>
      </c>
      <c r="K43" s="73">
        <v>18</v>
      </c>
      <c r="L43" s="50">
        <v>18</v>
      </c>
      <c r="M43" s="50">
        <v>18</v>
      </c>
      <c r="N43" s="50">
        <v>18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18</v>
      </c>
      <c r="X43" s="50">
        <v>18</v>
      </c>
      <c r="Y43" s="50">
        <v>18</v>
      </c>
      <c r="Z43" s="50">
        <v>18</v>
      </c>
      <c r="AA43" s="50">
        <v>18</v>
      </c>
      <c r="AB43" s="50">
        <v>18</v>
      </c>
      <c r="AC43" s="50">
        <v>18</v>
      </c>
      <c r="AD43" s="50">
        <v>18</v>
      </c>
      <c r="AE43" s="50">
        <v>18</v>
      </c>
      <c r="AF43" s="50">
        <v>18</v>
      </c>
      <c r="AG43" s="67">
        <v>24</v>
      </c>
      <c r="AH43" s="55">
        <f t="shared" si="2"/>
        <v>18</v>
      </c>
      <c r="AI43" s="56">
        <f t="shared" si="3"/>
        <v>18</v>
      </c>
      <c r="AK43" s="57"/>
    </row>
    <row r="44" spans="1:88" x14ac:dyDescent="0.25">
      <c r="A44" s="66" t="s">
        <v>51</v>
      </c>
      <c r="B44" s="62">
        <v>2.2000000000000002</v>
      </c>
      <c r="C44" s="62">
        <v>2.2000000000000002</v>
      </c>
      <c r="D44" s="62">
        <v>2.2000000000000002</v>
      </c>
      <c r="E44" s="62">
        <v>2.2000000000000002</v>
      </c>
      <c r="F44" s="62">
        <v>2.2000000000000002</v>
      </c>
      <c r="G44" s="62">
        <v>2.2000000000000002</v>
      </c>
      <c r="H44" s="62">
        <v>2.2000000000000002</v>
      </c>
      <c r="I44" s="62">
        <v>2.2000000000000002</v>
      </c>
      <c r="J44" s="62">
        <v>2.2000000000000002</v>
      </c>
      <c r="K44" s="62">
        <v>2.2000000000000002</v>
      </c>
      <c r="L44" s="50">
        <v>2.2000000000000002</v>
      </c>
      <c r="M44" s="50">
        <v>2.6</v>
      </c>
      <c r="N44" s="50">
        <v>2.6</v>
      </c>
      <c r="O44" s="50">
        <v>2.6</v>
      </c>
      <c r="P44" s="50">
        <v>0</v>
      </c>
      <c r="Q44" s="50">
        <v>0</v>
      </c>
      <c r="R44" s="50">
        <v>2.6</v>
      </c>
      <c r="S44" s="50">
        <v>2.6</v>
      </c>
      <c r="T44" s="50">
        <v>2.6</v>
      </c>
      <c r="U44" s="50">
        <v>2.6</v>
      </c>
      <c r="V44" s="50">
        <v>2.6</v>
      </c>
      <c r="W44" s="50">
        <v>2.6</v>
      </c>
      <c r="X44" s="50">
        <v>2.6</v>
      </c>
      <c r="Y44" s="50">
        <v>2.6</v>
      </c>
      <c r="Z44" s="50">
        <v>2.6</v>
      </c>
      <c r="AA44" s="50">
        <v>2.6</v>
      </c>
      <c r="AB44" s="50">
        <v>2.6</v>
      </c>
      <c r="AC44" s="50">
        <v>2.6</v>
      </c>
      <c r="AD44" s="50">
        <v>2.6</v>
      </c>
      <c r="AE44" s="50">
        <v>2.6</v>
      </c>
      <c r="AF44" s="50">
        <v>2.6</v>
      </c>
      <c r="AG44" s="67">
        <v>15</v>
      </c>
      <c r="AH44" s="55">
        <f t="shared" si="2"/>
        <v>2.6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</v>
      </c>
      <c r="C45" s="62">
        <v>12</v>
      </c>
      <c r="D45" s="62">
        <v>12</v>
      </c>
      <c r="E45" s="62">
        <v>12</v>
      </c>
      <c r="F45" s="62">
        <v>12</v>
      </c>
      <c r="G45" s="62">
        <v>12</v>
      </c>
      <c r="H45" s="62">
        <v>12</v>
      </c>
      <c r="I45" s="62">
        <v>12</v>
      </c>
      <c r="J45" s="62">
        <v>12</v>
      </c>
      <c r="K45" s="62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7">
        <v>14.1</v>
      </c>
      <c r="AH45" s="55">
        <f t="shared" si="2"/>
        <v>12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62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6.2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6.2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427.94</v>
      </c>
      <c r="C50" s="72">
        <f t="shared" ref="C50:AF50" si="6">SUM(C37:C49)</f>
        <v>401.14000000000004</v>
      </c>
      <c r="D50" s="72">
        <f t="shared" si="6"/>
        <v>396.14000000000004</v>
      </c>
      <c r="E50" s="72">
        <f t="shared" si="6"/>
        <v>390.44</v>
      </c>
      <c r="F50" s="72">
        <f t="shared" si="6"/>
        <v>385.84</v>
      </c>
      <c r="G50" s="72">
        <f t="shared" si="6"/>
        <v>417.84</v>
      </c>
      <c r="H50" s="72">
        <f t="shared" si="6"/>
        <v>406.24</v>
      </c>
      <c r="I50" s="72">
        <f t="shared" si="6"/>
        <v>428.94</v>
      </c>
      <c r="J50" s="72">
        <f t="shared" si="6"/>
        <v>438.74</v>
      </c>
      <c r="K50" s="72">
        <f t="shared" si="6"/>
        <v>422.84000000000003</v>
      </c>
      <c r="L50" s="72">
        <f t="shared" si="6"/>
        <v>422.84000000000003</v>
      </c>
      <c r="M50" s="72">
        <f t="shared" si="6"/>
        <v>433.54000000000008</v>
      </c>
      <c r="N50" s="72">
        <f t="shared" si="6"/>
        <v>428.44000000000005</v>
      </c>
      <c r="O50" s="72">
        <f t="shared" si="6"/>
        <v>431.24</v>
      </c>
      <c r="P50" s="72">
        <f t="shared" si="6"/>
        <v>422.54</v>
      </c>
      <c r="Q50" s="72">
        <f t="shared" si="6"/>
        <v>435.34</v>
      </c>
      <c r="R50" s="72">
        <f t="shared" si="6"/>
        <v>410.04000000000008</v>
      </c>
      <c r="S50" s="72">
        <f t="shared" si="6"/>
        <v>439.84000000000009</v>
      </c>
      <c r="T50" s="72">
        <f t="shared" si="6"/>
        <v>438.94000000000005</v>
      </c>
      <c r="U50" s="72">
        <f t="shared" si="6"/>
        <v>438.94000000000005</v>
      </c>
      <c r="V50" s="72">
        <f t="shared" si="6"/>
        <v>441.84000000000009</v>
      </c>
      <c r="W50" s="72">
        <f t="shared" si="6"/>
        <v>442.04000000000008</v>
      </c>
      <c r="X50" s="72">
        <f t="shared" si="6"/>
        <v>442.24000000000007</v>
      </c>
      <c r="Y50" s="72">
        <f t="shared" si="6"/>
        <v>442.24000000000007</v>
      </c>
      <c r="Z50" s="72">
        <f t="shared" si="6"/>
        <v>442.24000000000007</v>
      </c>
      <c r="AA50" s="72">
        <f t="shared" si="6"/>
        <v>442.24000000000007</v>
      </c>
      <c r="AB50" s="72">
        <f t="shared" si="6"/>
        <v>442.24000000000007</v>
      </c>
      <c r="AC50" s="72">
        <f t="shared" si="6"/>
        <v>442.64000000000004</v>
      </c>
      <c r="AD50" s="72">
        <f t="shared" si="6"/>
        <v>436.34000000000009</v>
      </c>
      <c r="AE50" s="72">
        <f t="shared" si="6"/>
        <v>435.94000000000005</v>
      </c>
      <c r="AF50" s="72">
        <f t="shared" si="6"/>
        <v>426.64000000000004</v>
      </c>
      <c r="AG50" s="77">
        <f>SUM(AG37:AG49)</f>
        <v>489.91</v>
      </c>
      <c r="AH50" s="55">
        <f t="shared" si="2"/>
        <v>442.64000000000004</v>
      </c>
      <c r="AI50" s="56">
        <f t="shared" si="3"/>
        <v>385.84</v>
      </c>
      <c r="AK50" s="57"/>
    </row>
    <row r="51" spans="1:37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13.8</v>
      </c>
      <c r="O51" s="174">
        <v>34.799999999999997</v>
      </c>
      <c r="P51" s="50">
        <v>48.2</v>
      </c>
      <c r="Q51" s="50">
        <v>34.700000000000003</v>
      </c>
      <c r="R51" s="50">
        <v>44.8</v>
      </c>
      <c r="S51" s="50">
        <v>39.700000000000003</v>
      </c>
      <c r="T51" s="50">
        <v>40.1</v>
      </c>
      <c r="U51" s="50">
        <v>40.4</v>
      </c>
      <c r="V51" s="50">
        <v>53.8</v>
      </c>
      <c r="W51" s="50">
        <v>59</v>
      </c>
      <c r="X51" s="50">
        <v>60</v>
      </c>
      <c r="Y51" s="50">
        <v>60</v>
      </c>
      <c r="Z51" s="50">
        <v>60</v>
      </c>
      <c r="AA51" s="50">
        <v>59.6</v>
      </c>
      <c r="AB51" s="50">
        <v>59.6</v>
      </c>
      <c r="AC51" s="50">
        <v>50.4</v>
      </c>
      <c r="AD51" s="50">
        <v>29.5</v>
      </c>
      <c r="AE51" s="50">
        <v>13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5.5</v>
      </c>
      <c r="O52" s="174">
        <v>15.1</v>
      </c>
      <c r="P52" s="52">
        <v>21.3</v>
      </c>
      <c r="Q52" s="52">
        <v>19</v>
      </c>
      <c r="R52" s="50">
        <v>19.8</v>
      </c>
      <c r="S52" s="50">
        <v>18</v>
      </c>
      <c r="T52" s="50">
        <v>13.1</v>
      </c>
      <c r="U52" s="52">
        <v>16.2</v>
      </c>
      <c r="V52" s="52">
        <v>17.7</v>
      </c>
      <c r="W52" s="52">
        <v>27.7</v>
      </c>
      <c r="X52" s="52">
        <v>30</v>
      </c>
      <c r="Y52" s="52">
        <v>30</v>
      </c>
      <c r="Z52" s="52">
        <v>30</v>
      </c>
      <c r="AA52" s="52">
        <v>28.6</v>
      </c>
      <c r="AB52" s="52">
        <v>28.6</v>
      </c>
      <c r="AC52" s="52">
        <v>22.3</v>
      </c>
      <c r="AD52" s="52">
        <v>15.9</v>
      </c>
      <c r="AE52" s="52">
        <v>5.7</v>
      </c>
      <c r="AF52" s="52">
        <v>0</v>
      </c>
      <c r="AG52" s="67">
        <v>32</v>
      </c>
      <c r="AH52" s="55">
        <f t="shared" si="2"/>
        <v>30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2</v>
      </c>
      <c r="O53" s="175">
        <v>5.5</v>
      </c>
      <c r="P53" s="78">
        <v>7.8</v>
      </c>
      <c r="Q53" s="78">
        <v>6.9</v>
      </c>
      <c r="R53" s="50">
        <v>7.2</v>
      </c>
      <c r="S53" s="50">
        <v>6.6</v>
      </c>
      <c r="T53" s="50">
        <v>4.8</v>
      </c>
      <c r="U53" s="78">
        <v>5.9</v>
      </c>
      <c r="V53" s="78">
        <v>6.5</v>
      </c>
      <c r="W53" s="78">
        <v>10.1</v>
      </c>
      <c r="X53" s="78">
        <v>10.1</v>
      </c>
      <c r="Y53" s="78">
        <v>10.1</v>
      </c>
      <c r="Z53" s="78">
        <v>10.1</v>
      </c>
      <c r="AA53" s="78">
        <v>10.4</v>
      </c>
      <c r="AB53" s="78">
        <v>10.4</v>
      </c>
      <c r="AC53" s="78">
        <v>8.1</v>
      </c>
      <c r="AD53" s="78">
        <v>5.8</v>
      </c>
      <c r="AE53" s="78">
        <v>2.1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21.3</v>
      </c>
      <c r="O54" s="72">
        <f t="shared" si="7"/>
        <v>55.4</v>
      </c>
      <c r="P54" s="72">
        <f t="shared" si="7"/>
        <v>77.3</v>
      </c>
      <c r="Q54" s="72">
        <f t="shared" si="7"/>
        <v>60.6</v>
      </c>
      <c r="R54" s="72">
        <f t="shared" si="7"/>
        <v>71.8</v>
      </c>
      <c r="S54" s="72">
        <f t="shared" si="7"/>
        <v>64.3</v>
      </c>
      <c r="T54" s="72">
        <f t="shared" si="7"/>
        <v>58</v>
      </c>
      <c r="U54" s="72">
        <f t="shared" si="7"/>
        <v>62.499999999999993</v>
      </c>
      <c r="V54" s="72">
        <f t="shared" si="7"/>
        <v>78</v>
      </c>
      <c r="W54" s="72">
        <f t="shared" si="7"/>
        <v>96.8</v>
      </c>
      <c r="X54" s="72">
        <f t="shared" si="7"/>
        <v>100.1</v>
      </c>
      <c r="Y54" s="72">
        <f t="shared" si="7"/>
        <v>100.1</v>
      </c>
      <c r="Z54" s="72">
        <f t="shared" si="7"/>
        <v>100.1</v>
      </c>
      <c r="AA54" s="72">
        <f t="shared" si="7"/>
        <v>98.600000000000009</v>
      </c>
      <c r="AB54" s="72">
        <f t="shared" si="7"/>
        <v>98.600000000000009</v>
      </c>
      <c r="AC54" s="72">
        <f t="shared" si="7"/>
        <v>80.8</v>
      </c>
      <c r="AD54" s="72">
        <f t="shared" si="7"/>
        <v>51.199999999999996</v>
      </c>
      <c r="AE54" s="72">
        <f>SUM(AE51:AE53)</f>
        <v>20.8</v>
      </c>
      <c r="AF54" s="72">
        <f t="shared" si="7"/>
        <v>0</v>
      </c>
      <c r="AG54" s="77">
        <f>SUM(AG51:AG53)</f>
        <v>106</v>
      </c>
      <c r="AH54" s="55">
        <f t="shared" si="2"/>
        <v>100.1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48.6</v>
      </c>
      <c r="Y55" s="50">
        <v>56.4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56.4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-55.2</v>
      </c>
      <c r="C56" s="52">
        <v>-68.8</v>
      </c>
      <c r="D56" s="52">
        <v>-61</v>
      </c>
      <c r="E56" s="52">
        <v>-63.2</v>
      </c>
      <c r="F56" s="52">
        <v>-62.1</v>
      </c>
      <c r="G56" s="52">
        <v>-56.2</v>
      </c>
      <c r="H56" s="52">
        <v>-42.9</v>
      </c>
      <c r="I56" s="52">
        <v>-34.5</v>
      </c>
      <c r="J56" s="52">
        <v>-37.799999999999997</v>
      </c>
      <c r="K56" s="52">
        <v>-33.200000000000003</v>
      </c>
      <c r="L56" s="50">
        <v>-34.799999999999997</v>
      </c>
      <c r="M56" s="50">
        <v>-32.9</v>
      </c>
      <c r="N56" s="50">
        <v>-41.1</v>
      </c>
      <c r="O56" s="50">
        <v>-39.700000000000003</v>
      </c>
      <c r="P56" s="50">
        <v>-41.6</v>
      </c>
      <c r="Q56" s="50">
        <v>-44.9</v>
      </c>
      <c r="R56" s="50">
        <v>-47.5</v>
      </c>
      <c r="S56" s="50">
        <v>-43.7</v>
      </c>
      <c r="T56" s="50">
        <v>-43</v>
      </c>
      <c r="U56" s="50">
        <v>67.5</v>
      </c>
      <c r="V56" s="50">
        <v>-81.599999999999994</v>
      </c>
      <c r="W56" s="80">
        <v>-101</v>
      </c>
      <c r="X56" s="80">
        <v>-58</v>
      </c>
      <c r="Y56" s="80">
        <v>-73</v>
      </c>
      <c r="Z56" s="80">
        <v>-67.099999999999994</v>
      </c>
      <c r="AA56" s="80">
        <v>-110</v>
      </c>
      <c r="AB56" s="80">
        <v>-110</v>
      </c>
      <c r="AC56" s="80">
        <v>-71.5</v>
      </c>
      <c r="AD56" s="80">
        <v>-73.3</v>
      </c>
      <c r="AE56" s="80">
        <v>-70</v>
      </c>
      <c r="AF56" s="80">
        <v>-66.900000000000006</v>
      </c>
      <c r="AG56" s="67"/>
      <c r="AH56" s="55">
        <f t="shared" si="2"/>
        <v>67.5</v>
      </c>
      <c r="AI56" s="56">
        <f t="shared" si="3"/>
        <v>-110</v>
      </c>
      <c r="AK56" s="57"/>
    </row>
    <row r="57" spans="1:37" x14ac:dyDescent="0.25">
      <c r="A57" s="66" t="s">
        <v>64</v>
      </c>
      <c r="B57" s="52">
        <v>-50</v>
      </c>
      <c r="C57" s="52">
        <v>-33</v>
      </c>
      <c r="D57" s="52">
        <v>-39.799999999999997</v>
      </c>
      <c r="E57" s="52">
        <v>-40.5</v>
      </c>
      <c r="F57" s="52">
        <v>-45.3</v>
      </c>
      <c r="G57" s="50">
        <v>-36.4</v>
      </c>
      <c r="H57" s="50">
        <v>-22.6</v>
      </c>
      <c r="I57" s="50">
        <v>-73.7</v>
      </c>
      <c r="J57" s="50">
        <v>-22.4</v>
      </c>
      <c r="K57" s="50">
        <v>-32.6</v>
      </c>
      <c r="L57" s="52">
        <v>11.3</v>
      </c>
      <c r="M57" s="52">
        <v>-53.4</v>
      </c>
      <c r="N57" s="52">
        <v>-57.6</v>
      </c>
      <c r="O57" s="52">
        <v>-45.6</v>
      </c>
      <c r="P57" s="52">
        <v>-48.3</v>
      </c>
      <c r="Q57" s="52">
        <v>-40.4</v>
      </c>
      <c r="R57" s="52">
        <v>-61.9</v>
      </c>
      <c r="S57" s="52">
        <v>-48.1</v>
      </c>
      <c r="T57" s="52">
        <v>-5.5</v>
      </c>
      <c r="U57" s="52">
        <v>-48</v>
      </c>
      <c r="V57" s="52">
        <v>-1.3</v>
      </c>
      <c r="W57" s="81">
        <v>-48.6</v>
      </c>
      <c r="X57" s="81">
        <v>20.9</v>
      </c>
      <c r="Y57" s="81">
        <v>22.8</v>
      </c>
      <c r="Z57" s="81">
        <v>4</v>
      </c>
      <c r="AA57" s="81">
        <v>5.6</v>
      </c>
      <c r="AB57" s="81">
        <v>5.6</v>
      </c>
      <c r="AC57" s="81">
        <v>-62.5</v>
      </c>
      <c r="AD57" s="81">
        <v>-54.4</v>
      </c>
      <c r="AE57" s="81">
        <v>-45</v>
      </c>
      <c r="AF57" s="81">
        <v>-61.2</v>
      </c>
      <c r="AG57" s="82"/>
      <c r="AH57" s="55">
        <f t="shared" si="2"/>
        <v>22.8</v>
      </c>
      <c r="AI57" s="56">
        <f t="shared" si="3"/>
        <v>-73.7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0">
        <v>-74.8</v>
      </c>
      <c r="C59" s="59">
        <v>-75.900000000000006</v>
      </c>
      <c r="D59" s="59">
        <v>-74</v>
      </c>
      <c r="E59" s="59">
        <v>-74.2</v>
      </c>
      <c r="F59" s="59">
        <v>-74.2</v>
      </c>
      <c r="G59" s="59">
        <v>-71.3</v>
      </c>
      <c r="H59" s="59">
        <v>-66.900000000000006</v>
      </c>
      <c r="I59" s="59">
        <v>-56.9</v>
      </c>
      <c r="J59" s="59">
        <v>-52.8</v>
      </c>
      <c r="K59" s="59">
        <v>-43.4</v>
      </c>
      <c r="L59" s="50">
        <v>-47.1</v>
      </c>
      <c r="M59" s="50">
        <v>-51.7</v>
      </c>
      <c r="N59" s="50">
        <v>-41.8</v>
      </c>
      <c r="O59" s="50">
        <v>-52.2</v>
      </c>
      <c r="P59" s="50">
        <v>-57.2</v>
      </c>
      <c r="Q59" s="50">
        <v>-44</v>
      </c>
      <c r="R59" s="50">
        <v>-44.7</v>
      </c>
      <c r="S59" s="50">
        <v>-40</v>
      </c>
      <c r="T59" s="50">
        <v>-30.4</v>
      </c>
      <c r="U59" s="50">
        <v>-45</v>
      </c>
      <c r="V59" s="50">
        <v>-54.4</v>
      </c>
      <c r="W59" s="50">
        <v>-58.6</v>
      </c>
      <c r="X59" s="50">
        <v>-67</v>
      </c>
      <c r="Y59" s="50">
        <v>-72</v>
      </c>
      <c r="Z59" s="50">
        <v>-55</v>
      </c>
      <c r="AA59" s="50">
        <v>-70.8</v>
      </c>
      <c r="AB59" s="50">
        <v>-70.8</v>
      </c>
      <c r="AC59" s="50">
        <v>-80.099999999999994</v>
      </c>
      <c r="AD59" s="50">
        <v>-75.599999999999994</v>
      </c>
      <c r="AE59" s="50">
        <v>-74</v>
      </c>
      <c r="AF59" s="50">
        <v>-71.599999999999994</v>
      </c>
      <c r="AG59" s="82"/>
      <c r="AH59" s="55">
        <f t="shared" si="2"/>
        <v>-30.4</v>
      </c>
      <c r="AI59" s="56">
        <f t="shared" si="3"/>
        <v>-80.099999999999994</v>
      </c>
      <c r="AK59" s="57"/>
    </row>
    <row r="60" spans="1:37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61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-172</v>
      </c>
      <c r="C66" s="72">
        <f t="shared" ref="C66:AF66" si="8">SUM(C55:C65)</f>
        <v>-169.7</v>
      </c>
      <c r="D66" s="72">
        <f t="shared" si="8"/>
        <v>-166.8</v>
      </c>
      <c r="E66" s="72">
        <f t="shared" si="8"/>
        <v>-169.9</v>
      </c>
      <c r="F66" s="72">
        <f t="shared" si="8"/>
        <v>-173.60000000000002</v>
      </c>
      <c r="G66" s="72">
        <f t="shared" si="8"/>
        <v>-163.89999999999998</v>
      </c>
      <c r="H66" s="72">
        <f t="shared" si="8"/>
        <v>-132.4</v>
      </c>
      <c r="I66" s="72">
        <f t="shared" si="8"/>
        <v>-165.1</v>
      </c>
      <c r="J66" s="72">
        <f t="shared" si="8"/>
        <v>-113</v>
      </c>
      <c r="K66" s="72">
        <f t="shared" si="8"/>
        <v>-109.20000000000002</v>
      </c>
      <c r="L66" s="72">
        <f t="shared" si="8"/>
        <v>-70.599999999999994</v>
      </c>
      <c r="M66" s="72">
        <f t="shared" si="8"/>
        <v>-138</v>
      </c>
      <c r="N66" s="72">
        <f t="shared" si="8"/>
        <v>-140.5</v>
      </c>
      <c r="O66" s="72">
        <f t="shared" si="8"/>
        <v>-137.5</v>
      </c>
      <c r="P66" s="72">
        <f t="shared" si="8"/>
        <v>-147.10000000000002</v>
      </c>
      <c r="Q66" s="72">
        <f t="shared" si="8"/>
        <v>-129.30000000000001</v>
      </c>
      <c r="R66" s="72">
        <f t="shared" si="8"/>
        <v>-154.10000000000002</v>
      </c>
      <c r="S66" s="72">
        <f t="shared" si="8"/>
        <v>-131.80000000000001</v>
      </c>
      <c r="T66" s="72">
        <f t="shared" si="8"/>
        <v>-78.900000000000006</v>
      </c>
      <c r="U66" s="72">
        <f t="shared" si="8"/>
        <v>-25.5</v>
      </c>
      <c r="V66" s="72">
        <f t="shared" si="8"/>
        <v>-137.29999999999998</v>
      </c>
      <c r="W66" s="72">
        <f t="shared" si="8"/>
        <v>-208.2</v>
      </c>
      <c r="X66" s="72">
        <f t="shared" si="8"/>
        <v>-55.5</v>
      </c>
      <c r="Y66" s="72">
        <f t="shared" si="8"/>
        <v>-65.8</v>
      </c>
      <c r="Z66" s="72">
        <f t="shared" si="8"/>
        <v>-118.1</v>
      </c>
      <c r="AA66" s="72">
        <f t="shared" si="8"/>
        <v>-175.2</v>
      </c>
      <c r="AB66" s="72">
        <f t="shared" si="8"/>
        <v>-175.2</v>
      </c>
      <c r="AC66" s="72">
        <f t="shared" si="8"/>
        <v>-214.1</v>
      </c>
      <c r="AD66" s="72">
        <f t="shared" si="8"/>
        <v>-203.29999999999998</v>
      </c>
      <c r="AE66" s="72">
        <f t="shared" si="8"/>
        <v>-189</v>
      </c>
      <c r="AF66" s="72">
        <f t="shared" si="8"/>
        <v>-199.70000000000002</v>
      </c>
      <c r="AG66" s="77">
        <f>SUM(AG55:AG65)</f>
        <v>0</v>
      </c>
      <c r="AH66" s="55">
        <f t="shared" si="2"/>
        <v>-25.5</v>
      </c>
      <c r="AI66" s="56">
        <f t="shared" si="3"/>
        <v>-214.1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1173.54</v>
      </c>
      <c r="C71" s="87">
        <f t="shared" ref="C71:AG71" si="10">C66+C54+C50+C36+C70</f>
        <v>1154.04</v>
      </c>
      <c r="D71" s="87">
        <f t="shared" si="10"/>
        <v>1142.1399999999999</v>
      </c>
      <c r="E71" s="87">
        <f t="shared" si="10"/>
        <v>1119.3399999999999</v>
      </c>
      <c r="F71" s="87">
        <f t="shared" si="10"/>
        <v>1121.04</v>
      </c>
      <c r="G71" s="87">
        <f t="shared" si="10"/>
        <v>1167.8399999999999</v>
      </c>
      <c r="H71" s="87">
        <f t="shared" si="10"/>
        <v>1201.8400000000001</v>
      </c>
      <c r="I71" s="87">
        <f t="shared" si="10"/>
        <v>1182.94</v>
      </c>
      <c r="J71" s="87">
        <f t="shared" si="10"/>
        <v>1224.44</v>
      </c>
      <c r="K71" s="87">
        <f t="shared" si="10"/>
        <v>1237.94</v>
      </c>
      <c r="L71" s="87">
        <f t="shared" si="10"/>
        <v>1276.54</v>
      </c>
      <c r="M71" s="87">
        <f t="shared" si="10"/>
        <v>1279.8400000000001</v>
      </c>
      <c r="N71" s="87">
        <f t="shared" si="10"/>
        <v>1293.1400000000001</v>
      </c>
      <c r="O71" s="87">
        <f t="shared" si="10"/>
        <v>1373.04</v>
      </c>
      <c r="P71" s="87">
        <f t="shared" si="10"/>
        <v>1406.34</v>
      </c>
      <c r="Q71" s="87">
        <f t="shared" si="10"/>
        <v>1380.6399999999999</v>
      </c>
      <c r="R71" s="87">
        <f t="shared" si="10"/>
        <v>1356.74</v>
      </c>
      <c r="S71" s="87">
        <f t="shared" si="10"/>
        <v>1343.3400000000001</v>
      </c>
      <c r="T71" s="87">
        <f t="shared" si="10"/>
        <v>1360.04</v>
      </c>
      <c r="U71" s="87">
        <f t="shared" si="10"/>
        <v>1450.94</v>
      </c>
      <c r="V71" s="87">
        <f t="shared" si="10"/>
        <v>1357.54</v>
      </c>
      <c r="W71" s="87">
        <f t="shared" si="10"/>
        <v>1380.64</v>
      </c>
      <c r="X71" s="87">
        <f t="shared" si="10"/>
        <v>1536.8400000000001</v>
      </c>
      <c r="Y71" s="87">
        <f t="shared" si="10"/>
        <v>1526.54</v>
      </c>
      <c r="Z71" s="87">
        <f t="shared" si="10"/>
        <v>1474.24</v>
      </c>
      <c r="AA71" s="87">
        <f t="shared" si="10"/>
        <v>1421.44</v>
      </c>
      <c r="AB71" s="87">
        <f t="shared" si="10"/>
        <v>1415.44</v>
      </c>
      <c r="AC71" s="87">
        <f t="shared" si="10"/>
        <v>1359.04</v>
      </c>
      <c r="AD71" s="87">
        <f t="shared" si="10"/>
        <v>1280.04</v>
      </c>
      <c r="AE71" s="87">
        <f t="shared" si="10"/>
        <v>1213.6400000000001</v>
      </c>
      <c r="AF71" s="87">
        <f t="shared" si="10"/>
        <v>1162.8399999999999</v>
      </c>
      <c r="AG71" s="87">
        <f t="shared" si="10"/>
        <v>2083.14</v>
      </c>
      <c r="AH71" s="55">
        <f t="shared" si="2"/>
        <v>1536.8400000000001</v>
      </c>
      <c r="AI71" s="56">
        <f t="shared" si="3"/>
        <v>1119.3399999999999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>
        <v>120</v>
      </c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120</v>
      </c>
      <c r="AI72" s="56">
        <f t="shared" si="3"/>
        <v>120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1173.54</v>
      </c>
      <c r="C73" s="87">
        <f t="shared" ref="C73:AF73" si="11">C70+C66+C54+C50+C36+C72</f>
        <v>1154.04</v>
      </c>
      <c r="D73" s="87">
        <f t="shared" si="11"/>
        <v>1142.1399999999999</v>
      </c>
      <c r="E73" s="87">
        <f t="shared" si="11"/>
        <v>1119.3399999999999</v>
      </c>
      <c r="F73" s="87">
        <f t="shared" si="11"/>
        <v>1121.04</v>
      </c>
      <c r="G73" s="87">
        <f t="shared" si="11"/>
        <v>1167.8399999999999</v>
      </c>
      <c r="H73" s="87">
        <f t="shared" si="11"/>
        <v>1201.8400000000001</v>
      </c>
      <c r="I73" s="87">
        <f t="shared" si="11"/>
        <v>1182.94</v>
      </c>
      <c r="J73" s="87">
        <f t="shared" si="11"/>
        <v>1224.44</v>
      </c>
      <c r="K73" s="87">
        <f t="shared" si="11"/>
        <v>1237.94</v>
      </c>
      <c r="L73" s="87">
        <f t="shared" si="11"/>
        <v>1276.54</v>
      </c>
      <c r="M73" s="87">
        <f t="shared" si="11"/>
        <v>1279.8400000000001</v>
      </c>
      <c r="N73" s="87">
        <f t="shared" si="11"/>
        <v>1293.1400000000001</v>
      </c>
      <c r="O73" s="87">
        <f t="shared" si="11"/>
        <v>1373.04</v>
      </c>
      <c r="P73" s="87">
        <f t="shared" si="11"/>
        <v>1406.34</v>
      </c>
      <c r="Q73" s="87">
        <f t="shared" si="11"/>
        <v>1380.6399999999999</v>
      </c>
      <c r="R73" s="87">
        <f t="shared" si="11"/>
        <v>1356.74</v>
      </c>
      <c r="S73" s="87">
        <f t="shared" si="11"/>
        <v>1343.3400000000001</v>
      </c>
      <c r="T73" s="87">
        <f t="shared" si="11"/>
        <v>1360.04</v>
      </c>
      <c r="U73" s="87">
        <f t="shared" si="11"/>
        <v>1450.94</v>
      </c>
      <c r="V73" s="87">
        <f t="shared" si="11"/>
        <v>1357.54</v>
      </c>
      <c r="W73" s="87">
        <f t="shared" si="11"/>
        <v>1380.64</v>
      </c>
      <c r="X73" s="87">
        <f t="shared" si="11"/>
        <v>1656.8400000000001</v>
      </c>
      <c r="Y73" s="87">
        <f t="shared" si="11"/>
        <v>1526.54</v>
      </c>
      <c r="Z73" s="87">
        <f t="shared" si="11"/>
        <v>1474.24</v>
      </c>
      <c r="AA73" s="87">
        <f t="shared" si="11"/>
        <v>1421.44</v>
      </c>
      <c r="AB73" s="87">
        <f t="shared" si="11"/>
        <v>1415.44</v>
      </c>
      <c r="AC73" s="87">
        <f t="shared" si="11"/>
        <v>1359.04</v>
      </c>
      <c r="AD73" s="87">
        <f t="shared" si="11"/>
        <v>1280.04</v>
      </c>
      <c r="AE73" s="87">
        <f t="shared" si="11"/>
        <v>1213.6400000000001</v>
      </c>
      <c r="AF73" s="87">
        <f t="shared" si="11"/>
        <v>1162.8399999999999</v>
      </c>
      <c r="AG73" s="77">
        <f>AG70+AG66+AG54+AG50+AG36+AG72</f>
        <v>2083.14</v>
      </c>
      <c r="AH73" s="55">
        <f t="shared" si="2"/>
        <v>1656.8400000000001</v>
      </c>
      <c r="AI73" s="56">
        <f t="shared" si="3"/>
        <v>1119.3399999999999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0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55.2</v>
      </c>
      <c r="C75" s="59">
        <f t="shared" ref="C75:AF75" si="13">IF(C56&lt;0,C56*-1,0)</f>
        <v>68.8</v>
      </c>
      <c r="D75" s="59">
        <f t="shared" si="13"/>
        <v>61</v>
      </c>
      <c r="E75" s="59">
        <f t="shared" si="13"/>
        <v>63.2</v>
      </c>
      <c r="F75" s="59">
        <f t="shared" si="13"/>
        <v>62.1</v>
      </c>
      <c r="G75" s="59">
        <f t="shared" si="13"/>
        <v>56.2</v>
      </c>
      <c r="H75" s="59">
        <f t="shared" si="13"/>
        <v>42.9</v>
      </c>
      <c r="I75" s="59">
        <f t="shared" si="13"/>
        <v>34.5</v>
      </c>
      <c r="J75" s="59">
        <f t="shared" si="13"/>
        <v>37.799999999999997</v>
      </c>
      <c r="K75" s="59">
        <f t="shared" si="13"/>
        <v>33.200000000000003</v>
      </c>
      <c r="L75" s="59">
        <f t="shared" si="13"/>
        <v>34.799999999999997</v>
      </c>
      <c r="M75" s="59">
        <f t="shared" si="13"/>
        <v>32.9</v>
      </c>
      <c r="N75" s="59">
        <f t="shared" si="13"/>
        <v>41.1</v>
      </c>
      <c r="O75" s="59">
        <f t="shared" si="13"/>
        <v>39.700000000000003</v>
      </c>
      <c r="P75" s="59">
        <f t="shared" si="13"/>
        <v>41.6</v>
      </c>
      <c r="Q75" s="59">
        <f t="shared" si="13"/>
        <v>44.9</v>
      </c>
      <c r="R75" s="59">
        <f t="shared" si="13"/>
        <v>47.5</v>
      </c>
      <c r="S75" s="59">
        <f t="shared" si="13"/>
        <v>43.7</v>
      </c>
      <c r="T75" s="59">
        <f t="shared" si="13"/>
        <v>43</v>
      </c>
      <c r="U75" s="59">
        <f t="shared" si="13"/>
        <v>0</v>
      </c>
      <c r="V75" s="59">
        <f t="shared" si="13"/>
        <v>81.599999999999994</v>
      </c>
      <c r="W75" s="59">
        <f t="shared" si="13"/>
        <v>101</v>
      </c>
      <c r="X75" s="59">
        <f t="shared" si="13"/>
        <v>58</v>
      </c>
      <c r="Y75" s="59">
        <f t="shared" si="13"/>
        <v>73</v>
      </c>
      <c r="Z75" s="59">
        <f t="shared" si="13"/>
        <v>67.099999999999994</v>
      </c>
      <c r="AA75" s="59">
        <f t="shared" si="13"/>
        <v>110</v>
      </c>
      <c r="AB75" s="59">
        <f t="shared" si="13"/>
        <v>110</v>
      </c>
      <c r="AC75" s="59">
        <f t="shared" si="13"/>
        <v>71.5</v>
      </c>
      <c r="AD75" s="59">
        <f t="shared" si="13"/>
        <v>73.3</v>
      </c>
      <c r="AE75" s="59">
        <f t="shared" si="13"/>
        <v>70</v>
      </c>
      <c r="AF75" s="59">
        <f t="shared" si="13"/>
        <v>66.900000000000006</v>
      </c>
      <c r="AG75" s="67"/>
      <c r="AH75" s="55">
        <f t="shared" si="2"/>
        <v>110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74.8</v>
      </c>
      <c r="C76" s="59">
        <f t="shared" ref="C76:AF76" si="14">IF(C59&lt;0,C59*-1,0)</f>
        <v>75.900000000000006</v>
      </c>
      <c r="D76" s="59">
        <f t="shared" si="14"/>
        <v>74</v>
      </c>
      <c r="E76" s="59">
        <f t="shared" si="14"/>
        <v>74.2</v>
      </c>
      <c r="F76" s="59">
        <f t="shared" si="14"/>
        <v>74.2</v>
      </c>
      <c r="G76" s="59">
        <f t="shared" si="14"/>
        <v>71.3</v>
      </c>
      <c r="H76" s="59">
        <f t="shared" si="14"/>
        <v>66.900000000000006</v>
      </c>
      <c r="I76" s="59">
        <f t="shared" si="14"/>
        <v>56.9</v>
      </c>
      <c r="J76" s="59">
        <f t="shared" si="14"/>
        <v>52.8</v>
      </c>
      <c r="K76" s="59">
        <f t="shared" si="14"/>
        <v>43.4</v>
      </c>
      <c r="L76" s="59">
        <f t="shared" si="14"/>
        <v>47.1</v>
      </c>
      <c r="M76" s="59">
        <f t="shared" si="14"/>
        <v>51.7</v>
      </c>
      <c r="N76" s="59">
        <f t="shared" si="14"/>
        <v>41.8</v>
      </c>
      <c r="O76" s="59">
        <f t="shared" si="14"/>
        <v>52.2</v>
      </c>
      <c r="P76" s="59">
        <f t="shared" si="14"/>
        <v>57.2</v>
      </c>
      <c r="Q76" s="59">
        <f t="shared" si="14"/>
        <v>44</v>
      </c>
      <c r="R76" s="59">
        <f t="shared" si="14"/>
        <v>44.7</v>
      </c>
      <c r="S76" s="59">
        <f t="shared" si="14"/>
        <v>40</v>
      </c>
      <c r="T76" s="59">
        <f t="shared" si="14"/>
        <v>30.4</v>
      </c>
      <c r="U76" s="59">
        <f t="shared" si="14"/>
        <v>45</v>
      </c>
      <c r="V76" s="59">
        <f t="shared" si="14"/>
        <v>54.4</v>
      </c>
      <c r="W76" s="59">
        <f t="shared" si="14"/>
        <v>58.6</v>
      </c>
      <c r="X76" s="59">
        <f t="shared" si="14"/>
        <v>67</v>
      </c>
      <c r="Y76" s="59">
        <f t="shared" si="14"/>
        <v>72</v>
      </c>
      <c r="Z76" s="59">
        <f t="shared" si="14"/>
        <v>55</v>
      </c>
      <c r="AA76" s="59">
        <f t="shared" si="14"/>
        <v>70.8</v>
      </c>
      <c r="AB76" s="59">
        <f t="shared" si="14"/>
        <v>70.8</v>
      </c>
      <c r="AC76" s="59">
        <f t="shared" si="14"/>
        <v>80.099999999999994</v>
      </c>
      <c r="AD76" s="59">
        <f t="shared" si="14"/>
        <v>75.599999999999994</v>
      </c>
      <c r="AE76" s="59">
        <f t="shared" si="14"/>
        <v>74</v>
      </c>
      <c r="AF76" s="59">
        <f t="shared" si="14"/>
        <v>71.599999999999994</v>
      </c>
      <c r="AG76" s="90"/>
      <c r="AH76" s="55">
        <f t="shared" si="2"/>
        <v>80.099999999999994</v>
      </c>
      <c r="AI76" s="56">
        <f t="shared" si="3"/>
        <v>30.4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50</v>
      </c>
      <c r="C77" s="59">
        <f t="shared" ref="C77:AF77" si="15">IF(C57&lt;0,C57*-1,0)</f>
        <v>33</v>
      </c>
      <c r="D77" s="59">
        <f t="shared" si="15"/>
        <v>39.799999999999997</v>
      </c>
      <c r="E77" s="59">
        <f t="shared" si="15"/>
        <v>40.5</v>
      </c>
      <c r="F77" s="59">
        <f t="shared" si="15"/>
        <v>45.3</v>
      </c>
      <c r="G77" s="59">
        <f t="shared" si="15"/>
        <v>36.4</v>
      </c>
      <c r="H77" s="59">
        <f t="shared" si="15"/>
        <v>22.6</v>
      </c>
      <c r="I77" s="59">
        <f t="shared" si="15"/>
        <v>73.7</v>
      </c>
      <c r="J77" s="59">
        <f t="shared" si="15"/>
        <v>22.4</v>
      </c>
      <c r="K77" s="59">
        <f t="shared" si="15"/>
        <v>32.6</v>
      </c>
      <c r="L77" s="59">
        <f t="shared" si="15"/>
        <v>0</v>
      </c>
      <c r="M77" s="59">
        <f t="shared" si="15"/>
        <v>53.4</v>
      </c>
      <c r="N77" s="59">
        <f t="shared" si="15"/>
        <v>57.6</v>
      </c>
      <c r="O77" s="59">
        <f t="shared" si="15"/>
        <v>45.6</v>
      </c>
      <c r="P77" s="59">
        <f t="shared" si="15"/>
        <v>48.3</v>
      </c>
      <c r="Q77" s="59">
        <f t="shared" si="15"/>
        <v>40.4</v>
      </c>
      <c r="R77" s="59">
        <f t="shared" si="15"/>
        <v>61.9</v>
      </c>
      <c r="S77" s="59">
        <f t="shared" si="15"/>
        <v>48.1</v>
      </c>
      <c r="T77" s="59">
        <f t="shared" si="15"/>
        <v>5.5</v>
      </c>
      <c r="U77" s="59">
        <f t="shared" si="15"/>
        <v>48</v>
      </c>
      <c r="V77" s="59">
        <f t="shared" si="15"/>
        <v>1.3</v>
      </c>
      <c r="W77" s="59">
        <f t="shared" si="15"/>
        <v>48.6</v>
      </c>
      <c r="X77" s="59">
        <f t="shared" si="15"/>
        <v>0</v>
      </c>
      <c r="Y77" s="59">
        <f t="shared" si="15"/>
        <v>0</v>
      </c>
      <c r="Z77" s="59">
        <f t="shared" si="15"/>
        <v>0</v>
      </c>
      <c r="AA77" s="59">
        <f t="shared" si="15"/>
        <v>0</v>
      </c>
      <c r="AB77" s="59">
        <f t="shared" si="15"/>
        <v>0</v>
      </c>
      <c r="AC77" s="59">
        <f t="shared" si="15"/>
        <v>62.5</v>
      </c>
      <c r="AD77" s="59">
        <f t="shared" si="15"/>
        <v>54.4</v>
      </c>
      <c r="AE77" s="59">
        <f t="shared" si="15"/>
        <v>45</v>
      </c>
      <c r="AF77" s="59">
        <f t="shared" si="15"/>
        <v>61.2</v>
      </c>
      <c r="AG77" s="90"/>
      <c r="AH77" s="55">
        <f t="shared" ref="AH77:AH89" si="16">MAX(B77:AF77)</f>
        <v>73.7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180</v>
      </c>
      <c r="C80" s="72">
        <f t="shared" ref="C80:AG80" si="19">SUM(C74:C79)</f>
        <v>177.7</v>
      </c>
      <c r="D80" s="72">
        <f t="shared" si="19"/>
        <v>174.8</v>
      </c>
      <c r="E80" s="72">
        <f t="shared" si="19"/>
        <v>177.9</v>
      </c>
      <c r="F80" s="72">
        <f t="shared" si="19"/>
        <v>181.60000000000002</v>
      </c>
      <c r="G80" s="72">
        <f t="shared" si="19"/>
        <v>163.9</v>
      </c>
      <c r="H80" s="72">
        <f t="shared" si="19"/>
        <v>132.4</v>
      </c>
      <c r="I80" s="72">
        <f t="shared" si="19"/>
        <v>165.10000000000002</v>
      </c>
      <c r="J80" s="72">
        <f t="shared" si="19"/>
        <v>113</v>
      </c>
      <c r="K80" s="72">
        <f t="shared" si="19"/>
        <v>109.19999999999999</v>
      </c>
      <c r="L80" s="72">
        <f t="shared" si="19"/>
        <v>81.900000000000006</v>
      </c>
      <c r="M80" s="72">
        <f t="shared" si="19"/>
        <v>138</v>
      </c>
      <c r="N80" s="72">
        <f t="shared" si="19"/>
        <v>140.5</v>
      </c>
      <c r="O80" s="72">
        <f t="shared" si="19"/>
        <v>137.5</v>
      </c>
      <c r="P80" s="72">
        <f t="shared" si="19"/>
        <v>147.10000000000002</v>
      </c>
      <c r="Q80" s="72">
        <f t="shared" si="19"/>
        <v>129.30000000000001</v>
      </c>
      <c r="R80" s="72">
        <f t="shared" si="19"/>
        <v>154.1</v>
      </c>
      <c r="S80" s="72">
        <f t="shared" si="19"/>
        <v>131.80000000000001</v>
      </c>
      <c r="T80" s="72">
        <f t="shared" si="19"/>
        <v>78.900000000000006</v>
      </c>
      <c r="U80" s="72">
        <f t="shared" si="19"/>
        <v>93</v>
      </c>
      <c r="V80" s="72">
        <f t="shared" si="19"/>
        <v>137.30000000000001</v>
      </c>
      <c r="W80" s="72">
        <f t="shared" si="19"/>
        <v>208.2</v>
      </c>
      <c r="X80" s="72">
        <f t="shared" si="19"/>
        <v>125</v>
      </c>
      <c r="Y80" s="72">
        <f t="shared" si="19"/>
        <v>145</v>
      </c>
      <c r="Z80" s="72">
        <f t="shared" si="19"/>
        <v>122.1</v>
      </c>
      <c r="AA80" s="72">
        <f t="shared" si="19"/>
        <v>180.8</v>
      </c>
      <c r="AB80" s="72">
        <f t="shared" si="19"/>
        <v>180.8</v>
      </c>
      <c r="AC80" s="72">
        <f t="shared" si="19"/>
        <v>214.1</v>
      </c>
      <c r="AD80" s="72">
        <f t="shared" si="19"/>
        <v>203.29999999999998</v>
      </c>
      <c r="AE80" s="72">
        <f t="shared" si="19"/>
        <v>189</v>
      </c>
      <c r="AF80" s="72">
        <f t="shared" si="19"/>
        <v>199.7</v>
      </c>
      <c r="AG80" s="77">
        <f t="shared" si="19"/>
        <v>0</v>
      </c>
      <c r="AH80" s="55">
        <f t="shared" si="16"/>
        <v>214.1</v>
      </c>
      <c r="AI80" s="56">
        <f t="shared" si="17"/>
        <v>78.900000000000006</v>
      </c>
      <c r="AK80" s="57"/>
    </row>
    <row r="81" spans="1:88" s="1" customFormat="1" ht="15.75" thickBot="1" x14ac:dyDescent="0.3">
      <c r="A81" s="71" t="s">
        <v>85</v>
      </c>
      <c r="B81" s="72">
        <f>SUM(B68:B80)</f>
        <v>2707.08</v>
      </c>
      <c r="C81" s="72">
        <f t="shared" ref="C81:AG81" si="20">SUM(C68:C80)</f>
        <v>2663.48</v>
      </c>
      <c r="D81" s="72">
        <f t="shared" si="20"/>
        <v>2633.88</v>
      </c>
      <c r="E81" s="72">
        <f t="shared" si="20"/>
        <v>2594.4799999999996</v>
      </c>
      <c r="F81" s="72">
        <f t="shared" si="20"/>
        <v>2605.2799999999997</v>
      </c>
      <c r="G81" s="72">
        <f t="shared" si="20"/>
        <v>2663.48</v>
      </c>
      <c r="H81" s="72">
        <f t="shared" si="20"/>
        <v>2668.4800000000005</v>
      </c>
      <c r="I81" s="72">
        <f t="shared" si="20"/>
        <v>2696.08</v>
      </c>
      <c r="J81" s="72">
        <f t="shared" si="20"/>
        <v>2674.8800000000006</v>
      </c>
      <c r="K81" s="72">
        <f t="shared" si="20"/>
        <v>2694.2799999999997</v>
      </c>
      <c r="L81" s="72">
        <f t="shared" si="20"/>
        <v>2716.88</v>
      </c>
      <c r="M81" s="72">
        <f t="shared" si="20"/>
        <v>2835.6800000000003</v>
      </c>
      <c r="N81" s="72">
        <f t="shared" si="20"/>
        <v>2867.28</v>
      </c>
      <c r="O81" s="72">
        <f t="shared" si="20"/>
        <v>3021.0799999999995</v>
      </c>
      <c r="P81" s="72">
        <f t="shared" si="20"/>
        <v>3106.8799999999997</v>
      </c>
      <c r="Q81" s="72">
        <f t="shared" si="20"/>
        <v>3019.88</v>
      </c>
      <c r="R81" s="72">
        <f t="shared" si="20"/>
        <v>3021.68</v>
      </c>
      <c r="S81" s="72">
        <f t="shared" si="20"/>
        <v>2950.28</v>
      </c>
      <c r="T81" s="72">
        <f t="shared" si="20"/>
        <v>2877.88</v>
      </c>
      <c r="U81" s="72">
        <f t="shared" si="20"/>
        <v>3087.88</v>
      </c>
      <c r="V81" s="72">
        <f t="shared" si="20"/>
        <v>2989.6800000000003</v>
      </c>
      <c r="W81" s="72">
        <f t="shared" si="20"/>
        <v>3177.68</v>
      </c>
      <c r="X81" s="72">
        <f t="shared" si="20"/>
        <v>3563.6800000000003</v>
      </c>
      <c r="Y81" s="72">
        <f t="shared" si="20"/>
        <v>3343.08</v>
      </c>
      <c r="Z81" s="72">
        <f t="shared" si="20"/>
        <v>3192.68</v>
      </c>
      <c r="AA81" s="72">
        <f t="shared" si="20"/>
        <v>3204.4800000000005</v>
      </c>
      <c r="AB81" s="72">
        <f t="shared" si="20"/>
        <v>3192.4800000000005</v>
      </c>
      <c r="AC81" s="72">
        <f t="shared" si="20"/>
        <v>3146.2799999999997</v>
      </c>
      <c r="AD81" s="72">
        <f t="shared" si="20"/>
        <v>2966.6800000000003</v>
      </c>
      <c r="AE81" s="72">
        <f t="shared" si="20"/>
        <v>2805.28</v>
      </c>
      <c r="AF81" s="72">
        <f t="shared" si="20"/>
        <v>2725.0799999999995</v>
      </c>
      <c r="AG81" s="77">
        <f t="shared" si="20"/>
        <v>4238.08</v>
      </c>
      <c r="AH81" s="55">
        <f t="shared" si="16"/>
        <v>3563.6800000000003</v>
      </c>
      <c r="AI81" s="56">
        <f t="shared" si="17"/>
        <v>2594.4799999999996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4">
        <v>49.99</v>
      </c>
      <c r="C82" s="93">
        <v>49.9</v>
      </c>
      <c r="D82" s="93">
        <v>50.01</v>
      </c>
      <c r="E82" s="93">
        <v>50.036999999999999</v>
      </c>
      <c r="F82" s="93">
        <v>49.945</v>
      </c>
      <c r="G82" s="93">
        <v>49.906999999999996</v>
      </c>
      <c r="H82" s="93">
        <v>50.045999999999999</v>
      </c>
      <c r="I82" s="93">
        <v>49.865000000000002</v>
      </c>
      <c r="J82" s="93">
        <v>50.042000000000002</v>
      </c>
      <c r="K82" s="93">
        <v>49.91</v>
      </c>
      <c r="L82" s="93">
        <v>50.027000000000001</v>
      </c>
      <c r="M82" s="93">
        <v>49.97</v>
      </c>
      <c r="N82" s="93">
        <v>49.994999999999997</v>
      </c>
      <c r="O82" s="93">
        <v>49.99</v>
      </c>
      <c r="P82" s="93">
        <v>49.857999999999997</v>
      </c>
      <c r="Q82" s="93">
        <v>49.96</v>
      </c>
      <c r="R82" s="93">
        <v>49.966999999999999</v>
      </c>
      <c r="S82" s="93">
        <v>50.006999999999998</v>
      </c>
      <c r="T82" s="93">
        <v>49.945999999999998</v>
      </c>
      <c r="U82" s="93">
        <v>49.841999999999999</v>
      </c>
      <c r="V82" s="93">
        <v>50.015000000000001</v>
      </c>
      <c r="W82" s="93">
        <v>49.97</v>
      </c>
      <c r="X82" s="93">
        <v>49.667000000000002</v>
      </c>
      <c r="Y82" s="93">
        <v>49.9</v>
      </c>
      <c r="Z82" s="93">
        <v>49.932000000000002</v>
      </c>
      <c r="AA82" s="93">
        <v>50</v>
      </c>
      <c r="AB82" s="93">
        <v>50.02</v>
      </c>
      <c r="AC82" s="93">
        <v>49.91</v>
      </c>
      <c r="AD82" s="93">
        <v>49.88</v>
      </c>
      <c r="AE82" s="93">
        <v>49.83</v>
      </c>
      <c r="AF82" s="93">
        <v>49.8</v>
      </c>
      <c r="AG82" s="95"/>
      <c r="AH82" s="55">
        <f t="shared" si="16"/>
        <v>50.045999999999999</v>
      </c>
      <c r="AI82" s="56">
        <f t="shared" si="17"/>
        <v>49.667000000000002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8">
        <v>121</v>
      </c>
      <c r="C83" s="52">
        <v>121.8</v>
      </c>
      <c r="D83" s="52">
        <v>122.4</v>
      </c>
      <c r="E83" s="52">
        <v>122.8</v>
      </c>
      <c r="F83" s="52">
        <v>122.9</v>
      </c>
      <c r="G83" s="52">
        <v>122.3</v>
      </c>
      <c r="H83" s="52">
        <v>124.2</v>
      </c>
      <c r="I83" s="52">
        <v>121</v>
      </c>
      <c r="J83" s="52">
        <v>120.7</v>
      </c>
      <c r="K83" s="52">
        <v>120.4</v>
      </c>
      <c r="L83" s="52">
        <v>120.2</v>
      </c>
      <c r="M83" s="52">
        <v>120</v>
      </c>
      <c r="N83" s="52">
        <v>121.9</v>
      </c>
      <c r="O83" s="52">
        <v>120.6</v>
      </c>
      <c r="P83" s="52"/>
      <c r="Q83" s="52">
        <v>121.3</v>
      </c>
      <c r="R83" s="52">
        <v>120.6</v>
      </c>
      <c r="S83" s="52">
        <v>122.6</v>
      </c>
      <c r="T83" s="97">
        <v>121.9</v>
      </c>
      <c r="U83" s="97">
        <v>122.8</v>
      </c>
      <c r="V83" s="97">
        <v>122.6</v>
      </c>
      <c r="W83" s="97">
        <v>121.3</v>
      </c>
      <c r="X83" s="97">
        <v>119.6</v>
      </c>
      <c r="Y83" s="97">
        <v>120</v>
      </c>
      <c r="Z83" s="97">
        <v>121.7</v>
      </c>
      <c r="AA83" s="97">
        <v>121.5</v>
      </c>
      <c r="AB83" s="97">
        <v>123.1</v>
      </c>
      <c r="AC83" s="97">
        <v>123</v>
      </c>
      <c r="AD83" s="97">
        <v>123.1</v>
      </c>
      <c r="AE83" s="97">
        <v>121.5</v>
      </c>
      <c r="AF83" s="97">
        <v>120.2</v>
      </c>
      <c r="AG83" s="99"/>
      <c r="AH83" s="55">
        <f t="shared" si="16"/>
        <v>124.2</v>
      </c>
      <c r="AI83" s="56">
        <f t="shared" si="17"/>
        <v>119.6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8">
        <v>128.30000000000001</v>
      </c>
      <c r="C84" s="52">
        <v>128.30000000000001</v>
      </c>
      <c r="D84" s="52">
        <v>128.9</v>
      </c>
      <c r="E84" s="52">
        <v>128.80000000000001</v>
      </c>
      <c r="F84" s="52">
        <v>128.4</v>
      </c>
      <c r="G84" s="52">
        <v>128.19999999999999</v>
      </c>
      <c r="H84" s="52">
        <v>129.30000000000001</v>
      </c>
      <c r="I84" s="52">
        <v>126.4</v>
      </c>
      <c r="J84" s="52">
        <v>125.6</v>
      </c>
      <c r="K84" s="52">
        <v>125</v>
      </c>
      <c r="L84" s="52">
        <v>125.1</v>
      </c>
      <c r="M84" s="52">
        <v>124.7</v>
      </c>
      <c r="N84" s="52">
        <v>125.9</v>
      </c>
      <c r="O84" s="52">
        <v>125.8</v>
      </c>
      <c r="P84" s="52">
        <v>125.3</v>
      </c>
      <c r="Q84" s="52">
        <v>126.1</v>
      </c>
      <c r="R84" s="52">
        <v>125.3</v>
      </c>
      <c r="S84" s="52">
        <v>126.2</v>
      </c>
      <c r="T84" s="97">
        <v>126.9</v>
      </c>
      <c r="U84" s="97">
        <v>127.6</v>
      </c>
      <c r="V84" s="97">
        <v>127.4</v>
      </c>
      <c r="W84" s="97">
        <v>125.9</v>
      </c>
      <c r="X84" s="97">
        <v>124.8</v>
      </c>
      <c r="Y84" s="97">
        <v>124.8</v>
      </c>
      <c r="Z84" s="97">
        <v>127.2</v>
      </c>
      <c r="AA84" s="97">
        <v>127.1</v>
      </c>
      <c r="AB84" s="97">
        <v>128.5</v>
      </c>
      <c r="AC84" s="97">
        <v>128.6</v>
      </c>
      <c r="AD84" s="97">
        <v>128.4</v>
      </c>
      <c r="AE84" s="97">
        <v>127.6</v>
      </c>
      <c r="AF84" s="97">
        <v>126.3</v>
      </c>
      <c r="AG84" s="99"/>
      <c r="AH84" s="55">
        <f t="shared" si="16"/>
        <v>129.30000000000001</v>
      </c>
      <c r="AI84" s="56">
        <f t="shared" si="17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8">
        <v>130.9</v>
      </c>
      <c r="C85" s="52">
        <v>129.19999999999999</v>
      </c>
      <c r="D85" s="52">
        <v>127.2</v>
      </c>
      <c r="E85" s="52">
        <v>129.19999999999999</v>
      </c>
      <c r="F85" s="52">
        <v>129.69999999999999</v>
      </c>
      <c r="G85" s="52">
        <v>130.1</v>
      </c>
      <c r="H85" s="52">
        <v>131.80000000000001</v>
      </c>
      <c r="I85" s="52">
        <v>129.69999999999999</v>
      </c>
      <c r="J85" s="52">
        <v>130.5</v>
      </c>
      <c r="K85" s="52">
        <v>128.5</v>
      </c>
      <c r="L85" s="52">
        <v>129.6</v>
      </c>
      <c r="M85" s="52">
        <v>129.6</v>
      </c>
      <c r="N85" s="52">
        <v>126.9</v>
      </c>
      <c r="O85" s="52">
        <v>125.8</v>
      </c>
      <c r="P85" s="52">
        <v>128</v>
      </c>
      <c r="Q85" s="52">
        <v>127.1</v>
      </c>
      <c r="R85" s="52">
        <v>127.5</v>
      </c>
      <c r="S85" s="52">
        <v>127.9</v>
      </c>
      <c r="T85" s="52">
        <v>125.9</v>
      </c>
      <c r="U85" s="52">
        <v>126.5</v>
      </c>
      <c r="V85" s="52">
        <v>122.3</v>
      </c>
      <c r="W85" s="97">
        <v>123.9</v>
      </c>
      <c r="X85" s="97">
        <v>126.7</v>
      </c>
      <c r="Y85" s="97">
        <v>126.7</v>
      </c>
      <c r="Z85" s="97">
        <v>126.3</v>
      </c>
      <c r="AA85" s="97">
        <v>120.9</v>
      </c>
      <c r="AB85" s="97">
        <v>125.7</v>
      </c>
      <c r="AC85" s="97">
        <v>124.7</v>
      </c>
      <c r="AD85" s="97">
        <v>124.7</v>
      </c>
      <c r="AE85" s="97">
        <v>126</v>
      </c>
      <c r="AF85" s="97">
        <v>125.5</v>
      </c>
      <c r="AG85" s="99"/>
      <c r="AH85" s="55">
        <f t="shared" si="16"/>
        <v>131.80000000000001</v>
      </c>
      <c r="AI85" s="56">
        <f t="shared" si="17"/>
        <v>120.9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8">
        <v>135.5</v>
      </c>
      <c r="C86" s="52">
        <v>132.69999999999999</v>
      </c>
      <c r="D86" s="52">
        <v>131.4</v>
      </c>
      <c r="E86" s="52">
        <v>132.9</v>
      </c>
      <c r="F86" s="52">
        <v>133.30000000000001</v>
      </c>
      <c r="G86" s="52">
        <v>133.19999999999999</v>
      </c>
      <c r="H86" s="52">
        <v>134</v>
      </c>
      <c r="I86" s="52">
        <v>131.9</v>
      </c>
      <c r="J86" s="52">
        <v>132.1</v>
      </c>
      <c r="K86" s="52">
        <v>130.9</v>
      </c>
      <c r="L86" s="52">
        <v>132.6</v>
      </c>
      <c r="M86" s="52">
        <v>130.4</v>
      </c>
      <c r="N86" s="52">
        <v>128.9</v>
      </c>
      <c r="O86" s="52">
        <v>127.8</v>
      </c>
      <c r="P86" s="52">
        <v>129.6</v>
      </c>
      <c r="Q86" s="52">
        <v>129.6</v>
      </c>
      <c r="R86" s="52">
        <v>129.69999999999999</v>
      </c>
      <c r="S86" s="52">
        <v>127</v>
      </c>
      <c r="T86" s="52">
        <v>128</v>
      </c>
      <c r="U86" s="52">
        <v>129.4</v>
      </c>
      <c r="V86" s="52">
        <v>125.1</v>
      </c>
      <c r="W86" s="97">
        <v>127.8</v>
      </c>
      <c r="X86" s="97">
        <v>130</v>
      </c>
      <c r="Y86" s="97">
        <v>130</v>
      </c>
      <c r="Z86" s="97">
        <v>129</v>
      </c>
      <c r="AA86" s="97">
        <v>126</v>
      </c>
      <c r="AB86" s="97">
        <v>129.30000000000001</v>
      </c>
      <c r="AC86" s="97">
        <v>128.69999999999999</v>
      </c>
      <c r="AD86" s="97">
        <v>128.19999999999999</v>
      </c>
      <c r="AE86" s="97">
        <v>131.30000000000001</v>
      </c>
      <c r="AF86" s="97">
        <v>129.4</v>
      </c>
      <c r="AG86" s="99"/>
      <c r="AH86" s="55">
        <f t="shared" si="16"/>
        <v>135.5</v>
      </c>
      <c r="AI86" s="56">
        <f t="shared" si="17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2">
        <v>136</v>
      </c>
      <c r="C87" s="101">
        <v>134.19999999999999</v>
      </c>
      <c r="D87" s="101">
        <v>134.5</v>
      </c>
      <c r="E87" s="101">
        <v>135.30000000000001</v>
      </c>
      <c r="F87" s="101">
        <v>135.30000000000001</v>
      </c>
      <c r="G87" s="101">
        <v>134.9</v>
      </c>
      <c r="H87" s="101">
        <v>137.19999999999999</v>
      </c>
      <c r="I87" s="101">
        <v>136.5</v>
      </c>
      <c r="J87" s="101">
        <v>132.80000000000001</v>
      </c>
      <c r="K87" s="101">
        <v>131.4</v>
      </c>
      <c r="L87" s="101">
        <v>128.80000000000001</v>
      </c>
      <c r="M87" s="101">
        <v>130.1</v>
      </c>
      <c r="N87" s="101">
        <v>131.19999999999999</v>
      </c>
      <c r="O87" s="101">
        <v>133.1</v>
      </c>
      <c r="P87" s="101">
        <v>134.5</v>
      </c>
      <c r="Q87" s="101">
        <v>134.69999999999999</v>
      </c>
      <c r="R87" s="101">
        <v>134.1</v>
      </c>
      <c r="S87" s="101">
        <v>136.69999999999999</v>
      </c>
      <c r="T87" s="101">
        <v>132.1</v>
      </c>
      <c r="U87" s="101">
        <v>133.30000000000001</v>
      </c>
      <c r="V87" s="101">
        <v>128.80000000000001</v>
      </c>
      <c r="W87" s="97">
        <v>131.9</v>
      </c>
      <c r="X87" s="97">
        <v>131.69999999999999</v>
      </c>
      <c r="Y87" s="97">
        <v>131.69999999999999</v>
      </c>
      <c r="Z87" s="97">
        <v>132.6</v>
      </c>
      <c r="AA87" s="97">
        <v>131.19999999999999</v>
      </c>
      <c r="AB87" s="97">
        <v>133.1</v>
      </c>
      <c r="AC87" s="97">
        <v>132.69999999999999</v>
      </c>
      <c r="AD87" s="97">
        <v>135.6</v>
      </c>
      <c r="AE87" s="97">
        <v>133.80000000000001</v>
      </c>
      <c r="AF87" s="97">
        <v>132.9</v>
      </c>
      <c r="AG87" s="103"/>
      <c r="AH87" s="55">
        <f t="shared" si="16"/>
        <v>137.19999999999999</v>
      </c>
      <c r="AI87" s="56">
        <f t="shared" si="17"/>
        <v>128.80000000000001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8">
        <v>134</v>
      </c>
      <c r="C88" s="52">
        <v>133</v>
      </c>
      <c r="D88" s="52">
        <v>134</v>
      </c>
      <c r="E88" s="52">
        <v>136.4</v>
      </c>
      <c r="F88" s="52">
        <v>136.1</v>
      </c>
      <c r="G88" s="52">
        <v>136</v>
      </c>
      <c r="H88" s="52">
        <v>138.1</v>
      </c>
      <c r="I88" s="52">
        <v>137</v>
      </c>
      <c r="J88" s="52">
        <v>132.30000000000001</v>
      </c>
      <c r="K88" s="52">
        <v>130.6</v>
      </c>
      <c r="L88" s="52">
        <v>128.80000000000001</v>
      </c>
      <c r="M88" s="52">
        <v>129</v>
      </c>
      <c r="N88" s="52">
        <v>129.80000000000001</v>
      </c>
      <c r="O88" s="52">
        <v>129.69999999999999</v>
      </c>
      <c r="P88" s="52">
        <v>131.69999999999999</v>
      </c>
      <c r="Q88" s="52">
        <v>131.5</v>
      </c>
      <c r="R88" s="52">
        <v>130.19999999999999</v>
      </c>
      <c r="S88" s="52">
        <v>135.4</v>
      </c>
      <c r="T88" s="52">
        <v>129.80000000000001</v>
      </c>
      <c r="U88" s="52">
        <v>131.9</v>
      </c>
      <c r="V88" s="52">
        <v>126.5</v>
      </c>
      <c r="W88" s="97">
        <v>130.19999999999999</v>
      </c>
      <c r="X88" s="97">
        <v>133.5</v>
      </c>
      <c r="Y88" s="97">
        <v>133.5</v>
      </c>
      <c r="Z88" s="97">
        <v>128.30000000000001</v>
      </c>
      <c r="AA88" s="97">
        <v>127.5</v>
      </c>
      <c r="AB88" s="97">
        <v>130.80000000000001</v>
      </c>
      <c r="AC88" s="97">
        <v>129.19999999999999</v>
      </c>
      <c r="AD88" s="97">
        <v>134</v>
      </c>
      <c r="AE88" s="97">
        <v>133.5</v>
      </c>
      <c r="AF88" s="97">
        <v>132.9</v>
      </c>
      <c r="AG88" s="99"/>
      <c r="AH88" s="55">
        <f t="shared" si="16"/>
        <v>138.1</v>
      </c>
      <c r="AI88" s="56">
        <f t="shared" si="17"/>
        <v>126.5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5">
        <v>65.7</v>
      </c>
      <c r="C89" s="104">
        <v>65.400000000000006</v>
      </c>
      <c r="D89" s="104">
        <v>65.8</v>
      </c>
      <c r="E89" s="104">
        <v>65.8</v>
      </c>
      <c r="F89" s="104">
        <v>65.400000000000006</v>
      </c>
      <c r="G89" s="104">
        <v>65.5</v>
      </c>
      <c r="H89" s="104">
        <v>65.900000000000006</v>
      </c>
      <c r="I89" s="104">
        <v>64.2</v>
      </c>
      <c r="J89" s="104">
        <v>64</v>
      </c>
      <c r="K89" s="104">
        <v>64</v>
      </c>
      <c r="L89" s="104">
        <v>63.6</v>
      </c>
      <c r="M89" s="104">
        <v>63.3</v>
      </c>
      <c r="N89" s="104">
        <v>63.9</v>
      </c>
      <c r="O89" s="104">
        <v>64</v>
      </c>
      <c r="P89" s="104">
        <v>63.5</v>
      </c>
      <c r="Q89" s="104">
        <v>64.099999999999994</v>
      </c>
      <c r="R89" s="104">
        <v>63.9</v>
      </c>
      <c r="S89" s="104">
        <v>64.8</v>
      </c>
      <c r="T89" s="104">
        <v>64.599999999999994</v>
      </c>
      <c r="U89" s="104">
        <v>64.900000000000006</v>
      </c>
      <c r="V89" s="104">
        <v>64.900000000000006</v>
      </c>
      <c r="W89" s="104">
        <v>63.9</v>
      </c>
      <c r="X89" s="104">
        <v>63.9</v>
      </c>
      <c r="Y89" s="104">
        <v>64</v>
      </c>
      <c r="Z89" s="104">
        <v>64.8</v>
      </c>
      <c r="AA89" s="104">
        <v>65</v>
      </c>
      <c r="AB89" s="104">
        <v>65.599999999999994</v>
      </c>
      <c r="AC89" s="104">
        <v>65.7</v>
      </c>
      <c r="AD89" s="104">
        <v>65.400000000000006</v>
      </c>
      <c r="AE89" s="104">
        <v>65.099999999999994</v>
      </c>
      <c r="AF89" s="104">
        <v>64.3</v>
      </c>
      <c r="AG89" s="106"/>
      <c r="AH89" s="55">
        <f t="shared" si="16"/>
        <v>65.900000000000006</v>
      </c>
      <c r="AI89" s="56">
        <f t="shared" si="17"/>
        <v>63.3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143.63999999999996</v>
      </c>
      <c r="C91" s="178">
        <f t="shared" ref="C91:AF91" si="21">SUM(C14,C17,C20:C21,C40,C42:C43,C45,C47,C92:C95,C100,C106,C112,C121,C123,C135,C142,C145:C146,C153,C155,C157,C161:C163,C165:C167,C172,C178:C179,C181:C183,C191,C196)</f>
        <v>139.53999999999996</v>
      </c>
      <c r="D91" s="178">
        <f t="shared" si="21"/>
        <v>140.04</v>
      </c>
      <c r="E91" s="178">
        <f t="shared" si="21"/>
        <v>143.83999999999997</v>
      </c>
      <c r="F91" s="111">
        <f t="shared" si="21"/>
        <v>159.83999999999995</v>
      </c>
      <c r="G91" s="111">
        <f t="shared" si="21"/>
        <v>183.83999999999997</v>
      </c>
      <c r="H91" s="111">
        <f t="shared" si="21"/>
        <v>206.83999999999997</v>
      </c>
      <c r="I91" s="111">
        <f t="shared" si="21"/>
        <v>238.43999999999997</v>
      </c>
      <c r="J91" s="111">
        <f t="shared" si="21"/>
        <v>276.24</v>
      </c>
      <c r="K91" s="111">
        <f t="shared" si="21"/>
        <v>287.84000000000003</v>
      </c>
      <c r="L91" s="111">
        <f t="shared" si="21"/>
        <v>299.24</v>
      </c>
      <c r="M91" s="111">
        <f t="shared" si="21"/>
        <v>296.64</v>
      </c>
      <c r="N91" s="111">
        <f t="shared" si="21"/>
        <v>291.94000000000005</v>
      </c>
      <c r="O91" s="111">
        <f t="shared" si="21"/>
        <v>295.64</v>
      </c>
      <c r="P91" s="111">
        <f t="shared" si="21"/>
        <v>365.44000000000005</v>
      </c>
      <c r="Q91" s="111">
        <f t="shared" si="21"/>
        <v>285.33999999999997</v>
      </c>
      <c r="R91" s="111">
        <f t="shared" si="21"/>
        <v>280.53999999999996</v>
      </c>
      <c r="S91" s="111">
        <f t="shared" si="21"/>
        <v>277.84000000000003</v>
      </c>
      <c r="T91" s="111">
        <f t="shared" si="21"/>
        <v>283.14</v>
      </c>
      <c r="U91" s="111">
        <f t="shared" si="21"/>
        <v>283.54000000000002</v>
      </c>
      <c r="V91" s="111">
        <f t="shared" si="21"/>
        <v>307.24</v>
      </c>
      <c r="W91" s="111">
        <f t="shared" si="21"/>
        <v>352.24</v>
      </c>
      <c r="X91" s="111">
        <f t="shared" si="21"/>
        <v>356.84000000000003</v>
      </c>
      <c r="Y91" s="111">
        <f t="shared" si="21"/>
        <v>345.64</v>
      </c>
      <c r="Z91" s="111">
        <f t="shared" si="21"/>
        <v>315.94000000000005</v>
      </c>
      <c r="AA91" s="111">
        <f t="shared" si="21"/>
        <v>287.24</v>
      </c>
      <c r="AB91" s="111">
        <f t="shared" si="21"/>
        <v>246.93999999999997</v>
      </c>
      <c r="AC91" s="111">
        <f t="shared" si="21"/>
        <v>253.93999999999997</v>
      </c>
      <c r="AD91" s="111">
        <f t="shared" si="21"/>
        <v>244.14</v>
      </c>
      <c r="AE91" s="111">
        <f t="shared" si="21"/>
        <v>169.44</v>
      </c>
      <c r="AF91" s="111">
        <f t="shared" si="21"/>
        <v>140.64000000000001</v>
      </c>
      <c r="AG91" s="112"/>
      <c r="AH91" s="55">
        <f>MAX(B91:AF91)</f>
        <v>365.44000000000005</v>
      </c>
      <c r="AI91" s="56">
        <f>MIN(B91:AF91)</f>
        <v>139.53999999999996</v>
      </c>
    </row>
    <row r="92" spans="1:88" x14ac:dyDescent="0.25">
      <c r="A92" s="113" t="s">
        <v>95</v>
      </c>
      <c r="B92" s="116">
        <v>42.3</v>
      </c>
      <c r="C92" s="59">
        <v>40.1</v>
      </c>
      <c r="D92" s="59">
        <v>42</v>
      </c>
      <c r="E92" s="59">
        <v>48</v>
      </c>
      <c r="F92" s="59">
        <v>48.6</v>
      </c>
      <c r="G92" s="114">
        <v>48.1</v>
      </c>
      <c r="H92" s="114">
        <v>46.5</v>
      </c>
      <c r="I92" s="114">
        <v>55.2</v>
      </c>
      <c r="J92" s="114">
        <v>50.4</v>
      </c>
      <c r="K92" s="114">
        <v>48.7</v>
      </c>
      <c r="L92" s="115">
        <v>39.6</v>
      </c>
      <c r="M92" s="115">
        <v>38.299999999999997</v>
      </c>
      <c r="N92" s="114">
        <v>39.700000000000003</v>
      </c>
      <c r="O92" s="114">
        <v>32.799999999999997</v>
      </c>
      <c r="P92" s="114">
        <v>23.5</v>
      </c>
      <c r="Q92" s="114">
        <v>23.8</v>
      </c>
      <c r="R92" s="114">
        <v>27.5</v>
      </c>
      <c r="S92" s="114">
        <v>22.9</v>
      </c>
      <c r="T92" s="115">
        <v>23.7</v>
      </c>
      <c r="U92" s="115">
        <v>35.4</v>
      </c>
      <c r="V92" s="115">
        <v>24.9</v>
      </c>
      <c r="W92" s="114">
        <v>18.899999999999999</v>
      </c>
      <c r="X92" s="114">
        <v>25.5</v>
      </c>
      <c r="Y92" s="114">
        <v>28.9</v>
      </c>
      <c r="Z92" s="114">
        <v>18.5</v>
      </c>
      <c r="AA92" s="114">
        <v>10.199999999999999</v>
      </c>
      <c r="AB92" s="114">
        <v>17.399999999999999</v>
      </c>
      <c r="AC92" s="114">
        <v>20.9</v>
      </c>
      <c r="AD92" s="114">
        <v>21.9</v>
      </c>
      <c r="AE92" s="114">
        <v>28.3</v>
      </c>
      <c r="AF92" s="114">
        <v>30.9</v>
      </c>
      <c r="AG92" s="117">
        <v>75</v>
      </c>
      <c r="AH92" s="55">
        <f t="shared" ref="AH92:AH97" si="22">IF(ABS(MAX(B92:AF92))&gt;ABS(MIN(B92:AF92)),MAX(B92:AF92),MIN(B92:AF92))</f>
        <v>55.2</v>
      </c>
      <c r="AI92" s="118">
        <f t="shared" ref="AI92:AI97" si="23">INDEX($B$9:$AF$9,1,MATCH(AH92,B92:AF92,0))</f>
        <v>0.27083333333333331</v>
      </c>
    </row>
    <row r="93" spans="1:88" x14ac:dyDescent="0.25">
      <c r="A93" s="119" t="s">
        <v>96</v>
      </c>
      <c r="B93" s="120">
        <f>-55.2-65</f>
        <v>-120.2</v>
      </c>
      <c r="C93" s="61">
        <f>-49.8-60</f>
        <v>-109.8</v>
      </c>
      <c r="D93" s="61">
        <v>-106.6</v>
      </c>
      <c r="E93" s="61">
        <v>-100.8</v>
      </c>
      <c r="F93" s="61">
        <v>-90</v>
      </c>
      <c r="G93" s="61">
        <v>-79.099999999999994</v>
      </c>
      <c r="H93" s="61">
        <v>-63.4</v>
      </c>
      <c r="I93" s="61">
        <v>-54.8</v>
      </c>
      <c r="J93" s="61">
        <v>-76.8</v>
      </c>
      <c r="K93" s="61">
        <v>-69.3</v>
      </c>
      <c r="L93" s="61">
        <v>-68.8</v>
      </c>
      <c r="M93" s="61">
        <f>-30.7-38.9</f>
        <v>-69.599999999999994</v>
      </c>
      <c r="N93" s="61">
        <v>-69.5</v>
      </c>
      <c r="O93" s="61">
        <f>-31-42.2</f>
        <v>-73.2</v>
      </c>
      <c r="P93" s="61"/>
      <c r="Q93" s="61">
        <f>-32.1-43.8</f>
        <v>-75.900000000000006</v>
      </c>
      <c r="R93" s="61">
        <v>-62</v>
      </c>
      <c r="S93" s="61">
        <v>-73</v>
      </c>
      <c r="T93" s="61">
        <v>-70</v>
      </c>
      <c r="U93" s="61">
        <v>-73</v>
      </c>
      <c r="V93" s="61">
        <v>-68</v>
      </c>
      <c r="W93" s="61">
        <v>-50</v>
      </c>
      <c r="X93" s="61">
        <v>-50.6</v>
      </c>
      <c r="Y93" s="61">
        <v>-56.8</v>
      </c>
      <c r="Z93" s="61">
        <v>-64.5</v>
      </c>
      <c r="AA93" s="61">
        <f>-31-46.3</f>
        <v>-77.3</v>
      </c>
      <c r="AB93" s="61">
        <f>-40.5-55.4</f>
        <v>-95.9</v>
      </c>
      <c r="AC93" s="61">
        <f>-41.7-57.2</f>
        <v>-98.9</v>
      </c>
      <c r="AD93" s="61">
        <v>-97.2</v>
      </c>
      <c r="AE93" s="61">
        <f>-56.4-69</f>
        <v>-125.4</v>
      </c>
      <c r="AF93" s="61">
        <f>-51.9-62.4</f>
        <v>-114.3</v>
      </c>
      <c r="AG93" s="117">
        <v>240</v>
      </c>
      <c r="AH93" s="55">
        <f t="shared" si="22"/>
        <v>-125.4</v>
      </c>
      <c r="AI93" s="118">
        <f t="shared" si="23"/>
        <v>0.95833333333333304</v>
      </c>
    </row>
    <row r="94" spans="1:88" x14ac:dyDescent="0.25">
      <c r="A94" s="119" t="s">
        <v>97</v>
      </c>
      <c r="B94" s="120">
        <v>-15.9</v>
      </c>
      <c r="C94" s="61">
        <v>-14.2</v>
      </c>
      <c r="D94" s="61">
        <v>-8.6</v>
      </c>
      <c r="E94" s="61">
        <v>-11.5</v>
      </c>
      <c r="F94" s="61">
        <v>-6.9</v>
      </c>
      <c r="G94" s="61">
        <v>-7.9</v>
      </c>
      <c r="H94" s="61">
        <v>0.9</v>
      </c>
      <c r="I94" s="61">
        <v>3.1</v>
      </c>
      <c r="J94" s="61">
        <v>4.2</v>
      </c>
      <c r="K94" s="61">
        <v>11.1</v>
      </c>
      <c r="L94" s="61">
        <v>13</v>
      </c>
      <c r="M94" s="61">
        <v>13.8</v>
      </c>
      <c r="N94" s="61">
        <v>12.7</v>
      </c>
      <c r="O94" s="61">
        <v>25.2</v>
      </c>
      <c r="P94" s="61">
        <v>28.9</v>
      </c>
      <c r="Q94" s="61">
        <v>21.2</v>
      </c>
      <c r="R94" s="61">
        <v>25.4</v>
      </c>
      <c r="S94" s="61">
        <v>26.6</v>
      </c>
      <c r="T94" s="61">
        <v>21.5</v>
      </c>
      <c r="U94" s="61">
        <v>21.5</v>
      </c>
      <c r="V94" s="61">
        <v>32.299999999999997</v>
      </c>
      <c r="W94" s="61">
        <v>40</v>
      </c>
      <c r="X94" s="61">
        <v>42.2</v>
      </c>
      <c r="Y94" s="61">
        <v>38.4</v>
      </c>
      <c r="Z94" s="61">
        <v>34.4</v>
      </c>
      <c r="AA94" s="61">
        <v>30.4</v>
      </c>
      <c r="AB94" s="61">
        <v>20.100000000000001</v>
      </c>
      <c r="AC94" s="61">
        <v>30.4</v>
      </c>
      <c r="AD94" s="61">
        <v>28</v>
      </c>
      <c r="AE94" s="61">
        <v>-10.5</v>
      </c>
      <c r="AF94" s="61">
        <v>-15</v>
      </c>
      <c r="AG94" s="117">
        <v>60</v>
      </c>
      <c r="AH94" s="55">
        <f t="shared" si="22"/>
        <v>42.2</v>
      </c>
      <c r="AI94" s="118">
        <f t="shared" si="23"/>
        <v>0.77083333333333337</v>
      </c>
    </row>
    <row r="95" spans="1:88" x14ac:dyDescent="0.25">
      <c r="A95" s="121" t="s">
        <v>98</v>
      </c>
      <c r="B95" s="123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63.7</v>
      </c>
      <c r="K95" s="84">
        <v>57.4</v>
      </c>
      <c r="L95" s="84">
        <v>75.5</v>
      </c>
      <c r="M95" s="84">
        <v>74</v>
      </c>
      <c r="N95" s="84">
        <v>69.3</v>
      </c>
      <c r="O95" s="84">
        <v>76.599999999999994</v>
      </c>
      <c r="P95" s="84">
        <v>78.8</v>
      </c>
      <c r="Q95" s="84">
        <v>77.099999999999994</v>
      </c>
      <c r="R95" s="84">
        <v>81.2</v>
      </c>
      <c r="S95" s="84">
        <v>62.9</v>
      </c>
      <c r="T95" s="84">
        <v>69.5</v>
      </c>
      <c r="U95" s="84">
        <v>61.2</v>
      </c>
      <c r="V95" s="84">
        <v>79.599999999999994</v>
      </c>
      <c r="W95" s="84">
        <v>105.2</v>
      </c>
      <c r="X95" s="84">
        <v>101.6</v>
      </c>
      <c r="Y95" s="84">
        <v>97</v>
      </c>
      <c r="Z95" s="84">
        <v>89.4</v>
      </c>
      <c r="AA95" s="84">
        <v>85</v>
      </c>
      <c r="AB95" s="84">
        <v>66.400000000000006</v>
      </c>
      <c r="AC95" s="84">
        <v>62.5</v>
      </c>
      <c r="AD95" s="84">
        <v>52</v>
      </c>
      <c r="AE95" s="84">
        <v>38</v>
      </c>
      <c r="AF95" s="84">
        <v>0</v>
      </c>
      <c r="AG95" s="124">
        <v>120</v>
      </c>
      <c r="AH95" s="55">
        <f t="shared" si="22"/>
        <v>105.2</v>
      </c>
      <c r="AI95" s="118">
        <f t="shared" si="23"/>
        <v>0.75</v>
      </c>
    </row>
    <row r="96" spans="1:88" x14ac:dyDescent="0.25">
      <c r="A96" s="121" t="s">
        <v>99</v>
      </c>
      <c r="B96" s="123">
        <v>59.2</v>
      </c>
      <c r="C96" s="84">
        <v>67.599999999999994</v>
      </c>
      <c r="D96" s="84">
        <v>60.4</v>
      </c>
      <c r="E96" s="84">
        <v>65.400000000000006</v>
      </c>
      <c r="F96" s="84">
        <v>72.7</v>
      </c>
      <c r="G96" s="84">
        <v>84.4</v>
      </c>
      <c r="H96" s="84">
        <v>86.7</v>
      </c>
      <c r="I96" s="84">
        <v>86.3</v>
      </c>
      <c r="J96" s="84">
        <v>69.2</v>
      </c>
      <c r="K96" s="84">
        <v>61.7</v>
      </c>
      <c r="L96" s="84">
        <v>80.099999999999994</v>
      </c>
      <c r="M96" s="84">
        <v>75</v>
      </c>
      <c r="N96" s="84">
        <v>64.3</v>
      </c>
      <c r="O96" s="84">
        <v>74.7</v>
      </c>
      <c r="P96" s="84">
        <v>77.5</v>
      </c>
      <c r="Q96" s="84">
        <v>78.099999999999994</v>
      </c>
      <c r="R96" s="84">
        <v>77</v>
      </c>
      <c r="S96" s="84">
        <v>61.9</v>
      </c>
      <c r="T96" s="84">
        <v>71.900000000000006</v>
      </c>
      <c r="U96" s="84">
        <v>59.2</v>
      </c>
      <c r="V96" s="84">
        <v>72.8</v>
      </c>
      <c r="W96" s="84">
        <v>89.6</v>
      </c>
      <c r="X96" s="84">
        <v>92.6</v>
      </c>
      <c r="Y96" s="84">
        <v>83</v>
      </c>
      <c r="Z96" s="84">
        <v>85.9</v>
      </c>
      <c r="AA96" s="84">
        <v>82.7</v>
      </c>
      <c r="AB96" s="84">
        <v>72</v>
      </c>
      <c r="AC96" s="84">
        <v>71.2</v>
      </c>
      <c r="AD96" s="84">
        <v>62</v>
      </c>
      <c r="AE96" s="84">
        <v>50.8</v>
      </c>
      <c r="AF96" s="84">
        <v>73.8</v>
      </c>
      <c r="AG96" s="124"/>
      <c r="AH96" s="55">
        <f t="shared" si="22"/>
        <v>92.6</v>
      </c>
      <c r="AI96" s="118">
        <f t="shared" si="23"/>
        <v>0.77083333333333337</v>
      </c>
    </row>
    <row r="97" spans="1:37" ht="15.75" thickBot="1" x14ac:dyDescent="0.3">
      <c r="A97" s="121" t="s">
        <v>100</v>
      </c>
      <c r="B97" s="123">
        <v>39.9</v>
      </c>
      <c r="C97" s="84">
        <v>39.4</v>
      </c>
      <c r="D97" s="84">
        <v>39.299999999999997</v>
      </c>
      <c r="E97" s="84">
        <v>36</v>
      </c>
      <c r="F97" s="84">
        <v>35.4</v>
      </c>
      <c r="G97" s="84">
        <v>36.9</v>
      </c>
      <c r="H97" s="84">
        <v>34.799999999999997</v>
      </c>
      <c r="I97" s="84">
        <v>36.4</v>
      </c>
      <c r="J97" s="84">
        <v>34.299999999999997</v>
      </c>
      <c r="K97" s="84">
        <v>35.700000000000003</v>
      </c>
      <c r="L97" s="84">
        <v>36</v>
      </c>
      <c r="M97" s="84">
        <v>38.1</v>
      </c>
      <c r="N97" s="84">
        <v>37.6</v>
      </c>
      <c r="O97" s="84">
        <v>38.799999999999997</v>
      </c>
      <c r="P97" s="84">
        <v>40.5</v>
      </c>
      <c r="Q97" s="84">
        <v>39.5</v>
      </c>
      <c r="R97" s="84">
        <v>37.1</v>
      </c>
      <c r="S97" s="84">
        <v>35.1</v>
      </c>
      <c r="T97" s="84">
        <v>31.5</v>
      </c>
      <c r="U97" s="84">
        <v>34.9</v>
      </c>
      <c r="V97" s="84">
        <v>36.299999999999997</v>
      </c>
      <c r="W97" s="84">
        <v>38.1</v>
      </c>
      <c r="X97" s="84">
        <v>40.6</v>
      </c>
      <c r="Y97" s="84">
        <v>40.6</v>
      </c>
      <c r="Z97" s="84">
        <v>40.299999999999997</v>
      </c>
      <c r="AA97" s="84">
        <v>38.700000000000003</v>
      </c>
      <c r="AB97" s="84">
        <v>74.2</v>
      </c>
      <c r="AC97" s="84">
        <v>73.7</v>
      </c>
      <c r="AD97" s="84">
        <v>70.2</v>
      </c>
      <c r="AE97" s="84">
        <v>64.099999999999994</v>
      </c>
      <c r="AF97" s="84">
        <v>65.5</v>
      </c>
      <c r="AG97" s="125"/>
      <c r="AH97" s="55">
        <f t="shared" si="22"/>
        <v>74.2</v>
      </c>
      <c r="AI97" s="118">
        <f t="shared" si="23"/>
        <v>0.85416666666666663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1279.8400000000001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22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2078/04/22)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2078/04/22)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1173.54</v>
      </c>
      <c r="U211" s="170">
        <f t="shared" si="52"/>
        <v>1154.04</v>
      </c>
      <c r="V211" s="170">
        <f t="shared" si="52"/>
        <v>1142.1399999999999</v>
      </c>
      <c r="W211" s="170">
        <f t="shared" si="52"/>
        <v>1119.3399999999999</v>
      </c>
      <c r="X211" s="170">
        <f t="shared" si="52"/>
        <v>1121.04</v>
      </c>
      <c r="Y211" s="170">
        <f t="shared" si="52"/>
        <v>1167.8399999999999</v>
      </c>
      <c r="Z211" s="170">
        <f t="shared" si="52"/>
        <v>1201.8400000000001</v>
      </c>
      <c r="AA211" s="170">
        <f t="shared" si="52"/>
        <v>1182.94</v>
      </c>
      <c r="AB211" s="170">
        <f t="shared" si="52"/>
        <v>1224.44</v>
      </c>
      <c r="AC211" s="170">
        <f t="shared" si="52"/>
        <v>1237.94</v>
      </c>
      <c r="AD211" s="170">
        <f t="shared" si="52"/>
        <v>1276.54</v>
      </c>
      <c r="AE211" s="170">
        <f t="shared" si="52"/>
        <v>1279.8400000000001</v>
      </c>
      <c r="AF211" s="170">
        <f t="shared" si="52"/>
        <v>1293.1400000000001</v>
      </c>
      <c r="AG211" s="170">
        <f t="shared" si="52"/>
        <v>1373.04</v>
      </c>
      <c r="AH211" s="170">
        <f t="shared" si="52"/>
        <v>1406.34</v>
      </c>
      <c r="AI211" s="170">
        <f t="shared" si="52"/>
        <v>1380.6399999999999</v>
      </c>
      <c r="AJ211" s="170">
        <f t="shared" si="52"/>
        <v>1356.74</v>
      </c>
      <c r="AK211" s="170">
        <f t="shared" si="52"/>
        <v>1343.3400000000001</v>
      </c>
      <c r="AL211" s="170">
        <f t="shared" si="52"/>
        <v>1360.04</v>
      </c>
      <c r="AM211" s="170">
        <f t="shared" si="52"/>
        <v>1450.94</v>
      </c>
      <c r="AN211" s="170">
        <f t="shared" si="52"/>
        <v>1357.54</v>
      </c>
      <c r="AO211" s="170">
        <f t="shared" si="52"/>
        <v>1380.64</v>
      </c>
      <c r="AP211" s="170">
        <f t="shared" si="52"/>
        <v>1656.8400000000001</v>
      </c>
      <c r="AQ211" s="170">
        <f t="shared" si="52"/>
        <v>1526.54</v>
      </c>
      <c r="AR211" s="170">
        <f t="shared" si="52"/>
        <v>1474.24</v>
      </c>
      <c r="AS211" s="170">
        <f t="shared" si="52"/>
        <v>1421.44</v>
      </c>
      <c r="AT211" s="170">
        <f t="shared" si="52"/>
        <v>1415.44</v>
      </c>
      <c r="AU211" s="170">
        <f t="shared" si="52"/>
        <v>1359.04</v>
      </c>
      <c r="AV211" s="170">
        <f t="shared" si="52"/>
        <v>1280.04</v>
      </c>
      <c r="AW211" s="170">
        <f t="shared" si="52"/>
        <v>1213.6400000000001</v>
      </c>
      <c r="AX211" s="170">
        <f t="shared" si="52"/>
        <v>1162.8399999999999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919" priority="436">
      <formula>S$9&gt;=20/24</formula>
    </cfRule>
    <cfRule type="expression" dxfId="3918" priority="437">
      <formula>AND(S$9&gt;=14/24,S$9&lt;20/24)</formula>
    </cfRule>
    <cfRule type="expression" dxfId="3917" priority="438">
      <formula>AND(S$9&gt;=8/24,S$9&lt;14/24)</formula>
    </cfRule>
    <cfRule type="expression" dxfId="3916" priority="439">
      <formula>S$9&lt;8/24</formula>
    </cfRule>
  </conditionalFormatting>
  <conditionalFormatting sqref="B8:AF10 AA79:AF79 C79:Q79 C54:AD54 C80:AF80 C191:AF197 T210:AX210 C61:C65 L56:L57 C72:AF76 C78:AF78 C66:AF70 J58:L59 J55:K57 C55:I59 L15:M31 M56:M59 L11:Q13 L37:Q40 R56:V57 N56:Q65 L35:R35 R60:V65 L51:AD53 AE51:AF54 W83:AD89 R11:AF11 R38:AF40">
    <cfRule type="expression" dxfId="3915" priority="432">
      <formula>B$9&gt;=20/24</formula>
    </cfRule>
    <cfRule type="expression" dxfId="3914" priority="433">
      <formula>AND(B$9&gt;=14/24,B$9&lt;20/24)</formula>
    </cfRule>
    <cfRule type="expression" dxfId="3913" priority="434">
      <formula>AND(B$9&gt;=8/24,B$9&lt;14/24)</formula>
    </cfRule>
    <cfRule type="expression" dxfId="3912" priority="435">
      <formula>B$9&lt;8/24</formula>
    </cfRule>
  </conditionalFormatting>
  <conditionalFormatting sqref="B189:AF189">
    <cfRule type="expression" dxfId="3911" priority="428">
      <formula>B$9&gt;=20/24</formula>
    </cfRule>
    <cfRule type="expression" dxfId="3910" priority="429">
      <formula>AND(B$9&gt;=14/24,B$9&lt;20/24)</formula>
    </cfRule>
    <cfRule type="expression" dxfId="3909" priority="430">
      <formula>AND(B$9&gt;=8/24,B$9&lt;14/24)</formula>
    </cfRule>
    <cfRule type="expression" dxfId="3908" priority="431">
      <formula>B$9&lt;8/24</formula>
    </cfRule>
  </conditionalFormatting>
  <conditionalFormatting sqref="AL4:AL6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3907" priority="423">
      <formula>L$9&gt;=20/24</formula>
    </cfRule>
    <cfRule type="expression" dxfId="3906" priority="424">
      <formula>AND(L$9&gt;=14/24,L$9&lt;20/24)</formula>
    </cfRule>
    <cfRule type="expression" dxfId="3905" priority="425">
      <formula>AND(L$9&gt;=8/24,L$9&lt;14/24)</formula>
    </cfRule>
    <cfRule type="expression" dxfId="3904" priority="426">
      <formula>L$9&lt;8/24</formula>
    </cfRule>
  </conditionalFormatting>
  <conditionalFormatting sqref="L41:M41">
    <cfRule type="expression" dxfId="3903" priority="419">
      <formula>L$9&gt;=20/24</formula>
    </cfRule>
    <cfRule type="expression" dxfId="3902" priority="420">
      <formula>AND(L$9&gt;=14/24,L$9&lt;20/24)</formula>
    </cfRule>
    <cfRule type="expression" dxfId="3901" priority="421">
      <formula>AND(L$9&gt;=8/24,L$9&lt;14/24)</formula>
    </cfRule>
    <cfRule type="expression" dxfId="3900" priority="422">
      <formula>L$9&lt;8/24</formula>
    </cfRule>
  </conditionalFormatting>
  <conditionalFormatting sqref="R37:AF37">
    <cfRule type="expression" dxfId="3899" priority="411">
      <formula>R$9&gt;=20/24</formula>
    </cfRule>
    <cfRule type="expression" dxfId="3898" priority="412">
      <formula>AND(R$9&gt;=14/24,R$9&lt;20/24)</formula>
    </cfRule>
    <cfRule type="expression" dxfId="3897" priority="413">
      <formula>AND(R$9&gt;=8/24,R$9&lt;14/24)</formula>
    </cfRule>
    <cfRule type="expression" dxfId="3896" priority="414">
      <formula>R$9&lt;8/24</formula>
    </cfRule>
  </conditionalFormatting>
  <conditionalFormatting sqref="R55:AF55">
    <cfRule type="expression" dxfId="3895" priority="407">
      <formula>R$9&gt;=20/24</formula>
    </cfRule>
    <cfRule type="expression" dxfId="3894" priority="408">
      <formula>AND(R$9&gt;=14/24,R$9&lt;20/24)</formula>
    </cfRule>
    <cfRule type="expression" dxfId="3893" priority="409">
      <formula>AND(R$9&gt;=8/24,R$9&lt;14/24)</formula>
    </cfRule>
    <cfRule type="expression" dxfId="3892" priority="410">
      <formula>R$9&lt;8/24</formula>
    </cfRule>
  </conditionalFormatting>
  <conditionalFormatting sqref="R79:Z79">
    <cfRule type="expression" dxfId="3891" priority="403">
      <formula>R$9&gt;=20/24</formula>
    </cfRule>
    <cfRule type="expression" dxfId="3890" priority="404">
      <formula>AND(R$9&gt;=14/24,R$9&lt;20/24)</formula>
    </cfRule>
    <cfRule type="expression" dxfId="3889" priority="405">
      <formula>AND(R$9&gt;=8/24,R$9&lt;14/24)</formula>
    </cfRule>
    <cfRule type="expression" dxfId="3888" priority="406">
      <formula>R$9&lt;8/24</formula>
    </cfRule>
  </conditionalFormatting>
  <conditionalFormatting sqref="T82:AD82">
    <cfRule type="expression" dxfId="3887" priority="399">
      <formula>T$9&gt;=20/24</formula>
    </cfRule>
    <cfRule type="expression" dxfId="3886" priority="400">
      <formula>AND(T$9&gt;=14/24,T$9&lt;20/24)</formula>
    </cfRule>
    <cfRule type="expression" dxfId="3885" priority="401">
      <formula>AND(T$9&gt;=8/24,T$9&lt;14/24)</formula>
    </cfRule>
    <cfRule type="expression" dxfId="3884" priority="402">
      <formula>T$9&lt;8/24</formula>
    </cfRule>
  </conditionalFormatting>
  <conditionalFormatting sqref="L33:M33">
    <cfRule type="expression" dxfId="3883" priority="395">
      <formula>L$9&gt;=20/24</formula>
    </cfRule>
    <cfRule type="expression" dxfId="3882" priority="396">
      <formula>AND(L$9&gt;=14/24,L$9&lt;20/24)</formula>
    </cfRule>
    <cfRule type="expression" dxfId="3881" priority="397">
      <formula>AND(L$9&gt;=8/24,L$9&lt;14/24)</formula>
    </cfRule>
    <cfRule type="expression" dxfId="3880" priority="398">
      <formula>L$9&lt;8/24</formula>
    </cfRule>
  </conditionalFormatting>
  <conditionalFormatting sqref="L47:M47">
    <cfRule type="expression" dxfId="3879" priority="391">
      <formula>L$9&gt;=20/24</formula>
    </cfRule>
    <cfRule type="expression" dxfId="3878" priority="392">
      <formula>AND(L$9&gt;=14/24,L$9&lt;20/24)</formula>
    </cfRule>
    <cfRule type="expression" dxfId="3877" priority="393">
      <formula>AND(L$9&gt;=8/24,L$9&lt;14/24)</formula>
    </cfRule>
    <cfRule type="expression" dxfId="3876" priority="394">
      <formula>L$9&lt;8/24</formula>
    </cfRule>
  </conditionalFormatting>
  <conditionalFormatting sqref="L48:M48">
    <cfRule type="expression" dxfId="3875" priority="387">
      <formula>L$9&gt;=20/24</formula>
    </cfRule>
    <cfRule type="expression" dxfId="3874" priority="388">
      <formula>AND(L$9&gt;=14/24,L$9&lt;20/24)</formula>
    </cfRule>
    <cfRule type="expression" dxfId="3873" priority="389">
      <formula>AND(L$9&gt;=8/24,L$9&lt;14/24)</formula>
    </cfRule>
    <cfRule type="expression" dxfId="3872" priority="390">
      <formula>L$9&lt;8/24</formula>
    </cfRule>
  </conditionalFormatting>
  <conditionalFormatting sqref="L43:M46">
    <cfRule type="expression" dxfId="3871" priority="383">
      <formula>L$9&gt;=20/24</formula>
    </cfRule>
    <cfRule type="expression" dxfId="3870" priority="384">
      <formula>AND(L$9&gt;=14/24,L$9&lt;20/24)</formula>
    </cfRule>
    <cfRule type="expression" dxfId="3869" priority="385">
      <formula>AND(L$9&gt;=8/24,L$9&lt;14/24)</formula>
    </cfRule>
    <cfRule type="expression" dxfId="3868" priority="386">
      <formula>L$9&lt;8/24</formula>
    </cfRule>
  </conditionalFormatting>
  <conditionalFormatting sqref="S35:AF35">
    <cfRule type="expression" dxfId="3867" priority="379">
      <formula>S$9&gt;=20/24</formula>
    </cfRule>
    <cfRule type="expression" dxfId="3866" priority="380">
      <formula>AND(S$9&gt;=14/24,S$9&lt;20/24)</formula>
    </cfRule>
    <cfRule type="expression" dxfId="3865" priority="381">
      <formula>AND(S$9&gt;=8/24,S$9&lt;14/24)</formula>
    </cfRule>
    <cfRule type="expression" dxfId="3864" priority="382">
      <formula>S$9&lt;8/24</formula>
    </cfRule>
  </conditionalFormatting>
  <conditionalFormatting sqref="W41:AF41 R44:AF44">
    <cfRule type="expression" dxfId="3863" priority="371">
      <formula>R$9&gt;=20/24</formula>
    </cfRule>
    <cfRule type="expression" dxfId="3862" priority="372">
      <formula>AND(R$9&gt;=14/24,R$9&lt;20/24)</formula>
    </cfRule>
    <cfRule type="expression" dxfId="3861" priority="373">
      <formula>AND(R$9&gt;=8/24,R$9&lt;14/24)</formula>
    </cfRule>
    <cfRule type="expression" dxfId="3860" priority="374">
      <formula>R$9&lt;8/24</formula>
    </cfRule>
  </conditionalFormatting>
  <conditionalFormatting sqref="R58:S59 W58:AF65">
    <cfRule type="expression" dxfId="3859" priority="359">
      <formula>R$9&gt;=20/24</formula>
    </cfRule>
    <cfRule type="expression" dxfId="3858" priority="360">
      <formula>AND(R$9&gt;=14/24,R$9&lt;20/24)</formula>
    </cfRule>
    <cfRule type="expression" dxfId="3857" priority="361">
      <formula>AND(R$9&gt;=8/24,R$9&lt;14/24)</formula>
    </cfRule>
    <cfRule type="expression" dxfId="3856" priority="362">
      <formula>R$9&lt;8/24</formula>
    </cfRule>
  </conditionalFormatting>
  <conditionalFormatting sqref="C60:H60 H61:H65 I60:K65">
    <cfRule type="expression" dxfId="3855" priority="351">
      <formula>C$9&gt;=20/24</formula>
    </cfRule>
    <cfRule type="expression" dxfId="3854" priority="352">
      <formula>AND(C$9&gt;=14/24,C$9&lt;20/24)</formula>
    </cfRule>
    <cfRule type="expression" dxfId="3853" priority="353">
      <formula>AND(C$9&gt;=8/24,C$9&lt;14/24)</formula>
    </cfRule>
    <cfRule type="expression" dxfId="3852" priority="354">
      <formula>C$9&lt;8/24</formula>
    </cfRule>
  </conditionalFormatting>
  <conditionalFormatting sqref="T92:AD95">
    <cfRule type="expression" dxfId="3851" priority="347">
      <formula>T$9&gt;=20/24</formula>
    </cfRule>
    <cfRule type="expression" dxfId="3850" priority="348">
      <formula>AND(T$9&gt;=14/24,T$9&lt;20/24)</formula>
    </cfRule>
    <cfRule type="expression" dxfId="3849" priority="349">
      <formula>AND(T$9&gt;=8/24,T$9&lt;14/24)</formula>
    </cfRule>
    <cfRule type="expression" dxfId="3848" priority="350">
      <formula>T$9&lt;8/24</formula>
    </cfRule>
  </conditionalFormatting>
  <conditionalFormatting sqref="AG49 E15:M31 E33:M34 C43:M48 C41:M41 E11:Q13 W41 C36:AF36 C38:W40 E35:Z35 W34:Z34 X38:Z41 C37:Z37 C49:AF54 AA34:AF35 R11:AF11 R44:AF44 AA37:AF41">
    <cfRule type="expression" dxfId="3847" priority="346">
      <formula>C11&gt;$AG11</formula>
    </cfRule>
  </conditionalFormatting>
  <conditionalFormatting sqref="A98:A154 A82:A95 A11:A13 A15:A31 A43:A70 A78:A80 A72:A76 A33:A41 A167:A198">
    <cfRule type="expression" dxfId="3846" priority="345">
      <formula>$AH11=0</formula>
    </cfRule>
  </conditionalFormatting>
  <conditionalFormatting sqref="T96:AD96">
    <cfRule type="expression" dxfId="3845" priority="337">
      <formula>T$9&gt;=20/24</formula>
    </cfRule>
    <cfRule type="expression" dxfId="3844" priority="338">
      <formula>AND(T$9&gt;=14/24,T$9&lt;20/24)</formula>
    </cfRule>
    <cfRule type="expression" dxfId="3843" priority="339">
      <formula>AND(T$9&gt;=8/24,T$9&lt;14/24)</formula>
    </cfRule>
    <cfRule type="expression" dxfId="3842" priority="340">
      <formula>T$9&lt;8/24</formula>
    </cfRule>
  </conditionalFormatting>
  <conditionalFormatting sqref="A96">
    <cfRule type="expression" dxfId="3841" priority="336">
      <formula>$AH96=0</formula>
    </cfRule>
  </conditionalFormatting>
  <conditionalFormatting sqref="E34:M34 W34:AF34">
    <cfRule type="expression" dxfId="3840" priority="332">
      <formula>E$9&gt;=20/24</formula>
    </cfRule>
    <cfRule type="expression" dxfId="3839" priority="333">
      <formula>AND(E$9&gt;=14/24,E$9&lt;20/24)</formula>
    </cfRule>
    <cfRule type="expression" dxfId="3838" priority="334">
      <formula>AND(E$9&gt;=8/24,E$9&lt;14/24)</formula>
    </cfRule>
    <cfRule type="expression" dxfId="3837" priority="335">
      <formula>E$9&lt;8/24</formula>
    </cfRule>
  </conditionalFormatting>
  <conditionalFormatting sqref="W34:AF34">
    <cfRule type="expression" dxfId="3836" priority="328">
      <formula>W$9&gt;=20/24</formula>
    </cfRule>
    <cfRule type="expression" dxfId="3835" priority="329">
      <formula>AND(W$9&gt;=14/24,W$9&lt;20/24)</formula>
    </cfRule>
    <cfRule type="expression" dxfId="3834" priority="330">
      <formula>AND(W$9&gt;=8/24,W$9&lt;14/24)</formula>
    </cfRule>
    <cfRule type="expression" dxfId="3833" priority="331">
      <formula>W$9&lt;8/24</formula>
    </cfRule>
  </conditionalFormatting>
  <conditionalFormatting sqref="D61:G65">
    <cfRule type="expression" dxfId="3832" priority="320">
      <formula>D$9&gt;=20/24</formula>
    </cfRule>
    <cfRule type="expression" dxfId="3831" priority="321">
      <formula>AND(D$9&gt;=14/24,D$9&lt;20/24)</formula>
    </cfRule>
    <cfRule type="expression" dxfId="3830" priority="322">
      <formula>AND(D$9&gt;=8/24,D$9&lt;14/24)</formula>
    </cfRule>
    <cfRule type="expression" dxfId="3829" priority="323">
      <formula>D$9&lt;8/24</formula>
    </cfRule>
  </conditionalFormatting>
  <conditionalFormatting sqref="L60:M65">
    <cfRule type="expression" dxfId="3828" priority="316">
      <formula>L$9&gt;=20/24</formula>
    </cfRule>
    <cfRule type="expression" dxfId="3827" priority="317">
      <formula>AND(L$9&gt;=14/24,L$9&lt;20/24)</formula>
    </cfRule>
    <cfRule type="expression" dxfId="3826" priority="318">
      <formula>AND(L$9&gt;=8/24,L$9&lt;14/24)</formula>
    </cfRule>
    <cfRule type="expression" dxfId="3825" priority="319">
      <formula>L$9&lt;8/24</formula>
    </cfRule>
  </conditionalFormatting>
  <conditionalFormatting sqref="AL31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L32:M32">
    <cfRule type="expression" dxfId="3824" priority="307">
      <formula>L$9&gt;=20/24</formula>
    </cfRule>
    <cfRule type="expression" dxfId="3823" priority="308">
      <formula>AND(L$9&gt;=14/24,L$9&lt;20/24)</formula>
    </cfRule>
    <cfRule type="expression" dxfId="3822" priority="309">
      <formula>AND(L$9&gt;=8/24,L$9&lt;14/24)</formula>
    </cfRule>
    <cfRule type="expression" dxfId="3821" priority="310">
      <formula>L$9&lt;8/24</formula>
    </cfRule>
  </conditionalFormatting>
  <conditionalFormatting sqref="E32:M32">
    <cfRule type="expression" dxfId="3820" priority="302">
      <formula>E32&gt;$AG32</formula>
    </cfRule>
  </conditionalFormatting>
  <conditionalFormatting sqref="A32">
    <cfRule type="expression" dxfId="3819" priority="301">
      <formula>$AH32=0</formula>
    </cfRule>
  </conditionalFormatting>
  <conditionalFormatting sqref="C81:AF81">
    <cfRule type="expression" dxfId="3818" priority="297">
      <formula>C$9&gt;=20/24</formula>
    </cfRule>
    <cfRule type="expression" dxfId="3817" priority="298">
      <formula>AND(C$9&gt;=14/24,C$9&lt;20/24)</formula>
    </cfRule>
    <cfRule type="expression" dxfId="3816" priority="299">
      <formula>AND(C$9&gt;=8/24,C$9&lt;14/24)</formula>
    </cfRule>
    <cfRule type="expression" dxfId="3815" priority="300">
      <formula>C$9&lt;8/24</formula>
    </cfRule>
  </conditionalFormatting>
  <conditionalFormatting sqref="A81">
    <cfRule type="expression" dxfId="3814" priority="296">
      <formula>$AH81=0</formula>
    </cfRule>
  </conditionalFormatting>
  <conditionalFormatting sqref="L14:AF14">
    <cfRule type="expression" dxfId="3813" priority="288">
      <formula>L$9&gt;=20/24</formula>
    </cfRule>
    <cfRule type="expression" dxfId="3812" priority="289">
      <formula>AND(L$9&gt;=14/24,L$9&lt;20/24)</formula>
    </cfRule>
    <cfRule type="expression" dxfId="3811" priority="290">
      <formula>AND(L$9&gt;=8/24,L$9&lt;14/24)</formula>
    </cfRule>
    <cfRule type="expression" dxfId="3810" priority="291">
      <formula>L$9&lt;8/24</formula>
    </cfRule>
  </conditionalFormatting>
  <conditionalFormatting sqref="E14:AF14">
    <cfRule type="expression" dxfId="3809" priority="287">
      <formula>E14&gt;$AG14</formula>
    </cfRule>
  </conditionalFormatting>
  <conditionalFormatting sqref="A14">
    <cfRule type="expression" dxfId="3808" priority="286">
      <formula>$AH14=0</formula>
    </cfRule>
  </conditionalFormatting>
  <conditionalFormatting sqref="A161:A166">
    <cfRule type="expression" dxfId="3807" priority="285">
      <formula>$AH161=0</formula>
    </cfRule>
  </conditionalFormatting>
  <conditionalFormatting sqref="A155:A160">
    <cfRule type="expression" dxfId="3806" priority="284">
      <formula>$AH155=0</formula>
    </cfRule>
  </conditionalFormatting>
  <conditionalFormatting sqref="L42:M42">
    <cfRule type="expression" dxfId="3805" priority="276">
      <formula>L$9&gt;=20/24</formula>
    </cfRule>
    <cfRule type="expression" dxfId="3804" priority="277">
      <formula>AND(L$9&gt;=14/24,L$9&lt;20/24)</formula>
    </cfRule>
    <cfRule type="expression" dxfId="3803" priority="278">
      <formula>AND(L$9&gt;=8/24,L$9&lt;14/24)</formula>
    </cfRule>
    <cfRule type="expression" dxfId="3802" priority="279">
      <formula>L$9&lt;8/24</formula>
    </cfRule>
  </conditionalFormatting>
  <conditionalFormatting sqref="C42:M42">
    <cfRule type="expression" dxfId="3801" priority="271">
      <formula>C42&gt;$AG42</formula>
    </cfRule>
  </conditionalFormatting>
  <conditionalFormatting sqref="A42">
    <cfRule type="expression" dxfId="3800" priority="270">
      <formula>$AH42=0</formula>
    </cfRule>
  </conditionalFormatting>
  <conditionalFormatting sqref="C77:AF77">
    <cfRule type="expression" dxfId="3799" priority="266">
      <formula>C$9&gt;=20/24</formula>
    </cfRule>
    <cfRule type="expression" dxfId="3798" priority="267">
      <formula>AND(C$9&gt;=14/24,C$9&lt;20/24)</formula>
    </cfRule>
    <cfRule type="expression" dxfId="3797" priority="268">
      <formula>AND(C$9&gt;=8/24,C$9&lt;14/24)</formula>
    </cfRule>
    <cfRule type="expression" dxfId="3796" priority="269">
      <formula>C$9&lt;8/24</formula>
    </cfRule>
  </conditionalFormatting>
  <conditionalFormatting sqref="A77">
    <cfRule type="expression" dxfId="3795" priority="265">
      <formula>$AH77=0</formula>
    </cfRule>
  </conditionalFormatting>
  <conditionalFormatting sqref="C71:AG71">
    <cfRule type="expression" dxfId="3794" priority="261">
      <formula>C$9&gt;=20/24</formula>
    </cfRule>
    <cfRule type="expression" dxfId="3793" priority="262">
      <formula>AND(C$9&gt;=14/24,C$9&lt;20/24)</formula>
    </cfRule>
    <cfRule type="expression" dxfId="3792" priority="263">
      <formula>AND(C$9&gt;=8/24,C$9&lt;14/24)</formula>
    </cfRule>
    <cfRule type="expression" dxfId="3791" priority="264">
      <formula>C$9&lt;8/24</formula>
    </cfRule>
  </conditionalFormatting>
  <conditionalFormatting sqref="A71">
    <cfRule type="expression" dxfId="3790" priority="260">
      <formula>$AH71=0</formula>
    </cfRule>
  </conditionalFormatting>
  <conditionalFormatting sqref="AL32:AL33 AL7:AL30">
    <cfRule type="iconSet" priority="442">
      <iconSet iconSet="3TrafficLights2" reverse="1">
        <cfvo type="percent" val="0"/>
        <cfvo type="num" val="1"/>
        <cfvo type="num" val="1"/>
      </iconSet>
    </cfRule>
  </conditionalFormatting>
  <conditionalFormatting sqref="T58:V59">
    <cfRule type="expression" dxfId="3789" priority="256">
      <formula>T$9&gt;=20/24</formula>
    </cfRule>
    <cfRule type="expression" dxfId="3788" priority="257">
      <formula>AND(T$9&gt;=14/24,T$9&lt;20/24)</formula>
    </cfRule>
    <cfRule type="expression" dxfId="3787" priority="258">
      <formula>AND(T$9&gt;=8/24,T$9&lt;14/24)</formula>
    </cfRule>
    <cfRule type="expression" dxfId="3786" priority="259">
      <formula>T$9&lt;8/24</formula>
    </cfRule>
  </conditionalFormatting>
  <conditionalFormatting sqref="T83:V89">
    <cfRule type="expression" dxfId="3785" priority="252">
      <formula>T$9&gt;=20/24</formula>
    </cfRule>
    <cfRule type="expression" dxfId="3784" priority="253">
      <formula>AND(T$9&gt;=14/24,T$9&lt;20/24)</formula>
    </cfRule>
    <cfRule type="expression" dxfId="3783" priority="254">
      <formula>AND(T$9&gt;=8/24,T$9&lt;14/24)</formula>
    </cfRule>
    <cfRule type="expression" dxfId="3782" priority="255">
      <formula>T$9&lt;8/24</formula>
    </cfRule>
  </conditionalFormatting>
  <conditionalFormatting sqref="R83:S89 C82:Q89">
    <cfRule type="expression" dxfId="3781" priority="248">
      <formula>C$9&gt;=20/24</formula>
    </cfRule>
    <cfRule type="expression" dxfId="3780" priority="249">
      <formula>AND(C$9&gt;=14/24,C$9&lt;20/24)</formula>
    </cfRule>
    <cfRule type="expression" dxfId="3779" priority="250">
      <formula>AND(C$9&gt;=8/24,C$9&lt;14/24)</formula>
    </cfRule>
    <cfRule type="expression" dxfId="3778" priority="251">
      <formula>C$9&lt;8/24</formula>
    </cfRule>
  </conditionalFormatting>
  <conditionalFormatting sqref="R82:S82">
    <cfRule type="expression" dxfId="3777" priority="244">
      <formula>R$9&gt;=20/24</formula>
    </cfRule>
    <cfRule type="expression" dxfId="3776" priority="245">
      <formula>AND(R$9&gt;=14/24,R$9&lt;20/24)</formula>
    </cfRule>
    <cfRule type="expression" dxfId="3775" priority="246">
      <formula>AND(R$9&gt;=8/24,R$9&lt;14/24)</formula>
    </cfRule>
    <cfRule type="expression" dxfId="3774" priority="247">
      <formula>R$9&lt;8/24</formula>
    </cfRule>
  </conditionalFormatting>
  <conditionalFormatting sqref="C92:F95 G93:M95">
    <cfRule type="expression" dxfId="3773" priority="240">
      <formula>C$9&gt;=20/24</formula>
    </cfRule>
    <cfRule type="expression" dxfId="3772" priority="241">
      <formula>AND(C$9&gt;=14/24,C$9&lt;20/24)</formula>
    </cfRule>
    <cfRule type="expression" dxfId="3771" priority="242">
      <formula>AND(C$9&gt;=8/24,C$9&lt;14/24)</formula>
    </cfRule>
    <cfRule type="expression" dxfId="3770" priority="243">
      <formula>C$9&lt;8/24</formula>
    </cfRule>
  </conditionalFormatting>
  <conditionalFormatting sqref="N92:Q95">
    <cfRule type="expression" dxfId="3769" priority="236">
      <formula>N$9&gt;=20/24</formula>
    </cfRule>
    <cfRule type="expression" dxfId="3768" priority="237">
      <formula>AND(N$9&gt;=14/24,N$9&lt;20/24)</formula>
    </cfRule>
    <cfRule type="expression" dxfId="3767" priority="238">
      <formula>AND(N$9&gt;=8/24,N$9&lt;14/24)</formula>
    </cfRule>
    <cfRule type="expression" dxfId="3766" priority="239">
      <formula>N$9&lt;8/24</formula>
    </cfRule>
  </conditionalFormatting>
  <conditionalFormatting sqref="R92:S95">
    <cfRule type="expression" dxfId="3765" priority="232">
      <formula>R$9&gt;=20/24</formula>
    </cfRule>
    <cfRule type="expression" dxfId="3764" priority="233">
      <formula>AND(R$9&gt;=14/24,R$9&lt;20/24)</formula>
    </cfRule>
    <cfRule type="expression" dxfId="3763" priority="234">
      <formula>AND(R$9&gt;=8/24,R$9&lt;14/24)</formula>
    </cfRule>
    <cfRule type="expression" dxfId="3762" priority="235">
      <formula>R$9&lt;8/24</formula>
    </cfRule>
  </conditionalFormatting>
  <conditionalFormatting sqref="C96:M96">
    <cfRule type="expression" dxfId="3761" priority="228">
      <formula>C$9&gt;=20/24</formula>
    </cfRule>
    <cfRule type="expression" dxfId="3760" priority="229">
      <formula>AND(C$9&gt;=14/24,C$9&lt;20/24)</formula>
    </cfRule>
    <cfRule type="expression" dxfId="3759" priority="230">
      <formula>AND(C$9&gt;=8/24,C$9&lt;14/24)</formula>
    </cfRule>
    <cfRule type="expression" dxfId="3758" priority="231">
      <formula>C$9&lt;8/24</formula>
    </cfRule>
  </conditionalFormatting>
  <conditionalFormatting sqref="N96:Q96">
    <cfRule type="expression" dxfId="3757" priority="224">
      <formula>N$9&gt;=20/24</formula>
    </cfRule>
    <cfRule type="expression" dxfId="3756" priority="225">
      <formula>AND(N$9&gt;=14/24,N$9&lt;20/24)</formula>
    </cfRule>
    <cfRule type="expression" dxfId="3755" priority="226">
      <formula>AND(N$9&gt;=8/24,N$9&lt;14/24)</formula>
    </cfRule>
    <cfRule type="expression" dxfId="3754" priority="227">
      <formula>N$9&lt;8/24</formula>
    </cfRule>
  </conditionalFormatting>
  <conditionalFormatting sqref="R96:S96">
    <cfRule type="expression" dxfId="3753" priority="220">
      <formula>R$9&gt;=20/24</formula>
    </cfRule>
    <cfRule type="expression" dxfId="3752" priority="221">
      <formula>AND(R$9&gt;=14/24,R$9&lt;20/24)</formula>
    </cfRule>
    <cfRule type="expression" dxfId="3751" priority="222">
      <formula>AND(R$9&gt;=8/24,R$9&lt;14/24)</formula>
    </cfRule>
    <cfRule type="expression" dxfId="3750" priority="223">
      <formula>R$9&lt;8/24</formula>
    </cfRule>
  </conditionalFormatting>
  <conditionalFormatting sqref="L92:M92">
    <cfRule type="expression" dxfId="3749" priority="216">
      <formula>L$9&gt;=20/24</formula>
    </cfRule>
    <cfRule type="expression" dxfId="3748" priority="217">
      <formula>AND(L$9&gt;=14/24,L$9&lt;20/24)</formula>
    </cfRule>
    <cfRule type="expression" dxfId="3747" priority="218">
      <formula>AND(L$9&gt;=8/24,L$9&lt;14/24)</formula>
    </cfRule>
    <cfRule type="expression" dxfId="3746" priority="219">
      <formula>L$9&lt;8/24</formula>
    </cfRule>
  </conditionalFormatting>
  <conditionalFormatting sqref="G92:K92">
    <cfRule type="expression" dxfId="3745" priority="212">
      <formula>G$9&gt;=20/24</formula>
    </cfRule>
    <cfRule type="expression" dxfId="3744" priority="213">
      <formula>AND(G$9&gt;=14/24,G$9&lt;20/24)</formula>
    </cfRule>
    <cfRule type="expression" dxfId="3743" priority="214">
      <formula>AND(G$9&gt;=8/24,G$9&lt;14/24)</formula>
    </cfRule>
    <cfRule type="expression" dxfId="3742" priority="215">
      <formula>G$9&lt;8/24</formula>
    </cfRule>
  </conditionalFormatting>
  <conditionalFormatting sqref="T92:V92">
    <cfRule type="expression" dxfId="3741" priority="208">
      <formula>T$9&gt;=20/24</formula>
    </cfRule>
    <cfRule type="expression" dxfId="3740" priority="209">
      <formula>AND(T$9&gt;=14/24,T$9&lt;20/24)</formula>
    </cfRule>
    <cfRule type="expression" dxfId="3739" priority="210">
      <formula>AND(T$9&gt;=8/24,T$9&lt;14/24)</formula>
    </cfRule>
    <cfRule type="expression" dxfId="3738" priority="211">
      <formula>T$9&lt;8/24</formula>
    </cfRule>
  </conditionalFormatting>
  <conditionalFormatting sqref="N92:S92">
    <cfRule type="expression" dxfId="3737" priority="204">
      <formula>N$9&gt;=20/24</formula>
    </cfRule>
    <cfRule type="expression" dxfId="3736" priority="205">
      <formula>AND(N$9&gt;=14/24,N$9&lt;20/24)</formula>
    </cfRule>
    <cfRule type="expression" dxfId="3735" priority="206">
      <formula>AND(N$9&gt;=8/24,N$9&lt;14/24)</formula>
    </cfRule>
    <cfRule type="expression" dxfId="3734" priority="207">
      <formula>N$9&lt;8/24</formula>
    </cfRule>
  </conditionalFormatting>
  <conditionalFormatting sqref="T97:AD97">
    <cfRule type="expression" dxfId="3733" priority="196">
      <formula>T$9&gt;=20/24</formula>
    </cfRule>
    <cfRule type="expression" dxfId="3732" priority="197">
      <formula>AND(T$9&gt;=14/24,T$9&lt;20/24)</formula>
    </cfRule>
    <cfRule type="expression" dxfId="3731" priority="198">
      <formula>AND(T$9&gt;=8/24,T$9&lt;14/24)</formula>
    </cfRule>
    <cfRule type="expression" dxfId="3730" priority="199">
      <formula>T$9&lt;8/24</formula>
    </cfRule>
  </conditionalFormatting>
  <conditionalFormatting sqref="A97">
    <cfRule type="expression" dxfId="3729" priority="195">
      <formula>$AH97=0</formula>
    </cfRule>
  </conditionalFormatting>
  <conditionalFormatting sqref="C97:M97">
    <cfRule type="expression" dxfId="3728" priority="191">
      <formula>C$9&gt;=20/24</formula>
    </cfRule>
    <cfRule type="expression" dxfId="3727" priority="192">
      <formula>AND(C$9&gt;=14/24,C$9&lt;20/24)</formula>
    </cfRule>
    <cfRule type="expression" dxfId="3726" priority="193">
      <formula>AND(C$9&gt;=8/24,C$9&lt;14/24)</formula>
    </cfRule>
    <cfRule type="expression" dxfId="3725" priority="194">
      <formula>C$9&lt;8/24</formula>
    </cfRule>
  </conditionalFormatting>
  <conditionalFormatting sqref="N97:Q97">
    <cfRule type="expression" dxfId="3724" priority="187">
      <formula>N$9&gt;=20/24</formula>
    </cfRule>
    <cfRule type="expression" dxfId="3723" priority="188">
      <formula>AND(N$9&gt;=14/24,N$9&lt;20/24)</formula>
    </cfRule>
    <cfRule type="expression" dxfId="3722" priority="189">
      <formula>AND(N$9&gt;=8/24,N$9&lt;14/24)</formula>
    </cfRule>
    <cfRule type="expression" dxfId="3721" priority="190">
      <formula>N$9&lt;8/24</formula>
    </cfRule>
  </conditionalFormatting>
  <conditionalFormatting sqref="R97:S97">
    <cfRule type="expression" dxfId="3720" priority="183">
      <formula>R$9&gt;=20/24</formula>
    </cfRule>
    <cfRule type="expression" dxfId="3719" priority="184">
      <formula>AND(R$9&gt;=14/24,R$9&lt;20/24)</formula>
    </cfRule>
    <cfRule type="expression" dxfId="3718" priority="185">
      <formula>AND(R$9&gt;=8/24,R$9&lt;14/24)</formula>
    </cfRule>
    <cfRule type="expression" dxfId="3717" priority="186">
      <formula>R$9&lt;8/24</formula>
    </cfRule>
  </conditionalFormatting>
  <conditionalFormatting sqref="R12:AF13">
    <cfRule type="expression" dxfId="3716" priority="179">
      <formula>R$9&gt;=20/24</formula>
    </cfRule>
    <cfRule type="expression" dxfId="3715" priority="180">
      <formula>AND(R$9&gt;=14/24,R$9&lt;20/24)</formula>
    </cfRule>
    <cfRule type="expression" dxfId="3714" priority="181">
      <formula>AND(R$9&gt;=8/24,R$9&lt;14/24)</formula>
    </cfRule>
    <cfRule type="expression" dxfId="3713" priority="182">
      <formula>R$9&lt;8/24</formula>
    </cfRule>
  </conditionalFormatting>
  <conditionalFormatting sqref="R12:AF12">
    <cfRule type="expression" dxfId="3712" priority="171">
      <formula>R$9&gt;=20/24</formula>
    </cfRule>
    <cfRule type="expression" dxfId="3711" priority="172">
      <formula>AND(R$9&gt;=14/24,R$9&lt;20/24)</formula>
    </cfRule>
    <cfRule type="expression" dxfId="3710" priority="173">
      <formula>AND(R$9&gt;=8/24,R$9&lt;14/24)</formula>
    </cfRule>
    <cfRule type="expression" dxfId="3709" priority="174">
      <formula>R$9&lt;8/24</formula>
    </cfRule>
  </conditionalFormatting>
  <conditionalFormatting sqref="B66:B70 B72:B76 B78:B80 B51:B58 B82:B89 B27:D30 B15:D25 B11:D13">
    <cfRule type="expression" dxfId="3708" priority="163">
      <formula>B$9&gt;=20/24</formula>
    </cfRule>
    <cfRule type="expression" dxfId="3707" priority="164">
      <formula>AND(B$9&gt;=14/24,B$9&lt;20/24)</formula>
    </cfRule>
    <cfRule type="expression" dxfId="3706" priority="165">
      <formula>AND(B$9&gt;=8/24,B$9&lt;14/24)</formula>
    </cfRule>
    <cfRule type="expression" dxfId="3705" priority="166">
      <formula>B$9&lt;8/24</formula>
    </cfRule>
  </conditionalFormatting>
  <conditionalFormatting sqref="B31:D31">
    <cfRule type="expression" dxfId="3704" priority="159">
      <formula>B$9&gt;=20/24</formula>
    </cfRule>
    <cfRule type="expression" dxfId="3703" priority="160">
      <formula>AND(B$9&gt;=14/24,B$9&lt;20/24)</formula>
    </cfRule>
    <cfRule type="expression" dxfId="3702" priority="161">
      <formula>AND(B$9&gt;=8/24,B$9&lt;14/24)</formula>
    </cfRule>
    <cfRule type="expression" dxfId="3701" priority="162">
      <formula>B$9&lt;8/24</formula>
    </cfRule>
  </conditionalFormatting>
  <conditionalFormatting sqref="B35:D35">
    <cfRule type="expression" dxfId="3700" priority="155">
      <formula>B$9&gt;=20/24</formula>
    </cfRule>
    <cfRule type="expression" dxfId="3699" priority="156">
      <formula>AND(B$9&gt;=14/24,B$9&lt;20/24)</formula>
    </cfRule>
    <cfRule type="expression" dxfId="3698" priority="157">
      <formula>AND(B$9&gt;=8/24,B$9&lt;14/24)</formula>
    </cfRule>
    <cfRule type="expression" dxfId="3697" priority="158">
      <formula>B$9&lt;8/24</formula>
    </cfRule>
  </conditionalFormatting>
  <conditionalFormatting sqref="B33:D33">
    <cfRule type="expression" dxfId="3696" priority="151">
      <formula>B$9&gt;=20/24</formula>
    </cfRule>
    <cfRule type="expression" dxfId="3695" priority="152">
      <formula>AND(B$9&gt;=14/24,B$9&lt;20/24)</formula>
    </cfRule>
    <cfRule type="expression" dxfId="3694" priority="153">
      <formula>AND(B$9&gt;=8/24,B$9&lt;14/24)</formula>
    </cfRule>
    <cfRule type="expression" dxfId="3693" priority="154">
      <formula>B$9&lt;8/24</formula>
    </cfRule>
  </conditionalFormatting>
  <conditionalFormatting sqref="B59:B65">
    <cfRule type="expression" dxfId="3692" priority="147">
      <formula>B$9&gt;=20/24</formula>
    </cfRule>
    <cfRule type="expression" dxfId="3691" priority="148">
      <formula>AND(B$9&gt;=14/24,B$9&lt;20/24)</formula>
    </cfRule>
    <cfRule type="expression" dxfId="3690" priority="149">
      <formula>AND(B$9&gt;=8/24,B$9&lt;14/24)</formula>
    </cfRule>
    <cfRule type="expression" dxfId="3689" priority="150">
      <formula>B$9&lt;8/24</formula>
    </cfRule>
  </conditionalFormatting>
  <conditionalFormatting sqref="B92:B95">
    <cfRule type="expression" dxfId="3688" priority="143">
      <formula>B$9&gt;=20/24</formula>
    </cfRule>
    <cfRule type="expression" dxfId="3687" priority="144">
      <formula>AND(B$9&gt;=14/24,B$9&lt;20/24)</formula>
    </cfRule>
    <cfRule type="expression" dxfId="3686" priority="145">
      <formula>AND(B$9&gt;=8/24,B$9&lt;14/24)</formula>
    </cfRule>
    <cfRule type="expression" dxfId="3685" priority="146">
      <formula>B$9&lt;8/24</formula>
    </cfRule>
  </conditionalFormatting>
  <conditionalFormatting sqref="B43:B54 B33:B41 B15:D31 B11:D13 C33:D35">
    <cfRule type="expression" dxfId="3684" priority="142">
      <formula>B11&gt;$AG11</formula>
    </cfRule>
  </conditionalFormatting>
  <conditionalFormatting sqref="B96">
    <cfRule type="expression" dxfId="3683" priority="138">
      <formula>B$9&gt;=20/24</formula>
    </cfRule>
    <cfRule type="expression" dxfId="3682" priority="139">
      <formula>AND(B$9&gt;=14/24,B$9&lt;20/24)</formula>
    </cfRule>
    <cfRule type="expression" dxfId="3681" priority="140">
      <formula>AND(B$9&gt;=8/24,B$9&lt;14/24)</formula>
    </cfRule>
    <cfRule type="expression" dxfId="3680" priority="141">
      <formula>B$9&lt;8/24</formula>
    </cfRule>
  </conditionalFormatting>
  <conditionalFormatting sqref="B34:D34">
    <cfRule type="expression" dxfId="3679" priority="134">
      <formula>B$9&gt;=20/24</formula>
    </cfRule>
    <cfRule type="expression" dxfId="3678" priority="135">
      <formula>AND(B$9&gt;=14/24,B$9&lt;20/24)</formula>
    </cfRule>
    <cfRule type="expression" dxfId="3677" priority="136">
      <formula>AND(B$9&gt;=8/24,B$9&lt;14/24)</formula>
    </cfRule>
    <cfRule type="expression" dxfId="3676" priority="137">
      <formula>B$9&lt;8/24</formula>
    </cfRule>
  </conditionalFormatting>
  <conditionalFormatting sqref="B34:D34">
    <cfRule type="expression" dxfId="3675" priority="130">
      <formula>B$9&gt;=20/24</formula>
    </cfRule>
    <cfRule type="expression" dxfId="3674" priority="131">
      <formula>AND(B$9&gt;=14/24,B$9&lt;20/24)</formula>
    </cfRule>
    <cfRule type="expression" dxfId="3673" priority="132">
      <formula>AND(B$9&gt;=8/24,B$9&lt;14/24)</formula>
    </cfRule>
    <cfRule type="expression" dxfId="3672" priority="133">
      <formula>B$9&lt;8/24</formula>
    </cfRule>
  </conditionalFormatting>
  <conditionalFormatting sqref="B32:D32">
    <cfRule type="expression" dxfId="3671" priority="126">
      <formula>B$9&gt;=20/24</formula>
    </cfRule>
    <cfRule type="expression" dxfId="3670" priority="127">
      <formula>AND(B$9&gt;=14/24,B$9&lt;20/24)</formula>
    </cfRule>
    <cfRule type="expression" dxfId="3669" priority="128">
      <formula>AND(B$9&gt;=8/24,B$9&lt;14/24)</formula>
    </cfRule>
    <cfRule type="expression" dxfId="3668" priority="129">
      <formula>B$9&lt;8/24</formula>
    </cfRule>
  </conditionalFormatting>
  <conditionalFormatting sqref="B32:D32">
    <cfRule type="expression" dxfId="3667" priority="125">
      <formula>B32&gt;$AG32</formula>
    </cfRule>
  </conditionalFormatting>
  <conditionalFormatting sqref="B81">
    <cfRule type="expression" dxfId="3666" priority="121">
      <formula>B$9&gt;=20/24</formula>
    </cfRule>
    <cfRule type="expression" dxfId="3665" priority="122">
      <formula>AND(B$9&gt;=14/24,B$9&lt;20/24)</formula>
    </cfRule>
    <cfRule type="expression" dxfId="3664" priority="123">
      <formula>AND(B$9&gt;=8/24,B$9&lt;14/24)</formula>
    </cfRule>
    <cfRule type="expression" dxfId="3663" priority="124">
      <formula>B$9&lt;8/24</formula>
    </cfRule>
  </conditionalFormatting>
  <conditionalFormatting sqref="B14:D14">
    <cfRule type="expression" dxfId="3662" priority="117">
      <formula>B$9&gt;=20/24</formula>
    </cfRule>
    <cfRule type="expression" dxfId="3661" priority="118">
      <formula>AND(B$9&gt;=14/24,B$9&lt;20/24)</formula>
    </cfRule>
    <cfRule type="expression" dxfId="3660" priority="119">
      <formula>AND(B$9&gt;=8/24,B$9&lt;14/24)</formula>
    </cfRule>
    <cfRule type="expression" dxfId="3659" priority="120">
      <formula>B$9&lt;8/24</formula>
    </cfRule>
  </conditionalFormatting>
  <conditionalFormatting sqref="B14:D14">
    <cfRule type="expression" dxfId="3658" priority="116">
      <formula>B14&gt;$AG14</formula>
    </cfRule>
  </conditionalFormatting>
  <conditionalFormatting sqref="B42">
    <cfRule type="expression" dxfId="3657" priority="115">
      <formula>B42&gt;$AG42</formula>
    </cfRule>
  </conditionalFormatting>
  <conditionalFormatting sqref="B77">
    <cfRule type="expression" dxfId="3656" priority="111">
      <formula>B$9&gt;=20/24</formula>
    </cfRule>
    <cfRule type="expression" dxfId="3655" priority="112">
      <formula>AND(B$9&gt;=14/24,B$9&lt;20/24)</formula>
    </cfRule>
    <cfRule type="expression" dxfId="3654" priority="113">
      <formula>AND(B$9&gt;=8/24,B$9&lt;14/24)</formula>
    </cfRule>
    <cfRule type="expression" dxfId="3653" priority="114">
      <formula>B$9&lt;8/24</formula>
    </cfRule>
  </conditionalFormatting>
  <conditionalFormatting sqref="B71">
    <cfRule type="expression" dxfId="3652" priority="107">
      <formula>B$9&gt;=20/24</formula>
    </cfRule>
    <cfRule type="expression" dxfId="3651" priority="108">
      <formula>AND(B$9&gt;=14/24,B$9&lt;20/24)</formula>
    </cfRule>
    <cfRule type="expression" dxfId="3650" priority="109">
      <formula>AND(B$9&gt;=8/24,B$9&lt;14/24)</formula>
    </cfRule>
    <cfRule type="expression" dxfId="3649" priority="110">
      <formula>B$9&lt;8/24</formula>
    </cfRule>
  </conditionalFormatting>
  <conditionalFormatting sqref="B97">
    <cfRule type="expression" dxfId="3648" priority="103">
      <formula>B$9&gt;=20/24</formula>
    </cfRule>
    <cfRule type="expression" dxfId="3647" priority="104">
      <formula>AND(B$9&gt;=14/24,B$9&lt;20/24)</formula>
    </cfRule>
    <cfRule type="expression" dxfId="3646" priority="105">
      <formula>AND(B$9&gt;=8/24,B$9&lt;14/24)</formula>
    </cfRule>
    <cfRule type="expression" dxfId="3645" priority="106">
      <formula>B$9&lt;8/24</formula>
    </cfRule>
  </conditionalFormatting>
  <conditionalFormatting sqref="N15:O31">
    <cfRule type="expression" dxfId="3644" priority="99">
      <formula>N$9&gt;=20/24</formula>
    </cfRule>
    <cfRule type="expression" dxfId="3643" priority="100">
      <formula>AND(N$9&gt;=14/24,N$9&lt;20/24)</formula>
    </cfRule>
    <cfRule type="expression" dxfId="3642" priority="101">
      <formula>AND(N$9&gt;=8/24,N$9&lt;14/24)</formula>
    </cfRule>
    <cfRule type="expression" dxfId="3641" priority="102">
      <formula>N$9&lt;8/24</formula>
    </cfRule>
  </conditionalFormatting>
  <conditionalFormatting sqref="N33:O33">
    <cfRule type="expression" dxfId="3640" priority="95">
      <formula>N$9&gt;=20/24</formula>
    </cfRule>
    <cfRule type="expression" dxfId="3639" priority="96">
      <formula>AND(N$9&gt;=14/24,N$9&lt;20/24)</formula>
    </cfRule>
    <cfRule type="expression" dxfId="3638" priority="97">
      <formula>AND(N$9&gt;=8/24,N$9&lt;14/24)</formula>
    </cfRule>
    <cfRule type="expression" dxfId="3637" priority="98">
      <formula>N$9&lt;8/24</formula>
    </cfRule>
  </conditionalFormatting>
  <conditionalFormatting sqref="N15:O31 N33:O34">
    <cfRule type="expression" dxfId="3636" priority="94">
      <formula>N15&gt;$AG15</formula>
    </cfRule>
  </conditionalFormatting>
  <conditionalFormatting sqref="N34:O34">
    <cfRule type="expression" dxfId="3635" priority="90">
      <formula>N$9&gt;=20/24</formula>
    </cfRule>
    <cfRule type="expression" dxfId="3634" priority="91">
      <formula>AND(N$9&gt;=14/24,N$9&lt;20/24)</formula>
    </cfRule>
    <cfRule type="expression" dxfId="3633" priority="92">
      <formula>AND(N$9&gt;=8/24,N$9&lt;14/24)</formula>
    </cfRule>
    <cfRule type="expression" dxfId="3632" priority="93">
      <formula>N$9&lt;8/24</formula>
    </cfRule>
  </conditionalFormatting>
  <conditionalFormatting sqref="N32:O32">
    <cfRule type="expression" dxfId="3631" priority="86">
      <formula>N$9&gt;=20/24</formula>
    </cfRule>
    <cfRule type="expression" dxfId="3630" priority="87">
      <formula>AND(N$9&gt;=14/24,N$9&lt;20/24)</formula>
    </cfRule>
    <cfRule type="expression" dxfId="3629" priority="88">
      <formula>AND(N$9&gt;=8/24,N$9&lt;14/24)</formula>
    </cfRule>
    <cfRule type="expression" dxfId="3628" priority="89">
      <formula>N$9&lt;8/24</formula>
    </cfRule>
  </conditionalFormatting>
  <conditionalFormatting sqref="N32:O32">
    <cfRule type="expression" dxfId="3627" priority="85">
      <formula>N32&gt;$AG32</formula>
    </cfRule>
  </conditionalFormatting>
  <conditionalFormatting sqref="N41:O41">
    <cfRule type="expression" dxfId="3626" priority="81">
      <formula>N$9&gt;=20/24</formula>
    </cfRule>
    <cfRule type="expression" dxfId="3625" priority="82">
      <formula>AND(N$9&gt;=14/24,N$9&lt;20/24)</formula>
    </cfRule>
    <cfRule type="expression" dxfId="3624" priority="83">
      <formula>AND(N$9&gt;=8/24,N$9&lt;14/24)</formula>
    </cfRule>
    <cfRule type="expression" dxfId="3623" priority="84">
      <formula>N$9&lt;8/24</formula>
    </cfRule>
  </conditionalFormatting>
  <conditionalFormatting sqref="N47:O47">
    <cfRule type="expression" dxfId="3622" priority="77">
      <formula>N$9&gt;=20/24</formula>
    </cfRule>
    <cfRule type="expression" dxfId="3621" priority="78">
      <formula>AND(N$9&gt;=14/24,N$9&lt;20/24)</formula>
    </cfRule>
    <cfRule type="expression" dxfId="3620" priority="79">
      <formula>AND(N$9&gt;=8/24,N$9&lt;14/24)</formula>
    </cfRule>
    <cfRule type="expression" dxfId="3619" priority="80">
      <formula>N$9&lt;8/24</formula>
    </cfRule>
  </conditionalFormatting>
  <conditionalFormatting sqref="N48:O48">
    <cfRule type="expression" dxfId="3618" priority="73">
      <formula>N$9&gt;=20/24</formula>
    </cfRule>
    <cfRule type="expression" dxfId="3617" priority="74">
      <formula>AND(N$9&gt;=14/24,N$9&lt;20/24)</formula>
    </cfRule>
    <cfRule type="expression" dxfId="3616" priority="75">
      <formula>AND(N$9&gt;=8/24,N$9&lt;14/24)</formula>
    </cfRule>
    <cfRule type="expression" dxfId="3615" priority="76">
      <formula>N$9&lt;8/24</formula>
    </cfRule>
  </conditionalFormatting>
  <conditionalFormatting sqref="N43:O46">
    <cfRule type="expression" dxfId="3614" priority="69">
      <formula>N$9&gt;=20/24</formula>
    </cfRule>
    <cfRule type="expression" dxfId="3613" priority="70">
      <formula>AND(N$9&gt;=14/24,N$9&lt;20/24)</formula>
    </cfRule>
    <cfRule type="expression" dxfId="3612" priority="71">
      <formula>AND(N$9&gt;=8/24,N$9&lt;14/24)</formula>
    </cfRule>
    <cfRule type="expression" dxfId="3611" priority="72">
      <formula>N$9&lt;8/24</formula>
    </cfRule>
  </conditionalFormatting>
  <conditionalFormatting sqref="N43:O48 N41:O41">
    <cfRule type="expression" dxfId="3610" priority="68">
      <formula>N41&gt;$AG41</formula>
    </cfRule>
  </conditionalFormatting>
  <conditionalFormatting sqref="N42:O42">
    <cfRule type="expression" dxfId="3609" priority="64">
      <formula>N$9&gt;=20/24</formula>
    </cfRule>
    <cfRule type="expression" dxfId="3608" priority="65">
      <formula>AND(N$9&gt;=14/24,N$9&lt;20/24)</formula>
    </cfRule>
    <cfRule type="expression" dxfId="3607" priority="66">
      <formula>AND(N$9&gt;=8/24,N$9&lt;14/24)</formula>
    </cfRule>
    <cfRule type="expression" dxfId="3606" priority="67">
      <formula>N$9&lt;8/24</formula>
    </cfRule>
  </conditionalFormatting>
  <conditionalFormatting sqref="N42:O42">
    <cfRule type="expression" dxfId="3605" priority="63">
      <formula>N42&gt;$AG42</formula>
    </cfRule>
  </conditionalFormatting>
  <conditionalFormatting sqref="P15:AF31">
    <cfRule type="expression" dxfId="3604" priority="59">
      <formula>P$9&gt;=20/24</formula>
    </cfRule>
    <cfRule type="expression" dxfId="3603" priority="60">
      <formula>AND(P$9&gt;=14/24,P$9&lt;20/24)</formula>
    </cfRule>
    <cfRule type="expression" dxfId="3602" priority="61">
      <formula>AND(P$9&gt;=8/24,P$9&lt;14/24)</formula>
    </cfRule>
    <cfRule type="expression" dxfId="3601" priority="62">
      <formula>P$9&lt;8/24</formula>
    </cfRule>
  </conditionalFormatting>
  <conditionalFormatting sqref="P33:AF33">
    <cfRule type="expression" dxfId="3600" priority="55">
      <formula>P$9&gt;=20/24</formula>
    </cfRule>
    <cfRule type="expression" dxfId="3599" priority="56">
      <formula>AND(P$9&gt;=14/24,P$9&lt;20/24)</formula>
    </cfRule>
    <cfRule type="expression" dxfId="3598" priority="57">
      <formula>AND(P$9&gt;=8/24,P$9&lt;14/24)</formula>
    </cfRule>
    <cfRule type="expression" dxfId="3597" priority="58">
      <formula>P$9&lt;8/24</formula>
    </cfRule>
  </conditionalFormatting>
  <conditionalFormatting sqref="P33:V34 W33:AF33 P15:AF31">
    <cfRule type="expression" dxfId="3596" priority="54">
      <formula>P15&gt;$AG15</formula>
    </cfRule>
  </conditionalFormatting>
  <conditionalFormatting sqref="P34:V34">
    <cfRule type="expression" dxfId="3595" priority="50">
      <formula>P$9&gt;=20/24</formula>
    </cfRule>
    <cfRule type="expression" dxfId="3594" priority="51">
      <formula>AND(P$9&gt;=14/24,P$9&lt;20/24)</formula>
    </cfRule>
    <cfRule type="expression" dxfId="3593" priority="52">
      <formula>AND(P$9&gt;=8/24,P$9&lt;14/24)</formula>
    </cfRule>
    <cfRule type="expression" dxfId="3592" priority="53">
      <formula>P$9&lt;8/24</formula>
    </cfRule>
  </conditionalFormatting>
  <conditionalFormatting sqref="P32:AF32">
    <cfRule type="expression" dxfId="3591" priority="46">
      <formula>P$9&gt;=20/24</formula>
    </cfRule>
    <cfRule type="expression" dxfId="3590" priority="47">
      <formula>AND(P$9&gt;=14/24,P$9&lt;20/24)</formula>
    </cfRule>
    <cfRule type="expression" dxfId="3589" priority="48">
      <formula>AND(P$9&gt;=8/24,P$9&lt;14/24)</formula>
    </cfRule>
    <cfRule type="expression" dxfId="3588" priority="49">
      <formula>P$9&lt;8/24</formula>
    </cfRule>
  </conditionalFormatting>
  <conditionalFormatting sqref="P32:AF32">
    <cfRule type="expression" dxfId="3587" priority="45">
      <formula>P32&gt;$AG32</formula>
    </cfRule>
  </conditionalFormatting>
  <conditionalFormatting sqref="P41:V41">
    <cfRule type="expression" dxfId="3586" priority="41">
      <formula>P$9&gt;=20/24</formula>
    </cfRule>
    <cfRule type="expression" dxfId="3585" priority="42">
      <formula>AND(P$9&gt;=14/24,P$9&lt;20/24)</formula>
    </cfRule>
    <cfRule type="expression" dxfId="3584" priority="43">
      <formula>AND(P$9&gt;=8/24,P$9&lt;14/24)</formula>
    </cfRule>
    <cfRule type="expression" dxfId="3583" priority="44">
      <formula>P$9&lt;8/24</formula>
    </cfRule>
  </conditionalFormatting>
  <conditionalFormatting sqref="P47:AF47">
    <cfRule type="expression" dxfId="3582" priority="37">
      <formula>P$9&gt;=20/24</formula>
    </cfRule>
    <cfRule type="expression" dxfId="3581" priority="38">
      <formula>AND(P$9&gt;=14/24,P$9&lt;20/24)</formula>
    </cfRule>
    <cfRule type="expression" dxfId="3580" priority="39">
      <formula>AND(P$9&gt;=8/24,P$9&lt;14/24)</formula>
    </cfRule>
    <cfRule type="expression" dxfId="3579" priority="40">
      <formula>P$9&lt;8/24</formula>
    </cfRule>
  </conditionalFormatting>
  <conditionalFormatting sqref="P48:AF48">
    <cfRule type="expression" dxfId="3578" priority="33">
      <formula>P$9&gt;=20/24</formula>
    </cfRule>
    <cfRule type="expression" dxfId="3577" priority="34">
      <formula>AND(P$9&gt;=14/24,P$9&lt;20/24)</formula>
    </cfRule>
    <cfRule type="expression" dxfId="3576" priority="35">
      <formula>AND(P$9&gt;=8/24,P$9&lt;14/24)</formula>
    </cfRule>
    <cfRule type="expression" dxfId="3575" priority="36">
      <formula>P$9&lt;8/24</formula>
    </cfRule>
  </conditionalFormatting>
  <conditionalFormatting sqref="P43:Q46 R43:AF43 R45:AF46">
    <cfRule type="expression" dxfId="3574" priority="29">
      <formula>P$9&gt;=20/24</formula>
    </cfRule>
    <cfRule type="expression" dxfId="3573" priority="30">
      <formula>AND(P$9&gt;=14/24,P$9&lt;20/24)</formula>
    </cfRule>
    <cfRule type="expression" dxfId="3572" priority="31">
      <formula>AND(P$9&gt;=8/24,P$9&lt;14/24)</formula>
    </cfRule>
    <cfRule type="expression" dxfId="3571" priority="32">
      <formula>P$9&lt;8/24</formula>
    </cfRule>
  </conditionalFormatting>
  <conditionalFormatting sqref="P43:Q48 P41:V41 R43:AF43 R45:AF48">
    <cfRule type="expression" dxfId="3570" priority="28">
      <formula>P41&gt;$AG41</formula>
    </cfRule>
  </conditionalFormatting>
  <conditionalFormatting sqref="P42:AF42">
    <cfRule type="expression" dxfId="3569" priority="24">
      <formula>P$9&gt;=20/24</formula>
    </cfRule>
    <cfRule type="expression" dxfId="3568" priority="25">
      <formula>AND(P$9&gt;=14/24,P$9&lt;20/24)</formula>
    </cfRule>
    <cfRule type="expression" dxfId="3567" priority="26">
      <formula>AND(P$9&gt;=8/24,P$9&lt;14/24)</formula>
    </cfRule>
    <cfRule type="expression" dxfId="3566" priority="27">
      <formula>P$9&lt;8/24</formula>
    </cfRule>
  </conditionalFormatting>
  <conditionalFormatting sqref="P42:AF42">
    <cfRule type="expression" dxfId="3565" priority="23">
      <formula>P42&gt;$AG42</formula>
    </cfRule>
  </conditionalFormatting>
  <conditionalFormatting sqref="AE83:AF89">
    <cfRule type="expression" dxfId="3564" priority="19">
      <formula>AE$9&gt;=20/24</formula>
    </cfRule>
    <cfRule type="expression" dxfId="3563" priority="20">
      <formula>AND(AE$9&gt;=14/24,AE$9&lt;20/24)</formula>
    </cfRule>
    <cfRule type="expression" dxfId="3562" priority="21">
      <formula>AND(AE$9&gt;=8/24,AE$9&lt;14/24)</formula>
    </cfRule>
    <cfRule type="expression" dxfId="3561" priority="22">
      <formula>AE$9&lt;8/24</formula>
    </cfRule>
  </conditionalFormatting>
  <conditionalFormatting sqref="AE82:AF82">
    <cfRule type="expression" dxfId="3560" priority="15">
      <formula>AE$9&gt;=20/24</formula>
    </cfRule>
    <cfRule type="expression" dxfId="3559" priority="16">
      <formula>AND(AE$9&gt;=14/24,AE$9&lt;20/24)</formula>
    </cfRule>
    <cfRule type="expression" dxfId="3558" priority="17">
      <formula>AND(AE$9&gt;=8/24,AE$9&lt;14/24)</formula>
    </cfRule>
    <cfRule type="expression" dxfId="3557" priority="18">
      <formula>AE$9&lt;8/24</formula>
    </cfRule>
  </conditionalFormatting>
  <conditionalFormatting sqref="AE92:AF95">
    <cfRule type="expression" dxfId="3556" priority="11">
      <formula>AE$9&gt;=20/24</formula>
    </cfRule>
    <cfRule type="expression" dxfId="3555" priority="12">
      <formula>AND(AE$9&gt;=14/24,AE$9&lt;20/24)</formula>
    </cfRule>
    <cfRule type="expression" dxfId="3554" priority="13">
      <formula>AND(AE$9&gt;=8/24,AE$9&lt;14/24)</formula>
    </cfRule>
    <cfRule type="expression" dxfId="3553" priority="14">
      <formula>AE$9&lt;8/24</formula>
    </cfRule>
  </conditionalFormatting>
  <conditionalFormatting sqref="AE96:AF96">
    <cfRule type="expression" dxfId="3552" priority="7">
      <formula>AE$9&gt;=20/24</formula>
    </cfRule>
    <cfRule type="expression" dxfId="3551" priority="8">
      <formula>AND(AE$9&gt;=14/24,AE$9&lt;20/24)</formula>
    </cfRule>
    <cfRule type="expression" dxfId="3550" priority="9">
      <formula>AND(AE$9&gt;=8/24,AE$9&lt;14/24)</formula>
    </cfRule>
    <cfRule type="expression" dxfId="3549" priority="10">
      <formula>AE$9&lt;8/24</formula>
    </cfRule>
  </conditionalFormatting>
  <conditionalFormatting sqref="AE97:AF97">
    <cfRule type="expression" dxfId="3548" priority="3">
      <formula>AE$9&gt;=20/24</formula>
    </cfRule>
    <cfRule type="expression" dxfId="3547" priority="4">
      <formula>AND(AE$9&gt;=14/24,AE$9&lt;20/24)</formula>
    </cfRule>
    <cfRule type="expression" dxfId="3546" priority="5">
      <formula>AND(AE$9&gt;=8/24,AE$9&lt;14/24)</formula>
    </cfRule>
    <cfRule type="expression" dxfId="3545" priority="6">
      <formula>AE$9&lt;8/24</formula>
    </cfRule>
  </conditionalFormatting>
  <conditionalFormatting sqref="AM11">
    <cfRule type="iconSet" priority="2">
      <iconSet iconSet="3TrafficLights2" reverse="1">
        <cfvo type="percent" val="0"/>
        <cfvo type="num" val="1"/>
        <cfvo type="num" val="1"/>
      </iconSet>
    </cfRule>
  </conditionalFormatting>
  <conditionalFormatting sqref="AO11">
    <cfRule type="iconSet" priority="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D56" activePane="bottomRight" state="frozen"/>
      <selection activeCell="AF88" sqref="AF88"/>
      <selection pane="topRight" activeCell="AF88" sqref="AF88"/>
      <selection pane="bottomLeft" activeCell="AF88" sqref="AF88"/>
      <selection pane="bottomRight" activeCell="L94" sqref="L9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2078/04/23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-195.8</v>
      </c>
      <c r="C5" s="32">
        <f t="shared" ref="C5:AF5" si="0">C66</f>
        <v>-162.5</v>
      </c>
      <c r="D5" s="32">
        <f t="shared" si="0"/>
        <v>-151.9</v>
      </c>
      <c r="E5" s="32">
        <f t="shared" si="0"/>
        <v>-183.9</v>
      </c>
      <c r="F5" s="32">
        <f t="shared" si="0"/>
        <v>-138.19999999999999</v>
      </c>
      <c r="G5" s="32">
        <f t="shared" si="0"/>
        <v>-172.7</v>
      </c>
      <c r="H5" s="32">
        <f t="shared" si="0"/>
        <v>-198</v>
      </c>
      <c r="I5" s="32">
        <f t="shared" si="0"/>
        <v>-147.1</v>
      </c>
      <c r="J5" s="32">
        <f t="shared" si="0"/>
        <v>-79.5</v>
      </c>
      <c r="K5" s="32">
        <f t="shared" si="0"/>
        <v>-100.1</v>
      </c>
      <c r="L5" s="32">
        <f t="shared" si="0"/>
        <v>-123.3</v>
      </c>
      <c r="M5" s="32">
        <f t="shared" si="0"/>
        <v>-121.20000000000002</v>
      </c>
      <c r="N5" s="32">
        <f t="shared" si="0"/>
        <v>-128.80000000000001</v>
      </c>
      <c r="O5" s="32">
        <f t="shared" si="0"/>
        <v>-136</v>
      </c>
      <c r="P5" s="32">
        <f t="shared" si="0"/>
        <v>-51.1</v>
      </c>
      <c r="Q5" s="32">
        <f t="shared" si="0"/>
        <v>-48</v>
      </c>
      <c r="R5" s="32">
        <f t="shared" si="0"/>
        <v>-70</v>
      </c>
      <c r="S5" s="32">
        <f t="shared" si="0"/>
        <v>-70</v>
      </c>
      <c r="T5" s="32">
        <f t="shared" si="0"/>
        <v>-40</v>
      </c>
      <c r="U5" s="32">
        <f t="shared" si="0"/>
        <v>-36</v>
      </c>
      <c r="V5" s="32">
        <f t="shared" si="0"/>
        <v>0</v>
      </c>
      <c r="W5" s="32">
        <f t="shared" si="0"/>
        <v>-30</v>
      </c>
      <c r="X5" s="32">
        <f t="shared" si="0"/>
        <v>-63</v>
      </c>
      <c r="Y5" s="32">
        <f t="shared" si="0"/>
        <v>-154.6</v>
      </c>
      <c r="Z5" s="32">
        <f t="shared" si="0"/>
        <v>-164.8</v>
      </c>
      <c r="AA5" s="32">
        <f t="shared" si="0"/>
        <v>-223.10000000000002</v>
      </c>
      <c r="AB5" s="32">
        <f t="shared" si="0"/>
        <v>-236.89999999999998</v>
      </c>
      <c r="AC5" s="32">
        <f t="shared" si="0"/>
        <v>-234.49999999999997</v>
      </c>
      <c r="AD5" s="32">
        <f t="shared" si="0"/>
        <v>-194.7</v>
      </c>
      <c r="AE5" s="32">
        <f t="shared" si="0"/>
        <v>-217.1</v>
      </c>
      <c r="AF5" s="32">
        <f t="shared" si="0"/>
        <v>-217.7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1193MW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Load=1071</v>
      </c>
      <c r="B7" s="37">
        <f t="shared" ref="B7:AF7" si="1">B73</f>
        <v>1127.1399999999999</v>
      </c>
      <c r="C7" s="37">
        <f t="shared" si="1"/>
        <v>1111.24</v>
      </c>
      <c r="D7" s="37">
        <f t="shared" si="1"/>
        <v>1071.04</v>
      </c>
      <c r="E7" s="37">
        <f t="shared" si="1"/>
        <v>1070.8399999999999</v>
      </c>
      <c r="F7" s="37">
        <f t="shared" si="1"/>
        <v>1092.44</v>
      </c>
      <c r="G7" s="37">
        <f t="shared" si="1"/>
        <v>1122.3399999999999</v>
      </c>
      <c r="H7" s="37">
        <f t="shared" si="1"/>
        <v>1108.6399999999999</v>
      </c>
      <c r="I7" s="37">
        <f t="shared" si="1"/>
        <v>1092.8400000000001</v>
      </c>
      <c r="J7" s="37">
        <f t="shared" si="1"/>
        <v>1139.04</v>
      </c>
      <c r="K7" s="37">
        <f t="shared" si="1"/>
        <v>1152.94</v>
      </c>
      <c r="L7" s="37">
        <f>L73</f>
        <v>1165.94</v>
      </c>
      <c r="M7" s="37">
        <f t="shared" si="1"/>
        <v>1192.6400000000001</v>
      </c>
      <c r="N7" s="37">
        <f t="shared" si="1"/>
        <v>1193.6399999999999</v>
      </c>
      <c r="O7" s="37">
        <f t="shared" si="1"/>
        <v>1200.54</v>
      </c>
      <c r="P7" s="37">
        <f t="shared" si="1"/>
        <v>1283.4399999999998</v>
      </c>
      <c r="Q7" s="37">
        <f t="shared" si="1"/>
        <v>1234.9399999999998</v>
      </c>
      <c r="R7" s="37">
        <f t="shared" si="1"/>
        <v>1213.2399999999998</v>
      </c>
      <c r="S7" s="37">
        <f t="shared" si="1"/>
        <v>1073.2399999999998</v>
      </c>
      <c r="T7" s="37">
        <f t="shared" si="1"/>
        <v>1172.1399999999999</v>
      </c>
      <c r="U7" s="37">
        <f t="shared" si="1"/>
        <v>1183.24</v>
      </c>
      <c r="V7" s="37">
        <f t="shared" si="1"/>
        <v>1219.24</v>
      </c>
      <c r="W7" s="37">
        <f t="shared" si="1"/>
        <v>1377.44</v>
      </c>
      <c r="X7" s="37">
        <f t="shared" si="1"/>
        <v>1414.6399999999999</v>
      </c>
      <c r="Y7" s="37">
        <f t="shared" si="1"/>
        <v>1430.1399999999999</v>
      </c>
      <c r="Z7" s="37">
        <f t="shared" si="1"/>
        <v>1416.84</v>
      </c>
      <c r="AA7" s="37">
        <f t="shared" si="1"/>
        <v>1284.54</v>
      </c>
      <c r="AB7" s="37">
        <f t="shared" si="1"/>
        <v>1273.3400000000001</v>
      </c>
      <c r="AC7" s="37">
        <f t="shared" si="1"/>
        <v>1271.24</v>
      </c>
      <c r="AD7" s="37">
        <f t="shared" si="1"/>
        <v>1220.6399999999999</v>
      </c>
      <c r="AE7" s="37">
        <f t="shared" si="1"/>
        <v>1154.54</v>
      </c>
      <c r="AF7" s="37">
        <f t="shared" si="1"/>
        <v>1131.74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2">
        <v>300</v>
      </c>
      <c r="C11" s="52">
        <v>255</v>
      </c>
      <c r="D11" s="49">
        <v>290</v>
      </c>
      <c r="E11" s="49">
        <v>290</v>
      </c>
      <c r="F11" s="49">
        <v>280</v>
      </c>
      <c r="G11" s="49">
        <v>300</v>
      </c>
      <c r="H11" s="49">
        <v>300</v>
      </c>
      <c r="I11" s="49">
        <v>220</v>
      </c>
      <c r="J11" s="49">
        <v>220</v>
      </c>
      <c r="K11" s="49">
        <v>220</v>
      </c>
      <c r="L11" s="50">
        <v>240</v>
      </c>
      <c r="M11" s="50">
        <v>270</v>
      </c>
      <c r="N11" s="50">
        <v>300</v>
      </c>
      <c r="O11" s="50">
        <v>320</v>
      </c>
      <c r="P11" s="50">
        <v>320</v>
      </c>
      <c r="Q11" s="50">
        <v>280</v>
      </c>
      <c r="R11" s="52">
        <v>280</v>
      </c>
      <c r="S11" s="52">
        <v>140</v>
      </c>
      <c r="T11" s="52">
        <v>230</v>
      </c>
      <c r="U11" s="52">
        <v>223</v>
      </c>
      <c r="V11" s="52">
        <v>223</v>
      </c>
      <c r="W11" s="52">
        <v>378</v>
      </c>
      <c r="X11" s="52">
        <v>380</v>
      </c>
      <c r="Y11" s="53">
        <v>456</v>
      </c>
      <c r="Z11" s="115">
        <v>456</v>
      </c>
      <c r="AA11" s="115">
        <v>398</v>
      </c>
      <c r="AB11" s="115">
        <v>398</v>
      </c>
      <c r="AC11" s="115">
        <v>398</v>
      </c>
      <c r="AD11" s="115">
        <v>330</v>
      </c>
      <c r="AE11" s="115">
        <v>330</v>
      </c>
      <c r="AF11" s="115">
        <v>330</v>
      </c>
      <c r="AG11" s="54">
        <v>456</v>
      </c>
      <c r="AH11" s="55">
        <f>MAX(B11:AF11)</f>
        <v>456</v>
      </c>
      <c r="AI11" s="56">
        <f>MIN(B11:AF11)</f>
        <v>140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9">
        <v>60</v>
      </c>
      <c r="C12" s="5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50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50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61">
        <v>0</v>
      </c>
      <c r="C13" s="61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45.9</v>
      </c>
      <c r="C14" s="50">
        <v>45.8</v>
      </c>
      <c r="D14" s="62">
        <v>36.9</v>
      </c>
      <c r="E14" s="62">
        <v>36.9</v>
      </c>
      <c r="F14" s="62">
        <v>36.9</v>
      </c>
      <c r="G14" s="62">
        <v>36.9</v>
      </c>
      <c r="H14" s="62">
        <v>36.9</v>
      </c>
      <c r="I14" s="62">
        <v>45.8</v>
      </c>
      <c r="J14" s="62">
        <v>45.8</v>
      </c>
      <c r="K14" s="62">
        <v>45.8</v>
      </c>
      <c r="L14" s="50">
        <v>45.8</v>
      </c>
      <c r="M14" s="50">
        <v>45.6</v>
      </c>
      <c r="N14" s="50">
        <v>46.2</v>
      </c>
      <c r="O14" s="50">
        <v>46.2</v>
      </c>
      <c r="P14" s="50">
        <v>46.2</v>
      </c>
      <c r="Q14" s="50">
        <v>45</v>
      </c>
      <c r="R14" s="61">
        <v>45</v>
      </c>
      <c r="S14" s="61">
        <v>45</v>
      </c>
      <c r="T14" s="61">
        <v>37</v>
      </c>
      <c r="U14" s="61">
        <v>45</v>
      </c>
      <c r="V14" s="61">
        <v>45</v>
      </c>
      <c r="W14" s="61">
        <v>45</v>
      </c>
      <c r="X14" s="61">
        <v>45</v>
      </c>
      <c r="Y14" s="50">
        <v>45</v>
      </c>
      <c r="Z14" s="50">
        <v>45</v>
      </c>
      <c r="AA14" s="50">
        <v>45</v>
      </c>
      <c r="AB14" s="50">
        <v>45</v>
      </c>
      <c r="AC14" s="50">
        <v>45</v>
      </c>
      <c r="AD14" s="50">
        <v>45</v>
      </c>
      <c r="AE14" s="50">
        <v>36</v>
      </c>
      <c r="AF14" s="50">
        <v>36</v>
      </c>
      <c r="AG14" s="63">
        <v>45</v>
      </c>
      <c r="AH14" s="55">
        <f t="shared" si="2"/>
        <v>46.2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28</v>
      </c>
      <c r="C15" s="50">
        <v>28</v>
      </c>
      <c r="D15" s="49">
        <v>28</v>
      </c>
      <c r="E15" s="49">
        <v>28</v>
      </c>
      <c r="F15" s="49">
        <v>28</v>
      </c>
      <c r="G15" s="49">
        <v>28</v>
      </c>
      <c r="H15" s="49">
        <v>28</v>
      </c>
      <c r="I15" s="49">
        <v>28</v>
      </c>
      <c r="J15" s="49">
        <v>28</v>
      </c>
      <c r="K15" s="49">
        <v>28</v>
      </c>
      <c r="L15" s="50">
        <v>28</v>
      </c>
      <c r="M15" s="50">
        <v>28</v>
      </c>
      <c r="N15" s="50">
        <v>28</v>
      </c>
      <c r="O15" s="50">
        <v>28</v>
      </c>
      <c r="P15" s="50">
        <v>28</v>
      </c>
      <c r="Q15" s="50">
        <v>28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20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25.4</v>
      </c>
      <c r="C18" s="50">
        <v>25.4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25</v>
      </c>
      <c r="J18" s="49">
        <v>25</v>
      </c>
      <c r="K18" s="49">
        <v>25</v>
      </c>
      <c r="L18" s="50">
        <v>25.4</v>
      </c>
      <c r="M18" s="50">
        <v>25.4</v>
      </c>
      <c r="N18" s="50">
        <v>25.1</v>
      </c>
      <c r="O18" s="50">
        <v>25.1</v>
      </c>
      <c r="P18" s="50">
        <v>25.1</v>
      </c>
      <c r="Q18" s="50">
        <v>25.1</v>
      </c>
      <c r="R18" s="50">
        <v>25.1</v>
      </c>
      <c r="S18" s="50">
        <v>25.1</v>
      </c>
      <c r="T18" s="50">
        <v>22</v>
      </c>
      <c r="U18" s="50">
        <v>22</v>
      </c>
      <c r="V18" s="50">
        <v>22</v>
      </c>
      <c r="W18" s="50">
        <v>22</v>
      </c>
      <c r="X18" s="50">
        <v>22</v>
      </c>
      <c r="Y18" s="50">
        <v>22</v>
      </c>
      <c r="Z18" s="50">
        <v>22</v>
      </c>
      <c r="AA18" s="50">
        <v>22</v>
      </c>
      <c r="AB18" s="50">
        <v>22</v>
      </c>
      <c r="AC18" s="50">
        <v>22</v>
      </c>
      <c r="AD18" s="50">
        <v>22</v>
      </c>
      <c r="AE18" s="50">
        <v>22</v>
      </c>
      <c r="AF18" s="50">
        <v>22</v>
      </c>
      <c r="AG18" s="60">
        <v>30</v>
      </c>
      <c r="AH18" s="55">
        <f t="shared" si="2"/>
        <v>25.4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60">
        <v>25</v>
      </c>
      <c r="AH20" s="55">
        <f t="shared" si="2"/>
        <v>11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19</v>
      </c>
      <c r="C22" s="50">
        <v>19</v>
      </c>
      <c r="D22" s="50">
        <v>19</v>
      </c>
      <c r="E22" s="50">
        <v>19</v>
      </c>
      <c r="F22" s="50">
        <v>19</v>
      </c>
      <c r="G22" s="50">
        <v>19</v>
      </c>
      <c r="H22" s="50">
        <v>19</v>
      </c>
      <c r="I22" s="50">
        <v>19</v>
      </c>
      <c r="J22" s="50">
        <v>19</v>
      </c>
      <c r="K22" s="50">
        <v>19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19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22</v>
      </c>
      <c r="C23" s="50">
        <v>22</v>
      </c>
      <c r="D23" s="49">
        <v>17</v>
      </c>
      <c r="E23" s="49">
        <v>17</v>
      </c>
      <c r="F23" s="49">
        <v>17</v>
      </c>
      <c r="G23" s="49">
        <v>17</v>
      </c>
      <c r="H23" s="49">
        <v>17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17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17</v>
      </c>
      <c r="K24" s="50">
        <v>17</v>
      </c>
      <c r="L24" s="50">
        <v>22</v>
      </c>
      <c r="M24" s="50">
        <v>22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50">
        <v>10</v>
      </c>
      <c r="I25" s="50">
        <v>10</v>
      </c>
      <c r="J25" s="50">
        <v>10</v>
      </c>
      <c r="K25" s="50">
        <v>10</v>
      </c>
      <c r="L25" s="50">
        <v>10</v>
      </c>
      <c r="M25" s="50">
        <v>10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16</v>
      </c>
      <c r="Z25" s="50">
        <v>16</v>
      </c>
      <c r="AA25" s="50">
        <v>16</v>
      </c>
      <c r="AB25" s="50">
        <v>16</v>
      </c>
      <c r="AC25" s="50">
        <v>16</v>
      </c>
      <c r="AD25" s="50">
        <v>16</v>
      </c>
      <c r="AE25" s="50">
        <v>14</v>
      </c>
      <c r="AF25" s="50">
        <v>14</v>
      </c>
      <c r="AG25" s="60">
        <v>20</v>
      </c>
      <c r="AH25" s="55">
        <f t="shared" si="2"/>
        <v>16</v>
      </c>
      <c r="AI25" s="56">
        <f t="shared" si="3"/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50">
        <v>8</v>
      </c>
      <c r="C26" s="50">
        <v>8</v>
      </c>
      <c r="D26" s="50">
        <v>8</v>
      </c>
      <c r="E26" s="50">
        <v>8</v>
      </c>
      <c r="F26" s="50">
        <v>8</v>
      </c>
      <c r="G26" s="50">
        <v>8</v>
      </c>
      <c r="H26" s="50">
        <v>8</v>
      </c>
      <c r="I26" s="50">
        <v>8</v>
      </c>
      <c r="J26" s="50">
        <v>8</v>
      </c>
      <c r="K26" s="50">
        <v>8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60">
        <v>23.5</v>
      </c>
      <c r="AH26" s="55">
        <f t="shared" si="2"/>
        <v>14.9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12.4</v>
      </c>
      <c r="C28" s="50">
        <v>12.4</v>
      </c>
      <c r="D28" s="50">
        <v>12.4</v>
      </c>
      <c r="E28" s="50">
        <v>12.4</v>
      </c>
      <c r="F28" s="50">
        <v>12.4</v>
      </c>
      <c r="G28" s="50">
        <v>12.4</v>
      </c>
      <c r="H28" s="50">
        <v>12.4</v>
      </c>
      <c r="I28" s="50">
        <v>12.4</v>
      </c>
      <c r="J28" s="50">
        <v>12.4</v>
      </c>
      <c r="K28" s="50">
        <v>12.4</v>
      </c>
      <c r="L28" s="50">
        <v>12.4</v>
      </c>
      <c r="M28" s="50">
        <v>12.4</v>
      </c>
      <c r="N28" s="50">
        <v>12.4</v>
      </c>
      <c r="O28" s="50">
        <v>12.4</v>
      </c>
      <c r="P28" s="50">
        <v>12.4</v>
      </c>
      <c r="Q28" s="50">
        <v>12.4</v>
      </c>
      <c r="R28" s="50">
        <v>12.4</v>
      </c>
      <c r="S28" s="50">
        <v>12.4</v>
      </c>
      <c r="T28" s="50">
        <v>12.4</v>
      </c>
      <c r="U28" s="50">
        <v>12.4</v>
      </c>
      <c r="V28" s="50">
        <v>12.4</v>
      </c>
      <c r="W28" s="50">
        <v>12.4</v>
      </c>
      <c r="X28" s="50">
        <v>12.4</v>
      </c>
      <c r="Y28" s="50">
        <v>12.4</v>
      </c>
      <c r="Z28" s="50">
        <v>12.4</v>
      </c>
      <c r="AA28" s="50">
        <v>12.4</v>
      </c>
      <c r="AB28" s="50">
        <v>12.4</v>
      </c>
      <c r="AC28" s="50">
        <v>12.4</v>
      </c>
      <c r="AD28" s="50">
        <v>12.4</v>
      </c>
      <c r="AE28" s="50">
        <v>12.4</v>
      </c>
      <c r="AF28" s="50">
        <v>12.4</v>
      </c>
      <c r="AG28" s="60">
        <v>22.1</v>
      </c>
      <c r="AH28" s="55">
        <f t="shared" si="2"/>
        <v>12.4</v>
      </c>
      <c r="AI28" s="56">
        <f t="shared" si="3"/>
        <v>12.4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70">
        <v>163.9</v>
      </c>
      <c r="C35" s="70">
        <v>164.4</v>
      </c>
      <c r="D35" s="70">
        <v>164.4</v>
      </c>
      <c r="E35" s="70">
        <v>164.4</v>
      </c>
      <c r="F35" s="70">
        <v>164.4</v>
      </c>
      <c r="G35" s="70">
        <v>164.4</v>
      </c>
      <c r="H35" s="70">
        <v>164.4</v>
      </c>
      <c r="I35" s="70">
        <v>164.4</v>
      </c>
      <c r="J35" s="70">
        <v>164.4</v>
      </c>
      <c r="K35" s="70">
        <v>164.4</v>
      </c>
      <c r="L35" s="70">
        <f>73.4+93.1</f>
        <v>166.5</v>
      </c>
      <c r="M35" s="70">
        <f>73.1+91.2</f>
        <v>164.3</v>
      </c>
      <c r="N35" s="70">
        <f>73.1+63.2</f>
        <v>136.30000000000001</v>
      </c>
      <c r="O35" s="70">
        <f>73.5+63.7</f>
        <v>137.19999999999999</v>
      </c>
      <c r="P35" s="70">
        <f>73.5+63.7</f>
        <v>137.19999999999999</v>
      </c>
      <c r="Q35" s="70">
        <f>72.3+58.8</f>
        <v>131.1</v>
      </c>
      <c r="R35" s="70">
        <v>123.6</v>
      </c>
      <c r="S35" s="70">
        <f>64.8+73.5</f>
        <v>138.30000000000001</v>
      </c>
      <c r="T35" s="70">
        <f>64.8+73.5</f>
        <v>138.30000000000001</v>
      </c>
      <c r="U35" s="70">
        <f>64.8+73.5</f>
        <v>138.30000000000001</v>
      </c>
      <c r="V35" s="70">
        <f>64.8+73.5</f>
        <v>138.30000000000001</v>
      </c>
      <c r="W35" s="70">
        <f>60.2+70.3</f>
        <v>130.5</v>
      </c>
      <c r="X35" s="70">
        <f>60.2+70.3</f>
        <v>130.5</v>
      </c>
      <c r="Y35" s="70">
        <v>142.9</v>
      </c>
      <c r="Z35" s="70">
        <f>86.7+69.1</f>
        <v>155.80000000000001</v>
      </c>
      <c r="AA35" s="70">
        <v>161</v>
      </c>
      <c r="AB35" s="70">
        <v>161</v>
      </c>
      <c r="AC35" s="70">
        <v>160</v>
      </c>
      <c r="AD35" s="70">
        <v>160</v>
      </c>
      <c r="AE35" s="70">
        <v>162</v>
      </c>
      <c r="AF35" s="70">
        <v>162</v>
      </c>
      <c r="AG35" s="67">
        <v>240</v>
      </c>
      <c r="AH35" s="55">
        <f t="shared" si="2"/>
        <v>166.5</v>
      </c>
      <c r="AI35" s="56">
        <f t="shared" si="3"/>
        <v>123.6</v>
      </c>
      <c r="AK35" s="57"/>
    </row>
    <row r="36" spans="1:88" ht="15.75" thickBot="1" x14ac:dyDescent="0.3">
      <c r="A36" s="71" t="s">
        <v>43</v>
      </c>
      <c r="B36" s="72">
        <f>SUM(B11:B34)</f>
        <v>895.9</v>
      </c>
      <c r="C36" s="72">
        <f t="shared" ref="C36:AF36" si="4">SUM(C11:C34)</f>
        <v>850.8</v>
      </c>
      <c r="D36" s="72">
        <f t="shared" si="4"/>
        <v>856.49999999999989</v>
      </c>
      <c r="E36" s="72">
        <f t="shared" si="4"/>
        <v>856.49999999999989</v>
      </c>
      <c r="F36" s="72">
        <f t="shared" si="4"/>
        <v>846.49999999999989</v>
      </c>
      <c r="G36" s="72">
        <f t="shared" si="4"/>
        <v>866.49999999999989</v>
      </c>
      <c r="H36" s="72">
        <f t="shared" si="4"/>
        <v>866.49999999999989</v>
      </c>
      <c r="I36" s="72">
        <f t="shared" si="4"/>
        <v>810.4</v>
      </c>
      <c r="J36" s="72">
        <f t="shared" si="4"/>
        <v>810.4</v>
      </c>
      <c r="K36" s="72">
        <f t="shared" si="4"/>
        <v>810.4</v>
      </c>
      <c r="L36" s="72">
        <f t="shared" si="4"/>
        <v>845.69999999999993</v>
      </c>
      <c r="M36" s="72">
        <f t="shared" si="4"/>
        <v>875.5</v>
      </c>
      <c r="N36" s="72">
        <f t="shared" si="4"/>
        <v>878.8</v>
      </c>
      <c r="O36" s="72">
        <f t="shared" si="4"/>
        <v>898.8</v>
      </c>
      <c r="P36" s="72">
        <f t="shared" si="4"/>
        <v>898.8</v>
      </c>
      <c r="Q36" s="72">
        <f t="shared" si="4"/>
        <v>846.59999999999991</v>
      </c>
      <c r="R36" s="72">
        <f t="shared" si="4"/>
        <v>844.59999999999991</v>
      </c>
      <c r="S36" s="72">
        <f t="shared" si="4"/>
        <v>704.59999999999991</v>
      </c>
      <c r="T36" s="72">
        <f t="shared" si="4"/>
        <v>773.49999999999989</v>
      </c>
      <c r="U36" s="72">
        <f t="shared" si="4"/>
        <v>784.5</v>
      </c>
      <c r="V36" s="72">
        <f t="shared" si="4"/>
        <v>784.5</v>
      </c>
      <c r="W36" s="72">
        <f t="shared" si="4"/>
        <v>939.5</v>
      </c>
      <c r="X36" s="72">
        <f t="shared" si="4"/>
        <v>941.5</v>
      </c>
      <c r="Y36" s="72">
        <f t="shared" si="4"/>
        <v>1050.5</v>
      </c>
      <c r="Z36" s="72">
        <f t="shared" si="4"/>
        <v>1050.5</v>
      </c>
      <c r="AA36" s="72">
        <f t="shared" si="4"/>
        <v>992.5</v>
      </c>
      <c r="AB36" s="72">
        <f t="shared" si="4"/>
        <v>992.5</v>
      </c>
      <c r="AC36" s="72">
        <f t="shared" si="4"/>
        <v>992.5</v>
      </c>
      <c r="AD36" s="72">
        <f t="shared" si="4"/>
        <v>924.5</v>
      </c>
      <c r="AE36" s="72">
        <f t="shared" si="4"/>
        <v>913.5</v>
      </c>
      <c r="AF36" s="72">
        <f t="shared" si="4"/>
        <v>913.5</v>
      </c>
      <c r="AG36" s="67">
        <f>SUM(AG11:AG35)</f>
        <v>1431.83</v>
      </c>
      <c r="AH36" s="55">
        <f t="shared" si="2"/>
        <v>1050.5</v>
      </c>
      <c r="AI36" s="56">
        <f t="shared" si="3"/>
        <v>704.59999999999991</v>
      </c>
      <c r="AK36" s="57"/>
    </row>
    <row r="37" spans="1:88" x14ac:dyDescent="0.25">
      <c r="A37" s="58" t="s">
        <v>44</v>
      </c>
      <c r="B37" s="50">
        <v>139.5</v>
      </c>
      <c r="C37" s="50">
        <v>145</v>
      </c>
      <c r="D37" s="62">
        <v>93.3</v>
      </c>
      <c r="E37" s="62">
        <v>130</v>
      </c>
      <c r="F37" s="62">
        <v>131.4</v>
      </c>
      <c r="G37" s="62">
        <v>131.5</v>
      </c>
      <c r="H37" s="62">
        <v>145</v>
      </c>
      <c r="I37" s="62">
        <v>131.4</v>
      </c>
      <c r="J37" s="62">
        <v>140.4</v>
      </c>
      <c r="K37" s="62">
        <v>144.9</v>
      </c>
      <c r="L37" s="50">
        <v>145.30000000000001</v>
      </c>
      <c r="M37" s="50">
        <v>140.30000000000001</v>
      </c>
      <c r="N37" s="50">
        <v>144.9</v>
      </c>
      <c r="O37" s="50">
        <v>145.19999999999999</v>
      </c>
      <c r="P37" s="50">
        <v>145.19999999999999</v>
      </c>
      <c r="Q37" s="50">
        <v>145.9</v>
      </c>
      <c r="R37" s="50">
        <v>145.6</v>
      </c>
      <c r="S37" s="50">
        <v>145.6</v>
      </c>
      <c r="T37" s="50">
        <v>145.6</v>
      </c>
      <c r="U37" s="50">
        <v>142.1</v>
      </c>
      <c r="V37" s="50">
        <v>142.1</v>
      </c>
      <c r="W37" s="50">
        <v>145</v>
      </c>
      <c r="X37" s="50">
        <v>144.80000000000001</v>
      </c>
      <c r="Y37" s="50">
        <v>145.1</v>
      </c>
      <c r="Z37" s="50">
        <v>145.19999999999999</v>
      </c>
      <c r="AA37" s="50">
        <v>142.69999999999999</v>
      </c>
      <c r="AB37" s="50">
        <v>145.6</v>
      </c>
      <c r="AC37" s="50">
        <v>145.1</v>
      </c>
      <c r="AD37" s="50">
        <v>145.4</v>
      </c>
      <c r="AE37" s="49">
        <v>145.4</v>
      </c>
      <c r="AF37" s="49">
        <v>145.19999999999999</v>
      </c>
      <c r="AG37" s="63">
        <v>144</v>
      </c>
      <c r="AH37" s="55">
        <f t="shared" si="2"/>
        <v>145.9</v>
      </c>
      <c r="AI37" s="56">
        <f t="shared" si="3"/>
        <v>93.3</v>
      </c>
      <c r="AK37" s="57"/>
    </row>
    <row r="38" spans="1:88" x14ac:dyDescent="0.25">
      <c r="A38" s="66" t="s">
        <v>45</v>
      </c>
      <c r="B38" s="52">
        <v>61.9</v>
      </c>
      <c r="C38" s="52">
        <v>68.099999999999994</v>
      </c>
      <c r="D38" s="62">
        <v>60.2</v>
      </c>
      <c r="E38" s="62">
        <v>60.2</v>
      </c>
      <c r="F38" s="62">
        <v>60.4</v>
      </c>
      <c r="G38" s="62">
        <v>72.5</v>
      </c>
      <c r="H38" s="62">
        <v>71</v>
      </c>
      <c r="I38" s="62">
        <v>71.2</v>
      </c>
      <c r="J38" s="62">
        <v>57</v>
      </c>
      <c r="K38" s="62">
        <v>70.5</v>
      </c>
      <c r="L38" s="52">
        <v>70.599999999999994</v>
      </c>
      <c r="M38" s="52">
        <v>70.8</v>
      </c>
      <c r="N38" s="52">
        <v>70.8</v>
      </c>
      <c r="O38" s="52">
        <v>69.7</v>
      </c>
      <c r="P38" s="52">
        <v>69.7</v>
      </c>
      <c r="Q38" s="52">
        <v>69.599999999999994</v>
      </c>
      <c r="R38" s="52">
        <v>71.5</v>
      </c>
      <c r="S38" s="52">
        <v>71.5</v>
      </c>
      <c r="T38" s="52">
        <v>71.5</v>
      </c>
      <c r="U38" s="52">
        <v>71.099999999999994</v>
      </c>
      <c r="V38" s="52">
        <v>71.099999999999994</v>
      </c>
      <c r="W38" s="52">
        <v>70.900000000000006</v>
      </c>
      <c r="X38" s="52">
        <v>71.5</v>
      </c>
      <c r="Y38" s="52">
        <v>71</v>
      </c>
      <c r="Z38" s="52">
        <v>69.900000000000006</v>
      </c>
      <c r="AA38" s="52">
        <v>70.599999999999994</v>
      </c>
      <c r="AB38" s="52">
        <v>70.599999999999994</v>
      </c>
      <c r="AC38" s="52">
        <v>70</v>
      </c>
      <c r="AD38" s="52">
        <v>70.7</v>
      </c>
      <c r="AE38" s="62">
        <v>70.599999999999994</v>
      </c>
      <c r="AF38" s="62">
        <v>70.2</v>
      </c>
      <c r="AG38" s="67">
        <v>70</v>
      </c>
      <c r="AH38" s="55">
        <f t="shared" si="2"/>
        <v>72.5</v>
      </c>
      <c r="AI38" s="56">
        <f t="shared" si="3"/>
        <v>57</v>
      </c>
      <c r="AK38" s="57"/>
    </row>
    <row r="39" spans="1:88" x14ac:dyDescent="0.25">
      <c r="A39" s="66" t="s">
        <v>46</v>
      </c>
      <c r="B39" s="52">
        <v>69.599999999999994</v>
      </c>
      <c r="C39" s="52">
        <v>62.1</v>
      </c>
      <c r="D39" s="62">
        <v>65.900000000000006</v>
      </c>
      <c r="E39" s="62">
        <v>61.3</v>
      </c>
      <c r="F39" s="62">
        <v>55</v>
      </c>
      <c r="G39" s="62">
        <v>70.2</v>
      </c>
      <c r="H39" s="62">
        <v>69.8</v>
      </c>
      <c r="I39" s="62">
        <v>69.5</v>
      </c>
      <c r="J39" s="62">
        <v>53.3</v>
      </c>
      <c r="K39" s="62">
        <v>69.5</v>
      </c>
      <c r="L39" s="52">
        <v>69.8</v>
      </c>
      <c r="M39" s="52">
        <v>70.8</v>
      </c>
      <c r="N39" s="52">
        <v>70</v>
      </c>
      <c r="O39" s="52">
        <v>69.900000000000006</v>
      </c>
      <c r="P39" s="52">
        <v>69.900000000000006</v>
      </c>
      <c r="Q39" s="52">
        <v>69.900000000000006</v>
      </c>
      <c r="R39" s="52">
        <v>70.5</v>
      </c>
      <c r="S39" s="52">
        <v>70.5</v>
      </c>
      <c r="T39" s="52">
        <v>70.5</v>
      </c>
      <c r="U39" s="52">
        <v>70.5</v>
      </c>
      <c r="V39" s="52">
        <v>70.5</v>
      </c>
      <c r="W39" s="52">
        <v>69.7</v>
      </c>
      <c r="X39" s="52">
        <v>70.099999999999994</v>
      </c>
      <c r="Y39" s="52">
        <v>70.2</v>
      </c>
      <c r="Z39" s="52">
        <v>67.599999999999994</v>
      </c>
      <c r="AA39" s="52">
        <v>70.3</v>
      </c>
      <c r="AB39" s="52">
        <v>70</v>
      </c>
      <c r="AC39" s="52">
        <v>69.400000000000006</v>
      </c>
      <c r="AD39" s="52">
        <v>61.9</v>
      </c>
      <c r="AE39" s="62">
        <v>69.5</v>
      </c>
      <c r="AF39" s="62">
        <v>69.900000000000006</v>
      </c>
      <c r="AG39" s="67">
        <v>69</v>
      </c>
      <c r="AH39" s="55">
        <f t="shared" si="2"/>
        <v>70.8</v>
      </c>
      <c r="AI39" s="56">
        <f t="shared" si="3"/>
        <v>53.3</v>
      </c>
      <c r="AK39" s="57"/>
    </row>
    <row r="40" spans="1:88" x14ac:dyDescent="0.25">
      <c r="A40" s="66" t="s">
        <v>47</v>
      </c>
      <c r="B40" s="52">
        <v>60.7</v>
      </c>
      <c r="C40" s="52">
        <v>55.4</v>
      </c>
      <c r="D40" s="62">
        <v>54.7</v>
      </c>
      <c r="E40" s="62">
        <v>54.4</v>
      </c>
      <c r="F40" s="62">
        <v>45</v>
      </c>
      <c r="G40" s="62">
        <v>62</v>
      </c>
      <c r="H40" s="62">
        <v>62</v>
      </c>
      <c r="I40" s="62">
        <v>62</v>
      </c>
      <c r="J40" s="62">
        <v>62</v>
      </c>
      <c r="K40" s="62">
        <v>62.3</v>
      </c>
      <c r="L40" s="52">
        <v>62.3</v>
      </c>
      <c r="M40" s="52">
        <v>60.9</v>
      </c>
      <c r="N40" s="52">
        <v>61.2</v>
      </c>
      <c r="O40" s="52">
        <v>60.9</v>
      </c>
      <c r="P40" s="52">
        <v>60.9</v>
      </c>
      <c r="Q40" s="52">
        <v>60.9</v>
      </c>
      <c r="R40" s="52">
        <v>60.9</v>
      </c>
      <c r="S40" s="52">
        <v>60.9</v>
      </c>
      <c r="T40" s="52">
        <v>60.9</v>
      </c>
      <c r="U40" s="52">
        <v>60.9</v>
      </c>
      <c r="V40" s="52">
        <v>60.9</v>
      </c>
      <c r="W40" s="52">
        <v>60.9</v>
      </c>
      <c r="X40" s="52">
        <v>60.9</v>
      </c>
      <c r="Y40" s="52">
        <v>60.9</v>
      </c>
      <c r="Z40" s="52">
        <v>60.9</v>
      </c>
      <c r="AA40" s="52">
        <v>60.7</v>
      </c>
      <c r="AB40" s="52">
        <v>60.7</v>
      </c>
      <c r="AC40" s="52">
        <v>60.7</v>
      </c>
      <c r="AD40" s="52">
        <v>60.7</v>
      </c>
      <c r="AE40" s="62">
        <v>60.7</v>
      </c>
      <c r="AF40" s="62">
        <v>60.7</v>
      </c>
      <c r="AG40" s="67">
        <v>60</v>
      </c>
      <c r="AH40" s="55">
        <f t="shared" si="2"/>
        <v>62.3</v>
      </c>
      <c r="AI40" s="56">
        <f t="shared" si="3"/>
        <v>45</v>
      </c>
      <c r="AK40" s="57"/>
    </row>
    <row r="41" spans="1:88" x14ac:dyDescent="0.25">
      <c r="A41" s="66" t="s">
        <v>48</v>
      </c>
      <c r="B41" s="50">
        <v>29.4</v>
      </c>
      <c r="C41" s="50">
        <v>29.5</v>
      </c>
      <c r="D41" s="50">
        <v>29.5</v>
      </c>
      <c r="E41" s="50">
        <v>29.5</v>
      </c>
      <c r="F41" s="50">
        <v>29.5</v>
      </c>
      <c r="G41" s="50">
        <v>29.5</v>
      </c>
      <c r="H41" s="50">
        <v>29.5</v>
      </c>
      <c r="I41" s="50">
        <v>29.5</v>
      </c>
      <c r="J41" s="50">
        <v>29.5</v>
      </c>
      <c r="K41" s="50">
        <v>29.5</v>
      </c>
      <c r="L41" s="50">
        <v>29.6</v>
      </c>
      <c r="M41" s="50">
        <v>29.6</v>
      </c>
      <c r="N41" s="50">
        <v>29.7</v>
      </c>
      <c r="O41" s="50">
        <v>29.7</v>
      </c>
      <c r="P41" s="50">
        <v>29.7</v>
      </c>
      <c r="Q41" s="50">
        <v>29.7</v>
      </c>
      <c r="R41" s="50">
        <v>29.8</v>
      </c>
      <c r="S41" s="50">
        <v>29.8</v>
      </c>
      <c r="T41" s="50">
        <v>29.8</v>
      </c>
      <c r="U41" s="50">
        <v>29.8</v>
      </c>
      <c r="V41" s="50">
        <v>29.8</v>
      </c>
      <c r="W41" s="50">
        <v>29.8</v>
      </c>
      <c r="X41" s="50">
        <v>29.8</v>
      </c>
      <c r="Y41" s="52">
        <v>29.8</v>
      </c>
      <c r="Z41" s="52">
        <v>29.8</v>
      </c>
      <c r="AA41" s="52">
        <v>30.1</v>
      </c>
      <c r="AB41" s="52">
        <v>30.1</v>
      </c>
      <c r="AC41" s="52">
        <v>29.9</v>
      </c>
      <c r="AD41" s="52">
        <v>29.9</v>
      </c>
      <c r="AE41" s="62">
        <v>29.6</v>
      </c>
      <c r="AF41" s="62">
        <v>29.6</v>
      </c>
      <c r="AG41" s="67">
        <v>30</v>
      </c>
      <c r="AH41" s="55">
        <f t="shared" si="2"/>
        <v>30.1</v>
      </c>
      <c r="AI41" s="56">
        <f t="shared" si="3"/>
        <v>29.4</v>
      </c>
      <c r="AK41" s="57"/>
    </row>
    <row r="42" spans="1:88" x14ac:dyDescent="0.25">
      <c r="A42" s="66" t="s">
        <v>49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50">
        <v>18</v>
      </c>
      <c r="C43" s="50">
        <v>18</v>
      </c>
      <c r="D43" s="50">
        <v>18</v>
      </c>
      <c r="E43" s="50">
        <v>18</v>
      </c>
      <c r="F43" s="50">
        <v>18</v>
      </c>
      <c r="G43" s="50">
        <v>18</v>
      </c>
      <c r="H43" s="50">
        <v>18</v>
      </c>
      <c r="I43" s="50">
        <v>18</v>
      </c>
      <c r="J43" s="50">
        <v>18</v>
      </c>
      <c r="K43" s="50">
        <v>18</v>
      </c>
      <c r="L43" s="50">
        <v>18</v>
      </c>
      <c r="M43" s="50">
        <v>18</v>
      </c>
      <c r="N43" s="50">
        <v>18</v>
      </c>
      <c r="O43" s="50">
        <v>13</v>
      </c>
      <c r="P43" s="50">
        <v>13</v>
      </c>
      <c r="Q43" s="50">
        <v>13</v>
      </c>
      <c r="R43" s="50">
        <v>13</v>
      </c>
      <c r="S43" s="50">
        <v>13</v>
      </c>
      <c r="T43" s="50">
        <v>13</v>
      </c>
      <c r="U43" s="50">
        <v>13</v>
      </c>
      <c r="V43" s="50">
        <v>13</v>
      </c>
      <c r="W43" s="50">
        <v>13</v>
      </c>
      <c r="X43" s="50">
        <v>13</v>
      </c>
      <c r="Y43" s="50">
        <v>13</v>
      </c>
      <c r="Z43" s="50">
        <v>13</v>
      </c>
      <c r="AA43" s="50">
        <v>13</v>
      </c>
      <c r="AB43" s="50">
        <v>13</v>
      </c>
      <c r="AC43" s="50">
        <v>13</v>
      </c>
      <c r="AD43" s="50">
        <v>13</v>
      </c>
      <c r="AE43" s="50">
        <v>13</v>
      </c>
      <c r="AF43" s="50">
        <v>13</v>
      </c>
      <c r="AG43" s="67">
        <v>24</v>
      </c>
      <c r="AH43" s="55">
        <f t="shared" si="2"/>
        <v>18</v>
      </c>
      <c r="AI43" s="56">
        <f t="shared" si="3"/>
        <v>13</v>
      </c>
      <c r="AK43" s="57"/>
    </row>
    <row r="44" spans="1:88" x14ac:dyDescent="0.25">
      <c r="A44" s="66" t="s">
        <v>51</v>
      </c>
      <c r="B44" s="50">
        <v>2.6</v>
      </c>
      <c r="C44" s="50">
        <v>2.6</v>
      </c>
      <c r="D44" s="50">
        <v>2.6</v>
      </c>
      <c r="E44" s="50">
        <v>2.6</v>
      </c>
      <c r="F44" s="50">
        <v>2.6</v>
      </c>
      <c r="G44" s="50">
        <v>2.6</v>
      </c>
      <c r="H44" s="50">
        <v>2.6</v>
      </c>
      <c r="I44" s="50">
        <v>2.6</v>
      </c>
      <c r="J44" s="50">
        <v>2.6</v>
      </c>
      <c r="K44" s="50">
        <v>2.6</v>
      </c>
      <c r="L44" s="50">
        <v>2.6</v>
      </c>
      <c r="M44" s="50">
        <v>2.6</v>
      </c>
      <c r="N44" s="50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2.6</v>
      </c>
      <c r="AK44" s="57"/>
      <c r="AL44" s="74"/>
      <c r="AO44" s="74"/>
    </row>
    <row r="45" spans="1:88" s="74" customFormat="1" x14ac:dyDescent="0.25">
      <c r="A45" s="66" t="s">
        <v>52</v>
      </c>
      <c r="B45" s="50">
        <v>12</v>
      </c>
      <c r="C45" s="50">
        <v>12</v>
      </c>
      <c r="D45" s="50">
        <v>12</v>
      </c>
      <c r="E45" s="50">
        <v>12</v>
      </c>
      <c r="F45" s="50">
        <v>12</v>
      </c>
      <c r="G45" s="50">
        <v>12</v>
      </c>
      <c r="H45" s="50">
        <v>12</v>
      </c>
      <c r="I45" s="50">
        <v>12</v>
      </c>
      <c r="J45" s="50">
        <v>12</v>
      </c>
      <c r="K45" s="50">
        <v>12</v>
      </c>
      <c r="L45" s="50">
        <v>12</v>
      </c>
      <c r="M45" s="50">
        <v>12</v>
      </c>
      <c r="N45" s="50">
        <v>12.5</v>
      </c>
      <c r="O45" s="50">
        <v>12.5</v>
      </c>
      <c r="P45" s="50">
        <v>12.5</v>
      </c>
      <c r="Q45" s="50">
        <v>12.5</v>
      </c>
      <c r="R45" s="50">
        <v>12.5</v>
      </c>
      <c r="S45" s="50">
        <v>12.5</v>
      </c>
      <c r="T45" s="50">
        <v>12.5</v>
      </c>
      <c r="U45" s="50">
        <v>12.5</v>
      </c>
      <c r="V45" s="50">
        <v>12.5</v>
      </c>
      <c r="W45" s="50">
        <v>12.5</v>
      </c>
      <c r="X45" s="50">
        <v>12.5</v>
      </c>
      <c r="Y45" s="50">
        <v>12.5</v>
      </c>
      <c r="Z45" s="50">
        <v>12.5</v>
      </c>
      <c r="AA45" s="50">
        <v>12.5</v>
      </c>
      <c r="AB45" s="50">
        <v>12.5</v>
      </c>
      <c r="AC45" s="50">
        <v>12.5</v>
      </c>
      <c r="AD45" s="50">
        <v>12.5</v>
      </c>
      <c r="AE45" s="50">
        <v>12.5</v>
      </c>
      <c r="AF45" s="50">
        <v>12.5</v>
      </c>
      <c r="AG45" s="67">
        <v>14.1</v>
      </c>
      <c r="AH45" s="55">
        <f t="shared" si="2"/>
        <v>12.5</v>
      </c>
      <c r="AI45" s="56">
        <f t="shared" si="3"/>
        <v>12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50">
        <v>14</v>
      </c>
      <c r="C46" s="50">
        <v>14</v>
      </c>
      <c r="D46" s="50">
        <v>14</v>
      </c>
      <c r="E46" s="50">
        <v>14</v>
      </c>
      <c r="F46" s="50">
        <v>14</v>
      </c>
      <c r="G46" s="50">
        <v>14</v>
      </c>
      <c r="H46" s="50">
        <v>14</v>
      </c>
      <c r="I46" s="50">
        <v>14</v>
      </c>
      <c r="J46" s="50">
        <v>14</v>
      </c>
      <c r="K46" s="50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12</v>
      </c>
      <c r="Q46" s="50">
        <v>12</v>
      </c>
      <c r="R46" s="50">
        <v>12</v>
      </c>
      <c r="S46" s="50">
        <v>12</v>
      </c>
      <c r="T46" s="50">
        <v>12</v>
      </c>
      <c r="U46" s="50">
        <v>12</v>
      </c>
      <c r="V46" s="50">
        <v>12</v>
      </c>
      <c r="W46" s="50">
        <v>12</v>
      </c>
      <c r="X46" s="50">
        <v>12</v>
      </c>
      <c r="Y46" s="50">
        <v>12</v>
      </c>
      <c r="Z46" s="50">
        <v>12</v>
      </c>
      <c r="AA46" s="50">
        <v>12</v>
      </c>
      <c r="AB46" s="50">
        <v>12</v>
      </c>
      <c r="AC46" s="50">
        <v>12</v>
      </c>
      <c r="AD46" s="50">
        <v>12</v>
      </c>
      <c r="AE46" s="50">
        <v>12</v>
      </c>
      <c r="AF46" s="50">
        <v>12</v>
      </c>
      <c r="AG46" s="67">
        <v>14</v>
      </c>
      <c r="AH46" s="55">
        <f t="shared" si="2"/>
        <v>14</v>
      </c>
      <c r="AI46" s="56">
        <f t="shared" si="3"/>
        <v>12</v>
      </c>
      <c r="AK46" s="57"/>
    </row>
    <row r="47" spans="1:88" x14ac:dyDescent="0.25">
      <c r="A47" s="66" t="s">
        <v>54</v>
      </c>
      <c r="B47" s="50">
        <v>9.6</v>
      </c>
      <c r="C47" s="50">
        <v>9.6</v>
      </c>
      <c r="D47" s="50">
        <v>9.6</v>
      </c>
      <c r="E47" s="50">
        <v>9.6</v>
      </c>
      <c r="F47" s="50">
        <v>9.6</v>
      </c>
      <c r="G47" s="50">
        <v>9.6</v>
      </c>
      <c r="H47" s="50">
        <v>9.6</v>
      </c>
      <c r="I47" s="50">
        <v>9.6</v>
      </c>
      <c r="J47" s="50">
        <v>9.6</v>
      </c>
      <c r="K47" s="50">
        <v>9.6</v>
      </c>
      <c r="L47" s="50">
        <v>9.6</v>
      </c>
      <c r="M47" s="50">
        <v>9.6</v>
      </c>
      <c r="N47" s="50">
        <v>9.6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9.9</v>
      </c>
      <c r="AB47" s="50">
        <v>9.9</v>
      </c>
      <c r="AC47" s="50">
        <v>9.9</v>
      </c>
      <c r="AD47" s="50">
        <v>9.9</v>
      </c>
      <c r="AE47" s="50">
        <v>9.9</v>
      </c>
      <c r="AF47" s="50">
        <v>9.9</v>
      </c>
      <c r="AG47" s="67">
        <v>10.050000000000001</v>
      </c>
      <c r="AH47" s="55">
        <f t="shared" si="2"/>
        <v>9.9</v>
      </c>
      <c r="AI47" s="56">
        <f t="shared" si="3"/>
        <v>9.6</v>
      </c>
      <c r="AK47" s="57"/>
    </row>
    <row r="48" spans="1:88" x14ac:dyDescent="0.25">
      <c r="A48" s="66" t="s">
        <v>55</v>
      </c>
      <c r="B48" s="50">
        <v>6.2</v>
      </c>
      <c r="C48" s="50">
        <v>3.1</v>
      </c>
      <c r="D48" s="50">
        <v>3.1</v>
      </c>
      <c r="E48" s="50">
        <v>3.1</v>
      </c>
      <c r="F48" s="50">
        <v>3.1</v>
      </c>
      <c r="G48" s="50">
        <v>3.1</v>
      </c>
      <c r="H48" s="50">
        <v>3.1</v>
      </c>
      <c r="I48" s="50">
        <v>6.2</v>
      </c>
      <c r="J48" s="50">
        <v>6.2</v>
      </c>
      <c r="K48" s="50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3.1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427.04</v>
      </c>
      <c r="C50" s="72">
        <f t="shared" ref="C50:AF50" si="6">SUM(C37:C49)</f>
        <v>422.94000000000005</v>
      </c>
      <c r="D50" s="72">
        <f t="shared" si="6"/>
        <v>366.44000000000011</v>
      </c>
      <c r="E50" s="72">
        <f t="shared" si="6"/>
        <v>398.24000000000007</v>
      </c>
      <c r="F50" s="72">
        <f t="shared" si="6"/>
        <v>384.1400000000001</v>
      </c>
      <c r="G50" s="72">
        <f t="shared" si="6"/>
        <v>428.54000000000008</v>
      </c>
      <c r="H50" s="72">
        <f t="shared" si="6"/>
        <v>440.1400000000001</v>
      </c>
      <c r="I50" s="72">
        <f t="shared" si="6"/>
        <v>429.54000000000008</v>
      </c>
      <c r="J50" s="72">
        <f t="shared" si="6"/>
        <v>408.14000000000004</v>
      </c>
      <c r="K50" s="72">
        <f t="shared" si="6"/>
        <v>442.64000000000004</v>
      </c>
      <c r="L50" s="72">
        <f t="shared" si="6"/>
        <v>443.54000000000008</v>
      </c>
      <c r="M50" s="72">
        <f t="shared" si="6"/>
        <v>438.34000000000009</v>
      </c>
      <c r="N50" s="72">
        <f t="shared" si="6"/>
        <v>443.64</v>
      </c>
      <c r="O50" s="72">
        <f t="shared" si="6"/>
        <v>437.7399999999999</v>
      </c>
      <c r="P50" s="72">
        <f t="shared" si="6"/>
        <v>435.7399999999999</v>
      </c>
      <c r="Q50" s="72">
        <f t="shared" si="6"/>
        <v>436.33999999999992</v>
      </c>
      <c r="R50" s="72">
        <f t="shared" si="6"/>
        <v>438.64</v>
      </c>
      <c r="S50" s="72">
        <f t="shared" si="6"/>
        <v>438.64</v>
      </c>
      <c r="T50" s="72">
        <f t="shared" si="6"/>
        <v>438.64</v>
      </c>
      <c r="U50" s="72">
        <f t="shared" si="6"/>
        <v>434.73999999999995</v>
      </c>
      <c r="V50" s="72">
        <f t="shared" si="6"/>
        <v>434.73999999999995</v>
      </c>
      <c r="W50" s="72">
        <f t="shared" si="6"/>
        <v>436.64</v>
      </c>
      <c r="X50" s="72">
        <f t="shared" si="6"/>
        <v>437.43999999999994</v>
      </c>
      <c r="Y50" s="72">
        <f t="shared" si="6"/>
        <v>437.34</v>
      </c>
      <c r="Z50" s="72">
        <f t="shared" si="6"/>
        <v>433.73999999999995</v>
      </c>
      <c r="AA50" s="72">
        <f t="shared" si="6"/>
        <v>434.73999999999995</v>
      </c>
      <c r="AB50" s="72">
        <f t="shared" si="6"/>
        <v>437.34</v>
      </c>
      <c r="AC50" s="72">
        <f t="shared" si="6"/>
        <v>435.43999999999994</v>
      </c>
      <c r="AD50" s="72">
        <f t="shared" si="6"/>
        <v>428.93999999999994</v>
      </c>
      <c r="AE50" s="72">
        <f t="shared" si="6"/>
        <v>436.14</v>
      </c>
      <c r="AF50" s="72">
        <f t="shared" si="6"/>
        <v>435.93999999999994</v>
      </c>
      <c r="AG50" s="77">
        <f>SUM(AG37:AG49)</f>
        <v>489.91</v>
      </c>
      <c r="AH50" s="55">
        <f t="shared" si="2"/>
        <v>443.64</v>
      </c>
      <c r="AI50" s="56">
        <f t="shared" si="3"/>
        <v>366.44000000000011</v>
      </c>
      <c r="AK50" s="57"/>
    </row>
    <row r="51" spans="1:37" x14ac:dyDescent="0.25">
      <c r="A51" s="58" t="s">
        <v>58</v>
      </c>
      <c r="B51" s="50">
        <v>0</v>
      </c>
      <c r="C51" s="50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23.9</v>
      </c>
      <c r="X51" s="50">
        <v>59.4</v>
      </c>
      <c r="Y51" s="50">
        <v>59.3</v>
      </c>
      <c r="Z51" s="50">
        <v>59.5</v>
      </c>
      <c r="AA51" s="50">
        <v>48.7</v>
      </c>
      <c r="AB51" s="50">
        <v>48.7</v>
      </c>
      <c r="AC51" s="50">
        <v>49</v>
      </c>
      <c r="AD51" s="50">
        <v>39.200000000000003</v>
      </c>
      <c r="AE51" s="50">
        <v>14.3</v>
      </c>
      <c r="AF51" s="50">
        <v>0</v>
      </c>
      <c r="AG51" s="63">
        <v>60</v>
      </c>
      <c r="AH51" s="55">
        <f t="shared" si="2"/>
        <v>59.5</v>
      </c>
      <c r="AI51" s="56">
        <f t="shared" si="3"/>
        <v>0</v>
      </c>
      <c r="AK51" s="57"/>
    </row>
    <row r="52" spans="1:37" x14ac:dyDescent="0.25">
      <c r="A52" s="66" t="s">
        <v>59</v>
      </c>
      <c r="B52" s="52">
        <v>0</v>
      </c>
      <c r="C52" s="5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2">
        <v>5.4</v>
      </c>
      <c r="X52" s="52">
        <v>28.9</v>
      </c>
      <c r="Y52" s="52">
        <v>27.5</v>
      </c>
      <c r="Z52" s="52">
        <v>27.7</v>
      </c>
      <c r="AA52" s="52">
        <v>23.2</v>
      </c>
      <c r="AB52" s="52">
        <v>23.2</v>
      </c>
      <c r="AC52" s="52">
        <v>21.1</v>
      </c>
      <c r="AD52" s="52">
        <v>16.600000000000001</v>
      </c>
      <c r="AE52" s="52">
        <v>5.6</v>
      </c>
      <c r="AF52" s="52">
        <v>0</v>
      </c>
      <c r="AG52" s="67">
        <v>32</v>
      </c>
      <c r="AH52" s="55">
        <f t="shared" si="2"/>
        <v>28.9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8">
        <v>0</v>
      </c>
      <c r="C53" s="78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78">
        <v>2</v>
      </c>
      <c r="X53" s="78">
        <v>10.4</v>
      </c>
      <c r="Y53" s="78">
        <v>10.1</v>
      </c>
      <c r="Z53" s="78">
        <v>10.199999999999999</v>
      </c>
      <c r="AA53" s="78">
        <v>8.5</v>
      </c>
      <c r="AB53" s="78">
        <v>8.5</v>
      </c>
      <c r="AC53" s="78">
        <v>7.7</v>
      </c>
      <c r="AD53" s="78">
        <v>6.1</v>
      </c>
      <c r="AE53" s="78">
        <v>2.1</v>
      </c>
      <c r="AF53" s="78">
        <v>0</v>
      </c>
      <c r="AG53" s="79">
        <v>14</v>
      </c>
      <c r="AH53" s="55">
        <f t="shared" si="2"/>
        <v>10.4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31.299999999999997</v>
      </c>
      <c r="X54" s="72">
        <f t="shared" si="7"/>
        <v>98.7</v>
      </c>
      <c r="Y54" s="72">
        <f t="shared" si="7"/>
        <v>96.899999999999991</v>
      </c>
      <c r="Z54" s="72">
        <f t="shared" si="7"/>
        <v>97.4</v>
      </c>
      <c r="AA54" s="72">
        <f t="shared" si="7"/>
        <v>80.400000000000006</v>
      </c>
      <c r="AB54" s="72">
        <f t="shared" si="7"/>
        <v>80.400000000000006</v>
      </c>
      <c r="AC54" s="72">
        <f t="shared" si="7"/>
        <v>77.8</v>
      </c>
      <c r="AD54" s="72">
        <f t="shared" si="7"/>
        <v>61.900000000000006</v>
      </c>
      <c r="AE54" s="72">
        <f t="shared" si="7"/>
        <v>22</v>
      </c>
      <c r="AF54" s="72">
        <f t="shared" si="7"/>
        <v>0</v>
      </c>
      <c r="AG54" s="77">
        <f>SUM(AG51:AG53)</f>
        <v>106</v>
      </c>
      <c r="AH54" s="55">
        <f t="shared" si="2"/>
        <v>98.7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15</v>
      </c>
      <c r="Z55" s="50">
        <v>0</v>
      </c>
      <c r="AA55" s="50">
        <v>0</v>
      </c>
      <c r="AB55" s="50">
        <v>-6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15</v>
      </c>
      <c r="AI55" s="56">
        <f t="shared" si="3"/>
        <v>-6</v>
      </c>
      <c r="AK55" s="57"/>
    </row>
    <row r="56" spans="1:37" x14ac:dyDescent="0.25">
      <c r="A56" s="66" t="s">
        <v>63</v>
      </c>
      <c r="B56" s="80">
        <v>-66.2</v>
      </c>
      <c r="C56" s="80">
        <v>-67.5</v>
      </c>
      <c r="D56" s="52">
        <v>-65.400000000000006</v>
      </c>
      <c r="E56" s="52">
        <v>-63.9</v>
      </c>
      <c r="F56" s="52">
        <v>-64</v>
      </c>
      <c r="G56" s="52">
        <v>-58.4</v>
      </c>
      <c r="H56" s="52">
        <v>-52.5</v>
      </c>
      <c r="I56" s="52">
        <v>-40.6</v>
      </c>
      <c r="J56" s="52">
        <v>-34.299999999999997</v>
      </c>
      <c r="K56" s="52">
        <v>-33.700000000000003</v>
      </c>
      <c r="L56" s="50">
        <v>-32.200000000000003</v>
      </c>
      <c r="M56" s="50">
        <v>-36.1</v>
      </c>
      <c r="N56" s="50">
        <v>-39.1</v>
      </c>
      <c r="O56" s="50">
        <v>-37.6</v>
      </c>
      <c r="P56" s="50">
        <v>-8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-59</v>
      </c>
      <c r="Z56" s="80">
        <v>-74.7</v>
      </c>
      <c r="AA56" s="80">
        <v>-74.400000000000006</v>
      </c>
      <c r="AB56" s="80">
        <v>-73.3</v>
      </c>
      <c r="AC56" s="80">
        <v>-71.599999999999994</v>
      </c>
      <c r="AD56" s="52">
        <v>-72.900000000000006</v>
      </c>
      <c r="AE56" s="52">
        <v>-69.400000000000006</v>
      </c>
      <c r="AF56" s="52">
        <v>-68.900000000000006</v>
      </c>
      <c r="AG56" s="67"/>
      <c r="AH56" s="55">
        <f t="shared" si="2"/>
        <v>0</v>
      </c>
      <c r="AI56" s="56">
        <f t="shared" si="3"/>
        <v>-74.7</v>
      </c>
      <c r="AK56" s="57"/>
    </row>
    <row r="57" spans="1:37" x14ac:dyDescent="0.25">
      <c r="A57" s="66" t="s">
        <v>64</v>
      </c>
      <c r="B57" s="81">
        <v>-60.1</v>
      </c>
      <c r="C57" s="81">
        <v>-21</v>
      </c>
      <c r="D57" s="52">
        <v>-10</v>
      </c>
      <c r="E57" s="52">
        <v>-44</v>
      </c>
      <c r="F57" s="52">
        <v>0</v>
      </c>
      <c r="G57" s="50">
        <v>-42.9</v>
      </c>
      <c r="H57" s="50">
        <v>-78</v>
      </c>
      <c r="I57" s="50">
        <v>-54.6</v>
      </c>
      <c r="J57" s="50">
        <v>0</v>
      </c>
      <c r="K57" s="50">
        <v>-21.5</v>
      </c>
      <c r="L57" s="52">
        <v>-54.4</v>
      </c>
      <c r="M57" s="52">
        <v>-34.700000000000003</v>
      </c>
      <c r="N57" s="52">
        <v>-37</v>
      </c>
      <c r="O57" s="52">
        <v>-43.1</v>
      </c>
      <c r="P57" s="52">
        <v>-43.1</v>
      </c>
      <c r="Q57" s="52">
        <v>-48</v>
      </c>
      <c r="R57" s="52">
        <v>-70</v>
      </c>
      <c r="S57" s="52">
        <v>-70</v>
      </c>
      <c r="T57" s="52">
        <v>-40</v>
      </c>
      <c r="U57" s="52">
        <v>-36</v>
      </c>
      <c r="V57" s="52">
        <v>0</v>
      </c>
      <c r="W57" s="81">
        <v>-30</v>
      </c>
      <c r="X57" s="81">
        <v>3</v>
      </c>
      <c r="Y57" s="81">
        <v>-34</v>
      </c>
      <c r="Z57" s="81">
        <v>-15.3</v>
      </c>
      <c r="AA57" s="81">
        <v>-34.5</v>
      </c>
      <c r="AB57" s="81">
        <v>-42</v>
      </c>
      <c r="AC57" s="81">
        <v>-38.6</v>
      </c>
      <c r="AD57" s="52">
        <v>-5</v>
      </c>
      <c r="AE57" s="52">
        <v>-35.5</v>
      </c>
      <c r="AF57" s="52">
        <v>-36</v>
      </c>
      <c r="AG57" s="82"/>
      <c r="AH57" s="55">
        <f t="shared" si="2"/>
        <v>3</v>
      </c>
      <c r="AI57" s="56">
        <f t="shared" si="3"/>
        <v>-78</v>
      </c>
      <c r="AK57" s="57"/>
    </row>
    <row r="58" spans="1:37" x14ac:dyDescent="0.25">
      <c r="A58" s="66" t="s">
        <v>65</v>
      </c>
      <c r="B58" s="52">
        <v>0</v>
      </c>
      <c r="C58" s="52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-33</v>
      </c>
      <c r="AB58" s="52">
        <v>-34.4</v>
      </c>
      <c r="AC58" s="52">
        <v>-42.2</v>
      </c>
      <c r="AD58" s="52">
        <v>-35.799999999999997</v>
      </c>
      <c r="AE58" s="59">
        <v>-32.6</v>
      </c>
      <c r="AF58" s="59">
        <v>-35</v>
      </c>
      <c r="AG58" s="82"/>
      <c r="AH58" s="55">
        <f t="shared" si="2"/>
        <v>0</v>
      </c>
      <c r="AI58" s="56">
        <f t="shared" si="3"/>
        <v>-42.2</v>
      </c>
      <c r="AK58" s="57"/>
    </row>
    <row r="59" spans="1:37" x14ac:dyDescent="0.25">
      <c r="A59" s="66" t="s">
        <v>66</v>
      </c>
      <c r="B59" s="50">
        <v>-69.5</v>
      </c>
      <c r="C59" s="50">
        <v>-74</v>
      </c>
      <c r="D59" s="59">
        <v>-76.5</v>
      </c>
      <c r="E59" s="59">
        <v>-76</v>
      </c>
      <c r="F59" s="59">
        <v>-74.2</v>
      </c>
      <c r="G59" s="59">
        <v>-71.400000000000006</v>
      </c>
      <c r="H59" s="59">
        <v>-67.5</v>
      </c>
      <c r="I59" s="59">
        <v>-51.9</v>
      </c>
      <c r="J59" s="59">
        <v>-45.2</v>
      </c>
      <c r="K59" s="59">
        <v>-44.9</v>
      </c>
      <c r="L59" s="50">
        <v>-36.700000000000003</v>
      </c>
      <c r="M59" s="50">
        <v>-50.4</v>
      </c>
      <c r="N59" s="50">
        <v>-52.7</v>
      </c>
      <c r="O59" s="50">
        <v>-55.3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-66</v>
      </c>
      <c r="Y59" s="50">
        <v>-76.599999999999994</v>
      </c>
      <c r="Z59" s="50">
        <v>-74.8</v>
      </c>
      <c r="AA59" s="50">
        <v>-81.2</v>
      </c>
      <c r="AB59" s="50">
        <v>-81.2</v>
      </c>
      <c r="AC59" s="50">
        <v>-82.1</v>
      </c>
      <c r="AD59" s="50">
        <v>-81</v>
      </c>
      <c r="AE59" s="50">
        <v>-79.599999999999994</v>
      </c>
      <c r="AF59" s="50">
        <v>-77.8</v>
      </c>
      <c r="AG59" s="82"/>
      <c r="AH59" s="55">
        <f t="shared" si="2"/>
        <v>0</v>
      </c>
      <c r="AI59" s="56">
        <f t="shared" si="3"/>
        <v>-82.1</v>
      </c>
      <c r="AK59" s="57"/>
    </row>
    <row r="60" spans="1:37" x14ac:dyDescent="0.25">
      <c r="A60" s="66" t="s">
        <v>67</v>
      </c>
      <c r="B60" s="61">
        <v>0</v>
      </c>
      <c r="C60" s="61">
        <v>0</v>
      </c>
      <c r="D60" s="61">
        <v>0</v>
      </c>
      <c r="E60" s="61">
        <v>0</v>
      </c>
      <c r="F60" s="61">
        <v>0</v>
      </c>
      <c r="G60" s="61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-195.8</v>
      </c>
      <c r="C66" s="72">
        <f t="shared" ref="C66:AF66" si="8">SUM(C55:C65)</f>
        <v>-162.5</v>
      </c>
      <c r="D66" s="72">
        <f t="shared" si="8"/>
        <v>-151.9</v>
      </c>
      <c r="E66" s="72">
        <f t="shared" si="8"/>
        <v>-183.9</v>
      </c>
      <c r="F66" s="72">
        <f t="shared" si="8"/>
        <v>-138.19999999999999</v>
      </c>
      <c r="G66" s="72">
        <f t="shared" si="8"/>
        <v>-172.7</v>
      </c>
      <c r="H66" s="72">
        <f t="shared" si="8"/>
        <v>-198</v>
      </c>
      <c r="I66" s="72">
        <f t="shared" si="8"/>
        <v>-147.1</v>
      </c>
      <c r="J66" s="72">
        <f t="shared" si="8"/>
        <v>-79.5</v>
      </c>
      <c r="K66" s="72">
        <f t="shared" si="8"/>
        <v>-100.1</v>
      </c>
      <c r="L66" s="72">
        <f t="shared" si="8"/>
        <v>-123.3</v>
      </c>
      <c r="M66" s="72">
        <f t="shared" si="8"/>
        <v>-121.20000000000002</v>
      </c>
      <c r="N66" s="72">
        <f t="shared" si="8"/>
        <v>-128.80000000000001</v>
      </c>
      <c r="O66" s="72">
        <f>SUM(O55:O65)</f>
        <v>-136</v>
      </c>
      <c r="P66" s="72">
        <f t="shared" si="8"/>
        <v>-51.1</v>
      </c>
      <c r="Q66" s="72">
        <f t="shared" si="8"/>
        <v>-48</v>
      </c>
      <c r="R66" s="72">
        <f t="shared" si="8"/>
        <v>-70</v>
      </c>
      <c r="S66" s="72">
        <f t="shared" si="8"/>
        <v>-70</v>
      </c>
      <c r="T66" s="72">
        <f t="shared" si="8"/>
        <v>-40</v>
      </c>
      <c r="U66" s="72">
        <f t="shared" si="8"/>
        <v>-36</v>
      </c>
      <c r="V66" s="72">
        <f t="shared" si="8"/>
        <v>0</v>
      </c>
      <c r="W66" s="72">
        <f t="shared" si="8"/>
        <v>-30</v>
      </c>
      <c r="X66" s="72">
        <f t="shared" si="8"/>
        <v>-63</v>
      </c>
      <c r="Y66" s="72">
        <f t="shared" si="8"/>
        <v>-154.6</v>
      </c>
      <c r="Z66" s="72">
        <f>SUM(Z55:Z65)</f>
        <v>-164.8</v>
      </c>
      <c r="AA66" s="72">
        <f>SUM(AA55:AA65)</f>
        <v>-223.10000000000002</v>
      </c>
      <c r="AB66" s="72">
        <f t="shared" si="8"/>
        <v>-236.89999999999998</v>
      </c>
      <c r="AC66" s="72">
        <f t="shared" si="8"/>
        <v>-234.49999999999997</v>
      </c>
      <c r="AD66" s="72">
        <f t="shared" si="8"/>
        <v>-194.7</v>
      </c>
      <c r="AE66" s="72">
        <f t="shared" si="8"/>
        <v>-217.1</v>
      </c>
      <c r="AF66" s="72">
        <f t="shared" si="8"/>
        <v>-217.7</v>
      </c>
      <c r="AG66" s="77">
        <f>SUM(AG55:AG65)</f>
        <v>0</v>
      </c>
      <c r="AH66" s="55">
        <f t="shared" si="2"/>
        <v>0</v>
      </c>
      <c r="AI66" s="56">
        <f t="shared" si="3"/>
        <v>-236.89999999999998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1127.1399999999999</v>
      </c>
      <c r="C71" s="87">
        <f t="shared" ref="C71:AG71" si="10">C66+C54+C50+C36+C70</f>
        <v>1111.24</v>
      </c>
      <c r="D71" s="87">
        <f t="shared" si="10"/>
        <v>1071.04</v>
      </c>
      <c r="E71" s="87">
        <f t="shared" si="10"/>
        <v>1070.8399999999999</v>
      </c>
      <c r="F71" s="87">
        <f t="shared" si="10"/>
        <v>1092.44</v>
      </c>
      <c r="G71" s="87">
        <f t="shared" si="10"/>
        <v>1122.3399999999999</v>
      </c>
      <c r="H71" s="87">
        <f t="shared" si="10"/>
        <v>1108.6399999999999</v>
      </c>
      <c r="I71" s="87">
        <f t="shared" si="10"/>
        <v>1092.8400000000001</v>
      </c>
      <c r="J71" s="87">
        <f t="shared" si="10"/>
        <v>1139.04</v>
      </c>
      <c r="K71" s="87">
        <f t="shared" si="10"/>
        <v>1152.94</v>
      </c>
      <c r="L71" s="87">
        <f t="shared" si="10"/>
        <v>1165.94</v>
      </c>
      <c r="M71" s="87">
        <f t="shared" si="10"/>
        <v>1192.6400000000001</v>
      </c>
      <c r="N71" s="87">
        <f t="shared" si="10"/>
        <v>1193.6399999999999</v>
      </c>
      <c r="O71" s="87">
        <f t="shared" si="10"/>
        <v>1200.54</v>
      </c>
      <c r="P71" s="87">
        <f t="shared" si="10"/>
        <v>1283.4399999999998</v>
      </c>
      <c r="Q71" s="87">
        <f t="shared" si="10"/>
        <v>1234.9399999999998</v>
      </c>
      <c r="R71" s="87">
        <f t="shared" si="10"/>
        <v>1213.2399999999998</v>
      </c>
      <c r="S71" s="87">
        <f t="shared" si="10"/>
        <v>1073.2399999999998</v>
      </c>
      <c r="T71" s="87">
        <f t="shared" si="10"/>
        <v>1172.1399999999999</v>
      </c>
      <c r="U71" s="87">
        <f t="shared" si="10"/>
        <v>1183.24</v>
      </c>
      <c r="V71" s="87">
        <f t="shared" si="10"/>
        <v>1219.24</v>
      </c>
      <c r="W71" s="87">
        <f t="shared" si="10"/>
        <v>1377.44</v>
      </c>
      <c r="X71" s="87">
        <f t="shared" si="10"/>
        <v>1414.6399999999999</v>
      </c>
      <c r="Y71" s="87">
        <f t="shared" si="10"/>
        <v>1430.1399999999999</v>
      </c>
      <c r="Z71" s="87">
        <f t="shared" si="10"/>
        <v>1416.84</v>
      </c>
      <c r="AA71" s="87">
        <f t="shared" si="10"/>
        <v>1284.54</v>
      </c>
      <c r="AB71" s="87">
        <f t="shared" si="10"/>
        <v>1273.3400000000001</v>
      </c>
      <c r="AC71" s="87">
        <f t="shared" si="10"/>
        <v>1271.24</v>
      </c>
      <c r="AD71" s="87">
        <f t="shared" si="10"/>
        <v>1220.6399999999999</v>
      </c>
      <c r="AE71" s="87">
        <f t="shared" si="10"/>
        <v>1154.54</v>
      </c>
      <c r="AF71" s="87">
        <f t="shared" si="10"/>
        <v>1131.74</v>
      </c>
      <c r="AG71" s="87">
        <f t="shared" si="10"/>
        <v>2083.14</v>
      </c>
      <c r="AH71" s="55">
        <f t="shared" si="2"/>
        <v>1430.1399999999999</v>
      </c>
      <c r="AI71" s="56">
        <f t="shared" si="3"/>
        <v>1070.8399999999999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1127.1399999999999</v>
      </c>
      <c r="C73" s="87">
        <f t="shared" ref="C73:AF73" si="11">C70+C66+C54+C50+C36+C72</f>
        <v>1111.24</v>
      </c>
      <c r="D73" s="87">
        <f t="shared" si="11"/>
        <v>1071.04</v>
      </c>
      <c r="E73" s="87">
        <f t="shared" si="11"/>
        <v>1070.8399999999999</v>
      </c>
      <c r="F73" s="87">
        <f t="shared" si="11"/>
        <v>1092.44</v>
      </c>
      <c r="G73" s="87">
        <f t="shared" si="11"/>
        <v>1122.3399999999999</v>
      </c>
      <c r="H73" s="87">
        <f t="shared" si="11"/>
        <v>1108.6399999999999</v>
      </c>
      <c r="I73" s="87">
        <f t="shared" si="11"/>
        <v>1092.8400000000001</v>
      </c>
      <c r="J73" s="87">
        <f t="shared" si="11"/>
        <v>1139.04</v>
      </c>
      <c r="K73" s="87">
        <f t="shared" si="11"/>
        <v>1152.94</v>
      </c>
      <c r="L73" s="87">
        <f t="shared" si="11"/>
        <v>1165.94</v>
      </c>
      <c r="M73" s="87">
        <f t="shared" si="11"/>
        <v>1192.6400000000001</v>
      </c>
      <c r="N73" s="87">
        <f t="shared" si="11"/>
        <v>1193.6399999999999</v>
      </c>
      <c r="O73" s="87">
        <f t="shared" si="11"/>
        <v>1200.54</v>
      </c>
      <c r="P73" s="87">
        <f t="shared" si="11"/>
        <v>1283.4399999999998</v>
      </c>
      <c r="Q73" s="87">
        <f t="shared" si="11"/>
        <v>1234.9399999999998</v>
      </c>
      <c r="R73" s="87">
        <f t="shared" si="11"/>
        <v>1213.2399999999998</v>
      </c>
      <c r="S73" s="87">
        <f t="shared" si="11"/>
        <v>1073.2399999999998</v>
      </c>
      <c r="T73" s="87">
        <f t="shared" si="11"/>
        <v>1172.1399999999999</v>
      </c>
      <c r="U73" s="87">
        <f t="shared" si="11"/>
        <v>1183.24</v>
      </c>
      <c r="V73" s="87">
        <f t="shared" si="11"/>
        <v>1219.24</v>
      </c>
      <c r="W73" s="87">
        <f t="shared" si="11"/>
        <v>1377.44</v>
      </c>
      <c r="X73" s="87">
        <f t="shared" si="11"/>
        <v>1414.6399999999999</v>
      </c>
      <c r="Y73" s="87">
        <f t="shared" si="11"/>
        <v>1430.1399999999999</v>
      </c>
      <c r="Z73" s="87">
        <f t="shared" si="11"/>
        <v>1416.84</v>
      </c>
      <c r="AA73" s="87">
        <f t="shared" si="11"/>
        <v>1284.54</v>
      </c>
      <c r="AB73" s="87">
        <f t="shared" si="11"/>
        <v>1273.3400000000001</v>
      </c>
      <c r="AC73" s="87">
        <f t="shared" si="11"/>
        <v>1271.24</v>
      </c>
      <c r="AD73" s="87">
        <f t="shared" si="11"/>
        <v>1220.6399999999999</v>
      </c>
      <c r="AE73" s="87">
        <f t="shared" si="11"/>
        <v>1154.54</v>
      </c>
      <c r="AF73" s="87">
        <f t="shared" si="11"/>
        <v>1131.74</v>
      </c>
      <c r="AG73" s="77">
        <f>AG70+AG66+AG54+AG50+AG36+AG72</f>
        <v>2083.14</v>
      </c>
      <c r="AH73" s="55">
        <f t="shared" si="2"/>
        <v>1430.1399999999999</v>
      </c>
      <c r="AI73" s="56">
        <f t="shared" si="3"/>
        <v>1070.8399999999999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>IF(Z58&lt;0,Z58*-1,0)</f>
        <v>0</v>
      </c>
      <c r="AA74" s="59">
        <f>IF(AA58&lt;0,AA58*-1,0)</f>
        <v>33</v>
      </c>
      <c r="AB74" s="59">
        <f t="shared" si="12"/>
        <v>34.4</v>
      </c>
      <c r="AC74" s="59">
        <f t="shared" si="12"/>
        <v>42.2</v>
      </c>
      <c r="AD74" s="59">
        <f t="shared" si="12"/>
        <v>35.799999999999997</v>
      </c>
      <c r="AE74" s="59">
        <f t="shared" si="12"/>
        <v>32.6</v>
      </c>
      <c r="AF74" s="59">
        <f t="shared" si="12"/>
        <v>35</v>
      </c>
      <c r="AG74" s="63"/>
      <c r="AH74" s="55">
        <f t="shared" si="2"/>
        <v>42.2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66.2</v>
      </c>
      <c r="C75" s="59">
        <f t="shared" ref="C75:AF75" si="13">IF(C56&lt;0,C56*-1,0)</f>
        <v>67.5</v>
      </c>
      <c r="D75" s="59">
        <f t="shared" si="13"/>
        <v>65.400000000000006</v>
      </c>
      <c r="E75" s="59">
        <f t="shared" si="13"/>
        <v>63.9</v>
      </c>
      <c r="F75" s="59">
        <f t="shared" si="13"/>
        <v>64</v>
      </c>
      <c r="G75" s="59">
        <f t="shared" si="13"/>
        <v>58.4</v>
      </c>
      <c r="H75" s="59">
        <f t="shared" si="13"/>
        <v>52.5</v>
      </c>
      <c r="I75" s="59">
        <f t="shared" si="13"/>
        <v>40.6</v>
      </c>
      <c r="J75" s="59">
        <f t="shared" si="13"/>
        <v>34.299999999999997</v>
      </c>
      <c r="K75" s="59">
        <f t="shared" si="13"/>
        <v>33.700000000000003</v>
      </c>
      <c r="L75" s="59">
        <f t="shared" si="13"/>
        <v>32.200000000000003</v>
      </c>
      <c r="M75" s="59">
        <f t="shared" si="13"/>
        <v>36.1</v>
      </c>
      <c r="N75" s="59">
        <f t="shared" si="13"/>
        <v>39.1</v>
      </c>
      <c r="O75" s="59">
        <f t="shared" si="13"/>
        <v>37.6</v>
      </c>
      <c r="P75" s="59">
        <f t="shared" si="13"/>
        <v>8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59</v>
      </c>
      <c r="Z75" s="59">
        <f>IF(Z56&lt;0,Z56*-1,0)</f>
        <v>74.7</v>
      </c>
      <c r="AA75" s="59">
        <f>IF(AA56&lt;0,AA56*-1,0)</f>
        <v>74.400000000000006</v>
      </c>
      <c r="AB75" s="59">
        <f t="shared" si="13"/>
        <v>73.3</v>
      </c>
      <c r="AC75" s="59">
        <f t="shared" si="13"/>
        <v>71.599999999999994</v>
      </c>
      <c r="AD75" s="59">
        <f t="shared" si="13"/>
        <v>72.900000000000006</v>
      </c>
      <c r="AE75" s="59">
        <f t="shared" si="13"/>
        <v>69.400000000000006</v>
      </c>
      <c r="AF75" s="59">
        <f t="shared" si="13"/>
        <v>68.900000000000006</v>
      </c>
      <c r="AG75" s="67"/>
      <c r="AH75" s="55">
        <f t="shared" si="2"/>
        <v>74.7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69.5</v>
      </c>
      <c r="C76" s="59">
        <f t="shared" ref="C76:AF76" si="14">IF(C59&lt;0,C59*-1,0)</f>
        <v>74</v>
      </c>
      <c r="D76" s="59">
        <f t="shared" si="14"/>
        <v>76.5</v>
      </c>
      <c r="E76" s="59">
        <f t="shared" si="14"/>
        <v>76</v>
      </c>
      <c r="F76" s="59">
        <f t="shared" si="14"/>
        <v>74.2</v>
      </c>
      <c r="G76" s="59">
        <f t="shared" si="14"/>
        <v>71.400000000000006</v>
      </c>
      <c r="H76" s="59">
        <f t="shared" si="14"/>
        <v>67.5</v>
      </c>
      <c r="I76" s="59">
        <f t="shared" si="14"/>
        <v>51.9</v>
      </c>
      <c r="J76" s="59">
        <f t="shared" si="14"/>
        <v>45.2</v>
      </c>
      <c r="K76" s="59">
        <f t="shared" si="14"/>
        <v>44.9</v>
      </c>
      <c r="L76" s="59">
        <f t="shared" si="14"/>
        <v>36.700000000000003</v>
      </c>
      <c r="M76" s="59">
        <f t="shared" si="14"/>
        <v>50.4</v>
      </c>
      <c r="N76" s="59">
        <f t="shared" si="14"/>
        <v>52.7</v>
      </c>
      <c r="O76" s="59">
        <f t="shared" si="14"/>
        <v>55.3</v>
      </c>
      <c r="P76" s="59">
        <f t="shared" si="14"/>
        <v>0</v>
      </c>
      <c r="Q76" s="59">
        <f t="shared" si="14"/>
        <v>0</v>
      </c>
      <c r="R76" s="59">
        <f t="shared" si="14"/>
        <v>0</v>
      </c>
      <c r="S76" s="59">
        <f t="shared" si="14"/>
        <v>0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66</v>
      </c>
      <c r="Y76" s="59">
        <f t="shared" si="14"/>
        <v>76.599999999999994</v>
      </c>
      <c r="Z76" s="59">
        <f>IF(Z59&lt;0,Z59*-1,0)</f>
        <v>74.8</v>
      </c>
      <c r="AA76" s="59">
        <f>IF(AA59&lt;0,AA59*-1,0)</f>
        <v>81.2</v>
      </c>
      <c r="AB76" s="59">
        <f t="shared" si="14"/>
        <v>81.2</v>
      </c>
      <c r="AC76" s="59">
        <f t="shared" si="14"/>
        <v>82.1</v>
      </c>
      <c r="AD76" s="59">
        <f t="shared" si="14"/>
        <v>81</v>
      </c>
      <c r="AE76" s="59">
        <f t="shared" si="14"/>
        <v>79.599999999999994</v>
      </c>
      <c r="AF76" s="59">
        <f t="shared" si="14"/>
        <v>77.8</v>
      </c>
      <c r="AG76" s="90"/>
      <c r="AH76" s="55">
        <f t="shared" si="2"/>
        <v>82.1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60.1</v>
      </c>
      <c r="C77" s="59">
        <f t="shared" ref="C77:AF77" si="15">IF(C57&lt;0,C57*-1,0)</f>
        <v>21</v>
      </c>
      <c r="D77" s="59">
        <f t="shared" si="15"/>
        <v>10</v>
      </c>
      <c r="E77" s="59">
        <f t="shared" si="15"/>
        <v>44</v>
      </c>
      <c r="F77" s="59">
        <f t="shared" si="15"/>
        <v>0</v>
      </c>
      <c r="G77" s="59">
        <f t="shared" si="15"/>
        <v>42.9</v>
      </c>
      <c r="H77" s="59">
        <f t="shared" si="15"/>
        <v>78</v>
      </c>
      <c r="I77" s="59">
        <f t="shared" si="15"/>
        <v>54.6</v>
      </c>
      <c r="J77" s="59">
        <f t="shared" si="15"/>
        <v>0</v>
      </c>
      <c r="K77" s="59">
        <f t="shared" si="15"/>
        <v>21.5</v>
      </c>
      <c r="L77" s="59">
        <f t="shared" si="15"/>
        <v>54.4</v>
      </c>
      <c r="M77" s="59">
        <f t="shared" si="15"/>
        <v>34.700000000000003</v>
      </c>
      <c r="N77" s="59">
        <f t="shared" si="15"/>
        <v>37</v>
      </c>
      <c r="O77" s="59">
        <f t="shared" si="15"/>
        <v>43.1</v>
      </c>
      <c r="P77" s="59">
        <f t="shared" si="15"/>
        <v>43.1</v>
      </c>
      <c r="Q77" s="59">
        <f t="shared" si="15"/>
        <v>48</v>
      </c>
      <c r="R77" s="59">
        <f t="shared" si="15"/>
        <v>70</v>
      </c>
      <c r="S77" s="59">
        <f t="shared" si="15"/>
        <v>70</v>
      </c>
      <c r="T77" s="59">
        <f t="shared" si="15"/>
        <v>40</v>
      </c>
      <c r="U77" s="59">
        <f t="shared" si="15"/>
        <v>36</v>
      </c>
      <c r="V77" s="59">
        <f t="shared" si="15"/>
        <v>0</v>
      </c>
      <c r="W77" s="59">
        <f t="shared" si="15"/>
        <v>30</v>
      </c>
      <c r="X77" s="59">
        <f t="shared" si="15"/>
        <v>0</v>
      </c>
      <c r="Y77" s="59">
        <f t="shared" si="15"/>
        <v>34</v>
      </c>
      <c r="Z77" s="59">
        <f>IF(Z57&lt;0,Z57*-1,0)</f>
        <v>15.3</v>
      </c>
      <c r="AA77" s="59">
        <f>IF(AA57&lt;0,AA57*-1,0)</f>
        <v>34.5</v>
      </c>
      <c r="AB77" s="59">
        <f t="shared" si="15"/>
        <v>42</v>
      </c>
      <c r="AC77" s="59">
        <f t="shared" si="15"/>
        <v>38.6</v>
      </c>
      <c r="AD77" s="59">
        <f t="shared" si="15"/>
        <v>5</v>
      </c>
      <c r="AE77" s="59">
        <f t="shared" si="15"/>
        <v>35.5</v>
      </c>
      <c r="AF77" s="59">
        <f t="shared" si="15"/>
        <v>36</v>
      </c>
      <c r="AG77" s="90"/>
      <c r="AH77" s="55">
        <f t="shared" ref="AH77:AH89" si="16">MAX(B77:AF77)</f>
        <v>78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>IF(Z55&lt;0,Z55*-1,0)</f>
        <v>0</v>
      </c>
      <c r="AA78" s="59">
        <f>IF(AA55&lt;0,AA55*-1,0)</f>
        <v>0</v>
      </c>
      <c r="AB78" s="59">
        <f t="shared" si="18"/>
        <v>6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6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195.79999999999998</v>
      </c>
      <c r="C80" s="72">
        <f t="shared" ref="C80:AG80" si="19">SUM(C74:C79)</f>
        <v>162.5</v>
      </c>
      <c r="D80" s="72">
        <f t="shared" si="19"/>
        <v>151.9</v>
      </c>
      <c r="E80" s="72">
        <f t="shared" si="19"/>
        <v>183.9</v>
      </c>
      <c r="F80" s="72">
        <f t="shared" si="19"/>
        <v>138.19999999999999</v>
      </c>
      <c r="G80" s="72">
        <f t="shared" si="19"/>
        <v>172.70000000000002</v>
      </c>
      <c r="H80" s="72">
        <f t="shared" si="19"/>
        <v>198</v>
      </c>
      <c r="I80" s="72">
        <f t="shared" si="19"/>
        <v>147.1</v>
      </c>
      <c r="J80" s="72">
        <f t="shared" si="19"/>
        <v>79.5</v>
      </c>
      <c r="K80" s="72">
        <f t="shared" si="19"/>
        <v>100.1</v>
      </c>
      <c r="L80" s="72">
        <f t="shared" si="19"/>
        <v>123.30000000000001</v>
      </c>
      <c r="M80" s="72">
        <f t="shared" si="19"/>
        <v>121.2</v>
      </c>
      <c r="N80" s="72">
        <f t="shared" si="19"/>
        <v>128.80000000000001</v>
      </c>
      <c r="O80" s="72">
        <f t="shared" si="19"/>
        <v>136</v>
      </c>
      <c r="P80" s="72">
        <f t="shared" si="19"/>
        <v>51.1</v>
      </c>
      <c r="Q80" s="72">
        <f t="shared" si="19"/>
        <v>48</v>
      </c>
      <c r="R80" s="72">
        <f t="shared" si="19"/>
        <v>70</v>
      </c>
      <c r="S80" s="72">
        <f t="shared" si="19"/>
        <v>70</v>
      </c>
      <c r="T80" s="72">
        <f t="shared" si="19"/>
        <v>40</v>
      </c>
      <c r="U80" s="72">
        <f t="shared" si="19"/>
        <v>36</v>
      </c>
      <c r="V80" s="72">
        <f t="shared" si="19"/>
        <v>0</v>
      </c>
      <c r="W80" s="72">
        <f t="shared" si="19"/>
        <v>30</v>
      </c>
      <c r="X80" s="72">
        <f t="shared" si="19"/>
        <v>66</v>
      </c>
      <c r="Y80" s="72">
        <f t="shared" si="19"/>
        <v>169.6</v>
      </c>
      <c r="Z80" s="72">
        <f t="shared" si="19"/>
        <v>164.8</v>
      </c>
      <c r="AA80" s="72">
        <f t="shared" si="19"/>
        <v>223.10000000000002</v>
      </c>
      <c r="AB80" s="72">
        <f t="shared" si="19"/>
        <v>236.89999999999998</v>
      </c>
      <c r="AC80" s="72">
        <f t="shared" si="19"/>
        <v>234.49999999999997</v>
      </c>
      <c r="AD80" s="72">
        <f t="shared" si="19"/>
        <v>194.7</v>
      </c>
      <c r="AE80" s="72">
        <f t="shared" si="19"/>
        <v>217.1</v>
      </c>
      <c r="AF80" s="72">
        <f t="shared" si="19"/>
        <v>217.7</v>
      </c>
      <c r="AG80" s="77">
        <f t="shared" si="19"/>
        <v>0</v>
      </c>
      <c r="AH80" s="55">
        <f t="shared" si="16"/>
        <v>236.89999999999998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2645.8799999999997</v>
      </c>
      <c r="C81" s="72">
        <f t="shared" ref="C81:AG81" si="20">SUM(C68:C80)</f>
        <v>2547.48</v>
      </c>
      <c r="D81" s="72">
        <f t="shared" si="20"/>
        <v>2445.88</v>
      </c>
      <c r="E81" s="72">
        <f t="shared" si="20"/>
        <v>2509.48</v>
      </c>
      <c r="F81" s="72">
        <f t="shared" si="20"/>
        <v>2461.2799999999997</v>
      </c>
      <c r="G81" s="72">
        <f t="shared" si="20"/>
        <v>2590.08</v>
      </c>
      <c r="H81" s="72">
        <f t="shared" si="20"/>
        <v>2613.2799999999997</v>
      </c>
      <c r="I81" s="72">
        <f t="shared" si="20"/>
        <v>2479.88</v>
      </c>
      <c r="J81" s="72">
        <f t="shared" si="20"/>
        <v>2437.08</v>
      </c>
      <c r="K81" s="72">
        <f t="shared" si="20"/>
        <v>2506.08</v>
      </c>
      <c r="L81" s="72">
        <f t="shared" si="20"/>
        <v>2578.48</v>
      </c>
      <c r="M81" s="72">
        <f t="shared" si="20"/>
        <v>2627.68</v>
      </c>
      <c r="N81" s="72">
        <f t="shared" si="20"/>
        <v>2644.8799999999997</v>
      </c>
      <c r="O81" s="72">
        <f t="shared" si="20"/>
        <v>2673.08</v>
      </c>
      <c r="P81" s="72">
        <f t="shared" si="20"/>
        <v>2669.0799999999995</v>
      </c>
      <c r="Q81" s="72">
        <f t="shared" si="20"/>
        <v>2565.8799999999997</v>
      </c>
      <c r="R81" s="72">
        <f t="shared" si="20"/>
        <v>2566.4799999999996</v>
      </c>
      <c r="S81" s="72">
        <f t="shared" si="20"/>
        <v>2286.4799999999996</v>
      </c>
      <c r="T81" s="72">
        <f t="shared" si="20"/>
        <v>2424.2799999999997</v>
      </c>
      <c r="U81" s="72">
        <f t="shared" si="20"/>
        <v>2438.48</v>
      </c>
      <c r="V81" s="72">
        <f t="shared" si="20"/>
        <v>2438.48</v>
      </c>
      <c r="W81" s="72">
        <f t="shared" si="20"/>
        <v>2814.88</v>
      </c>
      <c r="X81" s="72">
        <f t="shared" si="20"/>
        <v>2961.2799999999997</v>
      </c>
      <c r="Y81" s="72">
        <f t="shared" si="20"/>
        <v>3199.4799999999996</v>
      </c>
      <c r="Z81" s="72">
        <f t="shared" si="20"/>
        <v>3163.28</v>
      </c>
      <c r="AA81" s="72">
        <f t="shared" si="20"/>
        <v>3015.2799999999997</v>
      </c>
      <c r="AB81" s="72">
        <f t="shared" si="20"/>
        <v>3020.4800000000005</v>
      </c>
      <c r="AC81" s="72">
        <f t="shared" si="20"/>
        <v>3011.4799999999996</v>
      </c>
      <c r="AD81" s="72">
        <f t="shared" si="20"/>
        <v>2830.68</v>
      </c>
      <c r="AE81" s="72">
        <f t="shared" si="20"/>
        <v>2743.2799999999997</v>
      </c>
      <c r="AF81" s="72">
        <f t="shared" si="20"/>
        <v>2698.88</v>
      </c>
      <c r="AG81" s="77">
        <f t="shared" si="20"/>
        <v>4238.08</v>
      </c>
      <c r="AH81" s="55">
        <f t="shared" si="16"/>
        <v>3199.4799999999996</v>
      </c>
      <c r="AI81" s="56">
        <f t="shared" si="17"/>
        <v>2286.4799999999996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49.86</v>
      </c>
      <c r="C82" s="93">
        <v>49.99</v>
      </c>
      <c r="D82" s="93">
        <v>49.988999999999997</v>
      </c>
      <c r="E82" s="93">
        <v>50.021999999999998</v>
      </c>
      <c r="F82" s="93">
        <v>50.000999999999998</v>
      </c>
      <c r="G82" s="93">
        <v>49.951999999999998</v>
      </c>
      <c r="H82" s="93">
        <v>49.970999999999997</v>
      </c>
      <c r="I82" s="93">
        <v>49.944000000000003</v>
      </c>
      <c r="J82" s="93">
        <v>49.930999999999997</v>
      </c>
      <c r="K82" s="93">
        <v>49.984999999999999</v>
      </c>
      <c r="L82" s="93">
        <v>49.997999999999998</v>
      </c>
      <c r="M82" s="93">
        <v>50.012</v>
      </c>
      <c r="N82" s="93">
        <v>49.991</v>
      </c>
      <c r="O82" s="93">
        <v>50.042999999999999</v>
      </c>
      <c r="P82" s="93">
        <v>50</v>
      </c>
      <c r="Q82" s="93">
        <v>50.09</v>
      </c>
      <c r="R82" s="93">
        <v>49.962000000000003</v>
      </c>
      <c r="S82" s="93">
        <v>49.83</v>
      </c>
      <c r="T82" s="93">
        <v>49.83</v>
      </c>
      <c r="U82" s="93">
        <v>49.83</v>
      </c>
      <c r="V82" s="93">
        <v>49.83</v>
      </c>
      <c r="W82" s="93">
        <v>49.8</v>
      </c>
      <c r="X82" s="93">
        <v>49.706000000000003</v>
      </c>
      <c r="Y82" s="93">
        <v>49.73</v>
      </c>
      <c r="Z82" s="93">
        <v>49.982999999999997</v>
      </c>
      <c r="AA82" s="93">
        <v>49.77</v>
      </c>
      <c r="AB82" s="93">
        <v>49.97</v>
      </c>
      <c r="AC82" s="93">
        <v>50.02</v>
      </c>
      <c r="AD82" s="93">
        <v>50</v>
      </c>
      <c r="AE82" s="93">
        <v>49.67</v>
      </c>
      <c r="AF82" s="94">
        <v>50.006</v>
      </c>
      <c r="AG82" s="95"/>
      <c r="AH82" s="55">
        <f t="shared" si="16"/>
        <v>50.09</v>
      </c>
      <c r="AI82" s="56">
        <f t="shared" si="17"/>
        <v>49.67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7">
        <v>121.3</v>
      </c>
      <c r="C83" s="97">
        <v>122.9</v>
      </c>
      <c r="D83" s="52">
        <v>123.8</v>
      </c>
      <c r="E83" s="52">
        <v>124.7</v>
      </c>
      <c r="F83" s="52">
        <v>123.9</v>
      </c>
      <c r="G83" s="52">
        <v>122.4</v>
      </c>
      <c r="H83" s="52">
        <v>124.4</v>
      </c>
      <c r="I83" s="52">
        <v>123.9</v>
      </c>
      <c r="J83" s="52">
        <v>124.9</v>
      </c>
      <c r="K83" s="52">
        <v>123.4</v>
      </c>
      <c r="L83" s="52">
        <v>123.2</v>
      </c>
      <c r="M83" s="52">
        <v>122.8</v>
      </c>
      <c r="N83" s="52">
        <v>122.3</v>
      </c>
      <c r="O83" s="52">
        <v>121.5</v>
      </c>
      <c r="P83" s="52">
        <v>122</v>
      </c>
      <c r="Q83" s="52">
        <v>123.8</v>
      </c>
      <c r="R83" s="52">
        <v>124.8</v>
      </c>
      <c r="S83" s="52">
        <v>124.9</v>
      </c>
      <c r="T83" s="52">
        <v>124.9</v>
      </c>
      <c r="U83" s="97">
        <v>124.2</v>
      </c>
      <c r="V83" s="97">
        <v>124.2</v>
      </c>
      <c r="W83" s="97">
        <v>124.4</v>
      </c>
      <c r="X83" s="97">
        <v>123.7</v>
      </c>
      <c r="Y83" s="97">
        <v>123.2</v>
      </c>
      <c r="Z83" s="97">
        <v>124</v>
      </c>
      <c r="AA83" s="97">
        <v>128.80000000000001</v>
      </c>
      <c r="AB83" s="97">
        <v>123.6</v>
      </c>
      <c r="AC83" s="97">
        <v>124.1</v>
      </c>
      <c r="AD83" s="52">
        <v>124.4</v>
      </c>
      <c r="AE83" s="52">
        <v>123.7</v>
      </c>
      <c r="AF83" s="98">
        <v>122.4</v>
      </c>
      <c r="AG83" s="99"/>
      <c r="AH83" s="55">
        <f t="shared" si="16"/>
        <v>128.80000000000001</v>
      </c>
      <c r="AI83" s="56">
        <f t="shared" si="17"/>
        <v>121.3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7">
        <v>127.2</v>
      </c>
      <c r="C84" s="97">
        <v>128.5</v>
      </c>
      <c r="D84" s="52">
        <v>129</v>
      </c>
      <c r="E84" s="52">
        <v>129.80000000000001</v>
      </c>
      <c r="F84" s="52">
        <v>129.4</v>
      </c>
      <c r="G84" s="52">
        <v>128</v>
      </c>
      <c r="H84" s="52">
        <v>129.19999999999999</v>
      </c>
      <c r="I84" s="52">
        <v>128.30000000000001</v>
      </c>
      <c r="J84" s="52">
        <v>129.19999999999999</v>
      </c>
      <c r="K84" s="52">
        <v>127.3</v>
      </c>
      <c r="L84" s="52">
        <v>127.6</v>
      </c>
      <c r="M84" s="52">
        <v>127.4</v>
      </c>
      <c r="N84" s="52">
        <v>127.1</v>
      </c>
      <c r="O84" s="52">
        <v>126.5</v>
      </c>
      <c r="P84" s="52">
        <v>128</v>
      </c>
      <c r="Q84" s="52">
        <v>128.30000000000001</v>
      </c>
      <c r="R84" s="52">
        <v>129</v>
      </c>
      <c r="S84" s="52">
        <v>129.6</v>
      </c>
      <c r="T84" s="52">
        <v>129.6</v>
      </c>
      <c r="U84" s="97">
        <v>128.6</v>
      </c>
      <c r="V84" s="97">
        <v>128.6</v>
      </c>
      <c r="W84" s="97">
        <v>128.30000000000001</v>
      </c>
      <c r="X84" s="97">
        <v>128</v>
      </c>
      <c r="Y84" s="97">
        <v>127.8</v>
      </c>
      <c r="Z84" s="97">
        <v>128.6</v>
      </c>
      <c r="AA84" s="97">
        <v>123.8</v>
      </c>
      <c r="AB84" s="97">
        <v>128.69999999999999</v>
      </c>
      <c r="AC84" s="97">
        <v>129</v>
      </c>
      <c r="AD84" s="52">
        <v>129.9</v>
      </c>
      <c r="AE84" s="52">
        <v>129.4</v>
      </c>
      <c r="AF84" s="98">
        <v>128</v>
      </c>
      <c r="AG84" s="99"/>
      <c r="AH84" s="55">
        <f t="shared" si="16"/>
        <v>129.9</v>
      </c>
      <c r="AI84" s="56">
        <f t="shared" si="17"/>
        <v>123.8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7">
        <v>128.30000000000001</v>
      </c>
      <c r="C85" s="97">
        <v>128.1</v>
      </c>
      <c r="D85" s="52">
        <v>128.5</v>
      </c>
      <c r="E85" s="52">
        <v>128.19999999999999</v>
      </c>
      <c r="F85" s="52">
        <v>128.6</v>
      </c>
      <c r="G85" s="52">
        <v>128.69999999999999</v>
      </c>
      <c r="H85" s="52">
        <v>130.4</v>
      </c>
      <c r="I85" s="52">
        <v>130.4</v>
      </c>
      <c r="J85" s="52">
        <v>130</v>
      </c>
      <c r="K85" s="52">
        <v>132.30000000000001</v>
      </c>
      <c r="L85" s="52">
        <v>129.1</v>
      </c>
      <c r="M85" s="52">
        <v>129.6</v>
      </c>
      <c r="N85" s="52">
        <v>128.19999999999999</v>
      </c>
      <c r="O85" s="52">
        <v>130.4</v>
      </c>
      <c r="P85" s="52">
        <v>128.6</v>
      </c>
      <c r="Q85" s="52">
        <v>129</v>
      </c>
      <c r="R85" s="52">
        <v>128.4</v>
      </c>
      <c r="S85" s="52">
        <v>130.19999999999999</v>
      </c>
      <c r="T85" s="52">
        <v>130.19999999999999</v>
      </c>
      <c r="U85" s="52">
        <v>127.9</v>
      </c>
      <c r="V85" s="52">
        <v>127.9</v>
      </c>
      <c r="W85" s="97">
        <v>128.9</v>
      </c>
      <c r="X85" s="97">
        <v>127.8</v>
      </c>
      <c r="Y85" s="97">
        <v>123.9</v>
      </c>
      <c r="Z85" s="97">
        <v>127.1</v>
      </c>
      <c r="AA85" s="97">
        <v>126</v>
      </c>
      <c r="AB85" s="97">
        <v>127</v>
      </c>
      <c r="AC85" s="97">
        <v>128.30000000000001</v>
      </c>
      <c r="AD85" s="52">
        <v>127.9</v>
      </c>
      <c r="AE85" s="52">
        <v>127.5</v>
      </c>
      <c r="AF85" s="98">
        <v>129.69999999999999</v>
      </c>
      <c r="AG85" s="99"/>
      <c r="AH85" s="55">
        <f t="shared" si="16"/>
        <v>132.30000000000001</v>
      </c>
      <c r="AI85" s="56">
        <f t="shared" si="17"/>
        <v>123.9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7">
        <v>134.6</v>
      </c>
      <c r="C86" s="97">
        <v>131.80000000000001</v>
      </c>
      <c r="D86" s="52">
        <v>131.80000000000001</v>
      </c>
      <c r="E86" s="52">
        <v>131.6</v>
      </c>
      <c r="F86" s="52">
        <v>132.19999999999999</v>
      </c>
      <c r="G86" s="52">
        <v>131.5</v>
      </c>
      <c r="H86" s="52">
        <v>132.80000000000001</v>
      </c>
      <c r="I86" s="52">
        <v>132.9</v>
      </c>
      <c r="J86" s="52">
        <v>132.4</v>
      </c>
      <c r="K86" s="52">
        <v>134.4</v>
      </c>
      <c r="L86" s="52">
        <v>131</v>
      </c>
      <c r="M86" s="52">
        <v>132.9</v>
      </c>
      <c r="N86" s="52">
        <v>131.19999999999999</v>
      </c>
      <c r="O86" s="52">
        <v>133.6</v>
      </c>
      <c r="P86" s="52">
        <v>133.6</v>
      </c>
      <c r="Q86" s="52">
        <v>132.9</v>
      </c>
      <c r="R86" s="52">
        <v>132.30000000000001</v>
      </c>
      <c r="S86" s="52">
        <v>132.30000000000001</v>
      </c>
      <c r="T86" s="52">
        <v>132.30000000000001</v>
      </c>
      <c r="U86" s="52">
        <v>130.6</v>
      </c>
      <c r="V86" s="52">
        <v>130.6</v>
      </c>
      <c r="W86" s="97">
        <v>131.6</v>
      </c>
      <c r="X86" s="97">
        <v>131</v>
      </c>
      <c r="Y86" s="97">
        <v>127.4</v>
      </c>
      <c r="Z86" s="97">
        <v>130.80000000000001</v>
      </c>
      <c r="AA86" s="97">
        <v>130.6</v>
      </c>
      <c r="AB86" s="97">
        <v>131.9</v>
      </c>
      <c r="AC86" s="97">
        <v>133.4</v>
      </c>
      <c r="AD86" s="52">
        <v>133.19999999999999</v>
      </c>
      <c r="AE86" s="52">
        <v>130.80000000000001</v>
      </c>
      <c r="AF86" s="98">
        <v>133.30000000000001</v>
      </c>
      <c r="AG86" s="99"/>
      <c r="AH86" s="55">
        <f t="shared" si="16"/>
        <v>134.6</v>
      </c>
      <c r="AI86" s="56">
        <f t="shared" si="17"/>
        <v>127.4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97">
        <v>133.69999999999999</v>
      </c>
      <c r="C87" s="97">
        <v>135.9</v>
      </c>
      <c r="D87" s="101">
        <v>130.6</v>
      </c>
      <c r="E87" s="101">
        <v>136</v>
      </c>
      <c r="F87" s="101">
        <v>133.30000000000001</v>
      </c>
      <c r="G87" s="101">
        <v>133.19999999999999</v>
      </c>
      <c r="H87" s="101">
        <v>135.69999999999999</v>
      </c>
      <c r="I87" s="101">
        <v>131.80000000000001</v>
      </c>
      <c r="J87" s="101">
        <v>135.69999999999999</v>
      </c>
      <c r="K87" s="101">
        <v>134.80000000000001</v>
      </c>
      <c r="L87" s="101">
        <v>133.1</v>
      </c>
      <c r="M87" s="101">
        <v>132.4</v>
      </c>
      <c r="N87" s="101">
        <v>134.69999999999999</v>
      </c>
      <c r="O87" s="101">
        <v>133.69999999999999</v>
      </c>
      <c r="P87" s="101">
        <v>133.69999999999999</v>
      </c>
      <c r="Q87" s="101">
        <v>134</v>
      </c>
      <c r="R87" s="101">
        <v>132.19999999999999</v>
      </c>
      <c r="S87" s="101">
        <v>133.9</v>
      </c>
      <c r="T87" s="101">
        <v>133.9</v>
      </c>
      <c r="U87" s="101">
        <v>133.5</v>
      </c>
      <c r="V87" s="101">
        <v>133.5</v>
      </c>
      <c r="W87" s="97">
        <v>130.4</v>
      </c>
      <c r="X87" s="97">
        <v>133.6</v>
      </c>
      <c r="Y87" s="97">
        <v>134.4</v>
      </c>
      <c r="Z87" s="97">
        <v>131.4</v>
      </c>
      <c r="AA87" s="97">
        <v>128.30000000000001</v>
      </c>
      <c r="AB87" s="97">
        <v>140.5</v>
      </c>
      <c r="AC87" s="97">
        <v>131.69999999999999</v>
      </c>
      <c r="AD87" s="101">
        <v>130</v>
      </c>
      <c r="AE87" s="101">
        <v>130.4</v>
      </c>
      <c r="AF87" s="102">
        <v>131.1</v>
      </c>
      <c r="AG87" s="103"/>
      <c r="AH87" s="55">
        <f t="shared" si="16"/>
        <v>140.5</v>
      </c>
      <c r="AI87" s="56">
        <f t="shared" si="17"/>
        <v>128.30000000000001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7">
        <v>134.1</v>
      </c>
      <c r="C88" s="97">
        <v>136.6</v>
      </c>
      <c r="D88" s="52">
        <v>130.80000000000001</v>
      </c>
      <c r="E88" s="52">
        <v>135.69999999999999</v>
      </c>
      <c r="F88" s="52">
        <v>130.69999999999999</v>
      </c>
      <c r="G88" s="52">
        <v>130.80000000000001</v>
      </c>
      <c r="H88" s="52">
        <v>133.1</v>
      </c>
      <c r="I88" s="52">
        <v>129.5</v>
      </c>
      <c r="J88" s="52">
        <v>131.69999999999999</v>
      </c>
      <c r="K88" s="52">
        <v>131.69999999999999</v>
      </c>
      <c r="L88" s="52">
        <v>128.1</v>
      </c>
      <c r="M88" s="52">
        <v>130.4</v>
      </c>
      <c r="N88" s="52">
        <v>133.4</v>
      </c>
      <c r="O88" s="52">
        <v>133.80000000000001</v>
      </c>
      <c r="P88" s="52">
        <v>133.80000000000001</v>
      </c>
      <c r="Q88" s="52">
        <v>131.5</v>
      </c>
      <c r="R88" s="52">
        <v>128.5</v>
      </c>
      <c r="S88" s="52">
        <v>130.80000000000001</v>
      </c>
      <c r="T88" s="52">
        <v>130.80000000000001</v>
      </c>
      <c r="U88" s="52">
        <v>133.1</v>
      </c>
      <c r="V88" s="52">
        <v>133.1</v>
      </c>
      <c r="W88" s="97">
        <v>128.6</v>
      </c>
      <c r="X88" s="97">
        <v>131.5</v>
      </c>
      <c r="Y88" s="97">
        <v>129.9</v>
      </c>
      <c r="Z88" s="97">
        <v>126.7</v>
      </c>
      <c r="AA88" s="97">
        <v>123.4</v>
      </c>
      <c r="AB88" s="97">
        <v>130.4</v>
      </c>
      <c r="AC88" s="97">
        <v>130.4</v>
      </c>
      <c r="AD88" s="52">
        <v>128</v>
      </c>
      <c r="AE88" s="52">
        <v>129</v>
      </c>
      <c r="AF88" s="98">
        <v>130.19999999999999</v>
      </c>
      <c r="AG88" s="99"/>
      <c r="AH88" s="55">
        <f t="shared" si="16"/>
        <v>136.6</v>
      </c>
      <c r="AI88" s="56">
        <f t="shared" si="17"/>
        <v>123.4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64.7</v>
      </c>
      <c r="C89" s="104">
        <v>65.599999999999994</v>
      </c>
      <c r="D89" s="104">
        <v>65.599999999999994</v>
      </c>
      <c r="E89" s="104">
        <v>66.2</v>
      </c>
      <c r="F89" s="104">
        <v>65.7</v>
      </c>
      <c r="G89" s="104">
        <v>65.099999999999994</v>
      </c>
      <c r="H89" s="104">
        <v>65.7</v>
      </c>
      <c r="I89" s="104">
        <v>65.099999999999994</v>
      </c>
      <c r="J89" s="104">
        <v>65.5</v>
      </c>
      <c r="K89" s="104">
        <v>64.7</v>
      </c>
      <c r="L89" s="104">
        <v>64.900000000000006</v>
      </c>
      <c r="M89" s="104">
        <v>65</v>
      </c>
      <c r="N89" s="104">
        <v>64.599999999999994</v>
      </c>
      <c r="O89" s="104">
        <v>64.3</v>
      </c>
      <c r="P89" s="104">
        <v>64.3</v>
      </c>
      <c r="Q89" s="104">
        <v>65.099999999999994</v>
      </c>
      <c r="R89" s="104">
        <v>65.5</v>
      </c>
      <c r="S89" s="104">
        <v>65.5</v>
      </c>
      <c r="T89" s="104">
        <v>65.5</v>
      </c>
      <c r="U89" s="104">
        <v>65.2</v>
      </c>
      <c r="V89" s="104">
        <v>65.2</v>
      </c>
      <c r="W89" s="104">
        <v>64.8</v>
      </c>
      <c r="X89" s="104">
        <v>64.7</v>
      </c>
      <c r="Y89" s="104">
        <v>64.8</v>
      </c>
      <c r="Z89" s="104">
        <v>65.3</v>
      </c>
      <c r="AA89" s="104">
        <v>65.7</v>
      </c>
      <c r="AB89" s="104">
        <v>65.5</v>
      </c>
      <c r="AC89" s="104">
        <v>65.5</v>
      </c>
      <c r="AD89" s="104">
        <v>66</v>
      </c>
      <c r="AE89" s="104">
        <v>66</v>
      </c>
      <c r="AF89" s="105">
        <v>65.3</v>
      </c>
      <c r="AG89" s="106"/>
      <c r="AH89" s="55">
        <f t="shared" si="16"/>
        <v>66.2</v>
      </c>
      <c r="AI89" s="56">
        <f t="shared" si="17"/>
        <v>64.3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SUM(B14,B17,B20:B21,B40,B42:B43,B45,B47,B92:B95,B100,B106,B112,B121,B123,B135,B142,B145:B146,B153,B155,B157,B161:B163,B165:B167,B172,B178:B179,B181:B183,B191,B196)</f>
        <v>135.74</v>
      </c>
      <c r="C91" s="178">
        <f t="shared" ref="C91:AF91" si="21">SUM(C14,C17,C20:C21,C40,C42:C43,C45,C47,C92:C95,C100,C106,C112,C121,C123,C135,C142,C145:C146,C153,C155,C157,C161:C163,C165:C167,C172,C178:C179,C181:C183,C191,C196)</f>
        <v>134.23999999999995</v>
      </c>
      <c r="D91" s="178">
        <f t="shared" si="21"/>
        <v>130.04</v>
      </c>
      <c r="E91" s="178">
        <f t="shared" si="21"/>
        <v>134.44</v>
      </c>
      <c r="F91" s="111">
        <f t="shared" si="21"/>
        <v>148.83999999999997</v>
      </c>
      <c r="G91" s="111">
        <f t="shared" si="21"/>
        <v>170.54</v>
      </c>
      <c r="H91" s="111">
        <f t="shared" si="21"/>
        <v>186.83999999999997</v>
      </c>
      <c r="I91" s="111">
        <f t="shared" si="21"/>
        <v>215.33999999999997</v>
      </c>
      <c r="J91" s="111">
        <f t="shared" si="21"/>
        <v>237.23999999999995</v>
      </c>
      <c r="K91" s="111">
        <f t="shared" si="21"/>
        <v>248.43999999999994</v>
      </c>
      <c r="L91" s="111">
        <f t="shared" si="21"/>
        <v>268.53999999999996</v>
      </c>
      <c r="M91" s="111">
        <f t="shared" si="21"/>
        <v>272.44000000000005</v>
      </c>
      <c r="N91" s="111">
        <f t="shared" si="21"/>
        <v>268.34000000000003</v>
      </c>
      <c r="O91" s="111">
        <f t="shared" si="21"/>
        <v>249.93999999999997</v>
      </c>
      <c r="P91" s="111">
        <f t="shared" si="21"/>
        <v>240.83999999999997</v>
      </c>
      <c r="Q91" s="111">
        <f t="shared" si="21"/>
        <v>224.44</v>
      </c>
      <c r="R91" s="111">
        <f t="shared" si="21"/>
        <v>248.74</v>
      </c>
      <c r="S91" s="111">
        <f t="shared" si="21"/>
        <v>219.14</v>
      </c>
      <c r="T91" s="111">
        <f t="shared" si="21"/>
        <v>211.14</v>
      </c>
      <c r="U91" s="111">
        <f t="shared" si="21"/>
        <v>262.34000000000003</v>
      </c>
      <c r="V91" s="111">
        <f t="shared" si="21"/>
        <v>262.74000000000007</v>
      </c>
      <c r="W91" s="111">
        <f t="shared" si="21"/>
        <v>300.94000000000005</v>
      </c>
      <c r="X91" s="111">
        <f t="shared" si="21"/>
        <v>306.04000000000008</v>
      </c>
      <c r="Y91" s="111">
        <f t="shared" si="21"/>
        <v>295.74</v>
      </c>
      <c r="Z91" s="111">
        <f t="shared" si="21"/>
        <v>280.34000000000003</v>
      </c>
      <c r="AA91" s="111">
        <f t="shared" si="21"/>
        <v>233.43999999999997</v>
      </c>
      <c r="AB91" s="111">
        <f t="shared" si="21"/>
        <v>212.24</v>
      </c>
      <c r="AC91" s="111">
        <f t="shared" si="21"/>
        <v>203.53999999999996</v>
      </c>
      <c r="AD91" s="111">
        <f t="shared" si="21"/>
        <v>172.83999999999997</v>
      </c>
      <c r="AE91" s="111">
        <f t="shared" si="21"/>
        <v>147.53999999999996</v>
      </c>
      <c r="AF91" s="111">
        <f t="shared" si="21"/>
        <v>127.23999999999997</v>
      </c>
      <c r="AG91" s="112"/>
      <c r="AH91" s="55">
        <f>MAX(B91:AF91)</f>
        <v>306.04000000000008</v>
      </c>
      <c r="AI91" s="56">
        <f>MIN(B91:AF91)</f>
        <v>127.23999999999997</v>
      </c>
    </row>
    <row r="92" spans="1:88" x14ac:dyDescent="0.25">
      <c r="A92" s="113" t="s">
        <v>95</v>
      </c>
      <c r="B92" s="114">
        <v>31.9</v>
      </c>
      <c r="C92" s="114">
        <v>38</v>
      </c>
      <c r="D92" s="59">
        <v>22.5</v>
      </c>
      <c r="E92" s="59">
        <v>34</v>
      </c>
      <c r="F92" s="114">
        <v>35.1</v>
      </c>
      <c r="G92" s="114">
        <v>42.8</v>
      </c>
      <c r="H92" s="114">
        <v>50.5</v>
      </c>
      <c r="I92" s="114">
        <v>53.4</v>
      </c>
      <c r="J92" s="114">
        <v>38.799999999999997</v>
      </c>
      <c r="K92" s="114">
        <v>56.2</v>
      </c>
      <c r="L92" s="115">
        <v>55.3</v>
      </c>
      <c r="M92" s="114">
        <v>52.5</v>
      </c>
      <c r="N92" s="114">
        <v>58.2</v>
      </c>
      <c r="O92" s="114">
        <v>51.9</v>
      </c>
      <c r="P92" s="114">
        <v>37.799999999999997</v>
      </c>
      <c r="Q92" s="114">
        <v>38.4</v>
      </c>
      <c r="R92" s="114">
        <v>37.4</v>
      </c>
      <c r="S92" s="114">
        <v>47.4</v>
      </c>
      <c r="T92" s="114">
        <v>47.4</v>
      </c>
      <c r="U92" s="115">
        <v>47.4</v>
      </c>
      <c r="V92" s="115">
        <v>47.8</v>
      </c>
      <c r="W92" s="114">
        <v>22.2</v>
      </c>
      <c r="X92" s="114">
        <v>16.5</v>
      </c>
      <c r="Y92" s="114">
        <v>22.7</v>
      </c>
      <c r="Z92" s="114">
        <v>9.5</v>
      </c>
      <c r="AA92" s="114">
        <v>16.2</v>
      </c>
      <c r="AB92" s="114">
        <v>11.8</v>
      </c>
      <c r="AC92" s="114">
        <v>11.6</v>
      </c>
      <c r="AD92" s="115">
        <v>13.5</v>
      </c>
      <c r="AE92" s="115">
        <v>22.5</v>
      </c>
      <c r="AF92" s="116">
        <v>13.7</v>
      </c>
      <c r="AG92" s="117">
        <v>75</v>
      </c>
      <c r="AH92" s="55">
        <f t="shared" ref="AH92:AH97" si="22">IF(ABS(MAX(B92:AF92))&gt;ABS(MIN(B92:AF92)),MAX(B92:AF92),MIN(B92:AF92))</f>
        <v>58.2</v>
      </c>
      <c r="AI92" s="118">
        <f t="shared" ref="AI92:AI97" si="23">INDEX($B$9:$AF$9,1,MATCH(AH92,B92:AF92,0))</f>
        <v>0.41666666666666702</v>
      </c>
    </row>
    <row r="93" spans="1:88" x14ac:dyDescent="0.25">
      <c r="A93" s="119" t="s">
        <v>96</v>
      </c>
      <c r="B93" s="61">
        <f>-55-65.4</f>
        <v>-120.4</v>
      </c>
      <c r="C93" s="61">
        <f>-56.7-67.7</f>
        <v>-124.4</v>
      </c>
      <c r="D93" s="61">
        <v>-98</v>
      </c>
      <c r="E93" s="61">
        <v>-106</v>
      </c>
      <c r="F93" s="61">
        <v>-85</v>
      </c>
      <c r="G93" s="61">
        <v>-116</v>
      </c>
      <c r="H93" s="61">
        <v>-108</v>
      </c>
      <c r="I93" s="61">
        <v>-93</v>
      </c>
      <c r="J93" s="61">
        <v>-80</v>
      </c>
      <c r="K93" s="61">
        <v>-80</v>
      </c>
      <c r="L93" s="61">
        <v>-71.5</v>
      </c>
      <c r="M93" s="61">
        <v>-75.5</v>
      </c>
      <c r="N93" s="61">
        <v>-80.7</v>
      </c>
      <c r="O93" s="61">
        <v>-88.2</v>
      </c>
      <c r="P93" s="61">
        <f>-37.6-44.9</f>
        <v>-82.5</v>
      </c>
      <c r="Q93" s="61">
        <f>-37.4-44.7</f>
        <v>-82.1</v>
      </c>
      <c r="R93" s="61">
        <v>-77.599999999999994</v>
      </c>
      <c r="S93" s="61">
        <v>-77</v>
      </c>
      <c r="T93" s="61">
        <v>-77</v>
      </c>
      <c r="U93" s="61">
        <v>-60</v>
      </c>
      <c r="V93" s="61">
        <v>-60</v>
      </c>
      <c r="W93" s="61">
        <v>-48</v>
      </c>
      <c r="X93" s="61">
        <v>-55</v>
      </c>
      <c r="Y93" s="61">
        <v>-66</v>
      </c>
      <c r="Z93" s="61">
        <v>-69</v>
      </c>
      <c r="AA93" s="61">
        <f>-37-52.3</f>
        <v>-89.3</v>
      </c>
      <c r="AB93" s="61">
        <f>-41.9-56.8</f>
        <v>-98.699999999999989</v>
      </c>
      <c r="AC93" s="61">
        <f>-43.8-58.6</f>
        <v>-102.4</v>
      </c>
      <c r="AD93" s="52">
        <v>-112</v>
      </c>
      <c r="AE93" s="52">
        <v>-122</v>
      </c>
      <c r="AF93" s="120">
        <v>-93</v>
      </c>
      <c r="AG93" s="117">
        <v>240</v>
      </c>
      <c r="AH93" s="55">
        <f t="shared" si="22"/>
        <v>-124.4</v>
      </c>
      <c r="AI93" s="118">
        <f t="shared" si="23"/>
        <v>8.3333333333333301E-2</v>
      </c>
    </row>
    <row r="94" spans="1:88" x14ac:dyDescent="0.25">
      <c r="A94" s="119" t="s">
        <v>97</v>
      </c>
      <c r="B94" s="61">
        <v>-14.8</v>
      </c>
      <c r="C94" s="61">
        <v>-13</v>
      </c>
      <c r="D94" s="61">
        <v>-13.5</v>
      </c>
      <c r="E94" s="61">
        <v>-12.3</v>
      </c>
      <c r="F94" s="61">
        <v>-12.6</v>
      </c>
      <c r="G94" s="61">
        <v>-16</v>
      </c>
      <c r="H94" s="61">
        <v>-9</v>
      </c>
      <c r="I94" s="61">
        <v>-5.9</v>
      </c>
      <c r="J94" s="61">
        <v>-3.3</v>
      </c>
      <c r="K94" s="61">
        <v>-1.8</v>
      </c>
      <c r="L94" s="61">
        <v>0.2</v>
      </c>
      <c r="M94" s="61">
        <v>1.8</v>
      </c>
      <c r="N94" s="61">
        <v>0</v>
      </c>
      <c r="O94" s="61">
        <v>-2.7</v>
      </c>
      <c r="P94" s="61">
        <v>0.2</v>
      </c>
      <c r="Q94" s="61">
        <v>3.2</v>
      </c>
      <c r="R94" s="61">
        <v>28.8</v>
      </c>
      <c r="S94" s="61">
        <v>0.2</v>
      </c>
      <c r="T94" s="61">
        <v>0.2</v>
      </c>
      <c r="U94" s="61">
        <v>4</v>
      </c>
      <c r="V94" s="61">
        <v>4</v>
      </c>
      <c r="W94" s="61">
        <v>20.7</v>
      </c>
      <c r="X94" s="61">
        <v>36.299999999999997</v>
      </c>
      <c r="Y94" s="61">
        <v>36.200000000000003</v>
      </c>
      <c r="Z94" s="61">
        <v>35.700000000000003</v>
      </c>
      <c r="AA94" s="61">
        <v>26.2</v>
      </c>
      <c r="AB94" s="61">
        <v>21.4</v>
      </c>
      <c r="AC94" s="61">
        <v>18.600000000000001</v>
      </c>
      <c r="AD94" s="52">
        <v>12.4</v>
      </c>
      <c r="AE94" s="52">
        <v>0.1</v>
      </c>
      <c r="AF94" s="120">
        <v>-7.4</v>
      </c>
      <c r="AG94" s="117">
        <v>60</v>
      </c>
      <c r="AH94" s="55">
        <f t="shared" si="22"/>
        <v>36.299999999999997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2</v>
      </c>
      <c r="G95" s="84">
        <v>33.4</v>
      </c>
      <c r="H95" s="84">
        <v>27</v>
      </c>
      <c r="I95" s="84">
        <v>20.6</v>
      </c>
      <c r="J95" s="84">
        <v>41.5</v>
      </c>
      <c r="K95" s="84">
        <v>33.5</v>
      </c>
      <c r="L95" s="84">
        <v>44</v>
      </c>
      <c r="M95" s="84">
        <v>54.7</v>
      </c>
      <c r="N95" s="84">
        <v>50.5</v>
      </c>
      <c r="O95" s="84">
        <v>53.6</v>
      </c>
      <c r="P95" s="84">
        <v>50</v>
      </c>
      <c r="Q95" s="84">
        <v>41.8</v>
      </c>
      <c r="R95" s="84">
        <v>37</v>
      </c>
      <c r="S95" s="84">
        <v>25.4</v>
      </c>
      <c r="T95" s="84">
        <v>25.4</v>
      </c>
      <c r="U95" s="84">
        <v>47.8</v>
      </c>
      <c r="V95" s="84">
        <v>47.8</v>
      </c>
      <c r="W95" s="84">
        <v>82.9</v>
      </c>
      <c r="X95" s="84">
        <v>85.1</v>
      </c>
      <c r="Y95" s="84">
        <v>79.7</v>
      </c>
      <c r="Z95" s="84">
        <v>81</v>
      </c>
      <c r="AA95" s="84">
        <v>57.4</v>
      </c>
      <c r="AB95" s="84">
        <v>54.8</v>
      </c>
      <c r="AC95" s="84">
        <v>52.8</v>
      </c>
      <c r="AD95" s="122">
        <v>36</v>
      </c>
      <c r="AE95" s="122">
        <v>33</v>
      </c>
      <c r="AF95" s="123">
        <v>0</v>
      </c>
      <c r="AG95" s="124">
        <v>120</v>
      </c>
      <c r="AH95" s="55">
        <f t="shared" si="22"/>
        <v>85.1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60.2</v>
      </c>
      <c r="C96" s="84">
        <v>51.6</v>
      </c>
      <c r="D96" s="84">
        <v>68</v>
      </c>
      <c r="E96" s="84">
        <v>57.9</v>
      </c>
      <c r="F96" s="84">
        <v>78.2</v>
      </c>
      <c r="G96" s="84">
        <v>54.1</v>
      </c>
      <c r="H96" s="84">
        <v>47.1</v>
      </c>
      <c r="I96" s="84">
        <v>40.5</v>
      </c>
      <c r="J96" s="84">
        <v>57.4</v>
      </c>
      <c r="K96" s="84">
        <v>50.8</v>
      </c>
      <c r="L96" s="84">
        <v>57.4</v>
      </c>
      <c r="M96" s="84">
        <v>64.8</v>
      </c>
      <c r="N96" s="84">
        <v>58.8</v>
      </c>
      <c r="O96" s="84">
        <v>64.400000000000006</v>
      </c>
      <c r="P96" s="84">
        <v>58</v>
      </c>
      <c r="Q96" s="84">
        <v>44.7</v>
      </c>
      <c r="R96" s="84">
        <v>40.799999999999997</v>
      </c>
      <c r="S96" s="84">
        <v>33.799999999999997</v>
      </c>
      <c r="T96" s="84">
        <v>33.799999999999997</v>
      </c>
      <c r="U96" s="84">
        <v>48.4</v>
      </c>
      <c r="V96" s="84">
        <v>48.4</v>
      </c>
      <c r="W96" s="84">
        <v>71.7</v>
      </c>
      <c r="X96" s="84">
        <v>80.400000000000006</v>
      </c>
      <c r="Y96" s="84">
        <v>74.599999999999994</v>
      </c>
      <c r="Z96" s="84">
        <v>77</v>
      </c>
      <c r="AA96" s="84">
        <v>66.2</v>
      </c>
      <c r="AB96" s="84">
        <v>66.8</v>
      </c>
      <c r="AC96" s="84">
        <v>65.8</v>
      </c>
      <c r="AD96" s="122">
        <v>59</v>
      </c>
      <c r="AE96" s="122">
        <v>56.3</v>
      </c>
      <c r="AF96" s="123">
        <v>92.6</v>
      </c>
      <c r="AG96" s="124"/>
      <c r="AH96" s="55">
        <f t="shared" si="22"/>
        <v>92.6</v>
      </c>
      <c r="AI96" s="118">
        <f t="shared" si="23"/>
        <v>1</v>
      </c>
    </row>
    <row r="97" spans="1:37" ht="15.75" thickBot="1" x14ac:dyDescent="0.3">
      <c r="A97" s="121" t="s">
        <v>100</v>
      </c>
      <c r="B97" s="84">
        <v>62.8</v>
      </c>
      <c r="C97" s="84">
        <v>53</v>
      </c>
      <c r="D97" s="84">
        <v>71.5</v>
      </c>
      <c r="E97" s="84">
        <v>53.7</v>
      </c>
      <c r="F97" s="84">
        <v>50.8</v>
      </c>
      <c r="G97" s="84">
        <v>50.8</v>
      </c>
      <c r="H97" s="84">
        <v>41.5</v>
      </c>
      <c r="I97" s="84">
        <v>38.6</v>
      </c>
      <c r="J97" s="84">
        <v>36.299999999999997</v>
      </c>
      <c r="K97" s="84">
        <v>31.7</v>
      </c>
      <c r="L97" s="84">
        <v>32.200000000000003</v>
      </c>
      <c r="M97" s="84">
        <v>38.1</v>
      </c>
      <c r="N97" s="84">
        <v>32.1</v>
      </c>
      <c r="O97" s="84">
        <v>36</v>
      </c>
      <c r="P97" s="84">
        <v>42</v>
      </c>
      <c r="Q97" s="84">
        <v>47.5</v>
      </c>
      <c r="R97" s="84">
        <v>55.6</v>
      </c>
      <c r="S97" s="84">
        <v>44.9</v>
      </c>
      <c r="T97" s="84">
        <v>44.9</v>
      </c>
      <c r="U97" s="84">
        <v>37.299999999999997</v>
      </c>
      <c r="V97" s="84">
        <v>37.299999999999997</v>
      </c>
      <c r="W97" s="84">
        <v>65.099999999999994</v>
      </c>
      <c r="X97" s="84">
        <v>67.8</v>
      </c>
      <c r="Y97" s="84">
        <v>64.3</v>
      </c>
      <c r="Z97" s="84">
        <v>81.400000000000006</v>
      </c>
      <c r="AA97" s="84">
        <v>80.099999999999994</v>
      </c>
      <c r="AB97" s="84">
        <v>89.9</v>
      </c>
      <c r="AC97" s="84">
        <v>89.1</v>
      </c>
      <c r="AD97" s="122">
        <v>85.5</v>
      </c>
      <c r="AE97" s="122">
        <v>83.6</v>
      </c>
      <c r="AF97" s="123">
        <v>78.400000000000006</v>
      </c>
      <c r="AG97" s="125"/>
      <c r="AH97" s="55">
        <f t="shared" si="22"/>
        <v>89.9</v>
      </c>
      <c r="AI97" s="118">
        <f t="shared" si="23"/>
        <v>0.85416666666666663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1192.6400000000001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23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2078/04/23)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2078/04/23)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1127.1399999999999</v>
      </c>
      <c r="U211" s="170">
        <f t="shared" si="52"/>
        <v>1111.24</v>
      </c>
      <c r="V211" s="170">
        <f t="shared" si="52"/>
        <v>1071.04</v>
      </c>
      <c r="W211" s="170">
        <f t="shared" si="52"/>
        <v>1070.8399999999999</v>
      </c>
      <c r="X211" s="170">
        <f t="shared" si="52"/>
        <v>1092.44</v>
      </c>
      <c r="Y211" s="170">
        <f t="shared" si="52"/>
        <v>1122.3399999999999</v>
      </c>
      <c r="Z211" s="170">
        <f t="shared" si="52"/>
        <v>1108.6399999999999</v>
      </c>
      <c r="AA211" s="170">
        <f t="shared" si="52"/>
        <v>1092.8400000000001</v>
      </c>
      <c r="AB211" s="170">
        <f t="shared" si="52"/>
        <v>1139.04</v>
      </c>
      <c r="AC211" s="170">
        <f t="shared" si="52"/>
        <v>1152.94</v>
      </c>
      <c r="AD211" s="170">
        <f t="shared" si="52"/>
        <v>1165.94</v>
      </c>
      <c r="AE211" s="170">
        <f t="shared" si="52"/>
        <v>1192.6400000000001</v>
      </c>
      <c r="AF211" s="170">
        <f t="shared" si="52"/>
        <v>1193.6399999999999</v>
      </c>
      <c r="AG211" s="170">
        <f t="shared" si="52"/>
        <v>1200.54</v>
      </c>
      <c r="AH211" s="170">
        <f t="shared" si="52"/>
        <v>1283.4399999999998</v>
      </c>
      <c r="AI211" s="170">
        <f t="shared" si="52"/>
        <v>1234.9399999999998</v>
      </c>
      <c r="AJ211" s="170">
        <f t="shared" si="52"/>
        <v>1213.2399999999998</v>
      </c>
      <c r="AK211" s="170">
        <f t="shared" si="52"/>
        <v>1073.2399999999998</v>
      </c>
      <c r="AL211" s="170">
        <f t="shared" si="52"/>
        <v>1172.1399999999999</v>
      </c>
      <c r="AM211" s="170">
        <f t="shared" si="52"/>
        <v>1183.24</v>
      </c>
      <c r="AN211" s="170">
        <f t="shared" si="52"/>
        <v>1219.24</v>
      </c>
      <c r="AO211" s="170">
        <f t="shared" si="52"/>
        <v>1377.44</v>
      </c>
      <c r="AP211" s="170">
        <f t="shared" si="52"/>
        <v>1414.6399999999999</v>
      </c>
      <c r="AQ211" s="170">
        <f t="shared" si="52"/>
        <v>1430.1399999999999</v>
      </c>
      <c r="AR211" s="170">
        <f t="shared" si="52"/>
        <v>1416.84</v>
      </c>
      <c r="AS211" s="170">
        <f t="shared" si="52"/>
        <v>1284.54</v>
      </c>
      <c r="AT211" s="170">
        <f t="shared" si="52"/>
        <v>1273.3400000000001</v>
      </c>
      <c r="AU211" s="170">
        <f t="shared" si="52"/>
        <v>1271.24</v>
      </c>
      <c r="AV211" s="170">
        <f t="shared" si="52"/>
        <v>1220.6399999999999</v>
      </c>
      <c r="AW211" s="170">
        <f t="shared" si="52"/>
        <v>1154.54</v>
      </c>
      <c r="AX211" s="170">
        <f t="shared" si="52"/>
        <v>1131.74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544" priority="380">
      <formula>S$9&gt;=20/24</formula>
    </cfRule>
    <cfRule type="expression" dxfId="3543" priority="381">
      <formula>AND(S$9&gt;=14/24,S$9&lt;20/24)</formula>
    </cfRule>
    <cfRule type="expression" dxfId="3542" priority="382">
      <formula>AND(S$9&gt;=8/24,S$9&lt;14/24)</formula>
    </cfRule>
    <cfRule type="expression" dxfId="3541" priority="383">
      <formula>S$9&lt;8/24</formula>
    </cfRule>
  </conditionalFormatting>
  <conditionalFormatting sqref="B8:AF10 AA79:AF79 C79:Q79 C54:AF54 C80:AF80 C191:AF197 AE55:AF58 C66:AF70 D55:K57 M60:M65 T210:AX210 D58:N58 D59:M59 N59:N65 AD82:AF89 C72:AF76 C78:AF78 L35:Q35 L11:Q13 L15:Q31 L37:Q40 O58:Q65 R11:Z11 R38:Z39 L56:V57 R17:X29 M43:X46 Y12:Z13 Y40:Z41 L51:AF53 W83:AC89 AA38:AD41 Y15:AF30 AA11:AF13">
    <cfRule type="expression" dxfId="3540" priority="376">
      <formula>B$9&gt;=20/24</formula>
    </cfRule>
    <cfRule type="expression" dxfId="3539" priority="377">
      <formula>AND(B$9&gt;=14/24,B$9&lt;20/24)</formula>
    </cfRule>
    <cfRule type="expression" dxfId="3538" priority="378">
      <formula>AND(B$9&gt;=8/24,B$9&lt;14/24)</formula>
    </cfRule>
    <cfRule type="expression" dxfId="3537" priority="379">
      <formula>B$9&lt;8/24</formula>
    </cfRule>
  </conditionalFormatting>
  <conditionalFormatting sqref="B189:AF189">
    <cfRule type="expression" dxfId="3536" priority="372">
      <formula>B$9&gt;=20/24</formula>
    </cfRule>
    <cfRule type="expression" dxfId="3535" priority="373">
      <formula>AND(B$9&gt;=14/24,B$9&lt;20/24)</formula>
    </cfRule>
    <cfRule type="expression" dxfId="3534" priority="374">
      <formula>AND(B$9&gt;=8/24,B$9&lt;14/24)</formula>
    </cfRule>
    <cfRule type="expression" dxfId="3533" priority="375">
      <formula>B$9&lt;8/24</formula>
    </cfRule>
  </conditionalFormatting>
  <conditionalFormatting sqref="AL4:AL6">
    <cfRule type="iconSet" priority="37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3532" priority="367">
      <formula>L$9&gt;=20/24</formula>
    </cfRule>
    <cfRule type="expression" dxfId="3531" priority="368">
      <formula>AND(L$9&gt;=14/24,L$9&lt;20/24)</formula>
    </cfRule>
    <cfRule type="expression" dxfId="3530" priority="369">
      <formula>AND(L$9&gt;=8/24,L$9&lt;14/24)</formula>
    </cfRule>
    <cfRule type="expression" dxfId="3529" priority="370">
      <formula>L$9&lt;8/24</formula>
    </cfRule>
  </conditionalFormatting>
  <conditionalFormatting sqref="L41:Q41">
    <cfRule type="expression" dxfId="3528" priority="363">
      <formula>L$9&gt;=20/24</formula>
    </cfRule>
    <cfRule type="expression" dxfId="3527" priority="364">
      <formula>AND(L$9&gt;=14/24,L$9&lt;20/24)</formula>
    </cfRule>
    <cfRule type="expression" dxfId="3526" priority="365">
      <formula>AND(L$9&gt;=8/24,L$9&lt;14/24)</formula>
    </cfRule>
    <cfRule type="expression" dxfId="3525" priority="366">
      <formula>L$9&lt;8/24</formula>
    </cfRule>
  </conditionalFormatting>
  <conditionalFormatting sqref="Y31:AF31">
    <cfRule type="expression" dxfId="3524" priority="359">
      <formula>Y$9&gt;=20/24</formula>
    </cfRule>
    <cfRule type="expression" dxfId="3523" priority="360">
      <formula>AND(Y$9&gt;=14/24,Y$9&lt;20/24)</formula>
    </cfRule>
    <cfRule type="expression" dxfId="3522" priority="361">
      <formula>AND(Y$9&gt;=8/24,Y$9&lt;14/24)</formula>
    </cfRule>
    <cfRule type="expression" dxfId="3521" priority="362">
      <formula>Y$9&lt;8/24</formula>
    </cfRule>
  </conditionalFormatting>
  <conditionalFormatting sqref="R37:AD37">
    <cfRule type="expression" dxfId="3520" priority="355">
      <formula>R$9&gt;=20/24</formula>
    </cfRule>
    <cfRule type="expression" dxfId="3519" priority="356">
      <formula>AND(R$9&gt;=14/24,R$9&lt;20/24)</formula>
    </cfRule>
    <cfRule type="expression" dxfId="3518" priority="357">
      <formula>AND(R$9&gt;=8/24,R$9&lt;14/24)</formula>
    </cfRule>
    <cfRule type="expression" dxfId="3517" priority="358">
      <formula>R$9&lt;8/24</formula>
    </cfRule>
  </conditionalFormatting>
  <conditionalFormatting sqref="R55:AD55">
    <cfRule type="expression" dxfId="3516" priority="351">
      <formula>R$9&gt;=20/24</formula>
    </cfRule>
    <cfRule type="expression" dxfId="3515" priority="352">
      <formula>AND(R$9&gt;=14/24,R$9&lt;20/24)</formula>
    </cfRule>
    <cfRule type="expression" dxfId="3514" priority="353">
      <formula>AND(R$9&gt;=8/24,R$9&lt;14/24)</formula>
    </cfRule>
    <cfRule type="expression" dxfId="3513" priority="354">
      <formula>R$9&lt;8/24</formula>
    </cfRule>
  </conditionalFormatting>
  <conditionalFormatting sqref="R79:Z79">
    <cfRule type="expression" dxfId="3512" priority="347">
      <formula>R$9&gt;=20/24</formula>
    </cfRule>
    <cfRule type="expression" dxfId="3511" priority="348">
      <formula>AND(R$9&gt;=14/24,R$9&lt;20/24)</formula>
    </cfRule>
    <cfRule type="expression" dxfId="3510" priority="349">
      <formula>AND(R$9&gt;=8/24,R$9&lt;14/24)</formula>
    </cfRule>
    <cfRule type="expression" dxfId="3509" priority="350">
      <formula>R$9&lt;8/24</formula>
    </cfRule>
  </conditionalFormatting>
  <conditionalFormatting sqref="U82:AC82">
    <cfRule type="expression" dxfId="3508" priority="343">
      <formula>U$9&gt;=20/24</formula>
    </cfRule>
    <cfRule type="expression" dxfId="3507" priority="344">
      <formula>AND(U$9&gt;=14/24,U$9&lt;20/24)</formula>
    </cfRule>
    <cfRule type="expression" dxfId="3506" priority="345">
      <formula>AND(U$9&gt;=8/24,U$9&lt;14/24)</formula>
    </cfRule>
    <cfRule type="expression" dxfId="3505" priority="346">
      <formula>U$9&lt;8/24</formula>
    </cfRule>
  </conditionalFormatting>
  <conditionalFormatting sqref="L33:Q33">
    <cfRule type="expression" dxfId="3504" priority="339">
      <formula>L$9&gt;=20/24</formula>
    </cfRule>
    <cfRule type="expression" dxfId="3503" priority="340">
      <formula>AND(L$9&gt;=14/24,L$9&lt;20/24)</formula>
    </cfRule>
    <cfRule type="expression" dxfId="3502" priority="341">
      <formula>AND(L$9&gt;=8/24,L$9&lt;14/24)</formula>
    </cfRule>
    <cfRule type="expression" dxfId="3501" priority="342">
      <formula>L$9&lt;8/24</formula>
    </cfRule>
  </conditionalFormatting>
  <conditionalFormatting sqref="L47:X47">
    <cfRule type="expression" dxfId="3500" priority="335">
      <formula>L$9&gt;=20/24</formula>
    </cfRule>
    <cfRule type="expression" dxfId="3499" priority="336">
      <formula>AND(L$9&gt;=14/24,L$9&lt;20/24)</formula>
    </cfRule>
    <cfRule type="expression" dxfId="3498" priority="337">
      <formula>AND(L$9&gt;=8/24,L$9&lt;14/24)</formula>
    </cfRule>
    <cfRule type="expression" dxfId="3497" priority="338">
      <formula>L$9&lt;8/24</formula>
    </cfRule>
  </conditionalFormatting>
  <conditionalFormatting sqref="L48:X48">
    <cfRule type="expression" dxfId="3496" priority="331">
      <formula>L$9&gt;=20/24</formula>
    </cfRule>
    <cfRule type="expression" dxfId="3495" priority="332">
      <formula>AND(L$9&gt;=14/24,L$9&lt;20/24)</formula>
    </cfRule>
    <cfRule type="expression" dxfId="3494" priority="333">
      <formula>AND(L$9&gt;=8/24,L$9&lt;14/24)</formula>
    </cfRule>
    <cfRule type="expression" dxfId="3493" priority="334">
      <formula>L$9&lt;8/24</formula>
    </cfRule>
  </conditionalFormatting>
  <conditionalFormatting sqref="L43:X46">
    <cfRule type="expression" dxfId="3492" priority="327">
      <formula>L$9&gt;=20/24</formula>
    </cfRule>
    <cfRule type="expression" dxfId="3491" priority="328">
      <formula>AND(L$9&gt;=14/24,L$9&lt;20/24)</formula>
    </cfRule>
    <cfRule type="expression" dxfId="3490" priority="329">
      <formula>AND(L$9&gt;=8/24,L$9&lt;14/24)</formula>
    </cfRule>
    <cfRule type="expression" dxfId="3489" priority="330">
      <formula>L$9&lt;8/24</formula>
    </cfRule>
  </conditionalFormatting>
  <conditionalFormatting sqref="R35:AF35">
    <cfRule type="expression" dxfId="3488" priority="323">
      <formula>R$9&gt;=20/24</formula>
    </cfRule>
    <cfRule type="expression" dxfId="3487" priority="324">
      <formula>AND(R$9&gt;=14/24,R$9&lt;20/24)</formula>
    </cfRule>
    <cfRule type="expression" dxfId="3486" priority="325">
      <formula>AND(R$9&gt;=8/24,R$9&lt;14/24)</formula>
    </cfRule>
    <cfRule type="expression" dxfId="3485" priority="326">
      <formula>R$9&lt;8/24</formula>
    </cfRule>
  </conditionalFormatting>
  <conditionalFormatting sqref="R30:X31 R33:AF33">
    <cfRule type="expression" dxfId="3484" priority="319">
      <formula>R$9&gt;=20/24</formula>
    </cfRule>
    <cfRule type="expression" dxfId="3483" priority="320">
      <formula>AND(R$9&gt;=14/24,R$9&lt;20/24)</formula>
    </cfRule>
    <cfRule type="expression" dxfId="3482" priority="321">
      <formula>AND(R$9&gt;=8/24,R$9&lt;14/24)</formula>
    </cfRule>
    <cfRule type="expression" dxfId="3481" priority="322">
      <formula>R$9&lt;8/24</formula>
    </cfRule>
  </conditionalFormatting>
  <conditionalFormatting sqref="R40:X41 Y43:AF46">
    <cfRule type="expression" dxfId="3480" priority="315">
      <formula>R$9&gt;=20/24</formula>
    </cfRule>
    <cfRule type="expression" dxfId="3479" priority="316">
      <formula>AND(R$9&gt;=14/24,R$9&lt;20/24)</formula>
    </cfRule>
    <cfRule type="expression" dxfId="3478" priority="317">
      <formula>AND(R$9&gt;=8/24,R$9&lt;14/24)</formula>
    </cfRule>
    <cfRule type="expression" dxfId="3477" priority="318">
      <formula>R$9&lt;8/24</formula>
    </cfRule>
  </conditionalFormatting>
  <conditionalFormatting sqref="Y47:AF47">
    <cfRule type="expression" dxfId="3476" priority="311">
      <formula>Y$9&gt;=20/24</formula>
    </cfRule>
    <cfRule type="expression" dxfId="3475" priority="312">
      <formula>AND(Y$9&gt;=14/24,Y$9&lt;20/24)</formula>
    </cfRule>
    <cfRule type="expression" dxfId="3474" priority="313">
      <formula>AND(Y$9&gt;=8/24,Y$9&lt;14/24)</formula>
    </cfRule>
    <cfRule type="expression" dxfId="3473" priority="314">
      <formula>Y$9&lt;8/24</formula>
    </cfRule>
  </conditionalFormatting>
  <conditionalFormatting sqref="Y48:AF48">
    <cfRule type="expression" dxfId="3472" priority="307">
      <formula>Y$9&gt;=20/24</formula>
    </cfRule>
    <cfRule type="expression" dxfId="3471" priority="308">
      <formula>AND(Y$9&gt;=14/24,Y$9&lt;20/24)</formula>
    </cfRule>
    <cfRule type="expression" dxfId="3470" priority="309">
      <formula>AND(Y$9&gt;=8/24,Y$9&lt;14/24)</formula>
    </cfRule>
    <cfRule type="expression" dxfId="3469" priority="310">
      <formula>Y$9&lt;8/24</formula>
    </cfRule>
  </conditionalFormatting>
  <conditionalFormatting sqref="R58:AD65 AE59:AF65">
    <cfRule type="expression" dxfId="3468" priority="303">
      <formula>R$9&gt;=20/24</formula>
    </cfRule>
    <cfRule type="expression" dxfId="3467" priority="304">
      <formula>AND(R$9&gt;=14/24,R$9&lt;20/24)</formula>
    </cfRule>
    <cfRule type="expression" dxfId="3466" priority="305">
      <formula>AND(R$9&gt;=8/24,R$9&lt;14/24)</formula>
    </cfRule>
    <cfRule type="expression" dxfId="3465" priority="306">
      <formula>R$9&lt;8/24</formula>
    </cfRule>
  </conditionalFormatting>
  <conditionalFormatting sqref="AD92:AF95">
    <cfRule type="expression" dxfId="3464" priority="299">
      <formula>AD$9&gt;=20/24</formula>
    </cfRule>
    <cfRule type="expression" dxfId="3463" priority="300">
      <formula>AND(AD$9&gt;=14/24,AD$9&lt;20/24)</formula>
    </cfRule>
    <cfRule type="expression" dxfId="3462" priority="301">
      <formula>AND(AD$9&gt;=8/24,AD$9&lt;14/24)</formula>
    </cfRule>
    <cfRule type="expression" dxfId="3461" priority="302">
      <formula>AD$9&lt;8/24</formula>
    </cfRule>
  </conditionalFormatting>
  <conditionalFormatting sqref="H60:I61 I62 J60:K62">
    <cfRule type="expression" dxfId="3460" priority="295">
      <formula>H$9&gt;=20/24</formula>
    </cfRule>
    <cfRule type="expression" dxfId="3459" priority="296">
      <formula>AND(H$9&gt;=14/24,H$9&lt;20/24)</formula>
    </cfRule>
    <cfRule type="expression" dxfId="3458" priority="297">
      <formula>AND(H$9&gt;=8/24,H$9&lt;14/24)</formula>
    </cfRule>
    <cfRule type="expression" dxfId="3457" priority="298">
      <formula>H$9&lt;8/24</formula>
    </cfRule>
  </conditionalFormatting>
  <conditionalFormatting sqref="U92:AC95">
    <cfRule type="expression" dxfId="3456" priority="291">
      <formula>U$9&gt;=20/24</formula>
    </cfRule>
    <cfRule type="expression" dxfId="3455" priority="292">
      <formula>AND(U$9&gt;=14/24,U$9&lt;20/24)</formula>
    </cfRule>
    <cfRule type="expression" dxfId="3454" priority="293">
      <formula>AND(U$9&gt;=8/24,U$9&lt;14/24)</formula>
    </cfRule>
    <cfRule type="expression" dxfId="3453" priority="294">
      <formula>U$9&lt;8/24</formula>
    </cfRule>
  </conditionalFormatting>
  <conditionalFormatting sqref="AG49 C36:AF36 C49:AF50 C54:AF54 D15:K18 D23:K23 L15:Q31 D11:Q13 R11:Z11 R17:X31 Y12:Z13 D37:AF40 D51:AF53 L41:AF41 Y15:AF31 L33:AF35 AA11:AF13 L43:AF48">
    <cfRule type="expression" dxfId="3452" priority="290">
      <formula>C11&gt;$AG11</formula>
    </cfRule>
  </conditionalFormatting>
  <conditionalFormatting sqref="A98:A154 A82:A95 A11:A13 A15:A31 A43:A70 A78:A80 A72:A76 A33:A41 A167:A198">
    <cfRule type="expression" dxfId="3451" priority="289">
      <formula>$AH11=0</formula>
    </cfRule>
  </conditionalFormatting>
  <conditionalFormatting sqref="AD96:AF96">
    <cfRule type="expression" dxfId="3450" priority="285">
      <formula>AD$9&gt;=20/24</formula>
    </cfRule>
    <cfRule type="expression" dxfId="3449" priority="286">
      <formula>AND(AD$9&gt;=14/24,AD$9&lt;20/24)</formula>
    </cfRule>
    <cfRule type="expression" dxfId="3448" priority="287">
      <formula>AND(AD$9&gt;=8/24,AD$9&lt;14/24)</formula>
    </cfRule>
    <cfRule type="expression" dxfId="3447" priority="288">
      <formula>AD$9&lt;8/24</formula>
    </cfRule>
  </conditionalFormatting>
  <conditionalFormatting sqref="U96:AC96">
    <cfRule type="expression" dxfId="3446" priority="281">
      <formula>U$9&gt;=20/24</formula>
    </cfRule>
    <cfRule type="expression" dxfId="3445" priority="282">
      <formula>AND(U$9&gt;=14/24,U$9&lt;20/24)</formula>
    </cfRule>
    <cfRule type="expression" dxfId="3444" priority="283">
      <formula>AND(U$9&gt;=8/24,U$9&lt;14/24)</formula>
    </cfRule>
    <cfRule type="expression" dxfId="3443" priority="284">
      <formula>U$9&lt;8/24</formula>
    </cfRule>
  </conditionalFormatting>
  <conditionalFormatting sqref="A96">
    <cfRule type="expression" dxfId="3442" priority="280">
      <formula>$AH96=0</formula>
    </cfRule>
  </conditionalFormatting>
  <conditionalFormatting sqref="L34:AF34">
    <cfRule type="expression" dxfId="3441" priority="276">
      <formula>L$9&gt;=20/24</formula>
    </cfRule>
    <cfRule type="expression" dxfId="3440" priority="277">
      <formula>AND(L$9&gt;=14/24,L$9&lt;20/24)</formula>
    </cfRule>
    <cfRule type="expression" dxfId="3439" priority="278">
      <formula>AND(L$9&gt;=8/24,L$9&lt;14/24)</formula>
    </cfRule>
    <cfRule type="expression" dxfId="3438" priority="279">
      <formula>L$9&lt;8/24</formula>
    </cfRule>
  </conditionalFormatting>
  <conditionalFormatting sqref="R34:AF34">
    <cfRule type="expression" dxfId="3437" priority="272">
      <formula>R$9&gt;=20/24</formula>
    </cfRule>
    <cfRule type="expression" dxfId="3436" priority="273">
      <formula>AND(R$9&gt;=14/24,R$9&lt;20/24)</formula>
    </cfRule>
    <cfRule type="expression" dxfId="3435" priority="274">
      <formula>AND(R$9&gt;=8/24,R$9&lt;14/24)</formula>
    </cfRule>
    <cfRule type="expression" dxfId="3434" priority="275">
      <formula>R$9&lt;8/24</formula>
    </cfRule>
  </conditionalFormatting>
  <conditionalFormatting sqref="L60:L65">
    <cfRule type="expression" dxfId="3433" priority="260">
      <formula>L$9&gt;=20/24</formula>
    </cfRule>
    <cfRule type="expression" dxfId="3432" priority="261">
      <formula>AND(L$9&gt;=14/24,L$9&lt;20/24)</formula>
    </cfRule>
    <cfRule type="expression" dxfId="3431" priority="262">
      <formula>AND(L$9&gt;=8/24,L$9&lt;14/24)</formula>
    </cfRule>
    <cfRule type="expression" dxfId="3430" priority="263">
      <formula>L$9&lt;8/24</formula>
    </cfRule>
  </conditionalFormatting>
  <conditionalFormatting sqref="AL31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3429" priority="255">
      <formula>Y$9&gt;=20/24</formula>
    </cfRule>
    <cfRule type="expression" dxfId="3428" priority="256">
      <formula>AND(Y$9&gt;=14/24,Y$9&lt;20/24)</formula>
    </cfRule>
    <cfRule type="expression" dxfId="3427" priority="257">
      <formula>AND(Y$9&gt;=8/24,Y$9&lt;14/24)</formula>
    </cfRule>
    <cfRule type="expression" dxfId="3426" priority="258">
      <formula>Y$9&lt;8/24</formula>
    </cfRule>
  </conditionalFormatting>
  <conditionalFormatting sqref="L32:Q32">
    <cfRule type="expression" dxfId="3425" priority="251">
      <formula>L$9&gt;=20/24</formula>
    </cfRule>
    <cfRule type="expression" dxfId="3424" priority="252">
      <formula>AND(L$9&gt;=14/24,L$9&lt;20/24)</formula>
    </cfRule>
    <cfRule type="expression" dxfId="3423" priority="253">
      <formula>AND(L$9&gt;=8/24,L$9&lt;14/24)</formula>
    </cfRule>
    <cfRule type="expression" dxfId="3422" priority="254">
      <formula>L$9&lt;8/24</formula>
    </cfRule>
  </conditionalFormatting>
  <conditionalFormatting sqref="R32:X32">
    <cfRule type="expression" dxfId="3421" priority="247">
      <formula>R$9&gt;=20/24</formula>
    </cfRule>
    <cfRule type="expression" dxfId="3420" priority="248">
      <formula>AND(R$9&gt;=14/24,R$9&lt;20/24)</formula>
    </cfRule>
    <cfRule type="expression" dxfId="3419" priority="249">
      <formula>AND(R$9&gt;=8/24,R$9&lt;14/24)</formula>
    </cfRule>
    <cfRule type="expression" dxfId="3418" priority="250">
      <formula>R$9&lt;8/24</formula>
    </cfRule>
  </conditionalFormatting>
  <conditionalFormatting sqref="L32:AF32">
    <cfRule type="expression" dxfId="3417" priority="246">
      <formula>L32&gt;$AG32</formula>
    </cfRule>
  </conditionalFormatting>
  <conditionalFormatting sqref="A32">
    <cfRule type="expression" dxfId="3416" priority="245">
      <formula>$AH32=0</formula>
    </cfRule>
  </conditionalFormatting>
  <conditionalFormatting sqref="C81:AF81">
    <cfRule type="expression" dxfId="3415" priority="241">
      <formula>C$9&gt;=20/24</formula>
    </cfRule>
    <cfRule type="expression" dxfId="3414" priority="242">
      <formula>AND(C$9&gt;=14/24,C$9&lt;20/24)</formula>
    </cfRule>
    <cfRule type="expression" dxfId="3413" priority="243">
      <formula>AND(C$9&gt;=8/24,C$9&lt;14/24)</formula>
    </cfRule>
    <cfRule type="expression" dxfId="3412" priority="244">
      <formula>C$9&lt;8/24</formula>
    </cfRule>
  </conditionalFormatting>
  <conditionalFormatting sqref="A81">
    <cfRule type="expression" dxfId="3411" priority="240">
      <formula>$AH81=0</formula>
    </cfRule>
  </conditionalFormatting>
  <conditionalFormatting sqref="Y14:AF14">
    <cfRule type="expression" dxfId="3410" priority="236">
      <formula>Y$9&gt;=20/24</formula>
    </cfRule>
    <cfRule type="expression" dxfId="3409" priority="237">
      <formula>AND(Y$9&gt;=14/24,Y$9&lt;20/24)</formula>
    </cfRule>
    <cfRule type="expression" dxfId="3408" priority="238">
      <formula>AND(Y$9&gt;=8/24,Y$9&lt;14/24)</formula>
    </cfRule>
    <cfRule type="expression" dxfId="3407" priority="239">
      <formula>Y$9&lt;8/24</formula>
    </cfRule>
  </conditionalFormatting>
  <conditionalFormatting sqref="L14:Q14">
    <cfRule type="expression" dxfId="3406" priority="232">
      <formula>L$9&gt;=20/24</formula>
    </cfRule>
    <cfRule type="expression" dxfId="3405" priority="233">
      <formula>AND(L$9&gt;=14/24,L$9&lt;20/24)</formula>
    </cfRule>
    <cfRule type="expression" dxfId="3404" priority="234">
      <formula>AND(L$9&gt;=8/24,L$9&lt;14/24)</formula>
    </cfRule>
    <cfRule type="expression" dxfId="3403" priority="235">
      <formula>L$9&lt;8/24</formula>
    </cfRule>
  </conditionalFormatting>
  <conditionalFormatting sqref="D14:Q14 Y14:AF14">
    <cfRule type="expression" dxfId="3402" priority="231">
      <formula>D14&gt;$AG14</formula>
    </cfRule>
  </conditionalFormatting>
  <conditionalFormatting sqref="A14">
    <cfRule type="expression" dxfId="3401" priority="230">
      <formula>$AH14=0</formula>
    </cfRule>
  </conditionalFormatting>
  <conditionalFormatting sqref="A161:A166">
    <cfRule type="expression" dxfId="3400" priority="229">
      <formula>$AH161=0</formula>
    </cfRule>
  </conditionalFormatting>
  <conditionalFormatting sqref="A155:A160">
    <cfRule type="expression" dxfId="3399" priority="228">
      <formula>$AH155=0</formula>
    </cfRule>
  </conditionalFormatting>
  <conditionalFormatting sqref="Y42:AE42">
    <cfRule type="expression" dxfId="3398" priority="224">
      <formula>Y$9&gt;=20/24</formula>
    </cfRule>
    <cfRule type="expression" dxfId="3397" priority="225">
      <formula>AND(Y$9&gt;=14/24,Y$9&lt;20/24)</formula>
    </cfRule>
    <cfRule type="expression" dxfId="3396" priority="226">
      <formula>AND(Y$9&gt;=8/24,Y$9&lt;14/24)</formula>
    </cfRule>
    <cfRule type="expression" dxfId="3395" priority="227">
      <formula>Y$9&lt;8/24</formula>
    </cfRule>
  </conditionalFormatting>
  <conditionalFormatting sqref="L42:X42">
    <cfRule type="expression" dxfId="3394" priority="220">
      <formula>L$9&gt;=20/24</formula>
    </cfRule>
    <cfRule type="expression" dxfId="3393" priority="221">
      <formula>AND(L$9&gt;=14/24,L$9&lt;20/24)</formula>
    </cfRule>
    <cfRule type="expression" dxfId="3392" priority="222">
      <formula>AND(L$9&gt;=8/24,L$9&lt;14/24)</formula>
    </cfRule>
    <cfRule type="expression" dxfId="3391" priority="223">
      <formula>L$9&lt;8/24</formula>
    </cfRule>
  </conditionalFormatting>
  <conditionalFormatting sqref="L42:AF42">
    <cfRule type="expression" dxfId="3390" priority="215">
      <formula>L42&gt;$AG42</formula>
    </cfRule>
  </conditionalFormatting>
  <conditionalFormatting sqref="A42">
    <cfRule type="expression" dxfId="3389" priority="214">
      <formula>$AH42=0</formula>
    </cfRule>
  </conditionalFormatting>
  <conditionalFormatting sqref="C77:AF77">
    <cfRule type="expression" dxfId="3388" priority="210">
      <formula>C$9&gt;=20/24</formula>
    </cfRule>
    <cfRule type="expression" dxfId="3387" priority="211">
      <formula>AND(C$9&gt;=14/24,C$9&lt;20/24)</formula>
    </cfRule>
    <cfRule type="expression" dxfId="3386" priority="212">
      <formula>AND(C$9&gt;=8/24,C$9&lt;14/24)</formula>
    </cfRule>
    <cfRule type="expression" dxfId="3385" priority="213">
      <formula>C$9&lt;8/24</formula>
    </cfRule>
  </conditionalFormatting>
  <conditionalFormatting sqref="A77">
    <cfRule type="expression" dxfId="3384" priority="209">
      <formula>$AH77=0</formula>
    </cfRule>
  </conditionalFormatting>
  <conditionalFormatting sqref="C71:AG71">
    <cfRule type="expression" dxfId="3383" priority="205">
      <formula>C$9&gt;=20/24</formula>
    </cfRule>
    <cfRule type="expression" dxfId="3382" priority="206">
      <formula>AND(C$9&gt;=14/24,C$9&lt;20/24)</formula>
    </cfRule>
    <cfRule type="expression" dxfId="3381" priority="207">
      <formula>AND(C$9&gt;=8/24,C$9&lt;14/24)</formula>
    </cfRule>
    <cfRule type="expression" dxfId="3380" priority="208">
      <formula>C$9&lt;8/24</formula>
    </cfRule>
  </conditionalFormatting>
  <conditionalFormatting sqref="A71">
    <cfRule type="expression" dxfId="3379" priority="204">
      <formula>$AH71=0</formula>
    </cfRule>
  </conditionalFormatting>
  <conditionalFormatting sqref="AL32:AL33 AL7:AL30">
    <cfRule type="iconSet" priority="386">
      <iconSet iconSet="3TrafficLights2" reverse="1">
        <cfvo type="percent" val="0"/>
        <cfvo type="num" val="1"/>
        <cfvo type="num" val="1"/>
      </iconSet>
    </cfRule>
  </conditionalFormatting>
  <conditionalFormatting sqref="U83:V89">
    <cfRule type="expression" dxfId="3378" priority="196">
      <formula>U$9&gt;=20/24</formula>
    </cfRule>
    <cfRule type="expression" dxfId="3377" priority="197">
      <formula>AND(U$9&gt;=14/24,U$9&lt;20/24)</formula>
    </cfRule>
    <cfRule type="expression" dxfId="3376" priority="198">
      <formula>AND(U$9&gt;=8/24,U$9&lt;14/24)</formula>
    </cfRule>
    <cfRule type="expression" dxfId="3375" priority="199">
      <formula>U$9&lt;8/24</formula>
    </cfRule>
  </conditionalFormatting>
  <conditionalFormatting sqref="D82:Q89 R83:T89">
    <cfRule type="expression" dxfId="3374" priority="192">
      <formula>D$9&gt;=20/24</formula>
    </cfRule>
    <cfRule type="expression" dxfId="3373" priority="193">
      <formula>AND(D$9&gt;=14/24,D$9&lt;20/24)</formula>
    </cfRule>
    <cfRule type="expression" dxfId="3372" priority="194">
      <formula>AND(D$9&gt;=8/24,D$9&lt;14/24)</formula>
    </cfRule>
    <cfRule type="expression" dxfId="3371" priority="195">
      <formula>D$9&lt;8/24</formula>
    </cfRule>
  </conditionalFormatting>
  <conditionalFormatting sqref="R82:T82">
    <cfRule type="expression" dxfId="3370" priority="188">
      <formula>R$9&gt;=20/24</formula>
    </cfRule>
    <cfRule type="expression" dxfId="3369" priority="189">
      <formula>AND(R$9&gt;=14/24,R$9&lt;20/24)</formula>
    </cfRule>
    <cfRule type="expression" dxfId="3368" priority="190">
      <formula>AND(R$9&gt;=8/24,R$9&lt;14/24)</formula>
    </cfRule>
    <cfRule type="expression" dxfId="3367" priority="191">
      <formula>R$9&lt;8/24</formula>
    </cfRule>
  </conditionalFormatting>
  <conditionalFormatting sqref="D93:L95 D92:E92">
    <cfRule type="expression" dxfId="3366" priority="184">
      <formula>D$9&gt;=20/24</formula>
    </cfRule>
    <cfRule type="expression" dxfId="3365" priority="185">
      <formula>AND(D$9&gt;=14/24,D$9&lt;20/24)</formula>
    </cfRule>
    <cfRule type="expression" dxfId="3364" priority="186">
      <formula>AND(D$9&gt;=8/24,D$9&lt;14/24)</formula>
    </cfRule>
    <cfRule type="expression" dxfId="3363" priority="187">
      <formula>D$9&lt;8/24</formula>
    </cfRule>
  </conditionalFormatting>
  <conditionalFormatting sqref="M93:N95 N92 O92:Q95">
    <cfRule type="expression" dxfId="3362" priority="180">
      <formula>M$9&gt;=20/24</formula>
    </cfRule>
    <cfRule type="expression" dxfId="3361" priority="181">
      <formula>AND(M$9&gt;=14/24,M$9&lt;20/24)</formula>
    </cfRule>
    <cfRule type="expression" dxfId="3360" priority="182">
      <formula>AND(M$9&gt;=8/24,M$9&lt;14/24)</formula>
    </cfRule>
    <cfRule type="expression" dxfId="3359" priority="183">
      <formula>M$9&lt;8/24</formula>
    </cfRule>
  </conditionalFormatting>
  <conditionalFormatting sqref="R92:T95">
    <cfRule type="expression" dxfId="3358" priority="176">
      <formula>R$9&gt;=20/24</formula>
    </cfRule>
    <cfRule type="expression" dxfId="3357" priority="177">
      <formula>AND(R$9&gt;=14/24,R$9&lt;20/24)</formula>
    </cfRule>
    <cfRule type="expression" dxfId="3356" priority="178">
      <formula>AND(R$9&gt;=8/24,R$9&lt;14/24)</formula>
    </cfRule>
    <cfRule type="expression" dxfId="3355" priority="179">
      <formula>R$9&lt;8/24</formula>
    </cfRule>
  </conditionalFormatting>
  <conditionalFormatting sqref="D96:L96">
    <cfRule type="expression" dxfId="3354" priority="172">
      <formula>D$9&gt;=20/24</formula>
    </cfRule>
    <cfRule type="expression" dxfId="3353" priority="173">
      <formula>AND(D$9&gt;=14/24,D$9&lt;20/24)</formula>
    </cfRule>
    <cfRule type="expression" dxfId="3352" priority="174">
      <formula>AND(D$9&gt;=8/24,D$9&lt;14/24)</formula>
    </cfRule>
    <cfRule type="expression" dxfId="3351" priority="175">
      <formula>D$9&lt;8/24</formula>
    </cfRule>
  </conditionalFormatting>
  <conditionalFormatting sqref="M96:Q96">
    <cfRule type="expression" dxfId="3350" priority="168">
      <formula>M$9&gt;=20/24</formula>
    </cfRule>
    <cfRule type="expression" dxfId="3349" priority="169">
      <formula>AND(M$9&gt;=14/24,M$9&lt;20/24)</formula>
    </cfRule>
    <cfRule type="expression" dxfId="3348" priority="170">
      <formula>AND(M$9&gt;=8/24,M$9&lt;14/24)</formula>
    </cfRule>
    <cfRule type="expression" dxfId="3347" priority="171">
      <formula>M$9&lt;8/24</formula>
    </cfRule>
  </conditionalFormatting>
  <conditionalFormatting sqref="R96:T96">
    <cfRule type="expression" dxfId="3346" priority="164">
      <formula>R$9&gt;=20/24</formula>
    </cfRule>
    <cfRule type="expression" dxfId="3345" priority="165">
      <formula>AND(R$9&gt;=14/24,R$9&lt;20/24)</formula>
    </cfRule>
    <cfRule type="expression" dxfId="3344" priority="166">
      <formula>AND(R$9&gt;=8/24,R$9&lt;14/24)</formula>
    </cfRule>
    <cfRule type="expression" dxfId="3343" priority="167">
      <formula>R$9&lt;8/24</formula>
    </cfRule>
  </conditionalFormatting>
  <conditionalFormatting sqref="L92:M92">
    <cfRule type="expression" dxfId="3342" priority="160">
      <formula>L$9&gt;=20/24</formula>
    </cfRule>
    <cfRule type="expression" dxfId="3341" priority="161">
      <formula>AND(L$9&gt;=14/24,L$9&lt;20/24)</formula>
    </cfRule>
    <cfRule type="expression" dxfId="3340" priority="162">
      <formula>AND(L$9&gt;=8/24,L$9&lt;14/24)</formula>
    </cfRule>
    <cfRule type="expression" dxfId="3339" priority="163">
      <formula>L$9&lt;8/24</formula>
    </cfRule>
  </conditionalFormatting>
  <conditionalFormatting sqref="F92:K92">
    <cfRule type="expression" dxfId="3338" priority="156">
      <formula>F$9&gt;=20/24</formula>
    </cfRule>
    <cfRule type="expression" dxfId="3337" priority="157">
      <formula>AND(F$9&gt;=14/24,F$9&lt;20/24)</formula>
    </cfRule>
    <cfRule type="expression" dxfId="3336" priority="158">
      <formula>AND(F$9&gt;=8/24,F$9&lt;14/24)</formula>
    </cfRule>
    <cfRule type="expression" dxfId="3335" priority="159">
      <formula>F$9&lt;8/24</formula>
    </cfRule>
  </conditionalFormatting>
  <conditionalFormatting sqref="U92:V92">
    <cfRule type="expression" dxfId="3334" priority="152">
      <formula>U$9&gt;=20/24</formula>
    </cfRule>
    <cfRule type="expression" dxfId="3333" priority="153">
      <formula>AND(U$9&gt;=14/24,U$9&lt;20/24)</formula>
    </cfRule>
    <cfRule type="expression" dxfId="3332" priority="154">
      <formula>AND(U$9&gt;=8/24,U$9&lt;14/24)</formula>
    </cfRule>
    <cfRule type="expression" dxfId="3331" priority="155">
      <formula>U$9&lt;8/24</formula>
    </cfRule>
  </conditionalFormatting>
  <conditionalFormatting sqref="M92:T92">
    <cfRule type="expression" dxfId="3330" priority="148">
      <formula>M$9&gt;=20/24</formula>
    </cfRule>
    <cfRule type="expression" dxfId="3329" priority="149">
      <formula>AND(M$9&gt;=14/24,M$9&lt;20/24)</formula>
    </cfRule>
    <cfRule type="expression" dxfId="3328" priority="150">
      <formula>AND(M$9&gt;=8/24,M$9&lt;14/24)</formula>
    </cfRule>
    <cfRule type="expression" dxfId="3327" priority="151">
      <formula>M$9&lt;8/24</formula>
    </cfRule>
  </conditionalFormatting>
  <conditionalFormatting sqref="AD97:AF97">
    <cfRule type="expression" dxfId="3326" priority="144">
      <formula>AD$9&gt;=20/24</formula>
    </cfRule>
    <cfRule type="expression" dxfId="3325" priority="145">
      <formula>AND(AD$9&gt;=14/24,AD$9&lt;20/24)</formula>
    </cfRule>
    <cfRule type="expression" dxfId="3324" priority="146">
      <formula>AND(AD$9&gt;=8/24,AD$9&lt;14/24)</formula>
    </cfRule>
    <cfRule type="expression" dxfId="3323" priority="147">
      <formula>AD$9&lt;8/24</formula>
    </cfRule>
  </conditionalFormatting>
  <conditionalFormatting sqref="U97:AC97">
    <cfRule type="expression" dxfId="3322" priority="140">
      <formula>U$9&gt;=20/24</formula>
    </cfRule>
    <cfRule type="expression" dxfId="3321" priority="141">
      <formula>AND(U$9&gt;=14/24,U$9&lt;20/24)</formula>
    </cfRule>
    <cfRule type="expression" dxfId="3320" priority="142">
      <formula>AND(U$9&gt;=8/24,U$9&lt;14/24)</formula>
    </cfRule>
    <cfRule type="expression" dxfId="3319" priority="143">
      <formula>U$9&lt;8/24</formula>
    </cfRule>
  </conditionalFormatting>
  <conditionalFormatting sqref="A97">
    <cfRule type="expression" dxfId="3318" priority="139">
      <formula>$AH97=0</formula>
    </cfRule>
  </conditionalFormatting>
  <conditionalFormatting sqref="D97:L97">
    <cfRule type="expression" dxfId="3317" priority="135">
      <formula>D$9&gt;=20/24</formula>
    </cfRule>
    <cfRule type="expression" dxfId="3316" priority="136">
      <formula>AND(D$9&gt;=14/24,D$9&lt;20/24)</formula>
    </cfRule>
    <cfRule type="expression" dxfId="3315" priority="137">
      <formula>AND(D$9&gt;=8/24,D$9&lt;14/24)</formula>
    </cfRule>
    <cfRule type="expression" dxfId="3314" priority="138">
      <formula>D$9&lt;8/24</formula>
    </cfRule>
  </conditionalFormatting>
  <conditionalFormatting sqref="M97:Q97">
    <cfRule type="expression" dxfId="3313" priority="131">
      <formula>M$9&gt;=20/24</formula>
    </cfRule>
    <cfRule type="expression" dxfId="3312" priority="132">
      <formula>AND(M$9&gt;=14/24,M$9&lt;20/24)</formula>
    </cfRule>
    <cfRule type="expression" dxfId="3311" priority="133">
      <formula>AND(M$9&gt;=8/24,M$9&lt;14/24)</formula>
    </cfRule>
    <cfRule type="expression" dxfId="3310" priority="134">
      <formula>M$9&lt;8/24</formula>
    </cfRule>
  </conditionalFormatting>
  <conditionalFormatting sqref="R97:T97">
    <cfRule type="expression" dxfId="3309" priority="127">
      <formula>R$9&gt;=20/24</formula>
    </cfRule>
    <cfRule type="expression" dxfId="3308" priority="128">
      <formula>AND(R$9&gt;=14/24,R$9&lt;20/24)</formula>
    </cfRule>
    <cfRule type="expression" dxfId="3307" priority="129">
      <formula>AND(R$9&gt;=8/24,R$9&lt;14/24)</formula>
    </cfRule>
    <cfRule type="expression" dxfId="3306" priority="130">
      <formula>R$9&lt;8/24</formula>
    </cfRule>
  </conditionalFormatting>
  <conditionalFormatting sqref="R12:X15">
    <cfRule type="expression" dxfId="3305" priority="123">
      <formula>R$9&gt;=20/24</formula>
    </cfRule>
    <cfRule type="expression" dxfId="3304" priority="124">
      <formula>AND(R$9&gt;=14/24,R$9&lt;20/24)</formula>
    </cfRule>
    <cfRule type="expression" dxfId="3303" priority="125">
      <formula>AND(R$9&gt;=8/24,R$9&lt;14/24)</formula>
    </cfRule>
    <cfRule type="expression" dxfId="3302" priority="126">
      <formula>R$9&lt;8/24</formula>
    </cfRule>
  </conditionalFormatting>
  <conditionalFormatting sqref="R16:X16">
    <cfRule type="expression" dxfId="3301" priority="119">
      <formula>R$9&gt;=20/24</formula>
    </cfRule>
    <cfRule type="expression" dxfId="3300" priority="120">
      <formula>AND(R$9&gt;=14/24,R$9&lt;20/24)</formula>
    </cfRule>
    <cfRule type="expression" dxfId="3299" priority="121">
      <formula>AND(R$9&gt;=8/24,R$9&lt;14/24)</formula>
    </cfRule>
    <cfRule type="expression" dxfId="3298" priority="122">
      <formula>R$9&lt;8/24</formula>
    </cfRule>
  </conditionalFormatting>
  <conditionalFormatting sqref="R12:X12">
    <cfRule type="expression" dxfId="3297" priority="115">
      <formula>R$9&gt;=20/24</formula>
    </cfRule>
    <cfRule type="expression" dxfId="3296" priority="116">
      <formula>AND(R$9&gt;=14/24,R$9&lt;20/24)</formula>
    </cfRule>
    <cfRule type="expression" dxfId="3295" priority="117">
      <formula>AND(R$9&gt;=8/24,R$9&lt;14/24)</formula>
    </cfRule>
    <cfRule type="expression" dxfId="3294" priority="118">
      <formula>R$9&lt;8/24</formula>
    </cfRule>
  </conditionalFormatting>
  <conditionalFormatting sqref="AD56:AD57">
    <cfRule type="expression" dxfId="3293" priority="111">
      <formula>AD$9&gt;=20/24</formula>
    </cfRule>
    <cfRule type="expression" dxfId="3292" priority="112">
      <formula>AND(AD$9&gt;=14/24,AD$9&lt;20/24)</formula>
    </cfRule>
    <cfRule type="expression" dxfId="3291" priority="113">
      <formula>AND(AD$9&gt;=8/24,AD$9&lt;14/24)</formula>
    </cfRule>
    <cfRule type="expression" dxfId="3290" priority="114">
      <formula>AD$9&lt;8/24</formula>
    </cfRule>
  </conditionalFormatting>
  <conditionalFormatting sqref="B72:B76 B78:B80 B66:B70 B51:B54 B11:C11 B38:C40 C51:C53">
    <cfRule type="expression" dxfId="3289" priority="107">
      <formula>B$9&gt;=20/24</formula>
    </cfRule>
    <cfRule type="expression" dxfId="3288" priority="108">
      <formula>AND(B$9&gt;=14/24,B$9&lt;20/24)</formula>
    </cfRule>
    <cfRule type="expression" dxfId="3287" priority="109">
      <formula>AND(B$9&gt;=8/24,B$9&lt;14/24)</formula>
    </cfRule>
    <cfRule type="expression" dxfId="3286" priority="110">
      <formula>B$9&lt;8/24</formula>
    </cfRule>
  </conditionalFormatting>
  <conditionalFormatting sqref="B37:C37">
    <cfRule type="expression" dxfId="3285" priority="103">
      <formula>B$9&gt;=20/24</formula>
    </cfRule>
    <cfRule type="expression" dxfId="3284" priority="104">
      <formula>AND(B$9&gt;=14/24,B$9&lt;20/24)</formula>
    </cfRule>
    <cfRule type="expression" dxfId="3283" priority="105">
      <formula>AND(B$9&gt;=8/24,B$9&lt;14/24)</formula>
    </cfRule>
    <cfRule type="expression" dxfId="3282" priority="106">
      <formula>B$9&lt;8/24</formula>
    </cfRule>
  </conditionalFormatting>
  <conditionalFormatting sqref="B55:C55">
    <cfRule type="expression" dxfId="3281" priority="99">
      <formula>B$9&gt;=20/24</formula>
    </cfRule>
    <cfRule type="expression" dxfId="3280" priority="100">
      <formula>AND(B$9&gt;=14/24,B$9&lt;20/24)</formula>
    </cfRule>
    <cfRule type="expression" dxfId="3279" priority="101">
      <formula>AND(B$9&gt;=8/24,B$9&lt;14/24)</formula>
    </cfRule>
    <cfRule type="expression" dxfId="3278" priority="102">
      <formula>B$9&lt;8/24</formula>
    </cfRule>
  </conditionalFormatting>
  <conditionalFormatting sqref="B35:K35">
    <cfRule type="expression" dxfId="3277" priority="95">
      <formula>B$9&gt;=20/24</formula>
    </cfRule>
    <cfRule type="expression" dxfId="3276" priority="96">
      <formula>AND(B$9&gt;=14/24,B$9&lt;20/24)</formula>
    </cfRule>
    <cfRule type="expression" dxfId="3275" priority="97">
      <formula>AND(B$9&gt;=8/24,B$9&lt;14/24)</formula>
    </cfRule>
    <cfRule type="expression" dxfId="3274" priority="98">
      <formula>B$9&lt;8/24</formula>
    </cfRule>
  </conditionalFormatting>
  <conditionalFormatting sqref="B41:K41 B44:K44">
    <cfRule type="expression" dxfId="3273" priority="91">
      <formula>B$9&gt;=20/24</formula>
    </cfRule>
    <cfRule type="expression" dxfId="3272" priority="92">
      <formula>AND(B$9&gt;=14/24,B$9&lt;20/24)</formula>
    </cfRule>
    <cfRule type="expression" dxfId="3271" priority="93">
      <formula>AND(B$9&gt;=8/24,B$9&lt;14/24)</formula>
    </cfRule>
    <cfRule type="expression" dxfId="3270" priority="94">
      <formula>B$9&lt;8/24</formula>
    </cfRule>
  </conditionalFormatting>
  <conditionalFormatting sqref="B58:C65 D60:G65 H62:H65 I63:K65">
    <cfRule type="expression" dxfId="3269" priority="87">
      <formula>B$9&gt;=20/24</formula>
    </cfRule>
    <cfRule type="expression" dxfId="3268" priority="88">
      <formula>AND(B$9&gt;=14/24,B$9&lt;20/24)</formula>
    </cfRule>
    <cfRule type="expression" dxfId="3267" priority="89">
      <formula>AND(B$9&gt;=8/24,B$9&lt;14/24)</formula>
    </cfRule>
    <cfRule type="expression" dxfId="3266" priority="90">
      <formula>B$9&lt;8/24</formula>
    </cfRule>
  </conditionalFormatting>
  <conditionalFormatting sqref="B49:B54 B34:B41 B11:C11 C37:C41 C51:C53 C34:K35 B44:K44 D41:K41">
    <cfRule type="expression" dxfId="3265" priority="86">
      <formula>B11&gt;$AG11</formula>
    </cfRule>
  </conditionalFormatting>
  <conditionalFormatting sqref="B34:K34">
    <cfRule type="expression" dxfId="3264" priority="82">
      <formula>B$9&gt;=20/24</formula>
    </cfRule>
    <cfRule type="expression" dxfId="3263" priority="83">
      <formula>AND(B$9&gt;=14/24,B$9&lt;20/24)</formula>
    </cfRule>
    <cfRule type="expression" dxfId="3262" priority="84">
      <formula>AND(B$9&gt;=8/24,B$9&lt;14/24)</formula>
    </cfRule>
    <cfRule type="expression" dxfId="3261" priority="85">
      <formula>B$9&lt;8/24</formula>
    </cfRule>
  </conditionalFormatting>
  <conditionalFormatting sqref="B34:K34">
    <cfRule type="expression" dxfId="3260" priority="78">
      <formula>B$9&gt;=20/24</formula>
    </cfRule>
    <cfRule type="expression" dxfId="3259" priority="79">
      <formula>AND(B$9&gt;=14/24,B$9&lt;20/24)</formula>
    </cfRule>
    <cfRule type="expression" dxfId="3258" priority="80">
      <formula>AND(B$9&gt;=8/24,B$9&lt;14/24)</formula>
    </cfRule>
    <cfRule type="expression" dxfId="3257" priority="81">
      <formula>B$9&lt;8/24</formula>
    </cfRule>
  </conditionalFormatting>
  <conditionalFormatting sqref="B81">
    <cfRule type="expression" dxfId="3256" priority="74">
      <formula>B$9&gt;=20/24</formula>
    </cfRule>
    <cfRule type="expression" dxfId="3255" priority="75">
      <formula>AND(B$9&gt;=14/24,B$9&lt;20/24)</formula>
    </cfRule>
    <cfRule type="expression" dxfId="3254" priority="76">
      <formula>AND(B$9&gt;=8/24,B$9&lt;14/24)</formula>
    </cfRule>
    <cfRule type="expression" dxfId="3253" priority="77">
      <formula>B$9&lt;8/24</formula>
    </cfRule>
  </conditionalFormatting>
  <conditionalFormatting sqref="B14:C14">
    <cfRule type="expression" dxfId="3252" priority="70">
      <formula>B$9&gt;=20/24</formula>
    </cfRule>
    <cfRule type="expression" dxfId="3251" priority="71">
      <formula>AND(B$9&gt;=14/24,B$9&lt;20/24)</formula>
    </cfRule>
    <cfRule type="expression" dxfId="3250" priority="72">
      <formula>AND(B$9&gt;=8/24,B$9&lt;14/24)</formula>
    </cfRule>
    <cfRule type="expression" dxfId="3249" priority="73">
      <formula>B$9&lt;8/24</formula>
    </cfRule>
  </conditionalFormatting>
  <conditionalFormatting sqref="B14:C14">
    <cfRule type="expression" dxfId="3248" priority="69">
      <formula>B14&gt;$AG14</formula>
    </cfRule>
  </conditionalFormatting>
  <conditionalFormatting sqref="B77">
    <cfRule type="expression" dxfId="3247" priority="65">
      <formula>B$9&gt;=20/24</formula>
    </cfRule>
    <cfRule type="expression" dxfId="3246" priority="66">
      <formula>AND(B$9&gt;=14/24,B$9&lt;20/24)</formula>
    </cfRule>
    <cfRule type="expression" dxfId="3245" priority="67">
      <formula>AND(B$9&gt;=8/24,B$9&lt;14/24)</formula>
    </cfRule>
    <cfRule type="expression" dxfId="3244" priority="68">
      <formula>B$9&lt;8/24</formula>
    </cfRule>
  </conditionalFormatting>
  <conditionalFormatting sqref="B71">
    <cfRule type="expression" dxfId="3243" priority="61">
      <formula>B$9&gt;=20/24</formula>
    </cfRule>
    <cfRule type="expression" dxfId="3242" priority="62">
      <formula>AND(B$9&gt;=14/24,B$9&lt;20/24)</formula>
    </cfRule>
    <cfRule type="expression" dxfId="3241" priority="63">
      <formula>AND(B$9&gt;=8/24,B$9&lt;14/24)</formula>
    </cfRule>
    <cfRule type="expression" dxfId="3240" priority="64">
      <formula>B$9&lt;8/24</formula>
    </cfRule>
  </conditionalFormatting>
  <conditionalFormatting sqref="B12:C13">
    <cfRule type="expression" dxfId="3239" priority="57">
      <formula>B$9&gt;=20/24</formula>
    </cfRule>
    <cfRule type="expression" dxfId="3238" priority="58">
      <formula>AND(B$9&gt;=14/24,B$9&lt;20/24)</formula>
    </cfRule>
    <cfRule type="expression" dxfId="3237" priority="59">
      <formula>AND(B$9&gt;=8/24,B$9&lt;14/24)</formula>
    </cfRule>
    <cfRule type="expression" dxfId="3236" priority="60">
      <formula>B$9&lt;8/24</formula>
    </cfRule>
  </conditionalFormatting>
  <conditionalFormatting sqref="B12:C12">
    <cfRule type="expression" dxfId="3235" priority="53">
      <formula>B$9&gt;=20/24</formula>
    </cfRule>
    <cfRule type="expression" dxfId="3234" priority="54">
      <formula>AND(B$9&gt;=14/24,B$9&lt;20/24)</formula>
    </cfRule>
    <cfRule type="expression" dxfId="3233" priority="55">
      <formula>AND(B$9&gt;=8/24,B$9&lt;14/24)</formula>
    </cfRule>
    <cfRule type="expression" dxfId="3232" priority="56">
      <formula>B$9&lt;8/24</formula>
    </cfRule>
  </conditionalFormatting>
  <conditionalFormatting sqref="B15:C31 D19:K22 D24:K31">
    <cfRule type="expression" dxfId="3231" priority="49">
      <formula>B$9&gt;=20/24</formula>
    </cfRule>
    <cfRule type="expression" dxfId="3230" priority="50">
      <formula>AND(B$9&gt;=14/24,B$9&lt;20/24)</formula>
    </cfRule>
    <cfRule type="expression" dxfId="3229" priority="51">
      <formula>AND(B$9&gt;=8/24,B$9&lt;14/24)</formula>
    </cfRule>
    <cfRule type="expression" dxfId="3228" priority="52">
      <formula>B$9&lt;8/24</formula>
    </cfRule>
  </conditionalFormatting>
  <conditionalFormatting sqref="B33:K33">
    <cfRule type="expression" dxfId="3227" priority="45">
      <formula>B$9&gt;=20/24</formula>
    </cfRule>
    <cfRule type="expression" dxfId="3226" priority="46">
      <formula>AND(B$9&gt;=14/24,B$9&lt;20/24)</formula>
    </cfRule>
    <cfRule type="expression" dxfId="3225" priority="47">
      <formula>AND(B$9&gt;=8/24,B$9&lt;14/24)</formula>
    </cfRule>
    <cfRule type="expression" dxfId="3224" priority="48">
      <formula>B$9&lt;8/24</formula>
    </cfRule>
  </conditionalFormatting>
  <conditionalFormatting sqref="B15:C31 D19:K22 B33:K33 D24:K31">
    <cfRule type="expression" dxfId="3223" priority="44">
      <formula>B15&gt;$AG15</formula>
    </cfRule>
  </conditionalFormatting>
  <conditionalFormatting sqref="B32:K32">
    <cfRule type="expression" dxfId="3222" priority="40">
      <formula>B$9&gt;=20/24</formula>
    </cfRule>
    <cfRule type="expression" dxfId="3221" priority="41">
      <formula>AND(B$9&gt;=14/24,B$9&lt;20/24)</formula>
    </cfRule>
    <cfRule type="expression" dxfId="3220" priority="42">
      <formula>AND(B$9&gt;=8/24,B$9&lt;14/24)</formula>
    </cfRule>
    <cfRule type="expression" dxfId="3219" priority="43">
      <formula>B$9&lt;8/24</formula>
    </cfRule>
  </conditionalFormatting>
  <conditionalFormatting sqref="B32:K32">
    <cfRule type="expression" dxfId="3218" priority="39">
      <formula>B32&gt;$AG32</formula>
    </cfRule>
  </conditionalFormatting>
  <conditionalFormatting sqref="B47:K47">
    <cfRule type="expression" dxfId="3217" priority="35">
      <formula>B$9&gt;=20/24</formula>
    </cfRule>
    <cfRule type="expression" dxfId="3216" priority="36">
      <formula>AND(B$9&gt;=14/24,B$9&lt;20/24)</formula>
    </cfRule>
    <cfRule type="expression" dxfId="3215" priority="37">
      <formula>AND(B$9&gt;=8/24,B$9&lt;14/24)</formula>
    </cfRule>
    <cfRule type="expression" dxfId="3214" priority="38">
      <formula>B$9&lt;8/24</formula>
    </cfRule>
  </conditionalFormatting>
  <conditionalFormatting sqref="B48:K48">
    <cfRule type="expression" dxfId="3213" priority="31">
      <formula>B$9&gt;=20/24</formula>
    </cfRule>
    <cfRule type="expression" dxfId="3212" priority="32">
      <formula>AND(B$9&gt;=14/24,B$9&lt;20/24)</formula>
    </cfRule>
    <cfRule type="expression" dxfId="3211" priority="33">
      <formula>AND(B$9&gt;=8/24,B$9&lt;14/24)</formula>
    </cfRule>
    <cfRule type="expression" dxfId="3210" priority="34">
      <formula>B$9&lt;8/24</formula>
    </cfRule>
  </conditionalFormatting>
  <conditionalFormatting sqref="B43:K43 B45:K46">
    <cfRule type="expression" dxfId="3209" priority="27">
      <formula>B$9&gt;=20/24</formula>
    </cfRule>
    <cfRule type="expression" dxfId="3208" priority="28">
      <formula>AND(B$9&gt;=14/24,B$9&lt;20/24)</formula>
    </cfRule>
    <cfRule type="expression" dxfId="3207" priority="29">
      <formula>AND(B$9&gt;=8/24,B$9&lt;14/24)</formula>
    </cfRule>
    <cfRule type="expression" dxfId="3206" priority="30">
      <formula>B$9&lt;8/24</formula>
    </cfRule>
  </conditionalFormatting>
  <conditionalFormatting sqref="B43:K43 B45:K48">
    <cfRule type="expression" dxfId="3205" priority="26">
      <formula>B43&gt;$AG43</formula>
    </cfRule>
  </conditionalFormatting>
  <conditionalFormatting sqref="B42:K42">
    <cfRule type="expression" dxfId="3204" priority="22">
      <formula>B$9&gt;=20/24</formula>
    </cfRule>
    <cfRule type="expression" dxfId="3203" priority="23">
      <formula>AND(B$9&gt;=14/24,B$9&lt;20/24)</formula>
    </cfRule>
    <cfRule type="expression" dxfId="3202" priority="24">
      <formula>AND(B$9&gt;=8/24,B$9&lt;14/24)</formula>
    </cfRule>
    <cfRule type="expression" dxfId="3201" priority="25">
      <formula>B$9&lt;8/24</formula>
    </cfRule>
  </conditionalFormatting>
  <conditionalFormatting sqref="B42:K42">
    <cfRule type="expression" dxfId="3200" priority="21">
      <formula>B42&gt;$AG42</formula>
    </cfRule>
  </conditionalFormatting>
  <conditionalFormatting sqref="B83:C89">
    <cfRule type="expression" dxfId="3199" priority="17">
      <formula>B$9&gt;=20/24</formula>
    </cfRule>
    <cfRule type="expression" dxfId="3198" priority="18">
      <formula>AND(B$9&gt;=14/24,B$9&lt;20/24)</formula>
    </cfRule>
    <cfRule type="expression" dxfId="3197" priority="19">
      <formula>AND(B$9&gt;=8/24,B$9&lt;14/24)</formula>
    </cfRule>
    <cfRule type="expression" dxfId="3196" priority="20">
      <formula>B$9&lt;8/24</formula>
    </cfRule>
  </conditionalFormatting>
  <conditionalFormatting sqref="B82:C82">
    <cfRule type="expression" dxfId="3195" priority="13">
      <formula>B$9&gt;=20/24</formula>
    </cfRule>
    <cfRule type="expression" dxfId="3194" priority="14">
      <formula>AND(B$9&gt;=14/24,B$9&lt;20/24)</formula>
    </cfRule>
    <cfRule type="expression" dxfId="3193" priority="15">
      <formula>AND(B$9&gt;=8/24,B$9&lt;14/24)</formula>
    </cfRule>
    <cfRule type="expression" dxfId="3192" priority="16">
      <formula>B$9&lt;8/24</formula>
    </cfRule>
  </conditionalFormatting>
  <conditionalFormatting sqref="B92:C95">
    <cfRule type="expression" dxfId="3191" priority="9">
      <formula>B$9&gt;=20/24</formula>
    </cfRule>
    <cfRule type="expression" dxfId="3190" priority="10">
      <formula>AND(B$9&gt;=14/24,B$9&lt;20/24)</formula>
    </cfRule>
    <cfRule type="expression" dxfId="3189" priority="11">
      <formula>AND(B$9&gt;=8/24,B$9&lt;14/24)</formula>
    </cfRule>
    <cfRule type="expression" dxfId="3188" priority="12">
      <formula>B$9&lt;8/24</formula>
    </cfRule>
  </conditionalFormatting>
  <conditionalFormatting sqref="B96:C96">
    <cfRule type="expression" dxfId="3187" priority="5">
      <formula>B$9&gt;=20/24</formula>
    </cfRule>
    <cfRule type="expression" dxfId="3186" priority="6">
      <formula>AND(B$9&gt;=14/24,B$9&lt;20/24)</formula>
    </cfRule>
    <cfRule type="expression" dxfId="3185" priority="7">
      <formula>AND(B$9&gt;=8/24,B$9&lt;14/24)</formula>
    </cfRule>
    <cfRule type="expression" dxfId="3184" priority="8">
      <formula>B$9&lt;8/24</formula>
    </cfRule>
  </conditionalFormatting>
  <conditionalFormatting sqref="B97:C97">
    <cfRule type="expression" dxfId="3183" priority="1">
      <formula>B$9&gt;=20/24</formula>
    </cfRule>
    <cfRule type="expression" dxfId="3182" priority="2">
      <formula>AND(B$9&gt;=14/24,B$9&lt;20/24)</formula>
    </cfRule>
    <cfRule type="expression" dxfId="3181" priority="3">
      <formula>AND(B$9&gt;=8/24,B$9&lt;14/24)</formula>
    </cfRule>
    <cfRule type="expression" dxfId="318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C11" activePane="bottomRight" state="frozen"/>
      <selection activeCell="AF88" sqref="AF88"/>
      <selection pane="topRight" activeCell="AF88" sqref="AF88"/>
      <selection pane="bottomLeft" activeCell="AF88" sqref="AF88"/>
      <selection pane="bottomRight" activeCell="O44" sqref="O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K1" s="193" t="s">
        <v>232</v>
      </c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227</v>
      </c>
      <c r="AL2" s="3">
        <f>(440-AJ50)*24</f>
        <v>680.87225806451488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7</v>
      </c>
      <c r="AL3" s="3">
        <f>(1050-AJ36)*24-AL4</f>
        <v>1569.5999999999967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2078/04/24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233</v>
      </c>
      <c r="AL4" s="3">
        <f>(456-AJ11)*24</f>
        <v>1928.9806451612903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-175.2</v>
      </c>
      <c r="C5" s="32">
        <f t="shared" ref="C5:AF5" si="0">C66</f>
        <v>-176.2</v>
      </c>
      <c r="D5" s="32">
        <f t="shared" si="0"/>
        <v>-37.5</v>
      </c>
      <c r="E5" s="32">
        <f t="shared" si="0"/>
        <v>-53</v>
      </c>
      <c r="F5" s="32">
        <f t="shared" si="0"/>
        <v>-207</v>
      </c>
      <c r="G5" s="32">
        <f t="shared" si="0"/>
        <v>-37.5</v>
      </c>
      <c r="H5" s="32">
        <f t="shared" si="0"/>
        <v>-48</v>
      </c>
      <c r="I5" s="32">
        <f t="shared" si="0"/>
        <v>-159.69999999999999</v>
      </c>
      <c r="J5" s="32">
        <f t="shared" si="0"/>
        <v>-120.8</v>
      </c>
      <c r="K5" s="32">
        <f t="shared" si="0"/>
        <v>-111.80000000000001</v>
      </c>
      <c r="L5" s="32">
        <f t="shared" si="0"/>
        <v>-117.7</v>
      </c>
      <c r="M5" s="32">
        <f t="shared" si="0"/>
        <v>-132.69999999999999</v>
      </c>
      <c r="N5" s="32">
        <f t="shared" si="0"/>
        <v>-104.5</v>
      </c>
      <c r="O5" s="32">
        <f t="shared" si="0"/>
        <v>-119.2</v>
      </c>
      <c r="P5" s="32">
        <f t="shared" si="0"/>
        <v>-63.4</v>
      </c>
      <c r="Q5" s="32">
        <f t="shared" si="0"/>
        <v>-76.400000000000006</v>
      </c>
      <c r="R5" s="32">
        <f t="shared" si="0"/>
        <v>-92.1</v>
      </c>
      <c r="S5" s="32">
        <f t="shared" si="0"/>
        <v>-116.39999999999999</v>
      </c>
      <c r="T5" s="32">
        <f t="shared" si="0"/>
        <v>-60.7</v>
      </c>
      <c r="U5" s="32">
        <f t="shared" si="0"/>
        <v>63.3</v>
      </c>
      <c r="V5" s="32">
        <f t="shared" si="0"/>
        <v>63.3</v>
      </c>
      <c r="W5" s="32">
        <f t="shared" si="0"/>
        <v>35.6</v>
      </c>
      <c r="X5" s="32">
        <f t="shared" si="0"/>
        <v>49.3</v>
      </c>
      <c r="Y5" s="32">
        <f t="shared" si="0"/>
        <v>49.4</v>
      </c>
      <c r="Z5" s="32">
        <f t="shared" si="0"/>
        <v>-1.0000000000000027</v>
      </c>
      <c r="AA5" s="32">
        <f t="shared" si="0"/>
        <v>-123.7</v>
      </c>
      <c r="AB5" s="32">
        <f t="shared" si="0"/>
        <v>-109.2</v>
      </c>
      <c r="AC5" s="32">
        <f t="shared" si="0"/>
        <v>-113.7</v>
      </c>
      <c r="AD5" s="32">
        <f t="shared" si="0"/>
        <v>-180</v>
      </c>
      <c r="AE5" s="32">
        <f t="shared" si="0"/>
        <v>-117.8</v>
      </c>
      <c r="AF5" s="32">
        <f t="shared" si="0"/>
        <v>-155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1341MW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Load=1104</v>
      </c>
      <c r="B7" s="37">
        <f t="shared" ref="B7:AF7" si="1">B73</f>
        <v>1134.3399999999999</v>
      </c>
      <c r="C7" s="37">
        <f t="shared" si="1"/>
        <v>1103.8399999999999</v>
      </c>
      <c r="D7" s="37">
        <f t="shared" si="1"/>
        <v>1208.7399999999998</v>
      </c>
      <c r="E7" s="37">
        <f t="shared" si="1"/>
        <v>1193.2399999999998</v>
      </c>
      <c r="F7" s="37">
        <f t="shared" si="1"/>
        <v>1255.6399999999999</v>
      </c>
      <c r="G7" s="37">
        <f t="shared" si="1"/>
        <v>1307.7399999999998</v>
      </c>
      <c r="H7" s="37">
        <f t="shared" si="1"/>
        <v>1337.24</v>
      </c>
      <c r="I7" s="37">
        <f t="shared" si="1"/>
        <v>1263.44</v>
      </c>
      <c r="J7" s="37">
        <f t="shared" si="1"/>
        <v>1301.74</v>
      </c>
      <c r="K7" s="37">
        <f t="shared" si="1"/>
        <v>1306.6399999999999</v>
      </c>
      <c r="L7" s="37">
        <f>L73</f>
        <v>1341.1399999999999</v>
      </c>
      <c r="M7" s="37">
        <f t="shared" si="1"/>
        <v>1312.54</v>
      </c>
      <c r="N7" s="37">
        <f t="shared" si="1"/>
        <v>1384.04</v>
      </c>
      <c r="O7" s="37">
        <f t="shared" si="1"/>
        <v>1393.7399999999998</v>
      </c>
      <c r="P7" s="37">
        <f t="shared" si="1"/>
        <v>1406.04</v>
      </c>
      <c r="Q7" s="37">
        <f t="shared" si="1"/>
        <v>1386.6399999999999</v>
      </c>
      <c r="R7" s="37">
        <f t="shared" si="1"/>
        <v>1347.04</v>
      </c>
      <c r="S7" s="37">
        <f t="shared" si="1"/>
        <v>1238.1400000000001</v>
      </c>
      <c r="T7" s="37">
        <f t="shared" si="1"/>
        <v>1298.04</v>
      </c>
      <c r="U7" s="37">
        <f t="shared" si="1"/>
        <v>1407.44</v>
      </c>
      <c r="V7" s="37">
        <f t="shared" si="1"/>
        <v>1407.44</v>
      </c>
      <c r="W7" s="37">
        <f t="shared" si="1"/>
        <v>1433.14</v>
      </c>
      <c r="X7" s="37">
        <f t="shared" si="1"/>
        <v>1506.7400000000002</v>
      </c>
      <c r="Y7" s="37">
        <f t="shared" si="1"/>
        <v>1510.04</v>
      </c>
      <c r="Z7" s="37">
        <f t="shared" si="1"/>
        <v>1455.04</v>
      </c>
      <c r="AA7" s="37">
        <f t="shared" si="1"/>
        <v>1415.44</v>
      </c>
      <c r="AB7" s="37">
        <f t="shared" si="1"/>
        <v>1420.24</v>
      </c>
      <c r="AC7" s="37">
        <f t="shared" si="1"/>
        <v>1369.74</v>
      </c>
      <c r="AD7" s="37">
        <f t="shared" si="1"/>
        <v>1275.94</v>
      </c>
      <c r="AE7" s="37">
        <f t="shared" si="1"/>
        <v>1218.44</v>
      </c>
      <c r="AF7" s="37">
        <f t="shared" si="1"/>
        <v>1209.54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280</v>
      </c>
      <c r="C11" s="49">
        <v>250</v>
      </c>
      <c r="D11" s="49">
        <v>250</v>
      </c>
      <c r="E11" s="49">
        <v>250</v>
      </c>
      <c r="F11" s="49">
        <v>250</v>
      </c>
      <c r="G11" s="49">
        <v>250</v>
      </c>
      <c r="H11" s="49">
        <v>370</v>
      </c>
      <c r="I11" s="49">
        <v>435</v>
      </c>
      <c r="J11" s="49">
        <v>435</v>
      </c>
      <c r="K11" s="49">
        <v>390</v>
      </c>
      <c r="L11" s="50">
        <v>442</v>
      </c>
      <c r="M11" s="50">
        <v>377</v>
      </c>
      <c r="N11" s="50">
        <v>433.4</v>
      </c>
      <c r="O11" s="50">
        <v>435</v>
      </c>
      <c r="P11" s="50">
        <v>380</v>
      </c>
      <c r="Q11" s="51">
        <v>400</v>
      </c>
      <c r="R11" s="53">
        <v>450</v>
      </c>
      <c r="S11" s="53">
        <v>456</v>
      </c>
      <c r="T11" s="53">
        <v>365</v>
      </c>
      <c r="U11" s="53">
        <v>365</v>
      </c>
      <c r="V11" s="53">
        <v>365</v>
      </c>
      <c r="W11" s="53">
        <v>377</v>
      </c>
      <c r="X11" s="53">
        <v>379</v>
      </c>
      <c r="Y11" s="53">
        <v>379</v>
      </c>
      <c r="Z11" s="53">
        <v>379</v>
      </c>
      <c r="AA11" s="115">
        <v>451</v>
      </c>
      <c r="AB11" s="115">
        <v>451</v>
      </c>
      <c r="AC11" s="115">
        <v>420</v>
      </c>
      <c r="AD11" s="115">
        <v>450</v>
      </c>
      <c r="AE11" s="49">
        <v>350</v>
      </c>
      <c r="AF11" s="49">
        <v>380</v>
      </c>
      <c r="AG11" s="54">
        <v>456</v>
      </c>
      <c r="AH11" s="55">
        <f>MAX(B11:AF11)</f>
        <v>456</v>
      </c>
      <c r="AI11" s="56">
        <f>MIN(B11:AF11)</f>
        <v>250</v>
      </c>
      <c r="AJ11" s="176">
        <f>AVERAGE(B11:AF11)</f>
        <v>375.6258064516129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46</v>
      </c>
      <c r="C14" s="62">
        <v>46</v>
      </c>
      <c r="D14" s="62">
        <v>45.9</v>
      </c>
      <c r="E14" s="62">
        <v>45.9</v>
      </c>
      <c r="F14" s="62">
        <v>45.6</v>
      </c>
      <c r="G14" s="62">
        <v>45.9</v>
      </c>
      <c r="H14" s="62">
        <v>45.7</v>
      </c>
      <c r="I14" s="62">
        <v>46.3</v>
      </c>
      <c r="J14" s="62">
        <v>45.7</v>
      </c>
      <c r="K14" s="62">
        <v>46</v>
      </c>
      <c r="L14" s="50">
        <v>45.4</v>
      </c>
      <c r="M14" s="50">
        <v>45.6</v>
      </c>
      <c r="N14" s="50">
        <v>45.8</v>
      </c>
      <c r="O14" s="50">
        <v>37.299999999999997</v>
      </c>
      <c r="P14" s="50">
        <v>45.4</v>
      </c>
      <c r="Q14" s="50">
        <v>45.8</v>
      </c>
      <c r="R14" s="61">
        <v>46</v>
      </c>
      <c r="S14" s="61">
        <v>45.4</v>
      </c>
      <c r="T14" s="61">
        <v>45.8</v>
      </c>
      <c r="U14" s="61">
        <v>45.8</v>
      </c>
      <c r="V14" s="61">
        <v>45.8</v>
      </c>
      <c r="W14" s="61">
        <v>45.5</v>
      </c>
      <c r="X14" s="61">
        <v>45.8</v>
      </c>
      <c r="Y14" s="50">
        <v>45.8</v>
      </c>
      <c r="Z14" s="50">
        <v>45.8</v>
      </c>
      <c r="AA14" s="50">
        <v>45.8</v>
      </c>
      <c r="AB14" s="50">
        <v>45.8</v>
      </c>
      <c r="AC14" s="50">
        <v>45.8</v>
      </c>
      <c r="AD14" s="50">
        <v>45.8</v>
      </c>
      <c r="AE14" s="50">
        <v>45.8</v>
      </c>
      <c r="AF14" s="50">
        <v>45.8</v>
      </c>
      <c r="AG14" s="63">
        <v>45</v>
      </c>
      <c r="AH14" s="55">
        <f t="shared" si="2"/>
        <v>46.3</v>
      </c>
      <c r="AI14" s="56">
        <f t="shared" si="3"/>
        <v>37.299999999999997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0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84">
        <v>26</v>
      </c>
      <c r="S15" s="84">
        <v>35</v>
      </c>
      <c r="T15" s="84">
        <v>31</v>
      </c>
      <c r="U15" s="84">
        <v>31</v>
      </c>
      <c r="V15" s="84">
        <v>31</v>
      </c>
      <c r="W15" s="84">
        <v>31</v>
      </c>
      <c r="X15" s="84">
        <v>36</v>
      </c>
      <c r="Y15" s="50">
        <v>36</v>
      </c>
      <c r="Z15" s="50">
        <v>31</v>
      </c>
      <c r="AA15" s="50">
        <v>31</v>
      </c>
      <c r="AB15" s="50">
        <v>31</v>
      </c>
      <c r="AC15" s="50">
        <v>28</v>
      </c>
      <c r="AD15" s="50">
        <v>28</v>
      </c>
      <c r="AE15" s="50">
        <v>28</v>
      </c>
      <c r="AF15" s="50">
        <v>26</v>
      </c>
      <c r="AG15" s="60">
        <v>45</v>
      </c>
      <c r="AH15" s="55">
        <f t="shared" si="2"/>
        <v>36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15</v>
      </c>
      <c r="E16" s="49">
        <v>15</v>
      </c>
      <c r="F16" s="49">
        <v>15</v>
      </c>
      <c r="G16" s="49">
        <v>15</v>
      </c>
      <c r="H16" s="49">
        <v>0</v>
      </c>
      <c r="I16" s="49">
        <v>0</v>
      </c>
      <c r="J16" s="49">
        <v>0</v>
      </c>
      <c r="K16" s="49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50">
        <v>0</v>
      </c>
      <c r="Z16" s="50">
        <v>0</v>
      </c>
      <c r="AA16" s="50">
        <v>12</v>
      </c>
      <c r="AB16" s="50">
        <v>12</v>
      </c>
      <c r="AC16" s="50">
        <v>12</v>
      </c>
      <c r="AD16" s="50">
        <v>12</v>
      </c>
      <c r="AE16" s="50">
        <v>12</v>
      </c>
      <c r="AF16" s="50">
        <v>12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22</v>
      </c>
      <c r="C18" s="49">
        <v>22</v>
      </c>
      <c r="D18" s="49">
        <v>22</v>
      </c>
      <c r="E18" s="49">
        <v>22</v>
      </c>
      <c r="F18" s="49">
        <v>0</v>
      </c>
      <c r="G18" s="49">
        <v>22</v>
      </c>
      <c r="H18" s="49">
        <v>22</v>
      </c>
      <c r="I18" s="49">
        <v>22</v>
      </c>
      <c r="J18" s="49">
        <v>22</v>
      </c>
      <c r="K18" s="49">
        <v>22</v>
      </c>
      <c r="L18" s="50">
        <v>22</v>
      </c>
      <c r="M18" s="50">
        <v>22.8</v>
      </c>
      <c r="N18" s="50">
        <v>23.1</v>
      </c>
      <c r="O18" s="50">
        <v>23.8</v>
      </c>
      <c r="P18" s="50">
        <v>23.8</v>
      </c>
      <c r="Q18" s="50">
        <v>23.8</v>
      </c>
      <c r="R18" s="50">
        <v>24.1</v>
      </c>
      <c r="S18" s="50">
        <v>24.1</v>
      </c>
      <c r="T18" s="50">
        <v>24.1</v>
      </c>
      <c r="U18" s="50">
        <v>24.1</v>
      </c>
      <c r="V18" s="50">
        <v>24.1</v>
      </c>
      <c r="W18" s="50">
        <v>24.1</v>
      </c>
      <c r="X18" s="50">
        <v>24.1</v>
      </c>
      <c r="Y18" s="50">
        <v>24.1</v>
      </c>
      <c r="Z18" s="50">
        <v>24.5</v>
      </c>
      <c r="AA18" s="50">
        <v>24.5</v>
      </c>
      <c r="AB18" s="50">
        <v>24.5</v>
      </c>
      <c r="AC18" s="50">
        <v>24.5</v>
      </c>
      <c r="AD18" s="50">
        <v>24.5</v>
      </c>
      <c r="AE18" s="50">
        <v>24.5</v>
      </c>
      <c r="AF18" s="50">
        <v>24.5</v>
      </c>
      <c r="AG18" s="60">
        <v>30</v>
      </c>
      <c r="AH18" s="55">
        <f t="shared" si="2"/>
        <v>24.5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62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0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60">
        <v>25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0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18</v>
      </c>
      <c r="K22" s="49">
        <v>18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10</v>
      </c>
      <c r="U22" s="50">
        <v>10</v>
      </c>
      <c r="V22" s="50">
        <v>10</v>
      </c>
      <c r="W22" s="50">
        <v>10</v>
      </c>
      <c r="X22" s="50">
        <v>10</v>
      </c>
      <c r="Y22" s="50">
        <v>10</v>
      </c>
      <c r="Z22" s="50">
        <v>10</v>
      </c>
      <c r="AA22" s="50">
        <v>10</v>
      </c>
      <c r="AB22" s="50">
        <v>10</v>
      </c>
      <c r="AC22" s="50">
        <v>10</v>
      </c>
      <c r="AD22" s="50">
        <v>10</v>
      </c>
      <c r="AE22" s="50">
        <v>10</v>
      </c>
      <c r="AF22" s="50">
        <v>10</v>
      </c>
      <c r="AG22" s="60">
        <v>25</v>
      </c>
      <c r="AH22" s="55">
        <f t="shared" si="2"/>
        <v>22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0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14</v>
      </c>
      <c r="E24" s="49">
        <v>14</v>
      </c>
      <c r="F24" s="49">
        <v>14</v>
      </c>
      <c r="G24" s="49">
        <v>14</v>
      </c>
      <c r="H24" s="49">
        <v>0</v>
      </c>
      <c r="I24" s="49">
        <v>0</v>
      </c>
      <c r="J24" s="49">
        <v>0</v>
      </c>
      <c r="K24" s="49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13</v>
      </c>
      <c r="U24" s="50">
        <v>13</v>
      </c>
      <c r="V24" s="50">
        <v>13</v>
      </c>
      <c r="W24" s="50">
        <v>13</v>
      </c>
      <c r="X24" s="50">
        <v>13</v>
      </c>
      <c r="Y24" s="50">
        <v>14</v>
      </c>
      <c r="Z24" s="50">
        <v>14</v>
      </c>
      <c r="AA24" s="50">
        <v>14</v>
      </c>
      <c r="AB24" s="50">
        <v>14</v>
      </c>
      <c r="AC24" s="50">
        <v>14</v>
      </c>
      <c r="AD24" s="50">
        <v>14</v>
      </c>
      <c r="AE24" s="50">
        <v>14</v>
      </c>
      <c r="AF24" s="50">
        <v>14</v>
      </c>
      <c r="AG24" s="60">
        <v>24.2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14</v>
      </c>
      <c r="C25" s="49">
        <v>14</v>
      </c>
      <c r="D25" s="49">
        <v>14</v>
      </c>
      <c r="E25" s="49">
        <v>14</v>
      </c>
      <c r="F25" s="49">
        <v>0</v>
      </c>
      <c r="G25" s="49">
        <v>14</v>
      </c>
      <c r="H25" s="49">
        <v>14</v>
      </c>
      <c r="I25" s="49">
        <v>14</v>
      </c>
      <c r="J25" s="49">
        <v>14</v>
      </c>
      <c r="K25" s="49">
        <v>14</v>
      </c>
      <c r="L25" s="50">
        <v>14</v>
      </c>
      <c r="M25" s="50">
        <v>14</v>
      </c>
      <c r="N25" s="50">
        <v>15</v>
      </c>
      <c r="O25" s="50">
        <v>12</v>
      </c>
      <c r="P25" s="50">
        <v>12</v>
      </c>
      <c r="Q25" s="50">
        <v>12</v>
      </c>
      <c r="R25" s="50">
        <v>12</v>
      </c>
      <c r="S25" s="50">
        <v>12</v>
      </c>
      <c r="T25" s="50">
        <v>12</v>
      </c>
      <c r="U25" s="50">
        <v>12</v>
      </c>
      <c r="V25" s="50">
        <v>12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15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14.9</v>
      </c>
      <c r="C26" s="49">
        <v>14.9</v>
      </c>
      <c r="D26" s="49">
        <v>8</v>
      </c>
      <c r="E26" s="49">
        <v>8</v>
      </c>
      <c r="F26" s="49">
        <v>8</v>
      </c>
      <c r="G26" s="49">
        <v>8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60">
        <v>23.5</v>
      </c>
      <c r="AH26" s="55">
        <f t="shared" si="2"/>
        <v>14.9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12.4</v>
      </c>
      <c r="C28" s="49">
        <v>12.4</v>
      </c>
      <c r="D28" s="49">
        <v>12.4</v>
      </c>
      <c r="E28" s="49">
        <v>12.4</v>
      </c>
      <c r="F28" s="49">
        <v>0</v>
      </c>
      <c r="G28" s="49">
        <v>12.4</v>
      </c>
      <c r="H28" s="49">
        <v>12.4</v>
      </c>
      <c r="I28" s="49">
        <v>12.4</v>
      </c>
      <c r="J28" s="49">
        <v>12.4</v>
      </c>
      <c r="K28" s="49">
        <v>12.4</v>
      </c>
      <c r="L28" s="50">
        <v>12.4</v>
      </c>
      <c r="M28" s="50">
        <v>12.4</v>
      </c>
      <c r="N28" s="50">
        <v>12.4</v>
      </c>
      <c r="O28" s="50">
        <v>12.3</v>
      </c>
      <c r="P28" s="50">
        <v>12.3</v>
      </c>
      <c r="Q28" s="50">
        <v>12.3</v>
      </c>
      <c r="R28" s="50">
        <v>11.7</v>
      </c>
      <c r="S28" s="50">
        <v>11.7</v>
      </c>
      <c r="T28" s="50">
        <v>11.7</v>
      </c>
      <c r="U28" s="50">
        <v>11.7</v>
      </c>
      <c r="V28" s="50">
        <v>11.7</v>
      </c>
      <c r="W28" s="50">
        <v>11.7</v>
      </c>
      <c r="X28" s="50">
        <v>11.7</v>
      </c>
      <c r="Y28" s="50">
        <v>11.7</v>
      </c>
      <c r="Z28" s="50">
        <v>11.7</v>
      </c>
      <c r="AA28" s="50">
        <v>11.7</v>
      </c>
      <c r="AB28" s="50">
        <v>11.7</v>
      </c>
      <c r="AC28" s="50">
        <v>11.7</v>
      </c>
      <c r="AD28" s="50">
        <v>11.7</v>
      </c>
      <c r="AE28" s="50">
        <v>11.7</v>
      </c>
      <c r="AF28" s="50">
        <v>11.7</v>
      </c>
      <c r="AG28" s="60">
        <v>22.1</v>
      </c>
      <c r="AH28" s="55">
        <f t="shared" si="2"/>
        <v>12.4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0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49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6</v>
      </c>
      <c r="U30" s="50">
        <v>6</v>
      </c>
      <c r="V30" s="50">
        <v>6</v>
      </c>
      <c r="W30" s="50">
        <v>6</v>
      </c>
      <c r="X30" s="50">
        <v>6</v>
      </c>
      <c r="Y30" s="50">
        <v>6</v>
      </c>
      <c r="Z30" s="50">
        <v>6</v>
      </c>
      <c r="AA30" s="50">
        <v>6</v>
      </c>
      <c r="AB30" s="50">
        <v>6</v>
      </c>
      <c r="AC30" s="50">
        <v>6</v>
      </c>
      <c r="AD30" s="50">
        <v>6</v>
      </c>
      <c r="AE30" s="50">
        <v>6</v>
      </c>
      <c r="AF30" s="50">
        <v>6</v>
      </c>
      <c r="AG30" s="63">
        <v>22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49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150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150</v>
      </c>
      <c r="AK34" s="57"/>
    </row>
    <row r="35" spans="1:88" ht="15.75" thickBot="1" x14ac:dyDescent="0.3">
      <c r="A35" s="69" t="s">
        <v>42</v>
      </c>
      <c r="B35" s="62">
        <v>162</v>
      </c>
      <c r="C35" s="62">
        <v>161</v>
      </c>
      <c r="D35" s="62">
        <v>105</v>
      </c>
      <c r="E35" s="62">
        <v>105</v>
      </c>
      <c r="F35" s="62">
        <v>100</v>
      </c>
      <c r="G35" s="62">
        <v>104</v>
      </c>
      <c r="H35" s="62">
        <v>0</v>
      </c>
      <c r="I35" s="62">
        <v>0</v>
      </c>
      <c r="J35" s="62">
        <v>0</v>
      </c>
      <c r="K35" s="62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23.1</v>
      </c>
      <c r="T35" s="70">
        <v>102.6</v>
      </c>
      <c r="U35" s="70">
        <v>102.6</v>
      </c>
      <c r="V35" s="70">
        <v>102.6</v>
      </c>
      <c r="W35" s="70">
        <f>100.8+0</f>
        <v>100.8</v>
      </c>
      <c r="X35" s="70">
        <v>100.6</v>
      </c>
      <c r="Y35" s="70">
        <v>102.3</v>
      </c>
      <c r="Z35" s="70">
        <v>102.3</v>
      </c>
      <c r="AA35" s="70">
        <v>102.3</v>
      </c>
      <c r="AB35" s="70">
        <v>102.3</v>
      </c>
      <c r="AC35" s="70">
        <v>102.3</v>
      </c>
      <c r="AD35" s="70">
        <v>102.3</v>
      </c>
      <c r="AE35" s="70">
        <v>102.3</v>
      </c>
      <c r="AF35" s="70">
        <v>102.3</v>
      </c>
      <c r="AG35" s="67">
        <v>240</v>
      </c>
      <c r="AH35" s="55">
        <f t="shared" si="2"/>
        <v>162</v>
      </c>
      <c r="AI35" s="56">
        <f t="shared" si="3"/>
        <v>0</v>
      </c>
      <c r="AK35" s="57"/>
    </row>
    <row r="36" spans="1:88" ht="15.75" thickBot="1" x14ac:dyDescent="0.3">
      <c r="A36" s="71" t="s">
        <v>43</v>
      </c>
      <c r="B36" s="72">
        <f>SUM(B11:B34)</f>
        <v>873.5</v>
      </c>
      <c r="C36" s="72">
        <f t="shared" ref="C36:AF36" si="4">SUM(C11:C34)</f>
        <v>843.5</v>
      </c>
      <c r="D36" s="72">
        <f t="shared" si="4"/>
        <v>814.49999999999989</v>
      </c>
      <c r="E36" s="72">
        <f t="shared" si="4"/>
        <v>814.49999999999989</v>
      </c>
      <c r="F36" s="72">
        <f t="shared" si="4"/>
        <v>603.79999999999995</v>
      </c>
      <c r="G36" s="72">
        <f t="shared" si="4"/>
        <v>814.49999999999989</v>
      </c>
      <c r="H36" s="72">
        <f t="shared" si="4"/>
        <v>897.30000000000007</v>
      </c>
      <c r="I36" s="72">
        <f t="shared" si="4"/>
        <v>962.9</v>
      </c>
      <c r="J36" s="72">
        <f t="shared" si="4"/>
        <v>962.30000000000007</v>
      </c>
      <c r="K36" s="72">
        <f t="shared" si="4"/>
        <v>917.6</v>
      </c>
      <c r="L36" s="72">
        <f t="shared" si="4"/>
        <v>939</v>
      </c>
      <c r="M36" s="72">
        <f t="shared" si="4"/>
        <v>875</v>
      </c>
      <c r="N36" s="72">
        <f t="shared" si="4"/>
        <v>932.9</v>
      </c>
      <c r="O36" s="72">
        <f t="shared" si="4"/>
        <v>923.59999999999991</v>
      </c>
      <c r="P36" s="72">
        <f t="shared" si="4"/>
        <v>876.69999999999993</v>
      </c>
      <c r="Q36" s="72">
        <f t="shared" si="4"/>
        <v>897.09999999999991</v>
      </c>
      <c r="R36" s="72">
        <f t="shared" si="4"/>
        <v>947.00000000000011</v>
      </c>
      <c r="S36" s="72">
        <f t="shared" si="4"/>
        <v>961.40000000000009</v>
      </c>
      <c r="T36" s="72">
        <f t="shared" si="4"/>
        <v>903.80000000000007</v>
      </c>
      <c r="U36" s="72">
        <f t="shared" si="4"/>
        <v>903.80000000000007</v>
      </c>
      <c r="V36" s="72">
        <f t="shared" si="4"/>
        <v>903.80000000000007</v>
      </c>
      <c r="W36" s="72">
        <f t="shared" si="4"/>
        <v>913.50000000000011</v>
      </c>
      <c r="X36" s="72">
        <f t="shared" si="4"/>
        <v>920.80000000000007</v>
      </c>
      <c r="Y36" s="72">
        <f t="shared" si="4"/>
        <v>921.80000000000007</v>
      </c>
      <c r="Z36" s="72">
        <f t="shared" si="4"/>
        <v>917.2</v>
      </c>
      <c r="AA36" s="72">
        <f t="shared" si="4"/>
        <v>1001.2</v>
      </c>
      <c r="AB36" s="72">
        <f t="shared" si="4"/>
        <v>1001.2</v>
      </c>
      <c r="AC36" s="72">
        <f t="shared" si="4"/>
        <v>967.2</v>
      </c>
      <c r="AD36" s="72">
        <f t="shared" si="4"/>
        <v>997.2</v>
      </c>
      <c r="AE36" s="72">
        <f t="shared" si="4"/>
        <v>897.2</v>
      </c>
      <c r="AF36" s="72">
        <f t="shared" si="4"/>
        <v>925.2</v>
      </c>
      <c r="AG36" s="67">
        <f>SUM(AG11:AG35)</f>
        <v>1431.83</v>
      </c>
      <c r="AH36" s="55">
        <f t="shared" si="2"/>
        <v>1001.2</v>
      </c>
      <c r="AI36" s="56">
        <f t="shared" si="3"/>
        <v>603.79999999999995</v>
      </c>
      <c r="AJ36" s="176">
        <f>AVERAGE(B36:AF36)</f>
        <v>904.22580645161304</v>
      </c>
      <c r="AK36" s="57"/>
    </row>
    <row r="37" spans="1:88" x14ac:dyDescent="0.25">
      <c r="A37" s="58" t="s">
        <v>44</v>
      </c>
      <c r="B37" s="62">
        <v>145.19999999999999</v>
      </c>
      <c r="C37" s="62">
        <v>96.8</v>
      </c>
      <c r="D37" s="62">
        <v>144</v>
      </c>
      <c r="E37" s="62">
        <v>144</v>
      </c>
      <c r="F37" s="62">
        <v>0</v>
      </c>
      <c r="G37" s="62">
        <v>144</v>
      </c>
      <c r="H37" s="62">
        <v>145.19999999999999</v>
      </c>
      <c r="I37" s="62">
        <v>144.9</v>
      </c>
      <c r="J37" s="62">
        <v>145.1</v>
      </c>
      <c r="K37" s="62">
        <v>144.80000000000001</v>
      </c>
      <c r="L37" s="50">
        <v>145.1</v>
      </c>
      <c r="M37" s="50">
        <v>145.1</v>
      </c>
      <c r="N37" s="50">
        <v>145.5</v>
      </c>
      <c r="O37" s="50">
        <v>145.5</v>
      </c>
      <c r="P37" s="50">
        <v>145.9</v>
      </c>
      <c r="Q37" s="50">
        <v>145.69999999999999</v>
      </c>
      <c r="R37" s="50">
        <v>145.30000000000001</v>
      </c>
      <c r="S37" s="50">
        <v>67.099999999999994</v>
      </c>
      <c r="T37" s="50">
        <v>145.5</v>
      </c>
      <c r="U37" s="50">
        <v>145.5</v>
      </c>
      <c r="V37" s="50">
        <v>145.5</v>
      </c>
      <c r="W37" s="50">
        <v>145.19999999999999</v>
      </c>
      <c r="X37" s="50">
        <v>144.69999999999999</v>
      </c>
      <c r="Y37" s="50">
        <v>144.19999999999999</v>
      </c>
      <c r="Z37" s="50">
        <v>144.19999999999999</v>
      </c>
      <c r="AA37" s="50">
        <v>144.5</v>
      </c>
      <c r="AB37" s="50">
        <v>144.69999999999999</v>
      </c>
      <c r="AC37" s="50">
        <v>144.19999999999999</v>
      </c>
      <c r="AD37" s="50">
        <v>144.69999999999999</v>
      </c>
      <c r="AE37" s="49">
        <v>144.9</v>
      </c>
      <c r="AF37" s="49">
        <v>145</v>
      </c>
      <c r="AG37" s="63">
        <v>144</v>
      </c>
      <c r="AH37" s="55">
        <f t="shared" si="2"/>
        <v>145.9</v>
      </c>
      <c r="AI37" s="56">
        <f t="shared" si="3"/>
        <v>0</v>
      </c>
      <c r="AK37" s="57"/>
    </row>
    <row r="38" spans="1:88" x14ac:dyDescent="0.25">
      <c r="A38" s="66" t="s">
        <v>45</v>
      </c>
      <c r="B38" s="62">
        <v>70.900000000000006</v>
      </c>
      <c r="C38" s="62">
        <v>71</v>
      </c>
      <c r="D38" s="62">
        <v>71.400000000000006</v>
      </c>
      <c r="E38" s="62">
        <v>71.400000000000006</v>
      </c>
      <c r="F38" s="62">
        <v>0</v>
      </c>
      <c r="G38" s="62">
        <v>71.400000000000006</v>
      </c>
      <c r="H38" s="62">
        <v>29</v>
      </c>
      <c r="I38" s="62">
        <v>29.8</v>
      </c>
      <c r="J38" s="62">
        <v>29.8</v>
      </c>
      <c r="K38" s="62">
        <v>29.4</v>
      </c>
      <c r="L38" s="52">
        <v>29.4</v>
      </c>
      <c r="M38" s="52">
        <v>70.599999999999994</v>
      </c>
      <c r="N38" s="52">
        <v>71.3</v>
      </c>
      <c r="O38" s="52">
        <v>68.2</v>
      </c>
      <c r="P38" s="52">
        <v>69.8</v>
      </c>
      <c r="Q38" s="52">
        <v>71.599999999999994</v>
      </c>
      <c r="R38" s="52">
        <v>71.5</v>
      </c>
      <c r="S38" s="52">
        <v>71.5</v>
      </c>
      <c r="T38" s="52">
        <v>69.099999999999994</v>
      </c>
      <c r="U38" s="52">
        <v>70</v>
      </c>
      <c r="V38" s="52">
        <v>70</v>
      </c>
      <c r="W38" s="52">
        <v>70.7</v>
      </c>
      <c r="X38" s="52">
        <v>70.7</v>
      </c>
      <c r="Y38" s="52">
        <v>71.2</v>
      </c>
      <c r="Z38" s="52">
        <v>71.2</v>
      </c>
      <c r="AA38" s="52">
        <v>69</v>
      </c>
      <c r="AB38" s="52">
        <v>70.400000000000006</v>
      </c>
      <c r="AC38" s="52">
        <v>70.400000000000006</v>
      </c>
      <c r="AD38" s="52">
        <v>70.400000000000006</v>
      </c>
      <c r="AE38" s="62">
        <v>69.900000000000006</v>
      </c>
      <c r="AF38" s="62">
        <v>69.7</v>
      </c>
      <c r="AG38" s="67">
        <v>70</v>
      </c>
      <c r="AH38" s="55">
        <f t="shared" si="2"/>
        <v>71.599999999999994</v>
      </c>
      <c r="AI38" s="56">
        <f t="shared" si="3"/>
        <v>0</v>
      </c>
      <c r="AK38" s="57"/>
    </row>
    <row r="39" spans="1:88" x14ac:dyDescent="0.25">
      <c r="A39" s="66" t="s">
        <v>46</v>
      </c>
      <c r="B39" s="62">
        <v>69.2</v>
      </c>
      <c r="C39" s="62">
        <v>70</v>
      </c>
      <c r="D39" s="62">
        <v>70.599999999999994</v>
      </c>
      <c r="E39" s="62">
        <v>70.599999999999994</v>
      </c>
      <c r="F39" s="62">
        <v>0</v>
      </c>
      <c r="G39" s="62">
        <v>70.599999999999994</v>
      </c>
      <c r="H39" s="62">
        <v>52.6</v>
      </c>
      <c r="I39" s="62">
        <v>52.3</v>
      </c>
      <c r="J39" s="62">
        <v>52.3</v>
      </c>
      <c r="K39" s="62">
        <v>64.3</v>
      </c>
      <c r="L39" s="52">
        <v>64.2</v>
      </c>
      <c r="M39" s="52">
        <v>70</v>
      </c>
      <c r="N39" s="52">
        <v>70</v>
      </c>
      <c r="O39" s="52">
        <v>70.5</v>
      </c>
      <c r="P39" s="52">
        <v>70</v>
      </c>
      <c r="Q39" s="52">
        <v>70.3</v>
      </c>
      <c r="R39" s="52">
        <v>69</v>
      </c>
      <c r="S39" s="52">
        <v>69.8</v>
      </c>
      <c r="T39" s="52">
        <v>69.400000000000006</v>
      </c>
      <c r="U39" s="52">
        <v>70.599999999999994</v>
      </c>
      <c r="V39" s="52">
        <v>70.599999999999994</v>
      </c>
      <c r="W39" s="52">
        <v>69.8</v>
      </c>
      <c r="X39" s="52">
        <v>69.8</v>
      </c>
      <c r="Y39" s="52">
        <v>69.599999999999994</v>
      </c>
      <c r="Z39" s="52">
        <v>69.599999999999994</v>
      </c>
      <c r="AA39" s="52">
        <v>70.7</v>
      </c>
      <c r="AB39" s="52">
        <v>70.5</v>
      </c>
      <c r="AC39" s="52">
        <v>71</v>
      </c>
      <c r="AD39" s="52">
        <v>70</v>
      </c>
      <c r="AE39" s="62">
        <v>69.599999999999994</v>
      </c>
      <c r="AF39" s="62">
        <v>70</v>
      </c>
      <c r="AG39" s="67">
        <v>69</v>
      </c>
      <c r="AH39" s="55">
        <f t="shared" si="2"/>
        <v>71</v>
      </c>
      <c r="AI39" s="56">
        <f t="shared" si="3"/>
        <v>0</v>
      </c>
      <c r="AK39" s="57"/>
    </row>
    <row r="40" spans="1:88" x14ac:dyDescent="0.25">
      <c r="A40" s="66" t="s">
        <v>47</v>
      </c>
      <c r="B40" s="62">
        <v>60.7</v>
      </c>
      <c r="C40" s="62">
        <v>60.7</v>
      </c>
      <c r="D40" s="62">
        <v>55.7</v>
      </c>
      <c r="E40" s="62">
        <v>55.7</v>
      </c>
      <c r="F40" s="62">
        <v>0</v>
      </c>
      <c r="G40" s="62">
        <v>55.7</v>
      </c>
      <c r="H40" s="62">
        <v>59</v>
      </c>
      <c r="I40" s="62">
        <v>59</v>
      </c>
      <c r="J40" s="62">
        <v>59</v>
      </c>
      <c r="K40" s="62">
        <v>59</v>
      </c>
      <c r="L40" s="52">
        <v>60.4</v>
      </c>
      <c r="M40" s="52">
        <v>60.4</v>
      </c>
      <c r="N40" s="52">
        <v>60.4</v>
      </c>
      <c r="O40" s="52">
        <v>60.4</v>
      </c>
      <c r="P40" s="52">
        <v>60.4</v>
      </c>
      <c r="Q40" s="52">
        <v>60.4</v>
      </c>
      <c r="R40" s="52">
        <v>60.4</v>
      </c>
      <c r="S40" s="52">
        <v>59.2</v>
      </c>
      <c r="T40" s="52">
        <v>60.9</v>
      </c>
      <c r="U40" s="52">
        <v>60.5</v>
      </c>
      <c r="V40" s="52">
        <v>60.5</v>
      </c>
      <c r="W40" s="52">
        <v>60.5</v>
      </c>
      <c r="X40" s="52">
        <v>60.5</v>
      </c>
      <c r="Y40" s="52">
        <v>60.5</v>
      </c>
      <c r="Z40" s="52">
        <v>60.5</v>
      </c>
      <c r="AA40" s="52">
        <v>60.4</v>
      </c>
      <c r="AB40" s="52">
        <v>60.4</v>
      </c>
      <c r="AC40" s="52">
        <v>60.4</v>
      </c>
      <c r="AD40" s="52">
        <v>60.4</v>
      </c>
      <c r="AE40" s="62">
        <v>60.9</v>
      </c>
      <c r="AF40" s="62">
        <v>60.9</v>
      </c>
      <c r="AG40" s="67">
        <v>60</v>
      </c>
      <c r="AH40" s="55">
        <f t="shared" si="2"/>
        <v>60.9</v>
      </c>
      <c r="AI40" s="56">
        <f t="shared" si="3"/>
        <v>0</v>
      </c>
      <c r="AK40" s="57"/>
    </row>
    <row r="41" spans="1:88" x14ac:dyDescent="0.25">
      <c r="A41" s="66" t="s">
        <v>48</v>
      </c>
      <c r="B41" s="62">
        <v>29.7</v>
      </c>
      <c r="C41" s="62">
        <v>29.7</v>
      </c>
      <c r="D41" s="62">
        <v>29.7</v>
      </c>
      <c r="E41" s="62">
        <v>29.7</v>
      </c>
      <c r="F41" s="62">
        <v>29.7</v>
      </c>
      <c r="G41" s="62">
        <v>29.7</v>
      </c>
      <c r="H41" s="62">
        <v>29.6</v>
      </c>
      <c r="I41" s="62">
        <v>29.6</v>
      </c>
      <c r="J41" s="62">
        <v>29.6</v>
      </c>
      <c r="K41" s="62">
        <v>29.6</v>
      </c>
      <c r="L41" s="50">
        <v>29.7</v>
      </c>
      <c r="M41" s="50">
        <v>14.7</v>
      </c>
      <c r="N41" s="50">
        <v>29.6</v>
      </c>
      <c r="O41" s="50">
        <v>29.5</v>
      </c>
      <c r="P41" s="50">
        <v>29.5</v>
      </c>
      <c r="Q41" s="50">
        <v>29.5</v>
      </c>
      <c r="R41" s="50">
        <v>29.4</v>
      </c>
      <c r="S41" s="50">
        <v>29.6</v>
      </c>
      <c r="T41" s="50">
        <v>29.7</v>
      </c>
      <c r="U41" s="50">
        <v>29.8</v>
      </c>
      <c r="V41" s="50">
        <v>29.8</v>
      </c>
      <c r="W41" s="50">
        <v>29.8</v>
      </c>
      <c r="X41" s="50">
        <v>29.8</v>
      </c>
      <c r="Y41" s="52">
        <v>29.8</v>
      </c>
      <c r="Z41" s="52">
        <v>29.8</v>
      </c>
      <c r="AA41" s="52">
        <v>29.8</v>
      </c>
      <c r="AB41" s="52">
        <v>29.8</v>
      </c>
      <c r="AC41" s="52">
        <v>29.8</v>
      </c>
      <c r="AD41" s="52">
        <v>29.8</v>
      </c>
      <c r="AE41" s="52">
        <v>29.8</v>
      </c>
      <c r="AF41" s="52">
        <v>29.8</v>
      </c>
      <c r="AG41" s="67">
        <v>30</v>
      </c>
      <c r="AH41" s="55">
        <f t="shared" si="2"/>
        <v>29.8</v>
      </c>
      <c r="AI41" s="56">
        <f t="shared" si="3"/>
        <v>14.7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13</v>
      </c>
      <c r="C43" s="73">
        <v>13</v>
      </c>
      <c r="D43" s="73">
        <v>13</v>
      </c>
      <c r="E43" s="73">
        <v>13</v>
      </c>
      <c r="F43" s="73">
        <v>0</v>
      </c>
      <c r="G43" s="73">
        <v>13</v>
      </c>
      <c r="H43" s="73">
        <v>13</v>
      </c>
      <c r="I43" s="73">
        <v>13</v>
      </c>
      <c r="J43" s="73">
        <v>13</v>
      </c>
      <c r="K43" s="73">
        <v>13</v>
      </c>
      <c r="L43" s="50">
        <v>13</v>
      </c>
      <c r="M43" s="50">
        <v>13</v>
      </c>
      <c r="N43" s="50">
        <v>17</v>
      </c>
      <c r="O43" s="50">
        <v>13</v>
      </c>
      <c r="P43" s="50">
        <v>13</v>
      </c>
      <c r="Q43" s="50">
        <v>17.5</v>
      </c>
      <c r="R43" s="50">
        <v>17.5</v>
      </c>
      <c r="S43" s="50">
        <v>14.7</v>
      </c>
      <c r="T43" s="50">
        <v>17.399999999999999</v>
      </c>
      <c r="U43" s="50">
        <v>17.3</v>
      </c>
      <c r="V43" s="50">
        <v>17.3</v>
      </c>
      <c r="W43" s="50">
        <v>17.3</v>
      </c>
      <c r="X43" s="50">
        <v>17.3</v>
      </c>
      <c r="Y43" s="50">
        <v>17.3</v>
      </c>
      <c r="Z43" s="50">
        <v>17.3</v>
      </c>
      <c r="AA43" s="50">
        <v>17.3</v>
      </c>
      <c r="AB43" s="50">
        <v>17.3</v>
      </c>
      <c r="AC43" s="50">
        <v>17.3</v>
      </c>
      <c r="AD43" s="50">
        <v>17.3</v>
      </c>
      <c r="AE43" s="50">
        <v>17.3</v>
      </c>
      <c r="AF43" s="50">
        <v>17.3</v>
      </c>
      <c r="AG43" s="67">
        <v>24</v>
      </c>
      <c r="AH43" s="55">
        <f t="shared" si="2"/>
        <v>17.5</v>
      </c>
      <c r="AI43" s="56">
        <f t="shared" si="3"/>
        <v>0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15</v>
      </c>
      <c r="AH44" s="55">
        <f t="shared" si="2"/>
        <v>3.2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12.5</v>
      </c>
      <c r="C45" s="62">
        <v>12.5</v>
      </c>
      <c r="D45" s="62">
        <v>12.5</v>
      </c>
      <c r="E45" s="62">
        <v>12.5</v>
      </c>
      <c r="F45" s="62">
        <v>12.5</v>
      </c>
      <c r="G45" s="62">
        <v>12.5</v>
      </c>
      <c r="H45" s="62">
        <v>12.5</v>
      </c>
      <c r="I45" s="62">
        <v>12.5</v>
      </c>
      <c r="J45" s="62">
        <v>12.5</v>
      </c>
      <c r="K45" s="62">
        <v>12.5</v>
      </c>
      <c r="L45" s="50">
        <v>12.5</v>
      </c>
      <c r="M45" s="50">
        <v>12.5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14.1</v>
      </c>
      <c r="AH45" s="55">
        <f t="shared" si="2"/>
        <v>13</v>
      </c>
      <c r="AI45" s="56">
        <f t="shared" si="3"/>
        <v>12.5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12</v>
      </c>
      <c r="C46" s="73">
        <v>12</v>
      </c>
      <c r="D46" s="73">
        <v>12</v>
      </c>
      <c r="E46" s="73">
        <v>12</v>
      </c>
      <c r="F46" s="73">
        <v>0</v>
      </c>
      <c r="G46" s="73">
        <v>12</v>
      </c>
      <c r="H46" s="73">
        <v>12</v>
      </c>
      <c r="I46" s="73">
        <v>12</v>
      </c>
      <c r="J46" s="73">
        <v>12</v>
      </c>
      <c r="K46" s="73">
        <v>12</v>
      </c>
      <c r="L46" s="50">
        <v>14</v>
      </c>
      <c r="M46" s="50">
        <v>14</v>
      </c>
      <c r="N46" s="50">
        <v>14</v>
      </c>
      <c r="O46" s="50">
        <v>13</v>
      </c>
      <c r="P46" s="50">
        <v>13</v>
      </c>
      <c r="Q46" s="50">
        <v>13</v>
      </c>
      <c r="R46" s="50">
        <v>1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0</v>
      </c>
      <c r="AK46" s="57"/>
    </row>
    <row r="47" spans="1:88" x14ac:dyDescent="0.25">
      <c r="A47" s="66" t="s">
        <v>54</v>
      </c>
      <c r="B47" s="62">
        <v>9.9</v>
      </c>
      <c r="C47" s="62">
        <v>9.9</v>
      </c>
      <c r="D47" s="62">
        <v>9.9</v>
      </c>
      <c r="E47" s="62">
        <v>9.9</v>
      </c>
      <c r="F47" s="62">
        <v>9.9</v>
      </c>
      <c r="G47" s="62">
        <v>9.9</v>
      </c>
      <c r="H47" s="62">
        <v>9.9</v>
      </c>
      <c r="I47" s="62">
        <v>9.9</v>
      </c>
      <c r="J47" s="62">
        <v>9.9</v>
      </c>
      <c r="K47" s="62">
        <v>9.9</v>
      </c>
      <c r="L47" s="50">
        <v>9.9</v>
      </c>
      <c r="M47" s="50">
        <v>9.9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9.9</v>
      </c>
      <c r="AB47" s="50">
        <v>9.9</v>
      </c>
      <c r="AC47" s="50">
        <v>9.9</v>
      </c>
      <c r="AD47" s="50">
        <v>9.9</v>
      </c>
      <c r="AE47" s="50">
        <v>9.9</v>
      </c>
      <c r="AF47" s="50">
        <v>9.9</v>
      </c>
      <c r="AG47" s="67">
        <v>10.050000000000001</v>
      </c>
      <c r="AH47" s="55">
        <f t="shared" si="2"/>
        <v>9.9</v>
      </c>
      <c r="AI47" s="56">
        <f t="shared" si="3"/>
        <v>9.9</v>
      </c>
      <c r="AK47" s="57"/>
    </row>
    <row r="48" spans="1:88" x14ac:dyDescent="0.25">
      <c r="A48" s="66" t="s">
        <v>55</v>
      </c>
      <c r="B48" s="62">
        <v>6.2</v>
      </c>
      <c r="C48" s="62">
        <v>6.2</v>
      </c>
      <c r="D48" s="62">
        <v>6.2</v>
      </c>
      <c r="E48" s="62">
        <v>6.2</v>
      </c>
      <c r="F48" s="62">
        <v>0</v>
      </c>
      <c r="G48" s="62">
        <v>6.2</v>
      </c>
      <c r="H48" s="62">
        <v>6.2</v>
      </c>
      <c r="I48" s="62">
        <v>6.2</v>
      </c>
      <c r="J48" s="62">
        <v>6.2</v>
      </c>
      <c r="K48" s="62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7">
        <v>6.2</v>
      </c>
      <c r="AH48" s="55">
        <f t="shared" si="2"/>
        <v>6.2</v>
      </c>
      <c r="AI48" s="56">
        <f t="shared" si="3"/>
        <v>0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436.03999999999996</v>
      </c>
      <c r="C50" s="72">
        <f t="shared" ref="C50:AF50" si="6">SUM(C37:C49)</f>
        <v>388.53999999999996</v>
      </c>
      <c r="D50" s="72">
        <f t="shared" si="6"/>
        <v>431.73999999999995</v>
      </c>
      <c r="E50" s="72">
        <f t="shared" si="6"/>
        <v>431.73999999999995</v>
      </c>
      <c r="F50" s="72">
        <f t="shared" si="6"/>
        <v>58.839999999999996</v>
      </c>
      <c r="G50" s="72">
        <f t="shared" si="6"/>
        <v>431.73999999999995</v>
      </c>
      <c r="H50" s="72">
        <f t="shared" si="6"/>
        <v>375.73999999999995</v>
      </c>
      <c r="I50" s="72">
        <f t="shared" si="6"/>
        <v>375.94</v>
      </c>
      <c r="J50" s="72">
        <f t="shared" si="6"/>
        <v>376.14</v>
      </c>
      <c r="K50" s="72">
        <f t="shared" si="6"/>
        <v>387.44</v>
      </c>
      <c r="L50" s="72">
        <f t="shared" si="6"/>
        <v>391.13999999999993</v>
      </c>
      <c r="M50" s="72">
        <f t="shared" si="6"/>
        <v>423.13999999999993</v>
      </c>
      <c r="N50" s="72">
        <f t="shared" si="6"/>
        <v>443.64</v>
      </c>
      <c r="O50" s="72">
        <f t="shared" si="6"/>
        <v>435.93999999999994</v>
      </c>
      <c r="P50" s="72">
        <f t="shared" si="6"/>
        <v>434.23999999999995</v>
      </c>
      <c r="Q50" s="72">
        <f t="shared" si="6"/>
        <v>440.63999999999993</v>
      </c>
      <c r="R50" s="72">
        <f t="shared" si="6"/>
        <v>426.73999999999995</v>
      </c>
      <c r="S50" s="72">
        <f t="shared" si="6"/>
        <v>358.53999999999996</v>
      </c>
      <c r="T50" s="72">
        <f t="shared" si="6"/>
        <v>438.63999999999993</v>
      </c>
      <c r="U50" s="72">
        <f t="shared" si="6"/>
        <v>440.34000000000003</v>
      </c>
      <c r="V50" s="72">
        <f t="shared" si="6"/>
        <v>440.34000000000003</v>
      </c>
      <c r="W50" s="72">
        <f t="shared" si="6"/>
        <v>439.94</v>
      </c>
      <c r="X50" s="72">
        <f t="shared" si="6"/>
        <v>439.44</v>
      </c>
      <c r="Y50" s="72">
        <f t="shared" si="6"/>
        <v>439.24</v>
      </c>
      <c r="Z50" s="72">
        <f t="shared" si="6"/>
        <v>439.24</v>
      </c>
      <c r="AA50" s="72">
        <f t="shared" si="6"/>
        <v>438.34</v>
      </c>
      <c r="AB50" s="72">
        <f t="shared" si="6"/>
        <v>439.74</v>
      </c>
      <c r="AC50" s="72">
        <f t="shared" si="6"/>
        <v>439.74</v>
      </c>
      <c r="AD50" s="72">
        <f t="shared" si="6"/>
        <v>439.24</v>
      </c>
      <c r="AE50" s="72">
        <f t="shared" si="6"/>
        <v>439.03999999999996</v>
      </c>
      <c r="AF50" s="72">
        <f t="shared" si="6"/>
        <v>439.34</v>
      </c>
      <c r="AG50" s="77">
        <f>SUM(AG37:AG49)</f>
        <v>489.91</v>
      </c>
      <c r="AH50" s="55">
        <f t="shared" si="2"/>
        <v>443.64</v>
      </c>
      <c r="AI50" s="56">
        <f t="shared" si="3"/>
        <v>58.839999999999996</v>
      </c>
      <c r="AJ50" s="176">
        <f>AVERAGE(B50:AF50)</f>
        <v>411.63032258064521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59</v>
      </c>
      <c r="H51" s="62">
        <v>20.5</v>
      </c>
      <c r="I51" s="62">
        <v>20.5</v>
      </c>
      <c r="J51" s="62">
        <v>20.3</v>
      </c>
      <c r="K51" s="62">
        <v>20.7</v>
      </c>
      <c r="L51" s="174">
        <v>29.7</v>
      </c>
      <c r="M51" s="174">
        <v>43.4</v>
      </c>
      <c r="N51" s="174">
        <v>39.299999999999997</v>
      </c>
      <c r="O51" s="174">
        <v>55.4</v>
      </c>
      <c r="P51" s="50">
        <v>59.7</v>
      </c>
      <c r="Q51" s="50">
        <v>40.5</v>
      </c>
      <c r="R51" s="50">
        <v>40.9</v>
      </c>
      <c r="S51" s="50">
        <v>20.399999999999999</v>
      </c>
      <c r="T51" s="50">
        <v>11.2</v>
      </c>
      <c r="U51" s="50">
        <v>0</v>
      </c>
      <c r="V51" s="50">
        <v>0</v>
      </c>
      <c r="W51" s="50">
        <v>44.1</v>
      </c>
      <c r="X51" s="50">
        <v>59.6</v>
      </c>
      <c r="Y51" s="50">
        <v>59.9</v>
      </c>
      <c r="Z51" s="50">
        <v>59.9</v>
      </c>
      <c r="AA51" s="50">
        <v>59.9</v>
      </c>
      <c r="AB51" s="50">
        <v>54.5</v>
      </c>
      <c r="AC51" s="50">
        <v>44.8</v>
      </c>
      <c r="AD51" s="50">
        <v>14</v>
      </c>
      <c r="AE51" s="50">
        <v>0</v>
      </c>
      <c r="AF51" s="50">
        <v>0</v>
      </c>
      <c r="AG51" s="63">
        <v>60</v>
      </c>
      <c r="AH51" s="55">
        <f t="shared" si="2"/>
        <v>59.9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27</v>
      </c>
      <c r="H52" s="62">
        <v>8.6</v>
      </c>
      <c r="I52" s="62">
        <v>10.1</v>
      </c>
      <c r="J52" s="62">
        <v>10.1</v>
      </c>
      <c r="K52" s="62">
        <v>9.3000000000000007</v>
      </c>
      <c r="L52" s="174">
        <v>13.9</v>
      </c>
      <c r="M52" s="174">
        <v>17.5</v>
      </c>
      <c r="N52" s="174">
        <v>16.600000000000001</v>
      </c>
      <c r="O52" s="174">
        <v>20.5</v>
      </c>
      <c r="P52" s="52">
        <v>28.4</v>
      </c>
      <c r="Q52" s="52">
        <v>18.2</v>
      </c>
      <c r="R52" s="50">
        <v>17.899999999999999</v>
      </c>
      <c r="S52" s="50">
        <v>10.4</v>
      </c>
      <c r="T52" s="50">
        <v>3.7</v>
      </c>
      <c r="U52" s="52">
        <v>0</v>
      </c>
      <c r="V52" s="52">
        <v>0</v>
      </c>
      <c r="W52" s="52">
        <v>0</v>
      </c>
      <c r="X52" s="52">
        <v>27.5</v>
      </c>
      <c r="Y52" s="52">
        <v>29.1</v>
      </c>
      <c r="Z52" s="52">
        <v>29.1</v>
      </c>
      <c r="AA52" s="52">
        <v>29.1</v>
      </c>
      <c r="AB52" s="52">
        <v>24.9</v>
      </c>
      <c r="AC52" s="52">
        <v>23.2</v>
      </c>
      <c r="AD52" s="52">
        <v>4</v>
      </c>
      <c r="AE52" s="52">
        <v>0</v>
      </c>
      <c r="AF52" s="52">
        <v>0</v>
      </c>
      <c r="AG52" s="67">
        <v>32</v>
      </c>
      <c r="AH52" s="55">
        <f t="shared" si="2"/>
        <v>29.1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13</v>
      </c>
      <c r="H53" s="73">
        <v>3.1</v>
      </c>
      <c r="I53" s="73">
        <v>3.7</v>
      </c>
      <c r="J53" s="73">
        <v>3.7</v>
      </c>
      <c r="K53" s="73">
        <v>3.4</v>
      </c>
      <c r="L53" s="175">
        <v>5.0999999999999996</v>
      </c>
      <c r="M53" s="175">
        <v>6.2</v>
      </c>
      <c r="N53" s="175">
        <v>6.1</v>
      </c>
      <c r="O53" s="175">
        <v>7.5</v>
      </c>
      <c r="P53" s="78">
        <v>10.4</v>
      </c>
      <c r="Q53" s="78">
        <v>6.6</v>
      </c>
      <c r="R53" s="50">
        <v>6.6</v>
      </c>
      <c r="S53" s="50">
        <v>3.8</v>
      </c>
      <c r="T53" s="50">
        <v>1.4</v>
      </c>
      <c r="U53" s="78">
        <v>0</v>
      </c>
      <c r="V53" s="78">
        <v>0</v>
      </c>
      <c r="W53" s="78">
        <v>0</v>
      </c>
      <c r="X53" s="78">
        <v>10.1</v>
      </c>
      <c r="Y53" s="78">
        <v>10.6</v>
      </c>
      <c r="Z53" s="78">
        <v>10.6</v>
      </c>
      <c r="AA53" s="78">
        <v>10.6</v>
      </c>
      <c r="AB53" s="78">
        <v>9.1</v>
      </c>
      <c r="AC53" s="78">
        <v>8.5</v>
      </c>
      <c r="AD53" s="78">
        <v>1.5</v>
      </c>
      <c r="AE53" s="78">
        <v>0</v>
      </c>
      <c r="AF53" s="78">
        <v>0</v>
      </c>
      <c r="AG53" s="79">
        <v>14</v>
      </c>
      <c r="AH53" s="55">
        <f t="shared" si="2"/>
        <v>13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99</v>
      </c>
      <c r="H54" s="72">
        <f t="shared" si="7"/>
        <v>32.200000000000003</v>
      </c>
      <c r="I54" s="72">
        <f t="shared" si="7"/>
        <v>34.300000000000004</v>
      </c>
      <c r="J54" s="72">
        <f t="shared" si="7"/>
        <v>34.1</v>
      </c>
      <c r="K54" s="72">
        <f t="shared" si="7"/>
        <v>33.4</v>
      </c>
      <c r="L54" s="72">
        <f t="shared" si="7"/>
        <v>48.7</v>
      </c>
      <c r="M54" s="72">
        <f t="shared" si="7"/>
        <v>67.099999999999994</v>
      </c>
      <c r="N54" s="72">
        <f t="shared" si="7"/>
        <v>62</v>
      </c>
      <c r="O54" s="72">
        <f t="shared" si="7"/>
        <v>83.4</v>
      </c>
      <c r="P54" s="72">
        <f t="shared" si="7"/>
        <v>98.5</v>
      </c>
      <c r="Q54" s="72">
        <f t="shared" si="7"/>
        <v>65.3</v>
      </c>
      <c r="R54" s="72">
        <f t="shared" si="7"/>
        <v>65.399999999999991</v>
      </c>
      <c r="S54" s="72">
        <f t="shared" si="7"/>
        <v>34.599999999999994</v>
      </c>
      <c r="T54" s="72">
        <f t="shared" si="7"/>
        <v>16.299999999999997</v>
      </c>
      <c r="U54" s="72">
        <f t="shared" si="7"/>
        <v>0</v>
      </c>
      <c r="V54" s="72">
        <f t="shared" si="7"/>
        <v>0</v>
      </c>
      <c r="W54" s="72">
        <f t="shared" si="7"/>
        <v>44.1</v>
      </c>
      <c r="X54" s="72">
        <f t="shared" si="7"/>
        <v>97.199999999999989</v>
      </c>
      <c r="Y54" s="72">
        <f t="shared" si="7"/>
        <v>99.6</v>
      </c>
      <c r="Z54" s="72">
        <f t="shared" si="7"/>
        <v>99.6</v>
      </c>
      <c r="AA54" s="72">
        <f t="shared" si="7"/>
        <v>99.6</v>
      </c>
      <c r="AB54" s="72">
        <f t="shared" si="7"/>
        <v>88.5</v>
      </c>
      <c r="AC54" s="72">
        <f t="shared" si="7"/>
        <v>76.5</v>
      </c>
      <c r="AD54" s="72">
        <f t="shared" si="7"/>
        <v>19.5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99.6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-5.0999999999999996</v>
      </c>
      <c r="I55" s="50">
        <v>-9.1999999999999993</v>
      </c>
      <c r="J55" s="50">
        <v>-6.8</v>
      </c>
      <c r="K55" s="50">
        <v>-8.4</v>
      </c>
      <c r="L55" s="50">
        <v>3.5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56</v>
      </c>
      <c r="Z55" s="50">
        <v>60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60</v>
      </c>
      <c r="AI55" s="56">
        <f t="shared" si="3"/>
        <v>-9.1999999999999993</v>
      </c>
      <c r="AK55" s="57"/>
    </row>
    <row r="56" spans="1:37" x14ac:dyDescent="0.25">
      <c r="A56" s="66" t="s">
        <v>63</v>
      </c>
      <c r="B56" s="52">
        <v>-15</v>
      </c>
      <c r="C56" s="52">
        <v>-14.1</v>
      </c>
      <c r="D56" s="52">
        <v>-13.5</v>
      </c>
      <c r="E56" s="52">
        <v>-10</v>
      </c>
      <c r="F56" s="52">
        <v>-15</v>
      </c>
      <c r="G56" s="52">
        <v>-13.5</v>
      </c>
      <c r="H56" s="52">
        <v>-41.8</v>
      </c>
      <c r="I56" s="52">
        <v>-38.6</v>
      </c>
      <c r="J56" s="52">
        <v>-36</v>
      </c>
      <c r="K56" s="52">
        <f>(-51+22.3)</f>
        <v>-28.7</v>
      </c>
      <c r="L56" s="50">
        <v>-34</v>
      </c>
      <c r="M56" s="50">
        <v>-37.5</v>
      </c>
      <c r="N56" s="50">
        <v>-8.6</v>
      </c>
      <c r="O56" s="50">
        <v>-9.1</v>
      </c>
      <c r="P56" s="50">
        <v>-1</v>
      </c>
      <c r="Q56" s="50"/>
      <c r="R56" s="50"/>
      <c r="S56" s="50"/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0</v>
      </c>
      <c r="Z56" s="80">
        <v>0</v>
      </c>
      <c r="AA56" s="52">
        <v>-19</v>
      </c>
      <c r="AB56" s="52">
        <v>-17.5</v>
      </c>
      <c r="AC56" s="52">
        <v>-16.5</v>
      </c>
      <c r="AD56" s="52">
        <v>-70</v>
      </c>
      <c r="AE56" s="52">
        <v>-15.3</v>
      </c>
      <c r="AF56" s="52">
        <v>-66.5</v>
      </c>
      <c r="AG56" s="67"/>
      <c r="AH56" s="55">
        <f t="shared" si="2"/>
        <v>0</v>
      </c>
      <c r="AI56" s="56">
        <f t="shared" si="3"/>
        <v>-70</v>
      </c>
      <c r="AK56" s="57"/>
    </row>
    <row r="57" spans="1:37" x14ac:dyDescent="0.25">
      <c r="A57" s="66" t="s">
        <v>64</v>
      </c>
      <c r="B57" s="52">
        <v>-51.8</v>
      </c>
      <c r="C57" s="52">
        <v>-50</v>
      </c>
      <c r="D57" s="52">
        <v>-23</v>
      </c>
      <c r="E57" s="52">
        <v>-52</v>
      </c>
      <c r="F57" s="52">
        <v>-200</v>
      </c>
      <c r="G57" s="52">
        <v>-23</v>
      </c>
      <c r="H57" s="52">
        <v>-13.8</v>
      </c>
      <c r="I57" s="52">
        <v>-30.9</v>
      </c>
      <c r="J57" s="52">
        <v>-2</v>
      </c>
      <c r="K57" s="52">
        <v>1.6</v>
      </c>
      <c r="L57" s="52">
        <v>-19.7</v>
      </c>
      <c r="M57" s="52">
        <v>-15.9</v>
      </c>
      <c r="N57" s="52">
        <v>-13.3</v>
      </c>
      <c r="O57" s="52">
        <v>-28.4</v>
      </c>
      <c r="P57" s="52">
        <v>-8.8000000000000007</v>
      </c>
      <c r="Q57" s="52">
        <v>-20.6</v>
      </c>
      <c r="R57" s="52">
        <v>-37.9</v>
      </c>
      <c r="S57" s="52">
        <v>-85.6</v>
      </c>
      <c r="T57" s="52">
        <v>-60.7</v>
      </c>
      <c r="U57" s="52">
        <v>63.3</v>
      </c>
      <c r="V57" s="52">
        <v>63.3</v>
      </c>
      <c r="W57" s="81">
        <v>35.6</v>
      </c>
      <c r="X57" s="81">
        <v>49.3</v>
      </c>
      <c r="Y57" s="81">
        <v>-6.6</v>
      </c>
      <c r="Z57" s="81">
        <v>-54.2</v>
      </c>
      <c r="AA57" s="52">
        <v>-10.4</v>
      </c>
      <c r="AB57" s="52">
        <v>-12.2</v>
      </c>
      <c r="AC57" s="52">
        <v>0</v>
      </c>
      <c r="AD57" s="52">
        <v>-30</v>
      </c>
      <c r="AE57" s="52">
        <v>-44.3</v>
      </c>
      <c r="AF57" s="52">
        <v>-35</v>
      </c>
      <c r="AG57" s="82"/>
      <c r="AH57" s="55">
        <f t="shared" si="2"/>
        <v>63.3</v>
      </c>
      <c r="AI57" s="56">
        <f t="shared" si="3"/>
        <v>-200</v>
      </c>
      <c r="AK57" s="57"/>
    </row>
    <row r="58" spans="1:37" x14ac:dyDescent="0.25">
      <c r="A58" s="66" t="s">
        <v>65</v>
      </c>
      <c r="B58" s="59">
        <v>-60</v>
      </c>
      <c r="C58" s="59">
        <v>-66</v>
      </c>
      <c r="D58" s="59">
        <v>-60</v>
      </c>
      <c r="E58" s="59">
        <v>-50</v>
      </c>
      <c r="F58" s="59">
        <v>0</v>
      </c>
      <c r="G58" s="59">
        <v>-52</v>
      </c>
      <c r="H58" s="59">
        <v>-45</v>
      </c>
      <c r="I58" s="59">
        <v>-30</v>
      </c>
      <c r="J58" s="59">
        <v>-30</v>
      </c>
      <c r="K58" s="59">
        <v>-27.7</v>
      </c>
      <c r="L58" s="52">
        <v>-25</v>
      </c>
      <c r="M58" s="52">
        <v>-28</v>
      </c>
      <c r="N58" s="52">
        <v>-27</v>
      </c>
      <c r="O58" s="52">
        <v>-26</v>
      </c>
      <c r="P58" s="52">
        <v>-25</v>
      </c>
      <c r="Q58" s="52">
        <v>-25</v>
      </c>
      <c r="R58" s="52">
        <v>-26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-38</v>
      </c>
      <c r="AB58" s="52">
        <v>-25</v>
      </c>
      <c r="AC58" s="52">
        <v>-40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-66</v>
      </c>
      <c r="AK58" s="57"/>
    </row>
    <row r="59" spans="1:37" x14ac:dyDescent="0.25">
      <c r="A59" s="66" t="s">
        <v>66</v>
      </c>
      <c r="B59" s="59">
        <v>-56.4</v>
      </c>
      <c r="C59" s="59">
        <v>-54.1</v>
      </c>
      <c r="D59" s="59">
        <v>51</v>
      </c>
      <c r="E59" s="59">
        <v>51</v>
      </c>
      <c r="F59" s="59">
        <v>0</v>
      </c>
      <c r="G59" s="59">
        <v>51</v>
      </c>
      <c r="H59" s="59">
        <v>57.7</v>
      </c>
      <c r="I59" s="59">
        <v>-51</v>
      </c>
      <c r="J59" s="59">
        <v>-46</v>
      </c>
      <c r="K59" s="59">
        <v>-48.6</v>
      </c>
      <c r="L59" s="50">
        <v>-42.5</v>
      </c>
      <c r="M59" s="50">
        <v>-51.3</v>
      </c>
      <c r="N59" s="50">
        <v>-55.6</v>
      </c>
      <c r="O59" s="50">
        <v>-55.7</v>
      </c>
      <c r="P59" s="50">
        <v>-28.6</v>
      </c>
      <c r="Q59" s="50">
        <v>-30.8</v>
      </c>
      <c r="R59" s="50">
        <v>-28.2</v>
      </c>
      <c r="S59" s="50">
        <v>-30.8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-6.8</v>
      </c>
      <c r="AA59" s="50">
        <v>-56.3</v>
      </c>
      <c r="AB59" s="50">
        <v>-54.5</v>
      </c>
      <c r="AC59" s="50">
        <v>-57.2</v>
      </c>
      <c r="AD59" s="50">
        <v>-80</v>
      </c>
      <c r="AE59" s="50">
        <v>-58.2</v>
      </c>
      <c r="AF59" s="50">
        <v>-53.5</v>
      </c>
      <c r="AG59" s="82"/>
      <c r="AH59" s="55">
        <f t="shared" si="2"/>
        <v>57.7</v>
      </c>
      <c r="AI59" s="56">
        <f t="shared" si="3"/>
        <v>-80</v>
      </c>
      <c r="AJ59" s="1">
        <v>2000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50">
        <v>0</v>
      </c>
      <c r="U60" s="61">
        <v>0</v>
      </c>
      <c r="V60" s="61">
        <v>0</v>
      </c>
      <c r="W60" s="50">
        <v>0</v>
      </c>
      <c r="X60" s="50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50">
        <v>0</v>
      </c>
      <c r="U61" s="61">
        <v>0</v>
      </c>
      <c r="V61" s="61">
        <v>0</v>
      </c>
      <c r="W61" s="50">
        <v>0</v>
      </c>
      <c r="X61" s="50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61">
        <v>0</v>
      </c>
      <c r="Q62" s="61">
        <v>0</v>
      </c>
      <c r="R62" s="59">
        <v>0</v>
      </c>
      <c r="S62" s="61">
        <v>0</v>
      </c>
      <c r="T62" s="50">
        <v>0</v>
      </c>
      <c r="U62" s="59">
        <v>0</v>
      </c>
      <c r="V62" s="59">
        <v>0</v>
      </c>
      <c r="W62" s="50">
        <v>0</v>
      </c>
      <c r="X62" s="50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61">
        <v>0</v>
      </c>
      <c r="Q63" s="61">
        <v>0</v>
      </c>
      <c r="R63" s="59">
        <v>0</v>
      </c>
      <c r="S63" s="61">
        <v>0</v>
      </c>
      <c r="T63" s="50">
        <v>0</v>
      </c>
      <c r="U63" s="59">
        <v>0</v>
      </c>
      <c r="V63" s="59">
        <v>0</v>
      </c>
      <c r="W63" s="50">
        <v>0</v>
      </c>
      <c r="X63" s="50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2">
        <v>0</v>
      </c>
      <c r="M64" s="84">
        <v>0</v>
      </c>
      <c r="N64" s="84">
        <v>0</v>
      </c>
      <c r="O64" s="84">
        <v>0</v>
      </c>
      <c r="P64" s="61">
        <v>0</v>
      </c>
      <c r="Q64" s="61">
        <v>0</v>
      </c>
      <c r="R64" s="84">
        <v>0</v>
      </c>
      <c r="S64" s="61">
        <v>0</v>
      </c>
      <c r="T64" s="50">
        <v>0</v>
      </c>
      <c r="U64" s="84">
        <v>0</v>
      </c>
      <c r="V64" s="84">
        <v>0</v>
      </c>
      <c r="W64" s="50">
        <v>0</v>
      </c>
      <c r="X64" s="50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0">
        <v>0</v>
      </c>
      <c r="M65" s="84">
        <v>0</v>
      </c>
      <c r="N65" s="84">
        <v>0</v>
      </c>
      <c r="O65" s="84">
        <v>0</v>
      </c>
      <c r="P65" s="61">
        <v>0</v>
      </c>
      <c r="Q65" s="61">
        <v>0</v>
      </c>
      <c r="R65" s="84">
        <v>0</v>
      </c>
      <c r="S65" s="61">
        <v>0</v>
      </c>
      <c r="T65" s="50">
        <v>0</v>
      </c>
      <c r="U65" s="84">
        <v>0</v>
      </c>
      <c r="V65" s="84">
        <v>0</v>
      </c>
      <c r="W65" s="50">
        <v>0</v>
      </c>
      <c r="X65" s="50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-175.2</v>
      </c>
      <c r="C66" s="72">
        <f t="shared" ref="C66:AF66" si="8">SUM(C55:C65)</f>
        <v>-176.2</v>
      </c>
      <c r="D66" s="72">
        <f t="shared" si="8"/>
        <v>-37.5</v>
      </c>
      <c r="E66" s="72">
        <f t="shared" si="8"/>
        <v>-53</v>
      </c>
      <c r="F66" s="72">
        <f t="shared" si="8"/>
        <v>-207</v>
      </c>
      <c r="G66" s="72">
        <f t="shared" si="8"/>
        <v>-37.5</v>
      </c>
      <c r="H66" s="72">
        <f t="shared" si="8"/>
        <v>-48</v>
      </c>
      <c r="I66" s="72">
        <f t="shared" si="8"/>
        <v>-159.69999999999999</v>
      </c>
      <c r="J66" s="72">
        <f t="shared" si="8"/>
        <v>-120.8</v>
      </c>
      <c r="K66" s="72">
        <f t="shared" si="8"/>
        <v>-111.80000000000001</v>
      </c>
      <c r="L66" s="72">
        <f t="shared" si="8"/>
        <v>-117.7</v>
      </c>
      <c r="M66" s="72">
        <f t="shared" si="8"/>
        <v>-132.69999999999999</v>
      </c>
      <c r="N66" s="72">
        <f t="shared" si="8"/>
        <v>-104.5</v>
      </c>
      <c r="O66" s="72">
        <f t="shared" si="8"/>
        <v>-119.2</v>
      </c>
      <c r="P66" s="72">
        <f t="shared" si="8"/>
        <v>-63.4</v>
      </c>
      <c r="Q66" s="72">
        <f t="shared" si="8"/>
        <v>-76.400000000000006</v>
      </c>
      <c r="R66" s="72">
        <f t="shared" si="8"/>
        <v>-92.1</v>
      </c>
      <c r="S66" s="72">
        <f t="shared" si="8"/>
        <v>-116.39999999999999</v>
      </c>
      <c r="T66" s="72">
        <f t="shared" si="8"/>
        <v>-60.7</v>
      </c>
      <c r="U66" s="72">
        <f t="shared" si="8"/>
        <v>63.3</v>
      </c>
      <c r="V66" s="72">
        <f t="shared" si="8"/>
        <v>63.3</v>
      </c>
      <c r="W66" s="72">
        <f t="shared" si="8"/>
        <v>35.6</v>
      </c>
      <c r="X66" s="72">
        <f t="shared" si="8"/>
        <v>49.3</v>
      </c>
      <c r="Y66" s="72">
        <f t="shared" si="8"/>
        <v>49.4</v>
      </c>
      <c r="Z66" s="72">
        <f t="shared" si="8"/>
        <v>-1.0000000000000027</v>
      </c>
      <c r="AA66" s="72">
        <f t="shared" si="8"/>
        <v>-123.7</v>
      </c>
      <c r="AB66" s="72">
        <f t="shared" si="8"/>
        <v>-109.2</v>
      </c>
      <c r="AC66" s="72">
        <f t="shared" si="8"/>
        <v>-113.7</v>
      </c>
      <c r="AD66" s="72">
        <f t="shared" si="8"/>
        <v>-180</v>
      </c>
      <c r="AE66" s="72">
        <f t="shared" si="8"/>
        <v>-117.8</v>
      </c>
      <c r="AF66" s="72">
        <f t="shared" si="8"/>
        <v>-155</v>
      </c>
      <c r="AG66" s="77">
        <f>SUM(AG55:AG65)</f>
        <v>0</v>
      </c>
      <c r="AH66" s="55">
        <f t="shared" si="2"/>
        <v>63.3</v>
      </c>
      <c r="AI66" s="56">
        <f t="shared" si="3"/>
        <v>-207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1134.3399999999999</v>
      </c>
      <c r="C71" s="87">
        <f t="shared" ref="C71:AG71" si="10">C66+C54+C50+C36+C70</f>
        <v>1055.8399999999999</v>
      </c>
      <c r="D71" s="87">
        <f t="shared" si="10"/>
        <v>1208.7399999999998</v>
      </c>
      <c r="E71" s="87">
        <f t="shared" si="10"/>
        <v>1193.2399999999998</v>
      </c>
      <c r="F71" s="87">
        <f t="shared" si="10"/>
        <v>455.64</v>
      </c>
      <c r="G71" s="87">
        <f t="shared" si="10"/>
        <v>1307.7399999999998</v>
      </c>
      <c r="H71" s="87">
        <f t="shared" si="10"/>
        <v>1257.24</v>
      </c>
      <c r="I71" s="87">
        <f t="shared" si="10"/>
        <v>1213.44</v>
      </c>
      <c r="J71" s="87">
        <f t="shared" si="10"/>
        <v>1251.74</v>
      </c>
      <c r="K71" s="87">
        <f t="shared" si="10"/>
        <v>1226.6399999999999</v>
      </c>
      <c r="L71" s="87">
        <f t="shared" si="10"/>
        <v>1261.1399999999999</v>
      </c>
      <c r="M71" s="87">
        <f t="shared" si="10"/>
        <v>1232.54</v>
      </c>
      <c r="N71" s="87">
        <f t="shared" si="10"/>
        <v>1334.04</v>
      </c>
      <c r="O71" s="87">
        <f t="shared" si="10"/>
        <v>1323.7399999999998</v>
      </c>
      <c r="P71" s="87">
        <f t="shared" si="10"/>
        <v>1346.04</v>
      </c>
      <c r="Q71" s="87">
        <f t="shared" si="10"/>
        <v>1326.6399999999999</v>
      </c>
      <c r="R71" s="87">
        <f t="shared" si="10"/>
        <v>1347.04</v>
      </c>
      <c r="S71" s="87">
        <f t="shared" si="10"/>
        <v>1238.1400000000001</v>
      </c>
      <c r="T71" s="87">
        <f t="shared" si="10"/>
        <v>1298.04</v>
      </c>
      <c r="U71" s="87">
        <f t="shared" si="10"/>
        <v>1407.44</v>
      </c>
      <c r="V71" s="87">
        <f t="shared" si="10"/>
        <v>1407.44</v>
      </c>
      <c r="W71" s="87">
        <f t="shared" si="10"/>
        <v>1433.14</v>
      </c>
      <c r="X71" s="87">
        <f t="shared" si="10"/>
        <v>1506.7400000000002</v>
      </c>
      <c r="Y71" s="87">
        <f t="shared" si="10"/>
        <v>1510.04</v>
      </c>
      <c r="Z71" s="87">
        <f t="shared" si="10"/>
        <v>1455.04</v>
      </c>
      <c r="AA71" s="87">
        <f t="shared" si="10"/>
        <v>1415.44</v>
      </c>
      <c r="AB71" s="87">
        <f t="shared" si="10"/>
        <v>1420.24</v>
      </c>
      <c r="AC71" s="87">
        <f t="shared" si="10"/>
        <v>1369.74</v>
      </c>
      <c r="AD71" s="87">
        <f t="shared" si="10"/>
        <v>1275.94</v>
      </c>
      <c r="AE71" s="87">
        <f t="shared" si="10"/>
        <v>1218.44</v>
      </c>
      <c r="AF71" s="87">
        <f t="shared" si="10"/>
        <v>1209.54</v>
      </c>
      <c r="AG71" s="87">
        <f t="shared" si="10"/>
        <v>2083.14</v>
      </c>
      <c r="AH71" s="55">
        <f t="shared" si="2"/>
        <v>1510.04</v>
      </c>
      <c r="AI71" s="56">
        <f t="shared" si="3"/>
        <v>455.64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>
        <v>48</v>
      </c>
      <c r="D72" s="89"/>
      <c r="E72" s="89"/>
      <c r="F72" s="89">
        <v>800</v>
      </c>
      <c r="G72" s="89"/>
      <c r="H72" s="89">
        <v>80</v>
      </c>
      <c r="I72" s="89">
        <v>50</v>
      </c>
      <c r="J72" s="89">
        <v>50</v>
      </c>
      <c r="K72" s="89">
        <v>80</v>
      </c>
      <c r="L72" s="89">
        <v>80</v>
      </c>
      <c r="M72" s="89">
        <v>80</v>
      </c>
      <c r="N72" s="89">
        <v>50</v>
      </c>
      <c r="O72" s="89">
        <v>70</v>
      </c>
      <c r="P72" s="89">
        <v>60</v>
      </c>
      <c r="Q72" s="89">
        <v>60</v>
      </c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800</v>
      </c>
      <c r="AI72" s="56">
        <f t="shared" si="3"/>
        <v>48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1134.3399999999999</v>
      </c>
      <c r="C73" s="87">
        <f t="shared" ref="C73:AF73" si="11">C70+C66+C54+C50+C36+C72</f>
        <v>1103.8399999999999</v>
      </c>
      <c r="D73" s="87">
        <f t="shared" si="11"/>
        <v>1208.7399999999998</v>
      </c>
      <c r="E73" s="87">
        <f t="shared" si="11"/>
        <v>1193.2399999999998</v>
      </c>
      <c r="F73" s="87">
        <f t="shared" si="11"/>
        <v>1255.6399999999999</v>
      </c>
      <c r="G73" s="87">
        <f t="shared" si="11"/>
        <v>1307.7399999999998</v>
      </c>
      <c r="H73" s="87">
        <f t="shared" si="11"/>
        <v>1337.24</v>
      </c>
      <c r="I73" s="87">
        <f t="shared" si="11"/>
        <v>1263.44</v>
      </c>
      <c r="J73" s="87">
        <f t="shared" si="11"/>
        <v>1301.74</v>
      </c>
      <c r="K73" s="87">
        <f t="shared" si="11"/>
        <v>1306.6399999999999</v>
      </c>
      <c r="L73" s="87">
        <f t="shared" si="11"/>
        <v>1341.1399999999999</v>
      </c>
      <c r="M73" s="87">
        <f t="shared" si="11"/>
        <v>1312.54</v>
      </c>
      <c r="N73" s="87">
        <f t="shared" si="11"/>
        <v>1384.04</v>
      </c>
      <c r="O73" s="87">
        <f t="shared" si="11"/>
        <v>1393.7399999999998</v>
      </c>
      <c r="P73" s="87">
        <f t="shared" si="11"/>
        <v>1406.04</v>
      </c>
      <c r="Q73" s="87">
        <f t="shared" si="11"/>
        <v>1386.6399999999999</v>
      </c>
      <c r="R73" s="87">
        <f t="shared" si="11"/>
        <v>1347.04</v>
      </c>
      <c r="S73" s="87">
        <f t="shared" si="11"/>
        <v>1238.1400000000001</v>
      </c>
      <c r="T73" s="87">
        <f t="shared" si="11"/>
        <v>1298.04</v>
      </c>
      <c r="U73" s="87">
        <f t="shared" si="11"/>
        <v>1407.44</v>
      </c>
      <c r="V73" s="87">
        <f t="shared" si="11"/>
        <v>1407.44</v>
      </c>
      <c r="W73" s="87">
        <f t="shared" si="11"/>
        <v>1433.14</v>
      </c>
      <c r="X73" s="87">
        <f t="shared" si="11"/>
        <v>1506.7400000000002</v>
      </c>
      <c r="Y73" s="87">
        <f t="shared" si="11"/>
        <v>1510.04</v>
      </c>
      <c r="Z73" s="87">
        <f t="shared" si="11"/>
        <v>1455.04</v>
      </c>
      <c r="AA73" s="87">
        <f t="shared" si="11"/>
        <v>1415.44</v>
      </c>
      <c r="AB73" s="87">
        <f t="shared" si="11"/>
        <v>1420.24</v>
      </c>
      <c r="AC73" s="87">
        <f t="shared" si="11"/>
        <v>1369.74</v>
      </c>
      <c r="AD73" s="87">
        <f t="shared" si="11"/>
        <v>1275.94</v>
      </c>
      <c r="AE73" s="87">
        <f t="shared" si="11"/>
        <v>1218.44</v>
      </c>
      <c r="AF73" s="87">
        <f t="shared" si="11"/>
        <v>1209.54</v>
      </c>
      <c r="AG73" s="77">
        <f>AG70+AG66+AG54+AG50+AG36+AG72</f>
        <v>2083.14</v>
      </c>
      <c r="AH73" s="55">
        <f t="shared" si="2"/>
        <v>1510.04</v>
      </c>
      <c r="AI73" s="56">
        <f t="shared" si="3"/>
        <v>1103.8399999999999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60</v>
      </c>
      <c r="C74" s="59">
        <f t="shared" ref="C74:AF74" si="12">IF(C58&lt;0,C58*-1,0)</f>
        <v>66</v>
      </c>
      <c r="D74" s="59">
        <f t="shared" si="12"/>
        <v>60</v>
      </c>
      <c r="E74" s="59">
        <f t="shared" si="12"/>
        <v>50</v>
      </c>
      <c r="F74" s="59">
        <f t="shared" si="12"/>
        <v>0</v>
      </c>
      <c r="G74" s="59">
        <f t="shared" si="12"/>
        <v>52</v>
      </c>
      <c r="H74" s="59">
        <f t="shared" si="12"/>
        <v>45</v>
      </c>
      <c r="I74" s="59">
        <f t="shared" si="12"/>
        <v>30</v>
      </c>
      <c r="J74" s="59">
        <f t="shared" si="12"/>
        <v>30</v>
      </c>
      <c r="K74" s="59">
        <f t="shared" si="12"/>
        <v>27.7</v>
      </c>
      <c r="L74" s="59">
        <f t="shared" si="12"/>
        <v>25</v>
      </c>
      <c r="M74" s="59">
        <f t="shared" si="12"/>
        <v>28</v>
      </c>
      <c r="N74" s="59">
        <f t="shared" si="12"/>
        <v>27</v>
      </c>
      <c r="O74" s="59">
        <f t="shared" si="12"/>
        <v>26</v>
      </c>
      <c r="P74" s="59">
        <f t="shared" si="12"/>
        <v>25</v>
      </c>
      <c r="Q74" s="59">
        <f t="shared" si="12"/>
        <v>25</v>
      </c>
      <c r="R74" s="59">
        <f t="shared" si="12"/>
        <v>26</v>
      </c>
      <c r="S74" s="59">
        <f t="shared" si="12"/>
        <v>0</v>
      </c>
      <c r="T74" s="59">
        <f t="shared" si="12"/>
        <v>0</v>
      </c>
      <c r="U74" s="59">
        <f t="shared" si="12"/>
        <v>0</v>
      </c>
      <c r="V74" s="59">
        <f t="shared" si="12"/>
        <v>0</v>
      </c>
      <c r="W74" s="59">
        <f t="shared" si="12"/>
        <v>0</v>
      </c>
      <c r="X74" s="59">
        <f t="shared" si="12"/>
        <v>0</v>
      </c>
      <c r="Y74" s="59">
        <f t="shared" si="12"/>
        <v>0</v>
      </c>
      <c r="Z74" s="59">
        <f t="shared" si="12"/>
        <v>0</v>
      </c>
      <c r="AA74" s="59">
        <f t="shared" si="12"/>
        <v>38</v>
      </c>
      <c r="AB74" s="59">
        <f t="shared" si="12"/>
        <v>25</v>
      </c>
      <c r="AC74" s="59">
        <f t="shared" si="12"/>
        <v>40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66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15</v>
      </c>
      <c r="C75" s="59">
        <f t="shared" ref="C75:AF75" si="13">IF(C56&lt;0,C56*-1,0)</f>
        <v>14.1</v>
      </c>
      <c r="D75" s="59">
        <f t="shared" si="13"/>
        <v>13.5</v>
      </c>
      <c r="E75" s="59">
        <f t="shared" si="13"/>
        <v>10</v>
      </c>
      <c r="F75" s="59">
        <f t="shared" si="13"/>
        <v>15</v>
      </c>
      <c r="G75" s="59">
        <f t="shared" si="13"/>
        <v>13.5</v>
      </c>
      <c r="H75" s="59">
        <f t="shared" si="13"/>
        <v>41.8</v>
      </c>
      <c r="I75" s="59">
        <f t="shared" si="13"/>
        <v>38.6</v>
      </c>
      <c r="J75" s="59">
        <f t="shared" si="13"/>
        <v>36</v>
      </c>
      <c r="K75" s="59">
        <f t="shared" si="13"/>
        <v>28.7</v>
      </c>
      <c r="L75" s="59">
        <f t="shared" si="13"/>
        <v>34</v>
      </c>
      <c r="M75" s="59">
        <f t="shared" si="13"/>
        <v>37.5</v>
      </c>
      <c r="N75" s="59">
        <f t="shared" si="13"/>
        <v>8.6</v>
      </c>
      <c r="O75" s="59">
        <f t="shared" si="13"/>
        <v>9.1</v>
      </c>
      <c r="P75" s="59">
        <f t="shared" si="13"/>
        <v>1</v>
      </c>
      <c r="Q75" s="59">
        <f t="shared" si="13"/>
        <v>0</v>
      </c>
      <c r="R75" s="59">
        <f t="shared" si="13"/>
        <v>0</v>
      </c>
      <c r="S75" s="59">
        <f t="shared" si="13"/>
        <v>0</v>
      </c>
      <c r="T75" s="59">
        <f t="shared" si="13"/>
        <v>0</v>
      </c>
      <c r="U75" s="59">
        <f t="shared" si="13"/>
        <v>0</v>
      </c>
      <c r="V75" s="59">
        <f t="shared" si="13"/>
        <v>0</v>
      </c>
      <c r="W75" s="59">
        <f t="shared" si="13"/>
        <v>0</v>
      </c>
      <c r="X75" s="59">
        <f t="shared" si="13"/>
        <v>0</v>
      </c>
      <c r="Y75" s="59">
        <f t="shared" si="13"/>
        <v>0</v>
      </c>
      <c r="Z75" s="59">
        <f t="shared" si="13"/>
        <v>0</v>
      </c>
      <c r="AA75" s="59">
        <f t="shared" si="13"/>
        <v>19</v>
      </c>
      <c r="AB75" s="59">
        <f t="shared" si="13"/>
        <v>17.5</v>
      </c>
      <c r="AC75" s="59">
        <f t="shared" si="13"/>
        <v>16.5</v>
      </c>
      <c r="AD75" s="59">
        <f t="shared" si="13"/>
        <v>70</v>
      </c>
      <c r="AE75" s="59">
        <f t="shared" si="13"/>
        <v>15.3</v>
      </c>
      <c r="AF75" s="59">
        <f t="shared" si="13"/>
        <v>66.5</v>
      </c>
      <c r="AG75" s="67"/>
      <c r="AH75" s="55">
        <f t="shared" si="2"/>
        <v>70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56.4</v>
      </c>
      <c r="C76" s="59">
        <f t="shared" ref="C76:AF76" si="14">IF(C59&lt;0,C59*-1,0)</f>
        <v>54.1</v>
      </c>
      <c r="D76" s="59">
        <f t="shared" si="14"/>
        <v>0</v>
      </c>
      <c r="E76" s="59">
        <f t="shared" si="14"/>
        <v>0</v>
      </c>
      <c r="F76" s="59">
        <f t="shared" si="14"/>
        <v>0</v>
      </c>
      <c r="G76" s="59">
        <f t="shared" si="14"/>
        <v>0</v>
      </c>
      <c r="H76" s="59">
        <f t="shared" si="14"/>
        <v>0</v>
      </c>
      <c r="I76" s="59">
        <f t="shared" si="14"/>
        <v>51</v>
      </c>
      <c r="J76" s="59">
        <f t="shared" si="14"/>
        <v>46</v>
      </c>
      <c r="K76" s="59">
        <f t="shared" si="14"/>
        <v>48.6</v>
      </c>
      <c r="L76" s="59">
        <f t="shared" si="14"/>
        <v>42.5</v>
      </c>
      <c r="M76" s="59">
        <f t="shared" si="14"/>
        <v>51.3</v>
      </c>
      <c r="N76" s="59">
        <f t="shared" si="14"/>
        <v>55.6</v>
      </c>
      <c r="O76" s="59">
        <f t="shared" si="14"/>
        <v>55.7</v>
      </c>
      <c r="P76" s="59">
        <f t="shared" si="14"/>
        <v>28.6</v>
      </c>
      <c r="Q76" s="59">
        <f t="shared" si="14"/>
        <v>30.8</v>
      </c>
      <c r="R76" s="59">
        <f t="shared" si="14"/>
        <v>28.2</v>
      </c>
      <c r="S76" s="59">
        <f t="shared" si="14"/>
        <v>30.8</v>
      </c>
      <c r="T76" s="59">
        <f t="shared" si="14"/>
        <v>0</v>
      </c>
      <c r="U76" s="59">
        <f t="shared" si="14"/>
        <v>0</v>
      </c>
      <c r="V76" s="59">
        <f t="shared" si="14"/>
        <v>0</v>
      </c>
      <c r="W76" s="59">
        <f t="shared" si="14"/>
        <v>0</v>
      </c>
      <c r="X76" s="59">
        <f t="shared" si="14"/>
        <v>0</v>
      </c>
      <c r="Y76" s="59">
        <f t="shared" si="14"/>
        <v>0</v>
      </c>
      <c r="Z76" s="59">
        <f t="shared" si="14"/>
        <v>6.8</v>
      </c>
      <c r="AA76" s="59">
        <f t="shared" si="14"/>
        <v>56.3</v>
      </c>
      <c r="AB76" s="59">
        <f t="shared" si="14"/>
        <v>54.5</v>
      </c>
      <c r="AC76" s="59">
        <f t="shared" si="14"/>
        <v>57.2</v>
      </c>
      <c r="AD76" s="59">
        <f t="shared" si="14"/>
        <v>80</v>
      </c>
      <c r="AE76" s="59">
        <f t="shared" si="14"/>
        <v>58.2</v>
      </c>
      <c r="AF76" s="59">
        <f t="shared" si="14"/>
        <v>53.5</v>
      </c>
      <c r="AG76" s="90"/>
      <c r="AH76" s="55">
        <f t="shared" si="2"/>
        <v>80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51.8</v>
      </c>
      <c r="C77" s="59">
        <f t="shared" ref="C77:AF77" si="15">IF(C57&lt;0,C57*-1,0)</f>
        <v>50</v>
      </c>
      <c r="D77" s="59">
        <f t="shared" si="15"/>
        <v>23</v>
      </c>
      <c r="E77" s="59">
        <f t="shared" si="15"/>
        <v>52</v>
      </c>
      <c r="F77" s="59">
        <f t="shared" si="15"/>
        <v>200</v>
      </c>
      <c r="G77" s="59">
        <f t="shared" si="15"/>
        <v>23</v>
      </c>
      <c r="H77" s="59">
        <f t="shared" si="15"/>
        <v>13.8</v>
      </c>
      <c r="I77" s="59">
        <f t="shared" si="15"/>
        <v>30.9</v>
      </c>
      <c r="J77" s="59">
        <f t="shared" si="15"/>
        <v>2</v>
      </c>
      <c r="K77" s="59">
        <f t="shared" si="15"/>
        <v>0</v>
      </c>
      <c r="L77" s="59">
        <f t="shared" si="15"/>
        <v>19.7</v>
      </c>
      <c r="M77" s="59">
        <f t="shared" si="15"/>
        <v>15.9</v>
      </c>
      <c r="N77" s="59">
        <f t="shared" si="15"/>
        <v>13.3</v>
      </c>
      <c r="O77" s="59">
        <f t="shared" si="15"/>
        <v>28.4</v>
      </c>
      <c r="P77" s="59">
        <f t="shared" si="15"/>
        <v>8.8000000000000007</v>
      </c>
      <c r="Q77" s="59">
        <f t="shared" si="15"/>
        <v>20.6</v>
      </c>
      <c r="R77" s="59">
        <f t="shared" si="15"/>
        <v>37.9</v>
      </c>
      <c r="S77" s="59">
        <f t="shared" si="15"/>
        <v>85.6</v>
      </c>
      <c r="T77" s="59">
        <f t="shared" si="15"/>
        <v>60.7</v>
      </c>
      <c r="U77" s="59">
        <f t="shared" si="15"/>
        <v>0</v>
      </c>
      <c r="V77" s="59">
        <f t="shared" si="15"/>
        <v>0</v>
      </c>
      <c r="W77" s="59">
        <f t="shared" si="15"/>
        <v>0</v>
      </c>
      <c r="X77" s="59">
        <f t="shared" si="15"/>
        <v>0</v>
      </c>
      <c r="Y77" s="59">
        <f t="shared" si="15"/>
        <v>6.6</v>
      </c>
      <c r="Z77" s="59">
        <f t="shared" si="15"/>
        <v>54.2</v>
      </c>
      <c r="AA77" s="59">
        <f t="shared" si="15"/>
        <v>10.4</v>
      </c>
      <c r="AB77" s="59">
        <f t="shared" si="15"/>
        <v>12.2</v>
      </c>
      <c r="AC77" s="59">
        <f t="shared" si="15"/>
        <v>0</v>
      </c>
      <c r="AD77" s="59">
        <f t="shared" si="15"/>
        <v>30</v>
      </c>
      <c r="AE77" s="59">
        <f t="shared" si="15"/>
        <v>44.3</v>
      </c>
      <c r="AF77" s="59">
        <f t="shared" si="15"/>
        <v>35</v>
      </c>
      <c r="AG77" s="90"/>
      <c r="AH77" s="55">
        <f t="shared" ref="AH77:AH89" si="16">MAX(B77:AF77)</f>
        <v>200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5.0999999999999996</v>
      </c>
      <c r="I78" s="59">
        <f t="shared" si="18"/>
        <v>9.1999999999999993</v>
      </c>
      <c r="J78" s="59">
        <f t="shared" si="18"/>
        <v>6.8</v>
      </c>
      <c r="K78" s="59">
        <f t="shared" si="18"/>
        <v>8.4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9.1999999999999993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183.2</v>
      </c>
      <c r="C80" s="72">
        <f t="shared" ref="C80:AG80" si="19">SUM(C74:C79)</f>
        <v>184.2</v>
      </c>
      <c r="D80" s="72">
        <f t="shared" si="19"/>
        <v>96.5</v>
      </c>
      <c r="E80" s="72">
        <f t="shared" si="19"/>
        <v>112</v>
      </c>
      <c r="F80" s="72">
        <f t="shared" si="19"/>
        <v>215</v>
      </c>
      <c r="G80" s="72">
        <f t="shared" si="19"/>
        <v>88.5</v>
      </c>
      <c r="H80" s="72">
        <f t="shared" si="19"/>
        <v>105.69999999999999</v>
      </c>
      <c r="I80" s="72">
        <f t="shared" si="19"/>
        <v>159.69999999999999</v>
      </c>
      <c r="J80" s="72">
        <f t="shared" si="19"/>
        <v>120.8</v>
      </c>
      <c r="K80" s="72">
        <f t="shared" si="19"/>
        <v>113.4</v>
      </c>
      <c r="L80" s="72">
        <f t="shared" si="19"/>
        <v>121.2</v>
      </c>
      <c r="M80" s="72">
        <f t="shared" si="19"/>
        <v>132.69999999999999</v>
      </c>
      <c r="N80" s="72">
        <f t="shared" si="19"/>
        <v>104.5</v>
      </c>
      <c r="O80" s="72">
        <f t="shared" si="19"/>
        <v>119.20000000000002</v>
      </c>
      <c r="P80" s="72">
        <f t="shared" si="19"/>
        <v>63.400000000000006</v>
      </c>
      <c r="Q80" s="72">
        <f t="shared" si="19"/>
        <v>76.400000000000006</v>
      </c>
      <c r="R80" s="72">
        <f t="shared" si="19"/>
        <v>92.1</v>
      </c>
      <c r="S80" s="72">
        <f t="shared" si="19"/>
        <v>116.39999999999999</v>
      </c>
      <c r="T80" s="72">
        <f t="shared" si="19"/>
        <v>60.7</v>
      </c>
      <c r="U80" s="72">
        <f t="shared" si="19"/>
        <v>0</v>
      </c>
      <c r="V80" s="72">
        <f t="shared" si="19"/>
        <v>0</v>
      </c>
      <c r="W80" s="72">
        <f t="shared" si="19"/>
        <v>0</v>
      </c>
      <c r="X80" s="72">
        <f t="shared" si="19"/>
        <v>0</v>
      </c>
      <c r="Y80" s="72">
        <f t="shared" si="19"/>
        <v>6.6</v>
      </c>
      <c r="Z80" s="72">
        <f t="shared" si="19"/>
        <v>61</v>
      </c>
      <c r="AA80" s="72">
        <f t="shared" si="19"/>
        <v>123.7</v>
      </c>
      <c r="AB80" s="72">
        <f t="shared" si="19"/>
        <v>109.2</v>
      </c>
      <c r="AC80" s="72">
        <f t="shared" si="19"/>
        <v>113.7</v>
      </c>
      <c r="AD80" s="72">
        <f t="shared" si="19"/>
        <v>180</v>
      </c>
      <c r="AE80" s="72">
        <f t="shared" si="19"/>
        <v>117.8</v>
      </c>
      <c r="AF80" s="72">
        <f t="shared" si="19"/>
        <v>155</v>
      </c>
      <c r="AG80" s="77">
        <f t="shared" si="19"/>
        <v>0</v>
      </c>
      <c r="AH80" s="55">
        <f t="shared" si="16"/>
        <v>215</v>
      </c>
      <c r="AI80" s="56">
        <f t="shared" si="17"/>
        <v>0</v>
      </c>
      <c r="AK80" s="57"/>
    </row>
    <row r="81" spans="1:88" s="1" customFormat="1" ht="15.75" thickBot="1" x14ac:dyDescent="0.3">
      <c r="A81" s="71" t="s">
        <v>85</v>
      </c>
      <c r="B81" s="72">
        <f>SUM(B68:B80)</f>
        <v>2635.08</v>
      </c>
      <c r="C81" s="72">
        <f t="shared" ref="C81:AG81" si="20">SUM(C68:C80)</f>
        <v>2576.0799999999995</v>
      </c>
      <c r="D81" s="72">
        <f t="shared" si="20"/>
        <v>2610.4799999999996</v>
      </c>
      <c r="E81" s="72">
        <f t="shared" si="20"/>
        <v>2610.4799999999996</v>
      </c>
      <c r="F81" s="72">
        <f t="shared" si="20"/>
        <v>2941.2799999999997</v>
      </c>
      <c r="G81" s="72">
        <f t="shared" si="20"/>
        <v>2792.4799999999996</v>
      </c>
      <c r="H81" s="72">
        <f t="shared" si="20"/>
        <v>2885.88</v>
      </c>
      <c r="I81" s="72">
        <f t="shared" si="20"/>
        <v>2846.2799999999997</v>
      </c>
      <c r="J81" s="72">
        <f t="shared" si="20"/>
        <v>2845.0800000000004</v>
      </c>
      <c r="K81" s="72">
        <f t="shared" si="20"/>
        <v>2840.0799999999995</v>
      </c>
      <c r="L81" s="72">
        <f t="shared" si="20"/>
        <v>2924.6799999999994</v>
      </c>
      <c r="M81" s="72">
        <f t="shared" si="20"/>
        <v>2890.48</v>
      </c>
      <c r="N81" s="72">
        <f t="shared" si="20"/>
        <v>2977.08</v>
      </c>
      <c r="O81" s="72">
        <f t="shared" si="20"/>
        <v>3025.8799999999992</v>
      </c>
      <c r="P81" s="72">
        <f t="shared" si="20"/>
        <v>2938.88</v>
      </c>
      <c r="Q81" s="72">
        <f t="shared" si="20"/>
        <v>2926.08</v>
      </c>
      <c r="R81" s="72">
        <f t="shared" si="20"/>
        <v>2878.2799999999997</v>
      </c>
      <c r="S81" s="72">
        <f t="shared" si="20"/>
        <v>2709.0800000000004</v>
      </c>
      <c r="T81" s="72">
        <f t="shared" si="20"/>
        <v>2717.4799999999996</v>
      </c>
      <c r="U81" s="72">
        <f t="shared" si="20"/>
        <v>2814.88</v>
      </c>
      <c r="V81" s="72">
        <f t="shared" si="20"/>
        <v>2814.88</v>
      </c>
      <c r="W81" s="72">
        <f t="shared" si="20"/>
        <v>2866.28</v>
      </c>
      <c r="X81" s="72">
        <f t="shared" si="20"/>
        <v>3013.4800000000005</v>
      </c>
      <c r="Y81" s="72">
        <f t="shared" si="20"/>
        <v>3033.2799999999997</v>
      </c>
      <c r="Z81" s="72">
        <f t="shared" si="20"/>
        <v>3032.08</v>
      </c>
      <c r="AA81" s="72">
        <f t="shared" si="20"/>
        <v>3078.28</v>
      </c>
      <c r="AB81" s="72">
        <f t="shared" si="20"/>
        <v>3058.8799999999997</v>
      </c>
      <c r="AC81" s="72">
        <f t="shared" si="20"/>
        <v>2966.8799999999997</v>
      </c>
      <c r="AD81" s="72">
        <f t="shared" si="20"/>
        <v>2911.88</v>
      </c>
      <c r="AE81" s="72">
        <f t="shared" si="20"/>
        <v>2672.4800000000005</v>
      </c>
      <c r="AF81" s="72">
        <f t="shared" si="20"/>
        <v>2729.08</v>
      </c>
      <c r="AG81" s="77">
        <f t="shared" si="20"/>
        <v>4238.08</v>
      </c>
      <c r="AH81" s="55">
        <f t="shared" si="16"/>
        <v>3078.28</v>
      </c>
      <c r="AI81" s="56">
        <f t="shared" si="17"/>
        <v>2576.0799999999995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50.026000000000003</v>
      </c>
      <c r="C82" s="93">
        <v>50.063000000000002</v>
      </c>
      <c r="D82" s="93">
        <v>50.063000000000002</v>
      </c>
      <c r="E82" s="93">
        <v>50.063000000000002</v>
      </c>
      <c r="F82" s="93"/>
      <c r="G82" s="93">
        <v>50.063000000000002</v>
      </c>
      <c r="H82" s="93">
        <v>50.063000000000002</v>
      </c>
      <c r="I82" s="93">
        <v>49.99</v>
      </c>
      <c r="J82" s="93">
        <v>50.02</v>
      </c>
      <c r="K82" s="93">
        <v>50.04</v>
      </c>
      <c r="L82" s="93">
        <v>50.075000000000003</v>
      </c>
      <c r="M82" s="93">
        <v>50.031999999999996</v>
      </c>
      <c r="N82" s="93">
        <v>50.061</v>
      </c>
      <c r="O82" s="93">
        <v>50.054000000000002</v>
      </c>
      <c r="P82" s="93">
        <v>49.984000000000002</v>
      </c>
      <c r="Q82" s="93">
        <v>50.031999999999996</v>
      </c>
      <c r="R82" s="93">
        <v>50.048000000000002</v>
      </c>
      <c r="S82" s="93">
        <v>50.048000000000002</v>
      </c>
      <c r="T82" s="93">
        <v>49.941000000000003</v>
      </c>
      <c r="U82" s="93">
        <v>50.054000000000002</v>
      </c>
      <c r="V82" s="93">
        <v>50.054000000000002</v>
      </c>
      <c r="W82" s="93">
        <v>49.951000000000001</v>
      </c>
      <c r="X82" s="93">
        <v>50.042000000000002</v>
      </c>
      <c r="Y82" s="93">
        <v>50.03</v>
      </c>
      <c r="Z82" s="93">
        <v>50.058</v>
      </c>
      <c r="AA82" s="93">
        <v>50.058999999999997</v>
      </c>
      <c r="AB82" s="93">
        <v>50.045000000000002</v>
      </c>
      <c r="AC82" s="93">
        <v>50.03</v>
      </c>
      <c r="AD82" s="93">
        <v>50.045999999999999</v>
      </c>
      <c r="AE82" s="93">
        <v>50.01</v>
      </c>
      <c r="AF82" s="94">
        <v>49.936999999999998</v>
      </c>
      <c r="AG82" s="95"/>
      <c r="AH82" s="55">
        <f t="shared" si="16"/>
        <v>50.075000000000003</v>
      </c>
      <c r="AI82" s="56">
        <f t="shared" si="17"/>
        <v>49.936999999999998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124.1</v>
      </c>
      <c r="C83" s="52">
        <v>126.2</v>
      </c>
      <c r="D83" s="52">
        <v>126.2</v>
      </c>
      <c r="E83" s="52">
        <v>126.2</v>
      </c>
      <c r="F83" s="52"/>
      <c r="G83" s="52">
        <v>123.7</v>
      </c>
      <c r="H83" s="52">
        <v>123.7</v>
      </c>
      <c r="I83" s="52">
        <v>123.2</v>
      </c>
      <c r="J83" s="52">
        <v>124.6</v>
      </c>
      <c r="K83" s="52">
        <v>122.9</v>
      </c>
      <c r="L83" s="52">
        <v>123.5</v>
      </c>
      <c r="M83" s="52">
        <v>122.8</v>
      </c>
      <c r="N83" s="52">
        <v>120.6</v>
      </c>
      <c r="O83" s="52">
        <v>120.5</v>
      </c>
      <c r="P83" s="52">
        <v>122.7</v>
      </c>
      <c r="Q83" s="52">
        <v>122</v>
      </c>
      <c r="R83" s="52">
        <v>121.9</v>
      </c>
      <c r="S83" s="52">
        <v>121.9</v>
      </c>
      <c r="T83" s="97">
        <v>122.5</v>
      </c>
      <c r="U83" s="97">
        <v>123.4</v>
      </c>
      <c r="V83" s="97">
        <v>123.4</v>
      </c>
      <c r="W83" s="97">
        <v>122.3</v>
      </c>
      <c r="X83" s="97">
        <v>122.8</v>
      </c>
      <c r="Y83" s="97">
        <v>125.5</v>
      </c>
      <c r="Z83" s="97">
        <v>125.9</v>
      </c>
      <c r="AA83" s="52">
        <v>123.9</v>
      </c>
      <c r="AB83" s="52">
        <v>123.8</v>
      </c>
      <c r="AC83" s="52">
        <v>123.1</v>
      </c>
      <c r="AD83" s="52">
        <v>122.2</v>
      </c>
      <c r="AE83" s="52">
        <v>123</v>
      </c>
      <c r="AF83" s="98">
        <v>123</v>
      </c>
      <c r="AG83" s="99"/>
      <c r="AH83" s="55">
        <f t="shared" si="16"/>
        <v>126.2</v>
      </c>
      <c r="AI83" s="56">
        <f t="shared" si="17"/>
        <v>120.5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129.19999999999999</v>
      </c>
      <c r="C84" s="52">
        <v>130.9</v>
      </c>
      <c r="D84" s="52">
        <v>130.9</v>
      </c>
      <c r="E84" s="52">
        <v>130.9</v>
      </c>
      <c r="F84" s="52"/>
      <c r="G84" s="52">
        <v>128.5</v>
      </c>
      <c r="H84" s="52">
        <v>128.5</v>
      </c>
      <c r="I84" s="52">
        <v>128.30000000000001</v>
      </c>
      <c r="J84" s="52">
        <v>129</v>
      </c>
      <c r="K84" s="52">
        <v>127.5</v>
      </c>
      <c r="L84" s="52">
        <v>127.8</v>
      </c>
      <c r="M84" s="52">
        <v>127.6</v>
      </c>
      <c r="N84" s="52">
        <v>125.8</v>
      </c>
      <c r="O84" s="52">
        <v>125.9</v>
      </c>
      <c r="P84" s="52">
        <v>127.6</v>
      </c>
      <c r="Q84" s="52">
        <v>126.8</v>
      </c>
      <c r="R84" s="52">
        <v>126.8</v>
      </c>
      <c r="S84" s="52">
        <v>126.8</v>
      </c>
      <c r="T84" s="97">
        <v>126.9</v>
      </c>
      <c r="U84" s="97">
        <v>128</v>
      </c>
      <c r="V84" s="97">
        <v>128</v>
      </c>
      <c r="W84" s="97">
        <v>126.9</v>
      </c>
      <c r="X84" s="97">
        <v>127.1</v>
      </c>
      <c r="Y84" s="97">
        <v>129.69999999999999</v>
      </c>
      <c r="Z84" s="97">
        <v>130</v>
      </c>
      <c r="AA84" s="52">
        <v>128.5</v>
      </c>
      <c r="AB84" s="52">
        <v>129</v>
      </c>
      <c r="AC84" s="52">
        <v>128.4</v>
      </c>
      <c r="AD84" s="52">
        <v>128.5</v>
      </c>
      <c r="AE84" s="52">
        <v>128.80000000000001</v>
      </c>
      <c r="AF84" s="98">
        <v>128.9</v>
      </c>
      <c r="AG84" s="99"/>
      <c r="AH84" s="55">
        <f t="shared" si="16"/>
        <v>130.9</v>
      </c>
      <c r="AI84" s="56">
        <f t="shared" si="17"/>
        <v>125.8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131</v>
      </c>
      <c r="C85" s="52">
        <v>130.80000000000001</v>
      </c>
      <c r="D85" s="52">
        <v>130.80000000000001</v>
      </c>
      <c r="E85" s="52">
        <v>130.80000000000001</v>
      </c>
      <c r="F85" s="52"/>
      <c r="G85" s="52">
        <v>127</v>
      </c>
      <c r="H85" s="52">
        <v>127</v>
      </c>
      <c r="I85" s="52">
        <v>128.19999999999999</v>
      </c>
      <c r="J85" s="52">
        <v>123</v>
      </c>
      <c r="K85" s="52">
        <v>127.8</v>
      </c>
      <c r="L85" s="52">
        <v>127.5</v>
      </c>
      <c r="M85" s="52">
        <v>129.1</v>
      </c>
      <c r="N85" s="52">
        <v>121.1</v>
      </c>
      <c r="O85" s="52">
        <v>124.5</v>
      </c>
      <c r="P85" s="52">
        <v>125.5</v>
      </c>
      <c r="Q85" s="52">
        <v>123.4</v>
      </c>
      <c r="R85" s="52">
        <v>129.1</v>
      </c>
      <c r="S85" s="52">
        <v>129.1</v>
      </c>
      <c r="T85" s="52">
        <v>126.5</v>
      </c>
      <c r="U85" s="52">
        <v>127.5</v>
      </c>
      <c r="V85" s="52">
        <v>127.5</v>
      </c>
      <c r="W85" s="97">
        <v>122.5</v>
      </c>
      <c r="X85" s="97">
        <v>121</v>
      </c>
      <c r="Y85" s="97">
        <v>128</v>
      </c>
      <c r="Z85" s="97">
        <v>125.3</v>
      </c>
      <c r="AA85" s="52">
        <v>123.2</v>
      </c>
      <c r="AB85" s="52">
        <v>123.2</v>
      </c>
      <c r="AC85" s="52">
        <v>126</v>
      </c>
      <c r="AD85" s="52">
        <v>128.69999999999999</v>
      </c>
      <c r="AE85" s="52">
        <v>127.2</v>
      </c>
      <c r="AF85" s="98">
        <v>125.4</v>
      </c>
      <c r="AG85" s="99"/>
      <c r="AH85" s="55">
        <f t="shared" si="16"/>
        <v>131</v>
      </c>
      <c r="AI85" s="56">
        <f t="shared" si="17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134.5</v>
      </c>
      <c r="C86" s="52">
        <v>134.9</v>
      </c>
      <c r="D86" s="52">
        <v>134.9</v>
      </c>
      <c r="E86" s="52">
        <v>134.9</v>
      </c>
      <c r="F86" s="52"/>
      <c r="G86" s="52">
        <v>124.1</v>
      </c>
      <c r="H86" s="52">
        <v>124.1</v>
      </c>
      <c r="I86" s="52">
        <v>129.19999999999999</v>
      </c>
      <c r="J86" s="52"/>
      <c r="K86" s="52"/>
      <c r="L86" s="52">
        <v>129.5</v>
      </c>
      <c r="M86" s="52">
        <v>129.9</v>
      </c>
      <c r="N86" s="52">
        <v>118.3</v>
      </c>
      <c r="O86" s="52">
        <v>121.4</v>
      </c>
      <c r="P86" s="52">
        <v>121.5</v>
      </c>
      <c r="Q86" s="52">
        <v>118.9</v>
      </c>
      <c r="R86" s="52">
        <v>125.7</v>
      </c>
      <c r="S86" s="52">
        <v>125.7</v>
      </c>
      <c r="T86" s="52">
        <v>127.1</v>
      </c>
      <c r="U86" s="52">
        <v>127.8</v>
      </c>
      <c r="V86" s="52">
        <v>127.8</v>
      </c>
      <c r="W86" s="97">
        <v>125.3</v>
      </c>
      <c r="X86" s="97">
        <v>123</v>
      </c>
      <c r="Y86" s="97">
        <v>129.30000000000001</v>
      </c>
      <c r="Z86" s="97">
        <v>127.5</v>
      </c>
      <c r="AA86" s="52">
        <v>126.3</v>
      </c>
      <c r="AB86" s="52">
        <v>126.3</v>
      </c>
      <c r="AC86" s="52">
        <v>129.5</v>
      </c>
      <c r="AD86" s="52">
        <v>132.4</v>
      </c>
      <c r="AE86" s="52">
        <v>132.1</v>
      </c>
      <c r="AF86" s="98">
        <v>130.80000000000001</v>
      </c>
      <c r="AG86" s="99"/>
      <c r="AH86" s="55">
        <f t="shared" si="16"/>
        <v>134.9</v>
      </c>
      <c r="AI86" s="56">
        <f t="shared" si="17"/>
        <v>118.3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129.69999999999999</v>
      </c>
      <c r="C87" s="101">
        <v>133.9</v>
      </c>
      <c r="D87" s="101">
        <v>133.9</v>
      </c>
      <c r="E87" s="101">
        <v>133.9</v>
      </c>
      <c r="F87" s="101"/>
      <c r="G87" s="101">
        <v>132.6</v>
      </c>
      <c r="H87" s="101">
        <v>132.6</v>
      </c>
      <c r="I87" s="101">
        <v>130.19999999999999</v>
      </c>
      <c r="J87" s="101">
        <v>130.69999999999999</v>
      </c>
      <c r="K87" s="101">
        <v>131.6</v>
      </c>
      <c r="L87" s="101">
        <v>135</v>
      </c>
      <c r="M87" s="101">
        <v>127.9</v>
      </c>
      <c r="N87" s="101">
        <v>131.19999999999999</v>
      </c>
      <c r="O87" s="101">
        <v>128.30000000000001</v>
      </c>
      <c r="P87" s="101">
        <v>133.30000000000001</v>
      </c>
      <c r="Q87" s="101">
        <v>130.6</v>
      </c>
      <c r="R87" s="101">
        <v>128</v>
      </c>
      <c r="S87" s="101">
        <v>128</v>
      </c>
      <c r="T87" s="101">
        <v>131.5</v>
      </c>
      <c r="U87" s="101">
        <v>135</v>
      </c>
      <c r="V87" s="101">
        <v>135</v>
      </c>
      <c r="W87" s="97">
        <v>131.1</v>
      </c>
      <c r="X87" s="97">
        <v>127.8</v>
      </c>
      <c r="Y87" s="97">
        <v>135</v>
      </c>
      <c r="Z87" s="97">
        <v>137.5</v>
      </c>
      <c r="AA87" s="101">
        <v>130.30000000000001</v>
      </c>
      <c r="AB87" s="101">
        <v>130.30000000000001</v>
      </c>
      <c r="AC87" s="101">
        <v>134.30000000000001</v>
      </c>
      <c r="AD87" s="101">
        <v>133.80000000000001</v>
      </c>
      <c r="AE87" s="101">
        <v>132.19999999999999</v>
      </c>
      <c r="AF87" s="102">
        <v>135.30000000000001</v>
      </c>
      <c r="AG87" s="103"/>
      <c r="AH87" s="55">
        <f t="shared" si="16"/>
        <v>137.5</v>
      </c>
      <c r="AI87" s="56">
        <f t="shared" si="17"/>
        <v>127.8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129.6</v>
      </c>
      <c r="C88" s="52">
        <v>136.69999999999999</v>
      </c>
      <c r="D88" s="52">
        <v>136.69999999999999</v>
      </c>
      <c r="E88" s="52">
        <v>136.69999999999999</v>
      </c>
      <c r="F88" s="52"/>
      <c r="G88" s="52">
        <v>128</v>
      </c>
      <c r="H88" s="52">
        <v>128</v>
      </c>
      <c r="I88" s="52">
        <v>128.6</v>
      </c>
      <c r="J88" s="52">
        <v>128.4</v>
      </c>
      <c r="K88" s="52">
        <v>128.4</v>
      </c>
      <c r="L88" s="52">
        <v>131.4</v>
      </c>
      <c r="M88" s="52">
        <v>124.8</v>
      </c>
      <c r="N88" s="52">
        <v>126.1</v>
      </c>
      <c r="O88" s="52">
        <v>123.4</v>
      </c>
      <c r="P88" s="52">
        <v>129</v>
      </c>
      <c r="Q88" s="52">
        <v>125.2</v>
      </c>
      <c r="R88" s="52">
        <v>127.2</v>
      </c>
      <c r="S88" s="52">
        <v>127.2</v>
      </c>
      <c r="T88" s="52">
        <v>130.19999999999999</v>
      </c>
      <c r="U88" s="52">
        <v>135.5</v>
      </c>
      <c r="V88" s="52">
        <v>135.5</v>
      </c>
      <c r="W88" s="97">
        <v>125.5</v>
      </c>
      <c r="X88" s="97">
        <v>123.9</v>
      </c>
      <c r="Y88" s="97">
        <v>133.19999999999999</v>
      </c>
      <c r="Z88" s="97">
        <v>135.80000000000001</v>
      </c>
      <c r="AA88" s="52">
        <v>129.80000000000001</v>
      </c>
      <c r="AB88" s="52">
        <v>129.80000000000001</v>
      </c>
      <c r="AC88" s="52">
        <v>135.1</v>
      </c>
      <c r="AD88" s="52">
        <v>131.69999999999999</v>
      </c>
      <c r="AE88" s="52">
        <v>129.5</v>
      </c>
      <c r="AF88" s="98">
        <v>130.9</v>
      </c>
      <c r="AG88" s="99"/>
      <c r="AH88" s="55">
        <f t="shared" si="16"/>
        <v>136.69999999999999</v>
      </c>
      <c r="AI88" s="56">
        <f t="shared" si="17"/>
        <v>123.4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65.900000000000006</v>
      </c>
      <c r="C89" s="104">
        <v>66.8</v>
      </c>
      <c r="D89" s="104">
        <v>66.8</v>
      </c>
      <c r="E89" s="104">
        <v>66.8</v>
      </c>
      <c r="F89" s="104"/>
      <c r="G89" s="104">
        <v>65.400000000000006</v>
      </c>
      <c r="H89" s="104">
        <v>65.400000000000006</v>
      </c>
      <c r="I89" s="104">
        <v>65.400000000000006</v>
      </c>
      <c r="J89" s="104">
        <v>65.7</v>
      </c>
      <c r="K89" s="104">
        <v>65.7</v>
      </c>
      <c r="L89" s="104">
        <v>65.2</v>
      </c>
      <c r="M89" s="104">
        <v>65</v>
      </c>
      <c r="N89" s="104">
        <v>64.3</v>
      </c>
      <c r="O89" s="104">
        <v>64.3</v>
      </c>
      <c r="P89" s="104">
        <v>65.099999999999994</v>
      </c>
      <c r="Q89" s="104">
        <v>64.7</v>
      </c>
      <c r="R89" s="104">
        <v>64.7</v>
      </c>
      <c r="S89" s="104">
        <v>64.7</v>
      </c>
      <c r="T89" s="104">
        <v>64.599999999999994</v>
      </c>
      <c r="U89" s="104">
        <v>65.400000000000006</v>
      </c>
      <c r="V89" s="104">
        <v>65.400000000000006</v>
      </c>
      <c r="W89" s="104">
        <v>64.7</v>
      </c>
      <c r="X89" s="104">
        <v>64.7</v>
      </c>
      <c r="Y89" s="104">
        <v>66</v>
      </c>
      <c r="Z89" s="104">
        <v>66.2</v>
      </c>
      <c r="AA89" s="104">
        <v>65.8</v>
      </c>
      <c r="AB89" s="104">
        <v>65.8</v>
      </c>
      <c r="AC89" s="104">
        <v>65.400000000000006</v>
      </c>
      <c r="AD89" s="104">
        <v>65.400000000000006</v>
      </c>
      <c r="AE89" s="104">
        <v>65.8</v>
      </c>
      <c r="AF89" s="105">
        <v>65.8</v>
      </c>
      <c r="AG89" s="106"/>
      <c r="AH89" s="55">
        <f t="shared" si="16"/>
        <v>66.8</v>
      </c>
      <c r="AI89" s="56">
        <f t="shared" si="17"/>
        <v>64.3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132.93999999999997</v>
      </c>
      <c r="C91" s="178">
        <f t="shared" ref="C91:AF91" si="21">SUM(C14,C17,C20:C21,C40,C42:C43,C45,C47,C92:C95,C100,C106,C112,C121,C123,C135,C142,C145:C146,C153,C155,C157,C161:C163,C165:C167,C172,C178:C179,C181:C183,C191,C196)</f>
        <v>127.53999999999998</v>
      </c>
      <c r="D91" s="178">
        <f t="shared" si="21"/>
        <v>122.44000000000001</v>
      </c>
      <c r="E91" s="178">
        <f t="shared" si="21"/>
        <v>122.44000000000001</v>
      </c>
      <c r="F91" s="111">
        <f t="shared" si="21"/>
        <v>127.83999999999999</v>
      </c>
      <c r="G91" s="111">
        <f t="shared" si="21"/>
        <v>144.24</v>
      </c>
      <c r="H91" s="111">
        <f t="shared" si="21"/>
        <v>147.33999999999997</v>
      </c>
      <c r="I91" s="111">
        <f t="shared" si="21"/>
        <v>227.64</v>
      </c>
      <c r="J91" s="111">
        <f t="shared" si="21"/>
        <v>252.23999999999995</v>
      </c>
      <c r="K91" s="111">
        <f t="shared" si="21"/>
        <v>272.44000000000005</v>
      </c>
      <c r="L91" s="111">
        <f t="shared" si="21"/>
        <v>272.14000000000004</v>
      </c>
      <c r="M91" s="111">
        <f t="shared" si="21"/>
        <v>263.74</v>
      </c>
      <c r="N91" s="111">
        <f t="shared" si="21"/>
        <v>276.74</v>
      </c>
      <c r="O91" s="111">
        <f t="shared" si="21"/>
        <v>275.44</v>
      </c>
      <c r="P91" s="111">
        <f t="shared" si="21"/>
        <v>269.74</v>
      </c>
      <c r="Q91" s="111">
        <f t="shared" si="21"/>
        <v>262.83999999999997</v>
      </c>
      <c r="R91" s="111">
        <f t="shared" si="21"/>
        <v>263.54000000000002</v>
      </c>
      <c r="S91" s="111">
        <f t="shared" si="21"/>
        <v>258.94000000000005</v>
      </c>
      <c r="T91" s="111">
        <f t="shared" si="21"/>
        <v>254.23999999999995</v>
      </c>
      <c r="U91" s="111">
        <f t="shared" si="21"/>
        <v>250.04</v>
      </c>
      <c r="V91" s="111">
        <f t="shared" si="21"/>
        <v>250.04</v>
      </c>
      <c r="W91" s="111">
        <f t="shared" si="21"/>
        <v>311.04000000000008</v>
      </c>
      <c r="X91" s="111">
        <f t="shared" si="21"/>
        <v>323.34000000000003</v>
      </c>
      <c r="Y91" s="111">
        <f t="shared" si="21"/>
        <v>304.14000000000004</v>
      </c>
      <c r="Z91" s="111">
        <f t="shared" si="21"/>
        <v>291.6400000000001</v>
      </c>
      <c r="AA91" s="111">
        <f t="shared" si="21"/>
        <v>269.34000000000003</v>
      </c>
      <c r="AB91" s="111">
        <f t="shared" si="21"/>
        <v>251.04</v>
      </c>
      <c r="AC91" s="111">
        <f t="shared" si="21"/>
        <v>234.03999999999996</v>
      </c>
      <c r="AD91" s="111">
        <f t="shared" si="21"/>
        <v>205.23999999999998</v>
      </c>
      <c r="AE91" s="111">
        <f t="shared" si="21"/>
        <v>151.23999999999998</v>
      </c>
      <c r="AF91" s="111">
        <f t="shared" si="21"/>
        <v>142.34</v>
      </c>
      <c r="AG91" s="112"/>
      <c r="AH91" s="55">
        <f>MAX(B91:AF91)</f>
        <v>323.34000000000003</v>
      </c>
      <c r="AI91" s="56">
        <f>MIN(B91:AF91)</f>
        <v>122.44000000000001</v>
      </c>
    </row>
    <row r="92" spans="1:88" x14ac:dyDescent="0.25">
      <c r="A92" s="113" t="s">
        <v>95</v>
      </c>
      <c r="B92" s="59">
        <v>15.5</v>
      </c>
      <c r="C92" s="59">
        <v>19.600000000000001</v>
      </c>
      <c r="D92" s="59">
        <v>19.600000000000001</v>
      </c>
      <c r="E92" s="59">
        <v>19.600000000000001</v>
      </c>
      <c r="F92" s="59"/>
      <c r="G92" s="59">
        <v>19.7</v>
      </c>
      <c r="H92" s="59">
        <v>19.7</v>
      </c>
      <c r="I92" s="59">
        <v>22.2</v>
      </c>
      <c r="J92" s="59">
        <v>29.5</v>
      </c>
      <c r="K92" s="59">
        <v>31.9</v>
      </c>
      <c r="L92" s="115">
        <v>29.9</v>
      </c>
      <c r="M92" s="114">
        <v>27.4</v>
      </c>
      <c r="N92" s="114">
        <v>29.1</v>
      </c>
      <c r="O92" s="114">
        <v>21.6</v>
      </c>
      <c r="P92" s="114">
        <v>27.3</v>
      </c>
      <c r="Q92" s="114">
        <v>23.2</v>
      </c>
      <c r="R92" s="114">
        <v>36.700000000000003</v>
      </c>
      <c r="S92" s="114">
        <v>36.700000000000003</v>
      </c>
      <c r="T92" s="115">
        <v>39</v>
      </c>
      <c r="U92" s="115">
        <v>44.5</v>
      </c>
      <c r="V92" s="115">
        <v>44.5</v>
      </c>
      <c r="W92" s="114">
        <v>21.3</v>
      </c>
      <c r="X92" s="114">
        <v>6.3</v>
      </c>
      <c r="Y92" s="114">
        <v>28.1</v>
      </c>
      <c r="Z92" s="114">
        <v>19.8</v>
      </c>
      <c r="AA92" s="115">
        <v>-3.3</v>
      </c>
      <c r="AB92" s="115">
        <v>-1.7</v>
      </c>
      <c r="AC92" s="115">
        <v>-1.9</v>
      </c>
      <c r="AD92" s="115">
        <v>29.3</v>
      </c>
      <c r="AE92" s="115">
        <v>36.299999999999997</v>
      </c>
      <c r="AF92" s="116">
        <v>37.4</v>
      </c>
      <c r="AG92" s="117">
        <v>75</v>
      </c>
      <c r="AH92" s="55">
        <f t="shared" ref="AH92:AH97" si="22">IF(ABS(MAX(B92:AF92))&gt;ABS(MIN(B92:AF92)),MAX(B92:AF92),MIN(B92:AF92))</f>
        <v>44.5</v>
      </c>
      <c r="AI92" s="118">
        <f t="shared" ref="AI92:AI97" si="23">INDEX($B$9:$AF$9,1,MATCH(AH92,B92:AF92,0))</f>
        <v>0.70833333333333304</v>
      </c>
    </row>
    <row r="93" spans="1:88" x14ac:dyDescent="0.25">
      <c r="A93" s="119" t="s">
        <v>96</v>
      </c>
      <c r="B93" s="61">
        <v>-100</v>
      </c>
      <c r="C93" s="61">
        <v>-107</v>
      </c>
      <c r="D93" s="61">
        <v>-107</v>
      </c>
      <c r="E93" s="61">
        <v>-107</v>
      </c>
      <c r="F93" s="61"/>
      <c r="G93" s="61">
        <f>-45.5-54.7</f>
        <v>-100.2</v>
      </c>
      <c r="H93" s="61">
        <f>-45.5-54.7</f>
        <v>-100.2</v>
      </c>
      <c r="I93" s="61">
        <f>-43.3-52.6</f>
        <v>-95.9</v>
      </c>
      <c r="J93" s="61">
        <f>-36.2-45.3</f>
        <v>-81.5</v>
      </c>
      <c r="K93" s="61">
        <f>-34-43.7</f>
        <v>-77.7</v>
      </c>
      <c r="L93" s="61">
        <v>-69.900000000000006</v>
      </c>
      <c r="M93" s="61">
        <v>-72.400000000000006</v>
      </c>
      <c r="N93" s="61">
        <v>-79.2</v>
      </c>
      <c r="O93" s="61">
        <v>-74.3</v>
      </c>
      <c r="P93" s="61">
        <v>-72.3</v>
      </c>
      <c r="Q93" s="61">
        <v>-78.2</v>
      </c>
      <c r="R93" s="61">
        <v>-79</v>
      </c>
      <c r="S93" s="61">
        <v>-79</v>
      </c>
      <c r="T93" s="61">
        <v>-74</v>
      </c>
      <c r="U93" s="61">
        <v>-73.599999999999994</v>
      </c>
      <c r="V93" s="61">
        <v>-73.599999999999994</v>
      </c>
      <c r="W93" s="61">
        <v>-54</v>
      </c>
      <c r="X93" s="61">
        <v>-38</v>
      </c>
      <c r="Y93" s="61">
        <v>-49.6</v>
      </c>
      <c r="Z93" s="61">
        <v>-59</v>
      </c>
      <c r="AA93" s="52">
        <v>-69</v>
      </c>
      <c r="AB93" s="52">
        <v>-80</v>
      </c>
      <c r="AC93" s="52">
        <v>-87</v>
      </c>
      <c r="AD93" s="52">
        <v>-103</v>
      </c>
      <c r="AE93" s="52">
        <v>-101</v>
      </c>
      <c r="AF93" s="120">
        <v>-110</v>
      </c>
      <c r="AG93" s="117">
        <v>240</v>
      </c>
      <c r="AH93" s="55">
        <f t="shared" si="22"/>
        <v>-110</v>
      </c>
      <c r="AI93" s="118">
        <f t="shared" si="23"/>
        <v>1</v>
      </c>
    </row>
    <row r="94" spans="1:88" x14ac:dyDescent="0.25">
      <c r="A94" s="119" t="s">
        <v>97</v>
      </c>
      <c r="B94" s="61">
        <v>-6.5</v>
      </c>
      <c r="C94" s="61">
        <v>-9</v>
      </c>
      <c r="D94" s="61">
        <v>-9</v>
      </c>
      <c r="E94" s="61">
        <v>-9</v>
      </c>
      <c r="F94" s="61"/>
      <c r="G94" s="61">
        <v>5.9</v>
      </c>
      <c r="H94" s="61">
        <v>5.9</v>
      </c>
      <c r="I94" s="61">
        <v>5</v>
      </c>
      <c r="J94" s="61">
        <v>12.2</v>
      </c>
      <c r="K94" s="61">
        <v>10.9</v>
      </c>
      <c r="L94" s="61">
        <v>15.6</v>
      </c>
      <c r="M94" s="61">
        <v>22.9</v>
      </c>
      <c r="N94" s="61">
        <v>20.9</v>
      </c>
      <c r="O94" s="61">
        <v>30.2</v>
      </c>
      <c r="P94" s="61">
        <v>34.1</v>
      </c>
      <c r="Q94" s="61">
        <v>19.100000000000001</v>
      </c>
      <c r="R94" s="61">
        <v>10.7</v>
      </c>
      <c r="S94" s="61">
        <v>10.7</v>
      </c>
      <c r="T94" s="61">
        <v>6.6</v>
      </c>
      <c r="U94" s="61">
        <v>2.2000000000000002</v>
      </c>
      <c r="V94" s="61">
        <v>2.2000000000000002</v>
      </c>
      <c r="W94" s="61">
        <v>27.6</v>
      </c>
      <c r="X94" s="61">
        <v>37.1</v>
      </c>
      <c r="Y94" s="61">
        <v>35.5</v>
      </c>
      <c r="Z94" s="61">
        <v>36.1</v>
      </c>
      <c r="AA94" s="52">
        <v>29.7</v>
      </c>
      <c r="AB94" s="52">
        <v>23.5</v>
      </c>
      <c r="AC94" s="52">
        <v>16.3</v>
      </c>
      <c r="AD94" s="52">
        <v>-11.9</v>
      </c>
      <c r="AE94" s="52">
        <v>-12.8</v>
      </c>
      <c r="AF94" s="120">
        <v>-13.8</v>
      </c>
      <c r="AG94" s="117">
        <v>60</v>
      </c>
      <c r="AH94" s="55">
        <f t="shared" si="22"/>
        <v>37.1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/>
      <c r="G95" s="84">
        <v>0</v>
      </c>
      <c r="H95" s="84">
        <v>0</v>
      </c>
      <c r="I95" s="84">
        <v>73.8</v>
      </c>
      <c r="J95" s="84">
        <v>70.099999999999994</v>
      </c>
      <c r="K95" s="84">
        <v>85.1</v>
      </c>
      <c r="L95" s="84">
        <v>73.5</v>
      </c>
      <c r="M95" s="84">
        <v>62.6</v>
      </c>
      <c r="N95" s="84">
        <v>78</v>
      </c>
      <c r="O95" s="84">
        <v>82.5</v>
      </c>
      <c r="P95" s="84">
        <v>57.1</v>
      </c>
      <c r="Q95" s="84">
        <v>70.3</v>
      </c>
      <c r="R95" s="84">
        <v>66.5</v>
      </c>
      <c r="S95" s="84">
        <v>66.5</v>
      </c>
      <c r="T95" s="84">
        <v>53.8</v>
      </c>
      <c r="U95" s="84">
        <v>48.6</v>
      </c>
      <c r="V95" s="84">
        <v>48.6</v>
      </c>
      <c r="W95" s="84">
        <v>88.1</v>
      </c>
      <c r="X95" s="84">
        <v>89.6</v>
      </c>
      <c r="Y95" s="84">
        <v>61.8</v>
      </c>
      <c r="Z95" s="84">
        <v>66.400000000000006</v>
      </c>
      <c r="AA95" s="122">
        <v>83.7</v>
      </c>
      <c r="AB95" s="122">
        <v>81</v>
      </c>
      <c r="AC95" s="122">
        <v>78.400000000000006</v>
      </c>
      <c r="AD95" s="122">
        <v>62.6</v>
      </c>
      <c r="AE95" s="122">
        <v>0</v>
      </c>
      <c r="AF95" s="123">
        <v>0</v>
      </c>
      <c r="AG95" s="124">
        <v>120</v>
      </c>
      <c r="AH95" s="55">
        <f t="shared" si="22"/>
        <v>89.6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71.099999999999994</v>
      </c>
      <c r="C96" s="84">
        <v>90.9</v>
      </c>
      <c r="D96" s="84">
        <v>90.9</v>
      </c>
      <c r="E96" s="84">
        <v>90.9</v>
      </c>
      <c r="F96" s="84"/>
      <c r="G96" s="84">
        <v>64</v>
      </c>
      <c r="H96" s="84">
        <v>64</v>
      </c>
      <c r="I96" s="84">
        <v>65.599999999999994</v>
      </c>
      <c r="J96" s="84">
        <v>76.5</v>
      </c>
      <c r="K96" s="84">
        <v>70.8</v>
      </c>
      <c r="L96" s="84">
        <v>67.2</v>
      </c>
      <c r="M96" s="84">
        <v>62.7</v>
      </c>
      <c r="N96" s="84">
        <v>74.8</v>
      </c>
      <c r="O96" s="84">
        <v>77</v>
      </c>
      <c r="P96" s="84">
        <v>54</v>
      </c>
      <c r="Q96" s="84">
        <v>66.400000000000006</v>
      </c>
      <c r="R96" s="84">
        <v>63.1</v>
      </c>
      <c r="S96" s="84">
        <v>63.1</v>
      </c>
      <c r="T96" s="84">
        <v>55.6</v>
      </c>
      <c r="U96" s="84">
        <v>50.2</v>
      </c>
      <c r="V96" s="84">
        <v>50.2</v>
      </c>
      <c r="W96" s="84">
        <v>75.3</v>
      </c>
      <c r="X96" s="84">
        <v>76.8</v>
      </c>
      <c r="Y96" s="84">
        <v>52.2</v>
      </c>
      <c r="Z96" s="84">
        <v>64.400000000000006</v>
      </c>
      <c r="AA96" s="122">
        <v>80.099999999999994</v>
      </c>
      <c r="AB96" s="122">
        <v>79.599999999999994</v>
      </c>
      <c r="AC96" s="122">
        <v>82.7</v>
      </c>
      <c r="AD96" s="122">
        <v>70</v>
      </c>
      <c r="AE96" s="122">
        <v>67.599999999999994</v>
      </c>
      <c r="AF96" s="123">
        <v>61.9</v>
      </c>
      <c r="AG96" s="124"/>
      <c r="AH96" s="55">
        <f t="shared" si="22"/>
        <v>90.9</v>
      </c>
      <c r="AI96" s="118">
        <f t="shared" si="23"/>
        <v>8.3333333333333301E-2</v>
      </c>
    </row>
    <row r="97" spans="1:37" ht="15.75" thickBot="1" x14ac:dyDescent="0.3">
      <c r="A97" s="121" t="s">
        <v>100</v>
      </c>
      <c r="B97" s="84">
        <v>73.400000000000006</v>
      </c>
      <c r="C97" s="84">
        <v>62.8</v>
      </c>
      <c r="D97" s="84">
        <v>62.8</v>
      </c>
      <c r="E97" s="84">
        <v>62.8</v>
      </c>
      <c r="F97" s="84"/>
      <c r="G97" s="84">
        <v>45</v>
      </c>
      <c r="H97" s="84">
        <v>45</v>
      </c>
      <c r="I97" s="84">
        <v>40</v>
      </c>
      <c r="J97" s="84">
        <v>30.9</v>
      </c>
      <c r="K97" s="84">
        <v>18.2</v>
      </c>
      <c r="L97" s="84">
        <v>53.6</v>
      </c>
      <c r="M97" s="84">
        <v>76.2</v>
      </c>
      <c r="N97" s="84">
        <v>62.6</v>
      </c>
      <c r="O97" s="84">
        <v>72.400000000000006</v>
      </c>
      <c r="P97" s="84">
        <v>68.8</v>
      </c>
      <c r="Q97" s="84">
        <v>72.599999999999994</v>
      </c>
      <c r="R97" s="84">
        <v>47.5</v>
      </c>
      <c r="S97" s="84">
        <v>47.5</v>
      </c>
      <c r="T97" s="84">
        <v>52.6</v>
      </c>
      <c r="U97" s="84">
        <v>44.1</v>
      </c>
      <c r="V97" s="84">
        <v>44.1</v>
      </c>
      <c r="W97" s="84">
        <v>68.900000000000006</v>
      </c>
      <c r="X97" s="84">
        <v>85.7</v>
      </c>
      <c r="Y97" s="84">
        <v>59.6</v>
      </c>
      <c r="Z97" s="84">
        <v>76.599999999999994</v>
      </c>
      <c r="AA97" s="122">
        <v>73.599999999999994</v>
      </c>
      <c r="AB97" s="122">
        <v>64.5</v>
      </c>
      <c r="AC97" s="122">
        <v>77.400000000000006</v>
      </c>
      <c r="AD97" s="122">
        <v>38</v>
      </c>
      <c r="AE97" s="122">
        <v>36.700000000000003</v>
      </c>
      <c r="AF97" s="123">
        <v>60.5</v>
      </c>
      <c r="AG97" s="125"/>
      <c r="AH97" s="55">
        <f t="shared" si="22"/>
        <v>85.7</v>
      </c>
      <c r="AI97" s="118">
        <f t="shared" si="23"/>
        <v>0.77083333333333337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1341.1399999999999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24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2078/04/24)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2078/04/24)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1134.3399999999999</v>
      </c>
      <c r="U211" s="170">
        <f t="shared" si="52"/>
        <v>1103.8399999999999</v>
      </c>
      <c r="V211" s="170">
        <f t="shared" si="52"/>
        <v>1208.7399999999998</v>
      </c>
      <c r="W211" s="170">
        <f t="shared" si="52"/>
        <v>1193.2399999999998</v>
      </c>
      <c r="X211" s="170">
        <f t="shared" si="52"/>
        <v>1255.6399999999999</v>
      </c>
      <c r="Y211" s="170">
        <f t="shared" si="52"/>
        <v>1307.7399999999998</v>
      </c>
      <c r="Z211" s="170">
        <f t="shared" si="52"/>
        <v>1337.24</v>
      </c>
      <c r="AA211" s="170">
        <f t="shared" si="52"/>
        <v>1263.44</v>
      </c>
      <c r="AB211" s="170">
        <f t="shared" si="52"/>
        <v>1301.74</v>
      </c>
      <c r="AC211" s="170">
        <f t="shared" si="52"/>
        <v>1306.6399999999999</v>
      </c>
      <c r="AD211" s="170">
        <f t="shared" si="52"/>
        <v>1341.1399999999999</v>
      </c>
      <c r="AE211" s="170">
        <f t="shared" si="52"/>
        <v>1312.54</v>
      </c>
      <c r="AF211" s="170">
        <f t="shared" si="52"/>
        <v>1384.04</v>
      </c>
      <c r="AG211" s="170">
        <f t="shared" si="52"/>
        <v>1393.7399999999998</v>
      </c>
      <c r="AH211" s="170">
        <f t="shared" si="52"/>
        <v>1406.04</v>
      </c>
      <c r="AI211" s="170">
        <f t="shared" si="52"/>
        <v>1386.6399999999999</v>
      </c>
      <c r="AJ211" s="170">
        <f t="shared" si="52"/>
        <v>1347.04</v>
      </c>
      <c r="AK211" s="170">
        <f t="shared" si="52"/>
        <v>1238.1400000000001</v>
      </c>
      <c r="AL211" s="170">
        <f t="shared" si="52"/>
        <v>1298.04</v>
      </c>
      <c r="AM211" s="170">
        <f t="shared" si="52"/>
        <v>1407.44</v>
      </c>
      <c r="AN211" s="170">
        <f t="shared" si="52"/>
        <v>1407.44</v>
      </c>
      <c r="AO211" s="170">
        <f t="shared" si="52"/>
        <v>1433.14</v>
      </c>
      <c r="AP211" s="170">
        <f t="shared" si="52"/>
        <v>1506.7400000000002</v>
      </c>
      <c r="AQ211" s="170">
        <f t="shared" si="52"/>
        <v>1510.04</v>
      </c>
      <c r="AR211" s="170">
        <f t="shared" si="52"/>
        <v>1455.04</v>
      </c>
      <c r="AS211" s="170">
        <f t="shared" si="52"/>
        <v>1415.44</v>
      </c>
      <c r="AT211" s="170">
        <f t="shared" si="52"/>
        <v>1420.24</v>
      </c>
      <c r="AU211" s="170">
        <f t="shared" si="52"/>
        <v>1369.74</v>
      </c>
      <c r="AV211" s="170">
        <f t="shared" si="52"/>
        <v>1275.94</v>
      </c>
      <c r="AW211" s="170">
        <f t="shared" si="52"/>
        <v>1218.44</v>
      </c>
      <c r="AX211" s="170">
        <f t="shared" si="52"/>
        <v>1209.54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7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7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179" priority="567">
      <formula>S$9&gt;=20/24</formula>
    </cfRule>
    <cfRule type="expression" dxfId="3178" priority="568">
      <formula>AND(S$9&gt;=14/24,S$9&lt;20/24)</formula>
    </cfRule>
    <cfRule type="expression" dxfId="3177" priority="569">
      <formula>AND(S$9&gt;=8/24,S$9&lt;14/24)</formula>
    </cfRule>
    <cfRule type="expression" dxfId="3176" priority="570">
      <formula>S$9&lt;8/24</formula>
    </cfRule>
  </conditionalFormatting>
  <conditionalFormatting sqref="B8:AF10 AA79:AF79 C79:Q79 C54:AF54 C80:AF80 C191:AF197 L35:P35 AE55:AF58 C66:AF70 M60:M65 T210:AX210 O37:Q37 L37:N40 N59:N65 O38:P40 Q40 M43:Q46 L12:Q13 L15:Q16 L18:Q20 L17:R17 R18:R29 W83:Z89 C72:AF76 C78:AF78 C61:D65 L58:N58 L59:M59 C55:F59 E61 E63:E65 L28:O29 L21:P27 O58:Q65 L31:O31 L30:Q30 L56:V57 Q38:AD39 L51:AF53 L11:AD11 AA82:AF89 Y41:AC41 Y12:AD13 T40:AC40 AD40:AD41 AE13:AF13 AE41:AF41 Y15:AF30">
    <cfRule type="expression" dxfId="3175" priority="563">
      <formula>B$9&gt;=20/24</formula>
    </cfRule>
    <cfRule type="expression" dxfId="3174" priority="564">
      <formula>AND(B$9&gt;=14/24,B$9&lt;20/24)</formula>
    </cfRule>
    <cfRule type="expression" dxfId="3173" priority="565">
      <formula>AND(B$9&gt;=8/24,B$9&lt;14/24)</formula>
    </cfRule>
    <cfRule type="expression" dxfId="3172" priority="566">
      <formula>B$9&lt;8/24</formula>
    </cfRule>
  </conditionalFormatting>
  <conditionalFormatting sqref="B189:AF189">
    <cfRule type="expression" dxfId="3171" priority="559">
      <formula>B$9&gt;=20/24</formula>
    </cfRule>
    <cfRule type="expression" dxfId="3170" priority="560">
      <formula>AND(B$9&gt;=14/24,B$9&lt;20/24)</formula>
    </cfRule>
    <cfRule type="expression" dxfId="3169" priority="561">
      <formula>AND(B$9&gt;=8/24,B$9&lt;14/24)</formula>
    </cfRule>
    <cfRule type="expression" dxfId="3168" priority="562">
      <formula>B$9&lt;8/24</formula>
    </cfRule>
  </conditionalFormatting>
  <conditionalFormatting sqref="AL5:AL6">
    <cfRule type="iconSet" priority="558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3167" priority="554">
      <formula>L$9&gt;=20/24</formula>
    </cfRule>
    <cfRule type="expression" dxfId="3166" priority="555">
      <formula>AND(L$9&gt;=14/24,L$9&lt;20/24)</formula>
    </cfRule>
    <cfRule type="expression" dxfId="3165" priority="556">
      <formula>AND(L$9&gt;=8/24,L$9&lt;14/24)</formula>
    </cfRule>
    <cfRule type="expression" dxfId="3164" priority="557">
      <formula>L$9&lt;8/24</formula>
    </cfRule>
  </conditionalFormatting>
  <conditionalFormatting sqref="L41:Q41">
    <cfRule type="expression" dxfId="3163" priority="550">
      <formula>L$9&gt;=20/24</formula>
    </cfRule>
    <cfRule type="expression" dxfId="3162" priority="551">
      <formula>AND(L$9&gt;=14/24,L$9&lt;20/24)</formula>
    </cfRule>
    <cfRule type="expression" dxfId="3161" priority="552">
      <formula>AND(L$9&gt;=8/24,L$9&lt;14/24)</formula>
    </cfRule>
    <cfRule type="expression" dxfId="3160" priority="553">
      <formula>L$9&lt;8/24</formula>
    </cfRule>
  </conditionalFormatting>
  <conditionalFormatting sqref="Y31:AF31">
    <cfRule type="expression" dxfId="3159" priority="546">
      <formula>Y$9&gt;=20/24</formula>
    </cfRule>
    <cfRule type="expression" dxfId="3158" priority="547">
      <formula>AND(Y$9&gt;=14/24,Y$9&lt;20/24)</formula>
    </cfRule>
    <cfRule type="expression" dxfId="3157" priority="548">
      <formula>AND(Y$9&gt;=8/24,Y$9&lt;14/24)</formula>
    </cfRule>
    <cfRule type="expression" dxfId="3156" priority="549">
      <formula>Y$9&lt;8/24</formula>
    </cfRule>
  </conditionalFormatting>
  <conditionalFormatting sqref="R37:AD37">
    <cfRule type="expression" dxfId="3155" priority="542">
      <formula>R$9&gt;=20/24</formula>
    </cfRule>
    <cfRule type="expression" dxfId="3154" priority="543">
      <formula>AND(R$9&gt;=14/24,R$9&lt;20/24)</formula>
    </cfRule>
    <cfRule type="expression" dxfId="3153" priority="544">
      <formula>AND(R$9&gt;=8/24,R$9&lt;14/24)</formula>
    </cfRule>
    <cfRule type="expression" dxfId="3152" priority="545">
      <formula>R$9&lt;8/24</formula>
    </cfRule>
  </conditionalFormatting>
  <conditionalFormatting sqref="R55:AD55">
    <cfRule type="expression" dxfId="3151" priority="538">
      <formula>R$9&gt;=20/24</formula>
    </cfRule>
    <cfRule type="expression" dxfId="3150" priority="539">
      <formula>AND(R$9&gt;=14/24,R$9&lt;20/24)</formula>
    </cfRule>
    <cfRule type="expression" dxfId="3149" priority="540">
      <formula>AND(R$9&gt;=8/24,R$9&lt;14/24)</formula>
    </cfRule>
    <cfRule type="expression" dxfId="3148" priority="541">
      <formula>R$9&lt;8/24</formula>
    </cfRule>
  </conditionalFormatting>
  <conditionalFormatting sqref="R79:Z79">
    <cfRule type="expression" dxfId="3147" priority="534">
      <formula>R$9&gt;=20/24</formula>
    </cfRule>
    <cfRule type="expression" dxfId="3146" priority="535">
      <formula>AND(R$9&gt;=14/24,R$9&lt;20/24)</formula>
    </cfRule>
    <cfRule type="expression" dxfId="3145" priority="536">
      <formula>AND(R$9&gt;=8/24,R$9&lt;14/24)</formula>
    </cfRule>
    <cfRule type="expression" dxfId="3144" priority="537">
      <formula>R$9&lt;8/24</formula>
    </cfRule>
  </conditionalFormatting>
  <conditionalFormatting sqref="T82:Z82">
    <cfRule type="expression" dxfId="3143" priority="530">
      <formula>T$9&gt;=20/24</formula>
    </cfRule>
    <cfRule type="expression" dxfId="3142" priority="531">
      <formula>AND(T$9&gt;=14/24,T$9&lt;20/24)</formula>
    </cfRule>
    <cfRule type="expression" dxfId="3141" priority="532">
      <formula>AND(T$9&gt;=8/24,T$9&lt;14/24)</formula>
    </cfRule>
    <cfRule type="expression" dxfId="3140" priority="533">
      <formula>T$9&lt;8/24</formula>
    </cfRule>
  </conditionalFormatting>
  <conditionalFormatting sqref="L33:O33">
    <cfRule type="expression" dxfId="3139" priority="526">
      <formula>L$9&gt;=20/24</formula>
    </cfRule>
    <cfRule type="expression" dxfId="3138" priority="527">
      <formula>AND(L$9&gt;=14/24,L$9&lt;20/24)</formula>
    </cfRule>
    <cfRule type="expression" dxfId="3137" priority="528">
      <formula>AND(L$9&gt;=8/24,L$9&lt;14/24)</formula>
    </cfRule>
    <cfRule type="expression" dxfId="3136" priority="529">
      <formula>L$9&lt;8/24</formula>
    </cfRule>
  </conditionalFormatting>
  <conditionalFormatting sqref="L47:S47">
    <cfRule type="expression" dxfId="3135" priority="522">
      <formula>L$9&gt;=20/24</formula>
    </cfRule>
    <cfRule type="expression" dxfId="3134" priority="523">
      <formula>AND(L$9&gt;=14/24,L$9&lt;20/24)</formula>
    </cfRule>
    <cfRule type="expression" dxfId="3133" priority="524">
      <formula>AND(L$9&gt;=8/24,L$9&lt;14/24)</formula>
    </cfRule>
    <cfRule type="expression" dxfId="3132" priority="525">
      <formula>L$9&lt;8/24</formula>
    </cfRule>
  </conditionalFormatting>
  <conditionalFormatting sqref="L48:Q48">
    <cfRule type="expression" dxfId="3131" priority="518">
      <formula>L$9&gt;=20/24</formula>
    </cfRule>
    <cfRule type="expression" dxfId="3130" priority="519">
      <formula>AND(L$9&gt;=14/24,L$9&lt;20/24)</formula>
    </cfRule>
    <cfRule type="expression" dxfId="3129" priority="520">
      <formula>AND(L$9&gt;=8/24,L$9&lt;14/24)</formula>
    </cfRule>
    <cfRule type="expression" dxfId="3128" priority="521">
      <formula>L$9&lt;8/24</formula>
    </cfRule>
  </conditionalFormatting>
  <conditionalFormatting sqref="L43:Q46">
    <cfRule type="expression" dxfId="3127" priority="514">
      <formula>L$9&gt;=20/24</formula>
    </cfRule>
    <cfRule type="expression" dxfId="3126" priority="515">
      <formula>AND(L$9&gt;=14/24,L$9&lt;20/24)</formula>
    </cfRule>
    <cfRule type="expression" dxfId="3125" priority="516">
      <formula>AND(L$9&gt;=8/24,L$9&lt;14/24)</formula>
    </cfRule>
    <cfRule type="expression" dxfId="3124" priority="517">
      <formula>L$9&lt;8/24</formula>
    </cfRule>
  </conditionalFormatting>
  <conditionalFormatting sqref="R35 T35:AF35">
    <cfRule type="expression" dxfId="3123" priority="510">
      <formula>R$9&gt;=20/24</formula>
    </cfRule>
    <cfRule type="expression" dxfId="3122" priority="511">
      <formula>AND(R$9&gt;=14/24,R$9&lt;20/24)</formula>
    </cfRule>
    <cfRule type="expression" dxfId="3121" priority="512">
      <formula>AND(R$9&gt;=8/24,R$9&lt;14/24)</formula>
    </cfRule>
    <cfRule type="expression" dxfId="3120" priority="513">
      <formula>R$9&lt;8/24</formula>
    </cfRule>
  </conditionalFormatting>
  <conditionalFormatting sqref="R30:R31 R33 Y33:AF33">
    <cfRule type="expression" dxfId="3119" priority="506">
      <formula>R$9&gt;=20/24</formula>
    </cfRule>
    <cfRule type="expression" dxfId="3118" priority="507">
      <formula>AND(R$9&gt;=14/24,R$9&lt;20/24)</formula>
    </cfRule>
    <cfRule type="expression" dxfId="3117" priority="508">
      <formula>AND(R$9&gt;=8/24,R$9&lt;14/24)</formula>
    </cfRule>
    <cfRule type="expression" dxfId="3116" priority="509">
      <formula>R$9&lt;8/24</formula>
    </cfRule>
  </conditionalFormatting>
  <conditionalFormatting sqref="R40:S41 T41:X41 R43:AF46">
    <cfRule type="expression" dxfId="3115" priority="502">
      <formula>R$9&gt;=20/24</formula>
    </cfRule>
    <cfRule type="expression" dxfId="3114" priority="503">
      <formula>AND(R$9&gt;=14/24,R$9&lt;20/24)</formula>
    </cfRule>
    <cfRule type="expression" dxfId="3113" priority="504">
      <formula>AND(R$9&gt;=8/24,R$9&lt;14/24)</formula>
    </cfRule>
    <cfRule type="expression" dxfId="3112" priority="505">
      <formula>R$9&lt;8/24</formula>
    </cfRule>
  </conditionalFormatting>
  <conditionalFormatting sqref="R47:AF47">
    <cfRule type="expression" dxfId="3111" priority="498">
      <formula>R$9&gt;=20/24</formula>
    </cfRule>
    <cfRule type="expression" dxfId="3110" priority="499">
      <formula>AND(R$9&gt;=14/24,R$9&lt;20/24)</formula>
    </cfRule>
    <cfRule type="expression" dxfId="3109" priority="500">
      <formula>AND(R$9&gt;=8/24,R$9&lt;14/24)</formula>
    </cfRule>
    <cfRule type="expression" dxfId="3108" priority="501">
      <formula>R$9&lt;8/24</formula>
    </cfRule>
  </conditionalFormatting>
  <conditionalFormatting sqref="R48:AF48">
    <cfRule type="expression" dxfId="3107" priority="494">
      <formula>R$9&gt;=20/24</formula>
    </cfRule>
    <cfRule type="expression" dxfId="3106" priority="495">
      <formula>AND(R$9&gt;=14/24,R$9&lt;20/24)</formula>
    </cfRule>
    <cfRule type="expression" dxfId="3105" priority="496">
      <formula>AND(R$9&gt;=8/24,R$9&lt;14/24)</formula>
    </cfRule>
    <cfRule type="expression" dxfId="3104" priority="497">
      <formula>R$9&lt;8/24</formula>
    </cfRule>
  </conditionalFormatting>
  <conditionalFormatting sqref="R58:S65 W58:AD65 AE59:AF65">
    <cfRule type="expression" dxfId="3103" priority="490">
      <formula>R$9&gt;=20/24</formula>
    </cfRule>
    <cfRule type="expression" dxfId="3102" priority="491">
      <formula>AND(R$9&gt;=14/24,R$9&lt;20/24)</formula>
    </cfRule>
    <cfRule type="expression" dxfId="3101" priority="492">
      <formula>AND(R$9&gt;=8/24,R$9&lt;14/24)</formula>
    </cfRule>
    <cfRule type="expression" dxfId="3100" priority="493">
      <formula>R$9&lt;8/24</formula>
    </cfRule>
  </conditionalFormatting>
  <conditionalFormatting sqref="AA92:AF95">
    <cfRule type="expression" dxfId="3099" priority="486">
      <formula>AA$9&gt;=20/24</formula>
    </cfRule>
    <cfRule type="expression" dxfId="3098" priority="487">
      <formula>AND(AA$9&gt;=14/24,AA$9&lt;20/24)</formula>
    </cfRule>
    <cfRule type="expression" dxfId="3097" priority="488">
      <formula>AND(AA$9&gt;=8/24,AA$9&lt;14/24)</formula>
    </cfRule>
    <cfRule type="expression" dxfId="3096" priority="489">
      <formula>AA$9&lt;8/24</formula>
    </cfRule>
  </conditionalFormatting>
  <conditionalFormatting sqref="C60:F60">
    <cfRule type="expression" dxfId="3095" priority="482">
      <formula>C$9&gt;=20/24</formula>
    </cfRule>
    <cfRule type="expression" dxfId="3094" priority="483">
      <formula>AND(C$9&gt;=14/24,C$9&lt;20/24)</formula>
    </cfRule>
    <cfRule type="expression" dxfId="3093" priority="484">
      <formula>AND(C$9&gt;=8/24,C$9&lt;14/24)</formula>
    </cfRule>
    <cfRule type="expression" dxfId="3092" priority="485">
      <formula>C$9&lt;8/24</formula>
    </cfRule>
  </conditionalFormatting>
  <conditionalFormatting sqref="T92:Z95">
    <cfRule type="expression" dxfId="3091" priority="478">
      <formula>T$9&gt;=20/24</formula>
    </cfRule>
    <cfRule type="expression" dxfId="3090" priority="479">
      <formula>AND(T$9&gt;=14/24,T$9&lt;20/24)</formula>
    </cfRule>
    <cfRule type="expression" dxfId="3089" priority="480">
      <formula>AND(T$9&gt;=8/24,T$9&lt;14/24)</formula>
    </cfRule>
    <cfRule type="expression" dxfId="3088" priority="481">
      <formula>T$9&lt;8/24</formula>
    </cfRule>
  </conditionalFormatting>
  <conditionalFormatting sqref="AG49 F11:F13 C36:AF36 C49:AF50 F33:F35 F43:F48 C54:AF54 F51:F53 F37:F41 L35:P35 L17:R20 L15:Q16 L12:Q13 C37:E40 F15:F31 L28:O29 L33:O34 L21:P27 R21:R31 R33:R35 L31:O31 L30:Q30 T35:Y35 X34:Y34 Y33 H51:AF53 L11:AF11 Z33:AF35 Y12:AF13 H43:AF48 H37:AF41 Y15:AF31">
    <cfRule type="expression" dxfId="3087" priority="477">
      <formula>C11&gt;$AG11</formula>
    </cfRule>
  </conditionalFormatting>
  <conditionalFormatting sqref="A98:A154 A82:A95 A11:A13 A15:A31 A43:A70 A78:A80 A72:A76 A33:A41 A167:A198">
    <cfRule type="expression" dxfId="3086" priority="476">
      <formula>$AH11=0</formula>
    </cfRule>
  </conditionalFormatting>
  <conditionalFormatting sqref="AA96:AF96">
    <cfRule type="expression" dxfId="3085" priority="472">
      <formula>AA$9&gt;=20/24</formula>
    </cfRule>
    <cfRule type="expression" dxfId="3084" priority="473">
      <formula>AND(AA$9&gt;=14/24,AA$9&lt;20/24)</formula>
    </cfRule>
    <cfRule type="expression" dxfId="3083" priority="474">
      <formula>AND(AA$9&gt;=8/24,AA$9&lt;14/24)</formula>
    </cfRule>
    <cfRule type="expression" dxfId="3082" priority="475">
      <formula>AA$9&lt;8/24</formula>
    </cfRule>
  </conditionalFormatting>
  <conditionalFormatting sqref="T96:Z96">
    <cfRule type="expression" dxfId="3081" priority="468">
      <formula>T$9&gt;=20/24</formula>
    </cfRule>
    <cfRule type="expression" dxfId="3080" priority="469">
      <formula>AND(T$9&gt;=14/24,T$9&lt;20/24)</formula>
    </cfRule>
    <cfRule type="expression" dxfId="3079" priority="470">
      <formula>AND(T$9&gt;=8/24,T$9&lt;14/24)</formula>
    </cfRule>
    <cfRule type="expression" dxfId="3078" priority="471">
      <formula>T$9&lt;8/24</formula>
    </cfRule>
  </conditionalFormatting>
  <conditionalFormatting sqref="A96">
    <cfRule type="expression" dxfId="3077" priority="467">
      <formula>$AH96=0</formula>
    </cfRule>
  </conditionalFormatting>
  <conditionalFormatting sqref="F34 L34:O34 R34 X34:AF34">
    <cfRule type="expression" dxfId="3076" priority="463">
      <formula>F$9&gt;=20/24</formula>
    </cfRule>
    <cfRule type="expression" dxfId="3075" priority="464">
      <formula>AND(F$9&gt;=14/24,F$9&lt;20/24)</formula>
    </cfRule>
    <cfRule type="expression" dxfId="3074" priority="465">
      <formula>AND(F$9&gt;=8/24,F$9&lt;14/24)</formula>
    </cfRule>
    <cfRule type="expression" dxfId="3073" priority="466">
      <formula>F$9&lt;8/24</formula>
    </cfRule>
  </conditionalFormatting>
  <conditionalFormatting sqref="R34 X34:AF34">
    <cfRule type="expression" dxfId="3072" priority="459">
      <formula>R$9&gt;=20/24</formula>
    </cfRule>
    <cfRule type="expression" dxfId="3071" priority="460">
      <formula>AND(R$9&gt;=14/24,R$9&lt;20/24)</formula>
    </cfRule>
    <cfRule type="expression" dxfId="3070" priority="461">
      <formula>AND(R$9&gt;=8/24,R$9&lt;14/24)</formula>
    </cfRule>
    <cfRule type="expression" dxfId="3069" priority="462">
      <formula>R$9&lt;8/24</formula>
    </cfRule>
  </conditionalFormatting>
  <conditionalFormatting sqref="E62:F62 F61 F63:F65">
    <cfRule type="expression" dxfId="3068" priority="451">
      <formula>E$9&gt;=20/24</formula>
    </cfRule>
    <cfRule type="expression" dxfId="3067" priority="452">
      <formula>AND(E$9&gt;=14/24,E$9&lt;20/24)</formula>
    </cfRule>
    <cfRule type="expression" dxfId="3066" priority="453">
      <formula>AND(E$9&gt;=8/24,E$9&lt;14/24)</formula>
    </cfRule>
    <cfRule type="expression" dxfId="3065" priority="454">
      <formula>E$9&lt;8/24</formula>
    </cfRule>
  </conditionalFormatting>
  <conditionalFormatting sqref="L60:L65">
    <cfRule type="expression" dxfId="3064" priority="447">
      <formula>L$9&gt;=20/24</formula>
    </cfRule>
    <cfRule type="expression" dxfId="3063" priority="448">
      <formula>AND(L$9&gt;=14/24,L$9&lt;20/24)</formula>
    </cfRule>
    <cfRule type="expression" dxfId="3062" priority="449">
      <formula>AND(L$9&gt;=8/24,L$9&lt;14/24)</formula>
    </cfRule>
    <cfRule type="expression" dxfId="3061" priority="450">
      <formula>L$9&lt;8/24</formula>
    </cfRule>
  </conditionalFormatting>
  <conditionalFormatting sqref="AL31">
    <cfRule type="iconSet" priority="446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3060" priority="442">
      <formula>Y$9&gt;=20/24</formula>
    </cfRule>
    <cfRule type="expression" dxfId="3059" priority="443">
      <formula>AND(Y$9&gt;=14/24,Y$9&lt;20/24)</formula>
    </cfRule>
    <cfRule type="expression" dxfId="3058" priority="444">
      <formula>AND(Y$9&gt;=8/24,Y$9&lt;14/24)</formula>
    </cfRule>
    <cfRule type="expression" dxfId="3057" priority="445">
      <formula>Y$9&lt;8/24</formula>
    </cfRule>
  </conditionalFormatting>
  <conditionalFormatting sqref="L32:O32">
    <cfRule type="expression" dxfId="3056" priority="438">
      <formula>L$9&gt;=20/24</formula>
    </cfRule>
    <cfRule type="expression" dxfId="3055" priority="439">
      <formula>AND(L$9&gt;=14/24,L$9&lt;20/24)</formula>
    </cfRule>
    <cfRule type="expression" dxfId="3054" priority="440">
      <formula>AND(L$9&gt;=8/24,L$9&lt;14/24)</formula>
    </cfRule>
    <cfRule type="expression" dxfId="3053" priority="441">
      <formula>L$9&lt;8/24</formula>
    </cfRule>
  </conditionalFormatting>
  <conditionalFormatting sqref="R32">
    <cfRule type="expression" dxfId="3052" priority="434">
      <formula>R$9&gt;=20/24</formula>
    </cfRule>
    <cfRule type="expression" dxfId="3051" priority="435">
      <formula>AND(R$9&gt;=14/24,R$9&lt;20/24)</formula>
    </cfRule>
    <cfRule type="expression" dxfId="3050" priority="436">
      <formula>AND(R$9&gt;=8/24,R$9&lt;14/24)</formula>
    </cfRule>
    <cfRule type="expression" dxfId="3049" priority="437">
      <formula>R$9&lt;8/24</formula>
    </cfRule>
  </conditionalFormatting>
  <conditionalFormatting sqref="F32 L32:O32 R32 Y32:AF32">
    <cfRule type="expression" dxfId="3048" priority="433">
      <formula>F32&gt;$AG32</formula>
    </cfRule>
  </conditionalFormatting>
  <conditionalFormatting sqref="A32">
    <cfRule type="expression" dxfId="3047" priority="432">
      <formula>$AH32=0</formula>
    </cfRule>
  </conditionalFormatting>
  <conditionalFormatting sqref="C81:AF81">
    <cfRule type="expression" dxfId="3046" priority="428">
      <formula>C$9&gt;=20/24</formula>
    </cfRule>
    <cfRule type="expression" dxfId="3045" priority="429">
      <formula>AND(C$9&gt;=14/24,C$9&lt;20/24)</formula>
    </cfRule>
    <cfRule type="expression" dxfId="3044" priority="430">
      <formula>AND(C$9&gt;=8/24,C$9&lt;14/24)</formula>
    </cfRule>
    <cfRule type="expression" dxfId="3043" priority="431">
      <formula>C$9&lt;8/24</formula>
    </cfRule>
  </conditionalFormatting>
  <conditionalFormatting sqref="A81">
    <cfRule type="expression" dxfId="3042" priority="427">
      <formula>$AH81=0</formula>
    </cfRule>
  </conditionalFormatting>
  <conditionalFormatting sqref="Y14:AF14">
    <cfRule type="expression" dxfId="3041" priority="423">
      <formula>Y$9&gt;=20/24</formula>
    </cfRule>
    <cfRule type="expression" dxfId="3040" priority="424">
      <formula>AND(Y$9&gt;=14/24,Y$9&lt;20/24)</formula>
    </cfRule>
    <cfRule type="expression" dxfId="3039" priority="425">
      <formula>AND(Y$9&gt;=8/24,Y$9&lt;14/24)</formula>
    </cfRule>
    <cfRule type="expression" dxfId="3038" priority="426">
      <formula>Y$9&lt;8/24</formula>
    </cfRule>
  </conditionalFormatting>
  <conditionalFormatting sqref="L14:Q14">
    <cfRule type="expression" dxfId="3037" priority="419">
      <formula>L$9&gt;=20/24</formula>
    </cfRule>
    <cfRule type="expression" dxfId="3036" priority="420">
      <formula>AND(L$9&gt;=14/24,L$9&lt;20/24)</formula>
    </cfRule>
    <cfRule type="expression" dxfId="3035" priority="421">
      <formula>AND(L$9&gt;=8/24,L$9&lt;14/24)</formula>
    </cfRule>
    <cfRule type="expression" dxfId="3034" priority="422">
      <formula>L$9&lt;8/24</formula>
    </cfRule>
  </conditionalFormatting>
  <conditionalFormatting sqref="F14 L14:Q14 Y14:AF14">
    <cfRule type="expression" dxfId="3033" priority="418">
      <formula>F14&gt;$AG14</formula>
    </cfRule>
  </conditionalFormatting>
  <conditionalFormatting sqref="A14">
    <cfRule type="expression" dxfId="3032" priority="417">
      <formula>$AH14=0</formula>
    </cfRule>
  </conditionalFormatting>
  <conditionalFormatting sqref="A161:A166">
    <cfRule type="expression" dxfId="3031" priority="416">
      <formula>$AH161=0</formula>
    </cfRule>
  </conditionalFormatting>
  <conditionalFormatting sqref="A155:A160">
    <cfRule type="expression" dxfId="3030" priority="415">
      <formula>$AH155=0</formula>
    </cfRule>
  </conditionalFormatting>
  <conditionalFormatting sqref="Y42:AF42">
    <cfRule type="expression" dxfId="3029" priority="411">
      <formula>Y$9&gt;=20/24</formula>
    </cfRule>
    <cfRule type="expression" dxfId="3028" priority="412">
      <formula>AND(Y$9&gt;=14/24,Y$9&lt;20/24)</formula>
    </cfRule>
    <cfRule type="expression" dxfId="3027" priority="413">
      <formula>AND(Y$9&gt;=8/24,Y$9&lt;14/24)</formula>
    </cfRule>
    <cfRule type="expression" dxfId="3026" priority="414">
      <formula>Y$9&lt;8/24</formula>
    </cfRule>
  </conditionalFormatting>
  <conditionalFormatting sqref="L42:Q42">
    <cfRule type="expression" dxfId="3025" priority="407">
      <formula>L$9&gt;=20/24</formula>
    </cfRule>
    <cfRule type="expression" dxfId="3024" priority="408">
      <formula>AND(L$9&gt;=14/24,L$9&lt;20/24)</formula>
    </cfRule>
    <cfRule type="expression" dxfId="3023" priority="409">
      <formula>AND(L$9&gt;=8/24,L$9&lt;14/24)</formula>
    </cfRule>
    <cfRule type="expression" dxfId="3022" priority="410">
      <formula>L$9&lt;8/24</formula>
    </cfRule>
  </conditionalFormatting>
  <conditionalFormatting sqref="R42:X42">
    <cfRule type="expression" dxfId="3021" priority="403">
      <formula>R$9&gt;=20/24</formula>
    </cfRule>
    <cfRule type="expression" dxfId="3020" priority="404">
      <formula>AND(R$9&gt;=14/24,R$9&lt;20/24)</formula>
    </cfRule>
    <cfRule type="expression" dxfId="3019" priority="405">
      <formula>AND(R$9&gt;=8/24,R$9&lt;14/24)</formula>
    </cfRule>
    <cfRule type="expression" dxfId="3018" priority="406">
      <formula>R$9&lt;8/24</formula>
    </cfRule>
  </conditionalFormatting>
  <conditionalFormatting sqref="F42 H42:AF42">
    <cfRule type="expression" dxfId="3017" priority="402">
      <formula>F42&gt;$AG42</formula>
    </cfRule>
  </conditionalFormatting>
  <conditionalFormatting sqref="A42">
    <cfRule type="expression" dxfId="3016" priority="401">
      <formula>$AH42=0</formula>
    </cfRule>
  </conditionalFormatting>
  <conditionalFormatting sqref="C77:AF77">
    <cfRule type="expression" dxfId="3015" priority="397">
      <formula>C$9&gt;=20/24</formula>
    </cfRule>
    <cfRule type="expression" dxfId="3014" priority="398">
      <formula>AND(C$9&gt;=14/24,C$9&lt;20/24)</formula>
    </cfRule>
    <cfRule type="expression" dxfId="3013" priority="399">
      <formula>AND(C$9&gt;=8/24,C$9&lt;14/24)</formula>
    </cfRule>
    <cfRule type="expression" dxfId="3012" priority="400">
      <formula>C$9&lt;8/24</formula>
    </cfRule>
  </conditionalFormatting>
  <conditionalFormatting sqref="A77">
    <cfRule type="expression" dxfId="3011" priority="396">
      <formula>$AH77=0</formula>
    </cfRule>
  </conditionalFormatting>
  <conditionalFormatting sqref="C71:AG71">
    <cfRule type="expression" dxfId="3010" priority="392">
      <formula>C$9&gt;=20/24</formula>
    </cfRule>
    <cfRule type="expression" dxfId="3009" priority="393">
      <formula>AND(C$9&gt;=14/24,C$9&lt;20/24)</formula>
    </cfRule>
    <cfRule type="expression" dxfId="3008" priority="394">
      <formula>AND(C$9&gt;=8/24,C$9&lt;14/24)</formula>
    </cfRule>
    <cfRule type="expression" dxfId="3007" priority="395">
      <formula>C$9&lt;8/24</formula>
    </cfRule>
  </conditionalFormatting>
  <conditionalFormatting sqref="A71">
    <cfRule type="expression" dxfId="3006" priority="391">
      <formula>$AH71=0</formula>
    </cfRule>
  </conditionalFormatting>
  <conditionalFormatting sqref="AL32:AL33 AL7:AL30">
    <cfRule type="iconSet" priority="573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3005" priority="387">
      <formula>T$9&gt;=20/24</formula>
    </cfRule>
    <cfRule type="expression" dxfId="3004" priority="388">
      <formula>AND(T$9&gt;=14/24,T$9&lt;20/24)</formula>
    </cfRule>
    <cfRule type="expression" dxfId="3003" priority="389">
      <formula>AND(T$9&gt;=8/24,T$9&lt;14/24)</formula>
    </cfRule>
    <cfRule type="expression" dxfId="3002" priority="390">
      <formula>T$9&lt;8/24</formula>
    </cfRule>
  </conditionalFormatting>
  <conditionalFormatting sqref="T83:V89">
    <cfRule type="expression" dxfId="3001" priority="383">
      <formula>T$9&gt;=20/24</formula>
    </cfRule>
    <cfRule type="expression" dxfId="3000" priority="384">
      <formula>AND(T$9&gt;=14/24,T$9&lt;20/24)</formula>
    </cfRule>
    <cfRule type="expression" dxfId="2999" priority="385">
      <formula>AND(T$9&gt;=8/24,T$9&lt;14/24)</formula>
    </cfRule>
    <cfRule type="expression" dxfId="2998" priority="386">
      <formula>T$9&lt;8/24</formula>
    </cfRule>
  </conditionalFormatting>
  <conditionalFormatting sqref="R83:R89 C82:Q89">
    <cfRule type="expression" dxfId="2997" priority="379">
      <formula>C$9&gt;=20/24</formula>
    </cfRule>
    <cfRule type="expression" dxfId="2996" priority="380">
      <formula>AND(C$9&gt;=14/24,C$9&lt;20/24)</formula>
    </cfRule>
    <cfRule type="expression" dxfId="2995" priority="381">
      <formula>AND(C$9&gt;=8/24,C$9&lt;14/24)</formula>
    </cfRule>
    <cfRule type="expression" dxfId="2994" priority="382">
      <formula>C$9&lt;8/24</formula>
    </cfRule>
  </conditionalFormatting>
  <conditionalFormatting sqref="R82">
    <cfRule type="expression" dxfId="2993" priority="375">
      <formula>R$9&gt;=20/24</formula>
    </cfRule>
    <cfRule type="expression" dxfId="2992" priority="376">
      <formula>AND(R$9&gt;=14/24,R$9&lt;20/24)</formula>
    </cfRule>
    <cfRule type="expression" dxfId="2991" priority="377">
      <formula>AND(R$9&gt;=8/24,R$9&lt;14/24)</formula>
    </cfRule>
    <cfRule type="expression" dxfId="2990" priority="378">
      <formula>R$9&lt;8/24</formula>
    </cfRule>
  </conditionalFormatting>
  <conditionalFormatting sqref="L93:L95 C92:E95">
    <cfRule type="expression" dxfId="2989" priority="371">
      <formula>C$9&gt;=20/24</formula>
    </cfRule>
    <cfRule type="expression" dxfId="2988" priority="372">
      <formula>AND(C$9&gt;=14/24,C$9&lt;20/24)</formula>
    </cfRule>
    <cfRule type="expression" dxfId="2987" priority="373">
      <formula>AND(C$9&gt;=8/24,C$9&lt;14/24)</formula>
    </cfRule>
    <cfRule type="expression" dxfId="2986" priority="374">
      <formula>C$9&lt;8/24</formula>
    </cfRule>
  </conditionalFormatting>
  <conditionalFormatting sqref="M93:Q95 N92:Q92">
    <cfRule type="expression" dxfId="2985" priority="367">
      <formula>M$9&gt;=20/24</formula>
    </cfRule>
    <cfRule type="expression" dxfId="2984" priority="368">
      <formula>AND(M$9&gt;=14/24,M$9&lt;20/24)</formula>
    </cfRule>
    <cfRule type="expression" dxfId="2983" priority="369">
      <formula>AND(M$9&gt;=8/24,M$9&lt;14/24)</formula>
    </cfRule>
    <cfRule type="expression" dxfId="2982" priority="370">
      <formula>M$9&lt;8/24</formula>
    </cfRule>
  </conditionalFormatting>
  <conditionalFormatting sqref="R92:R95">
    <cfRule type="expression" dxfId="2981" priority="363">
      <formula>R$9&gt;=20/24</formula>
    </cfRule>
    <cfRule type="expression" dxfId="2980" priority="364">
      <formula>AND(R$9&gt;=14/24,R$9&lt;20/24)</formula>
    </cfRule>
    <cfRule type="expression" dxfId="2979" priority="365">
      <formula>AND(R$9&gt;=8/24,R$9&lt;14/24)</formula>
    </cfRule>
    <cfRule type="expression" dxfId="2978" priority="366">
      <formula>R$9&lt;8/24</formula>
    </cfRule>
  </conditionalFormatting>
  <conditionalFormatting sqref="L96 C96:E96">
    <cfRule type="expression" dxfId="2977" priority="359">
      <formula>C$9&gt;=20/24</formula>
    </cfRule>
    <cfRule type="expression" dxfId="2976" priority="360">
      <formula>AND(C$9&gt;=14/24,C$9&lt;20/24)</formula>
    </cfRule>
    <cfRule type="expression" dxfId="2975" priority="361">
      <formula>AND(C$9&gt;=8/24,C$9&lt;14/24)</formula>
    </cfRule>
    <cfRule type="expression" dxfId="2974" priority="362">
      <formula>C$9&lt;8/24</formula>
    </cfRule>
  </conditionalFormatting>
  <conditionalFormatting sqref="M96:Q96">
    <cfRule type="expression" dxfId="2973" priority="355">
      <formula>M$9&gt;=20/24</formula>
    </cfRule>
    <cfRule type="expression" dxfId="2972" priority="356">
      <formula>AND(M$9&gt;=14/24,M$9&lt;20/24)</formula>
    </cfRule>
    <cfRule type="expression" dxfId="2971" priority="357">
      <formula>AND(M$9&gt;=8/24,M$9&lt;14/24)</formula>
    </cfRule>
    <cfRule type="expression" dxfId="2970" priority="358">
      <formula>M$9&lt;8/24</formula>
    </cfRule>
  </conditionalFormatting>
  <conditionalFormatting sqref="R96">
    <cfRule type="expression" dxfId="2969" priority="351">
      <formula>R$9&gt;=20/24</formula>
    </cfRule>
    <cfRule type="expression" dxfId="2968" priority="352">
      <formula>AND(R$9&gt;=14/24,R$9&lt;20/24)</formula>
    </cfRule>
    <cfRule type="expression" dxfId="2967" priority="353">
      <formula>AND(R$9&gt;=8/24,R$9&lt;14/24)</formula>
    </cfRule>
    <cfRule type="expression" dxfId="2966" priority="354">
      <formula>R$9&lt;8/24</formula>
    </cfRule>
  </conditionalFormatting>
  <conditionalFormatting sqref="L92:M92">
    <cfRule type="expression" dxfId="2965" priority="347">
      <formula>L$9&gt;=20/24</formula>
    </cfRule>
    <cfRule type="expression" dxfId="2964" priority="348">
      <formula>AND(L$9&gt;=14/24,L$9&lt;20/24)</formula>
    </cfRule>
    <cfRule type="expression" dxfId="2963" priority="349">
      <formula>AND(L$9&gt;=8/24,L$9&lt;14/24)</formula>
    </cfRule>
    <cfRule type="expression" dxfId="2962" priority="350">
      <formula>L$9&lt;8/24</formula>
    </cfRule>
  </conditionalFormatting>
  <conditionalFormatting sqref="T92:V92">
    <cfRule type="expression" dxfId="2961" priority="339">
      <formula>T$9&gt;=20/24</formula>
    </cfRule>
    <cfRule type="expression" dxfId="2960" priority="340">
      <formula>AND(T$9&gt;=14/24,T$9&lt;20/24)</formula>
    </cfRule>
    <cfRule type="expression" dxfId="2959" priority="341">
      <formula>AND(T$9&gt;=8/24,T$9&lt;14/24)</formula>
    </cfRule>
    <cfRule type="expression" dxfId="2958" priority="342">
      <formula>T$9&lt;8/24</formula>
    </cfRule>
  </conditionalFormatting>
  <conditionalFormatting sqref="M92:R92">
    <cfRule type="expression" dxfId="2957" priority="335">
      <formula>M$9&gt;=20/24</formula>
    </cfRule>
    <cfRule type="expression" dxfId="2956" priority="336">
      <formula>AND(M$9&gt;=14/24,M$9&lt;20/24)</formula>
    </cfRule>
    <cfRule type="expression" dxfId="2955" priority="337">
      <formula>AND(M$9&gt;=8/24,M$9&lt;14/24)</formula>
    </cfRule>
    <cfRule type="expression" dxfId="2954" priority="338">
      <formula>M$9&lt;8/24</formula>
    </cfRule>
  </conditionalFormatting>
  <conditionalFormatting sqref="AA97:AF97">
    <cfRule type="expression" dxfId="2953" priority="331">
      <formula>AA$9&gt;=20/24</formula>
    </cfRule>
    <cfRule type="expression" dxfId="2952" priority="332">
      <formula>AND(AA$9&gt;=14/24,AA$9&lt;20/24)</formula>
    </cfRule>
    <cfRule type="expression" dxfId="2951" priority="333">
      <formula>AND(AA$9&gt;=8/24,AA$9&lt;14/24)</formula>
    </cfRule>
    <cfRule type="expression" dxfId="2950" priority="334">
      <formula>AA$9&lt;8/24</formula>
    </cfRule>
  </conditionalFormatting>
  <conditionalFormatting sqref="T97:Z97">
    <cfRule type="expression" dxfId="2949" priority="327">
      <formula>T$9&gt;=20/24</formula>
    </cfRule>
    <cfRule type="expression" dxfId="2948" priority="328">
      <formula>AND(T$9&gt;=14/24,T$9&lt;20/24)</formula>
    </cfRule>
    <cfRule type="expression" dxfId="2947" priority="329">
      <formula>AND(T$9&gt;=8/24,T$9&lt;14/24)</formula>
    </cfRule>
    <cfRule type="expression" dxfId="2946" priority="330">
      <formula>T$9&lt;8/24</formula>
    </cfRule>
  </conditionalFormatting>
  <conditionalFormatting sqref="A97">
    <cfRule type="expression" dxfId="2945" priority="326">
      <formula>$AH97=0</formula>
    </cfRule>
  </conditionalFormatting>
  <conditionalFormatting sqref="L97 C97:E97">
    <cfRule type="expression" dxfId="2944" priority="322">
      <formula>C$9&gt;=20/24</formula>
    </cfRule>
    <cfRule type="expression" dxfId="2943" priority="323">
      <formula>AND(C$9&gt;=14/24,C$9&lt;20/24)</formula>
    </cfRule>
    <cfRule type="expression" dxfId="2942" priority="324">
      <formula>AND(C$9&gt;=8/24,C$9&lt;14/24)</formula>
    </cfRule>
    <cfRule type="expression" dxfId="2941" priority="325">
      <formula>C$9&lt;8/24</formula>
    </cfRule>
  </conditionalFormatting>
  <conditionalFormatting sqref="M97:Q97">
    <cfRule type="expression" dxfId="2940" priority="318">
      <formula>M$9&gt;=20/24</formula>
    </cfRule>
    <cfRule type="expression" dxfId="2939" priority="319">
      <formula>AND(M$9&gt;=14/24,M$9&lt;20/24)</formula>
    </cfRule>
    <cfRule type="expression" dxfId="2938" priority="320">
      <formula>AND(M$9&gt;=8/24,M$9&lt;14/24)</formula>
    </cfRule>
    <cfRule type="expression" dxfId="2937" priority="321">
      <formula>M$9&lt;8/24</formula>
    </cfRule>
  </conditionalFormatting>
  <conditionalFormatting sqref="R97">
    <cfRule type="expression" dxfId="2936" priority="314">
      <formula>R$9&gt;=20/24</formula>
    </cfRule>
    <cfRule type="expression" dxfId="2935" priority="315">
      <formula>AND(R$9&gt;=14/24,R$9&lt;20/24)</formula>
    </cfRule>
    <cfRule type="expression" dxfId="2934" priority="316">
      <formula>AND(R$9&gt;=8/24,R$9&lt;14/24)</formula>
    </cfRule>
    <cfRule type="expression" dxfId="2933" priority="317">
      <formula>R$9&lt;8/24</formula>
    </cfRule>
  </conditionalFormatting>
  <conditionalFormatting sqref="R12:X15">
    <cfRule type="expression" dxfId="2932" priority="310">
      <formula>R$9&gt;=20/24</formula>
    </cfRule>
    <cfRule type="expression" dxfId="2931" priority="311">
      <formula>AND(R$9&gt;=14/24,R$9&lt;20/24)</formula>
    </cfRule>
    <cfRule type="expression" dxfId="2930" priority="312">
      <formula>AND(R$9&gt;=8/24,R$9&lt;14/24)</formula>
    </cfRule>
    <cfRule type="expression" dxfId="2929" priority="313">
      <formula>R$9&lt;8/24</formula>
    </cfRule>
  </conditionalFormatting>
  <conditionalFormatting sqref="R16 T16:X16">
    <cfRule type="expression" dxfId="2928" priority="306">
      <formula>R$9&gt;=20/24</formula>
    </cfRule>
    <cfRule type="expression" dxfId="2927" priority="307">
      <formula>AND(R$9&gt;=14/24,R$9&lt;20/24)</formula>
    </cfRule>
    <cfRule type="expression" dxfId="2926" priority="308">
      <formula>AND(R$9&gt;=8/24,R$9&lt;14/24)</formula>
    </cfRule>
    <cfRule type="expression" dxfId="2925" priority="309">
      <formula>R$9&lt;8/24</formula>
    </cfRule>
  </conditionalFormatting>
  <conditionalFormatting sqref="R12:X12">
    <cfRule type="expression" dxfId="2924" priority="302">
      <formula>R$9&gt;=20/24</formula>
    </cfRule>
    <cfRule type="expression" dxfId="2923" priority="303">
      <formula>AND(R$9&gt;=14/24,R$9&lt;20/24)</formula>
    </cfRule>
    <cfRule type="expression" dxfId="2922" priority="304">
      <formula>AND(R$9&gt;=8/24,R$9&lt;14/24)</formula>
    </cfRule>
    <cfRule type="expression" dxfId="2921" priority="305">
      <formula>R$9&lt;8/24</formula>
    </cfRule>
  </conditionalFormatting>
  <conditionalFormatting sqref="AA56:AD57">
    <cfRule type="expression" dxfId="2920" priority="298">
      <formula>AA$9&gt;=20/24</formula>
    </cfRule>
    <cfRule type="expression" dxfId="2919" priority="299">
      <formula>AND(AA$9&gt;=14/24,AA$9&lt;20/24)</formula>
    </cfRule>
    <cfRule type="expression" dxfId="2918" priority="300">
      <formula>AND(AA$9&gt;=8/24,AA$9&lt;14/24)</formula>
    </cfRule>
    <cfRule type="expression" dxfId="2917" priority="301">
      <formula>AA$9&lt;8/24</formula>
    </cfRule>
  </conditionalFormatting>
  <conditionalFormatting sqref="B66:B70 B54:B59 B72:B76 B78:B80">
    <cfRule type="expression" dxfId="2916" priority="218">
      <formula>B$9&gt;=20/24</formula>
    </cfRule>
    <cfRule type="expression" dxfId="2915" priority="219">
      <formula>AND(B$9&gt;=14/24,B$9&lt;20/24)</formula>
    </cfRule>
    <cfRule type="expression" dxfId="2914" priority="220">
      <formula>AND(B$9&gt;=8/24,B$9&lt;14/24)</formula>
    </cfRule>
    <cfRule type="expression" dxfId="2913" priority="221">
      <formula>B$9&lt;8/24</formula>
    </cfRule>
  </conditionalFormatting>
  <conditionalFormatting sqref="B60">
    <cfRule type="expression" dxfId="2912" priority="214">
      <formula>B$9&gt;=20/24</formula>
    </cfRule>
    <cfRule type="expression" dxfId="2911" priority="215">
      <formula>AND(B$9&gt;=14/24,B$9&lt;20/24)</formula>
    </cfRule>
    <cfRule type="expression" dxfId="2910" priority="216">
      <formula>AND(B$9&gt;=8/24,B$9&lt;14/24)</formula>
    </cfRule>
    <cfRule type="expression" dxfId="2909" priority="217">
      <formula>B$9&lt;8/24</formula>
    </cfRule>
  </conditionalFormatting>
  <conditionalFormatting sqref="B33:B41 B43:B54 B15:E31 B11:E13 C33:E35 C41:E41 C43:E48 C51:E53">
    <cfRule type="expression" dxfId="2908" priority="213">
      <formula>B11&gt;$AG11</formula>
    </cfRule>
  </conditionalFormatting>
  <conditionalFormatting sqref="B34:E34">
    <cfRule type="expression" dxfId="2907" priority="209">
      <formula>B$9&gt;=20/24</formula>
    </cfRule>
    <cfRule type="expression" dxfId="2906" priority="210">
      <formula>AND(B$9&gt;=14/24,B$9&lt;20/24)</formula>
    </cfRule>
    <cfRule type="expression" dxfId="2905" priority="211">
      <formula>AND(B$9&gt;=8/24,B$9&lt;14/24)</formula>
    </cfRule>
    <cfRule type="expression" dxfId="2904" priority="212">
      <formula>B$9&lt;8/24</formula>
    </cfRule>
  </conditionalFormatting>
  <conditionalFormatting sqref="B61:B65">
    <cfRule type="expression" dxfId="2903" priority="205">
      <formula>B$9&gt;=20/24</formula>
    </cfRule>
    <cfRule type="expression" dxfId="2902" priority="206">
      <formula>AND(B$9&gt;=14/24,B$9&lt;20/24)</formula>
    </cfRule>
    <cfRule type="expression" dxfId="2901" priority="207">
      <formula>AND(B$9&gt;=8/24,B$9&lt;14/24)</formula>
    </cfRule>
    <cfRule type="expression" dxfId="2900" priority="208">
      <formula>B$9&lt;8/24</formula>
    </cfRule>
  </conditionalFormatting>
  <conditionalFormatting sqref="B32:E32">
    <cfRule type="expression" dxfId="2899" priority="204">
      <formula>B32&gt;$AG32</formula>
    </cfRule>
  </conditionalFormatting>
  <conditionalFormatting sqref="B81">
    <cfRule type="expression" dxfId="2898" priority="200">
      <formula>B$9&gt;=20/24</formula>
    </cfRule>
    <cfRule type="expression" dxfId="2897" priority="201">
      <formula>AND(B$9&gt;=14/24,B$9&lt;20/24)</formula>
    </cfRule>
    <cfRule type="expression" dxfId="2896" priority="202">
      <formula>AND(B$9&gt;=8/24,B$9&lt;14/24)</formula>
    </cfRule>
    <cfRule type="expression" dxfId="2895" priority="203">
      <formula>B$9&lt;8/24</formula>
    </cfRule>
  </conditionalFormatting>
  <conditionalFormatting sqref="B14:E14">
    <cfRule type="expression" dxfId="2894" priority="199">
      <formula>B14&gt;$AG14</formula>
    </cfRule>
  </conditionalFormatting>
  <conditionalFormatting sqref="B42:E42">
    <cfRule type="expression" dxfId="2893" priority="198">
      <formula>B42&gt;$AG42</formula>
    </cfRule>
  </conditionalFormatting>
  <conditionalFormatting sqref="B77">
    <cfRule type="expression" dxfId="2892" priority="194">
      <formula>B$9&gt;=20/24</formula>
    </cfRule>
    <cfRule type="expression" dxfId="2891" priority="195">
      <formula>AND(B$9&gt;=14/24,B$9&lt;20/24)</formula>
    </cfRule>
    <cfRule type="expression" dxfId="2890" priority="196">
      <formula>AND(B$9&gt;=8/24,B$9&lt;14/24)</formula>
    </cfRule>
    <cfRule type="expression" dxfId="2889" priority="197">
      <formula>B$9&lt;8/24</formula>
    </cfRule>
  </conditionalFormatting>
  <conditionalFormatting sqref="B71">
    <cfRule type="expression" dxfId="2888" priority="190">
      <formula>B$9&gt;=20/24</formula>
    </cfRule>
    <cfRule type="expression" dxfId="2887" priority="191">
      <formula>AND(B$9&gt;=14/24,B$9&lt;20/24)</formula>
    </cfRule>
    <cfRule type="expression" dxfId="2886" priority="192">
      <formula>AND(B$9&gt;=8/24,B$9&lt;14/24)</formula>
    </cfRule>
    <cfRule type="expression" dxfId="2885" priority="193">
      <formula>B$9&lt;8/24</formula>
    </cfRule>
  </conditionalFormatting>
  <conditionalFormatting sqref="B82:B89">
    <cfRule type="expression" dxfId="2884" priority="186">
      <formula>B$9&gt;=20/24</formula>
    </cfRule>
    <cfRule type="expression" dxfId="2883" priority="187">
      <formula>AND(B$9&gt;=14/24,B$9&lt;20/24)</formula>
    </cfRule>
    <cfRule type="expression" dxfId="2882" priority="188">
      <formula>AND(B$9&gt;=8/24,B$9&lt;14/24)</formula>
    </cfRule>
    <cfRule type="expression" dxfId="2881" priority="189">
      <formula>B$9&lt;8/24</formula>
    </cfRule>
  </conditionalFormatting>
  <conditionalFormatting sqref="B92:B95">
    <cfRule type="expression" dxfId="2880" priority="182">
      <formula>B$9&gt;=20/24</formula>
    </cfRule>
    <cfRule type="expression" dxfId="2879" priority="183">
      <formula>AND(B$9&gt;=14/24,B$9&lt;20/24)</formula>
    </cfRule>
    <cfRule type="expression" dxfId="2878" priority="184">
      <formula>AND(B$9&gt;=8/24,B$9&lt;14/24)</formula>
    </cfRule>
    <cfRule type="expression" dxfId="2877" priority="185">
      <formula>B$9&lt;8/24</formula>
    </cfRule>
  </conditionalFormatting>
  <conditionalFormatting sqref="B96">
    <cfRule type="expression" dxfId="2876" priority="178">
      <formula>B$9&gt;=20/24</formula>
    </cfRule>
    <cfRule type="expression" dxfId="2875" priority="179">
      <formula>AND(B$9&gt;=14/24,B$9&lt;20/24)</formula>
    </cfRule>
    <cfRule type="expression" dxfId="2874" priority="180">
      <formula>AND(B$9&gt;=8/24,B$9&lt;14/24)</formula>
    </cfRule>
    <cfRule type="expression" dxfId="2873" priority="181">
      <formula>B$9&lt;8/24</formula>
    </cfRule>
  </conditionalFormatting>
  <conditionalFormatting sqref="B97">
    <cfRule type="expression" dxfId="2872" priority="174">
      <formula>B$9&gt;=20/24</formula>
    </cfRule>
    <cfRule type="expression" dxfId="2871" priority="175">
      <formula>AND(B$9&gt;=14/24,B$9&lt;20/24)</formula>
    </cfRule>
    <cfRule type="expression" dxfId="2870" priority="176">
      <formula>AND(B$9&gt;=8/24,B$9&lt;14/24)</formula>
    </cfRule>
    <cfRule type="expression" dxfId="2869" priority="177">
      <formula>B$9&lt;8/24</formula>
    </cfRule>
  </conditionalFormatting>
  <conditionalFormatting sqref="G15:K31 G11:K13 G33:K35">
    <cfRule type="expression" dxfId="2868" priority="173">
      <formula>G11&gt;$AG11</formula>
    </cfRule>
  </conditionalFormatting>
  <conditionalFormatting sqref="G34:K34">
    <cfRule type="expression" dxfId="2867" priority="169">
      <formula>G$9&gt;=20/24</formula>
    </cfRule>
    <cfRule type="expression" dxfId="2866" priority="170">
      <formula>AND(G$9&gt;=14/24,G$9&lt;20/24)</formula>
    </cfRule>
    <cfRule type="expression" dxfId="2865" priority="171">
      <formula>AND(G$9&gt;=8/24,G$9&lt;14/24)</formula>
    </cfRule>
    <cfRule type="expression" dxfId="2864" priority="172">
      <formula>G$9&lt;8/24</formula>
    </cfRule>
  </conditionalFormatting>
  <conditionalFormatting sqref="G32:K32">
    <cfRule type="expression" dxfId="2863" priority="168">
      <formula>G32&gt;$AG32</formula>
    </cfRule>
  </conditionalFormatting>
  <conditionalFormatting sqref="G14:K14">
    <cfRule type="expression" dxfId="2862" priority="167">
      <formula>G14&gt;$AG14</formula>
    </cfRule>
  </conditionalFormatting>
  <conditionalFormatting sqref="G37:G40">
    <cfRule type="expression" dxfId="2861" priority="166">
      <formula>G37&gt;$AG37</formula>
    </cfRule>
  </conditionalFormatting>
  <conditionalFormatting sqref="G41 G43:G48">
    <cfRule type="expression" dxfId="2860" priority="165">
      <formula>G41&gt;$AG41</formula>
    </cfRule>
  </conditionalFormatting>
  <conditionalFormatting sqref="G42">
    <cfRule type="expression" dxfId="2859" priority="164">
      <formula>G42&gt;$AG42</formula>
    </cfRule>
  </conditionalFormatting>
  <conditionalFormatting sqref="G51:G53">
    <cfRule type="expression" dxfId="2858" priority="163">
      <formula>G51&gt;$AG51</formula>
    </cfRule>
  </conditionalFormatting>
  <conditionalFormatting sqref="G55:K59 G61:K65">
    <cfRule type="expression" dxfId="2857" priority="159">
      <formula>G$9&gt;=20/24</formula>
    </cfRule>
    <cfRule type="expression" dxfId="2856" priority="160">
      <formula>AND(G$9&gt;=14/24,G$9&lt;20/24)</formula>
    </cfRule>
    <cfRule type="expression" dxfId="2855" priority="161">
      <formula>AND(G$9&gt;=8/24,G$9&lt;14/24)</formula>
    </cfRule>
    <cfRule type="expression" dxfId="2854" priority="162">
      <formula>G$9&lt;8/24</formula>
    </cfRule>
  </conditionalFormatting>
  <conditionalFormatting sqref="G60:K60">
    <cfRule type="expression" dxfId="2853" priority="155">
      <formula>G$9&gt;=20/24</formula>
    </cfRule>
    <cfRule type="expression" dxfId="2852" priority="156">
      <formula>AND(G$9&gt;=14/24,G$9&lt;20/24)</formula>
    </cfRule>
    <cfRule type="expression" dxfId="2851" priority="157">
      <formula>AND(G$9&gt;=8/24,G$9&lt;14/24)</formula>
    </cfRule>
    <cfRule type="expression" dxfId="2850" priority="158">
      <formula>G$9&lt;8/24</formula>
    </cfRule>
  </conditionalFormatting>
  <conditionalFormatting sqref="F92:F95">
    <cfRule type="expression" dxfId="2849" priority="151">
      <formula>F$9&gt;=20/24</formula>
    </cfRule>
    <cfRule type="expression" dxfId="2848" priority="152">
      <formula>AND(F$9&gt;=14/24,F$9&lt;20/24)</formula>
    </cfRule>
    <cfRule type="expression" dxfId="2847" priority="153">
      <formula>AND(F$9&gt;=8/24,F$9&lt;14/24)</formula>
    </cfRule>
    <cfRule type="expression" dxfId="2846" priority="154">
      <formula>F$9&lt;8/24</formula>
    </cfRule>
  </conditionalFormatting>
  <conditionalFormatting sqref="F96">
    <cfRule type="expression" dxfId="2845" priority="147">
      <formula>F$9&gt;=20/24</formula>
    </cfRule>
    <cfRule type="expression" dxfId="2844" priority="148">
      <formula>AND(F$9&gt;=14/24,F$9&lt;20/24)</formula>
    </cfRule>
    <cfRule type="expression" dxfId="2843" priority="149">
      <formula>AND(F$9&gt;=8/24,F$9&lt;14/24)</formula>
    </cfRule>
    <cfRule type="expression" dxfId="2842" priority="150">
      <formula>F$9&lt;8/24</formula>
    </cfRule>
  </conditionalFormatting>
  <conditionalFormatting sqref="F97">
    <cfRule type="expression" dxfId="2841" priority="143">
      <formula>F$9&gt;=20/24</formula>
    </cfRule>
    <cfRule type="expression" dxfId="2840" priority="144">
      <formula>AND(F$9&gt;=14/24,F$9&lt;20/24)</formula>
    </cfRule>
    <cfRule type="expression" dxfId="2839" priority="145">
      <formula>AND(F$9&gt;=8/24,F$9&lt;14/24)</formula>
    </cfRule>
    <cfRule type="expression" dxfId="2838" priority="146">
      <formula>F$9&lt;8/24</formula>
    </cfRule>
  </conditionalFormatting>
  <conditionalFormatting sqref="H92:K95">
    <cfRule type="expression" dxfId="2837" priority="139">
      <formula>H$9&gt;=20/24</formula>
    </cfRule>
    <cfRule type="expression" dxfId="2836" priority="140">
      <formula>AND(H$9&gt;=14/24,H$9&lt;20/24)</formula>
    </cfRule>
    <cfRule type="expression" dxfId="2835" priority="141">
      <formula>AND(H$9&gt;=8/24,H$9&lt;14/24)</formula>
    </cfRule>
    <cfRule type="expression" dxfId="2834" priority="142">
      <formula>H$9&lt;8/24</formula>
    </cfRule>
  </conditionalFormatting>
  <conditionalFormatting sqref="H96:K96">
    <cfRule type="expression" dxfId="2833" priority="135">
      <formula>H$9&gt;=20/24</formula>
    </cfRule>
    <cfRule type="expression" dxfId="2832" priority="136">
      <formula>AND(H$9&gt;=14/24,H$9&lt;20/24)</formula>
    </cfRule>
    <cfRule type="expression" dxfId="2831" priority="137">
      <formula>AND(H$9&gt;=8/24,H$9&lt;14/24)</formula>
    </cfRule>
    <cfRule type="expression" dxfId="2830" priority="138">
      <formula>H$9&lt;8/24</formula>
    </cfRule>
  </conditionalFormatting>
  <conditionalFormatting sqref="H97:K97">
    <cfRule type="expression" dxfId="2829" priority="131">
      <formula>H$9&gt;=20/24</formula>
    </cfRule>
    <cfRule type="expression" dxfId="2828" priority="132">
      <formula>AND(H$9&gt;=14/24,H$9&lt;20/24)</formula>
    </cfRule>
    <cfRule type="expression" dxfId="2827" priority="133">
      <formula>AND(H$9&gt;=8/24,H$9&lt;14/24)</formula>
    </cfRule>
    <cfRule type="expression" dxfId="2826" priority="134">
      <formula>H$9&lt;8/24</formula>
    </cfRule>
  </conditionalFormatting>
  <conditionalFormatting sqref="G92:G95">
    <cfRule type="expression" dxfId="2825" priority="127">
      <formula>G$9&gt;=20/24</formula>
    </cfRule>
    <cfRule type="expression" dxfId="2824" priority="128">
      <formula>AND(G$9&gt;=14/24,G$9&lt;20/24)</formula>
    </cfRule>
    <cfRule type="expression" dxfId="2823" priority="129">
      <formula>AND(G$9&gt;=8/24,G$9&lt;14/24)</formula>
    </cfRule>
    <cfRule type="expression" dxfId="2822" priority="130">
      <formula>G$9&lt;8/24</formula>
    </cfRule>
  </conditionalFormatting>
  <conditionalFormatting sqref="G96">
    <cfRule type="expression" dxfId="2821" priority="123">
      <formula>G$9&gt;=20/24</formula>
    </cfRule>
    <cfRule type="expression" dxfId="2820" priority="124">
      <formula>AND(G$9&gt;=14/24,G$9&lt;20/24)</formula>
    </cfRule>
    <cfRule type="expression" dxfId="2819" priority="125">
      <formula>AND(G$9&gt;=8/24,G$9&lt;14/24)</formula>
    </cfRule>
    <cfRule type="expression" dxfId="2818" priority="126">
      <formula>G$9&lt;8/24</formula>
    </cfRule>
  </conditionalFormatting>
  <conditionalFormatting sqref="G97">
    <cfRule type="expression" dxfId="2817" priority="119">
      <formula>G$9&gt;=20/24</formula>
    </cfRule>
    <cfRule type="expression" dxfId="2816" priority="120">
      <formula>AND(G$9&gt;=14/24,G$9&lt;20/24)</formula>
    </cfRule>
    <cfRule type="expression" dxfId="2815" priority="121">
      <formula>AND(G$9&gt;=8/24,G$9&lt;14/24)</formula>
    </cfRule>
    <cfRule type="expression" dxfId="2814" priority="122">
      <formula>G$9&lt;8/24</formula>
    </cfRule>
  </conditionalFormatting>
  <conditionalFormatting sqref="F19">
    <cfRule type="expression" dxfId="2813" priority="118">
      <formula>F19&gt;$AG19</formula>
    </cfRule>
  </conditionalFormatting>
  <conditionalFormatting sqref="P28:P29 P31">
    <cfRule type="expression" dxfId="2812" priority="114">
      <formula>P$9&gt;=20/24</formula>
    </cfRule>
    <cfRule type="expression" dxfId="2811" priority="115">
      <formula>AND(P$9&gt;=14/24,P$9&lt;20/24)</formula>
    </cfRule>
    <cfRule type="expression" dxfId="2810" priority="116">
      <formula>AND(P$9&gt;=8/24,P$9&lt;14/24)</formula>
    </cfRule>
    <cfRule type="expression" dxfId="2809" priority="117">
      <formula>P$9&lt;8/24</formula>
    </cfRule>
  </conditionalFormatting>
  <conditionalFormatting sqref="P33">
    <cfRule type="expression" dxfId="2808" priority="110">
      <formula>P$9&gt;=20/24</formula>
    </cfRule>
    <cfRule type="expression" dxfId="2807" priority="111">
      <formula>AND(P$9&gt;=14/24,P$9&lt;20/24)</formula>
    </cfRule>
    <cfRule type="expression" dxfId="2806" priority="112">
      <formula>AND(P$9&gt;=8/24,P$9&lt;14/24)</formula>
    </cfRule>
    <cfRule type="expression" dxfId="2805" priority="113">
      <formula>P$9&lt;8/24</formula>
    </cfRule>
  </conditionalFormatting>
  <conditionalFormatting sqref="P28:P29 P33:P34 P31">
    <cfRule type="expression" dxfId="2804" priority="109">
      <formula>P28&gt;$AG28</formula>
    </cfRule>
  </conditionalFormatting>
  <conditionalFormatting sqref="P34">
    <cfRule type="expression" dxfId="2803" priority="105">
      <formula>P$9&gt;=20/24</formula>
    </cfRule>
    <cfRule type="expression" dxfId="2802" priority="106">
      <formula>AND(P$9&gt;=14/24,P$9&lt;20/24)</formula>
    </cfRule>
    <cfRule type="expression" dxfId="2801" priority="107">
      <formula>AND(P$9&gt;=8/24,P$9&lt;14/24)</formula>
    </cfRule>
    <cfRule type="expression" dxfId="2800" priority="108">
      <formula>P$9&lt;8/24</formula>
    </cfRule>
  </conditionalFormatting>
  <conditionalFormatting sqref="P32">
    <cfRule type="expression" dxfId="2799" priority="101">
      <formula>P$9&gt;=20/24</formula>
    </cfRule>
    <cfRule type="expression" dxfId="2798" priority="102">
      <formula>AND(P$9&gt;=14/24,P$9&lt;20/24)</formula>
    </cfRule>
    <cfRule type="expression" dxfId="2797" priority="103">
      <formula>AND(P$9&gt;=8/24,P$9&lt;14/24)</formula>
    </cfRule>
    <cfRule type="expression" dxfId="2796" priority="104">
      <formula>P$9&lt;8/24</formula>
    </cfRule>
  </conditionalFormatting>
  <conditionalFormatting sqref="P32">
    <cfRule type="expression" dxfId="2795" priority="100">
      <formula>P32&gt;$AG32</formula>
    </cfRule>
  </conditionalFormatting>
  <conditionalFormatting sqref="Q35 Q21:Q27">
    <cfRule type="expression" dxfId="2794" priority="96">
      <formula>Q$9&gt;=20/24</formula>
    </cfRule>
    <cfRule type="expression" dxfId="2793" priority="97">
      <formula>AND(Q$9&gt;=14/24,Q$9&lt;20/24)</formula>
    </cfRule>
    <cfRule type="expression" dxfId="2792" priority="98">
      <formula>AND(Q$9&gt;=8/24,Q$9&lt;14/24)</formula>
    </cfRule>
    <cfRule type="expression" dxfId="2791" priority="99">
      <formula>Q$9&lt;8/24</formula>
    </cfRule>
  </conditionalFormatting>
  <conditionalFormatting sqref="Q35 Q21:Q27">
    <cfRule type="expression" dxfId="2790" priority="95">
      <formula>Q21&gt;$AG21</formula>
    </cfRule>
  </conditionalFormatting>
  <conditionalFormatting sqref="Q28:Q29 Q31">
    <cfRule type="expression" dxfId="2789" priority="91">
      <formula>Q$9&gt;=20/24</formula>
    </cfRule>
    <cfRule type="expression" dxfId="2788" priority="92">
      <formula>AND(Q$9&gt;=14/24,Q$9&lt;20/24)</formula>
    </cfRule>
    <cfRule type="expression" dxfId="2787" priority="93">
      <formula>AND(Q$9&gt;=8/24,Q$9&lt;14/24)</formula>
    </cfRule>
    <cfRule type="expression" dxfId="2786" priority="94">
      <formula>Q$9&lt;8/24</formula>
    </cfRule>
  </conditionalFormatting>
  <conditionalFormatting sqref="Q33">
    <cfRule type="expression" dxfId="2785" priority="87">
      <formula>Q$9&gt;=20/24</formula>
    </cfRule>
    <cfRule type="expression" dxfId="2784" priority="88">
      <formula>AND(Q$9&gt;=14/24,Q$9&lt;20/24)</formula>
    </cfRule>
    <cfRule type="expression" dxfId="2783" priority="89">
      <formula>AND(Q$9&gt;=8/24,Q$9&lt;14/24)</formula>
    </cfRule>
    <cfRule type="expression" dxfId="2782" priority="90">
      <formula>Q$9&lt;8/24</formula>
    </cfRule>
  </conditionalFormatting>
  <conditionalFormatting sqref="Q28:Q29 Q33:Q34 Q31">
    <cfRule type="expression" dxfId="2781" priority="86">
      <formula>Q28&gt;$AG28</formula>
    </cfRule>
  </conditionalFormatting>
  <conditionalFormatting sqref="Q34">
    <cfRule type="expression" dxfId="2780" priority="82">
      <formula>Q$9&gt;=20/24</formula>
    </cfRule>
    <cfRule type="expression" dxfId="2779" priority="83">
      <formula>AND(Q$9&gt;=14/24,Q$9&lt;20/24)</formula>
    </cfRule>
    <cfRule type="expression" dxfId="2778" priority="84">
      <formula>AND(Q$9&gt;=8/24,Q$9&lt;14/24)</formula>
    </cfRule>
    <cfRule type="expression" dxfId="2777" priority="85">
      <formula>Q$9&lt;8/24</formula>
    </cfRule>
  </conditionalFormatting>
  <conditionalFormatting sqref="Q32">
    <cfRule type="expression" dxfId="2776" priority="78">
      <formula>Q$9&gt;=20/24</formula>
    </cfRule>
    <cfRule type="expression" dxfId="2775" priority="79">
      <formula>AND(Q$9&gt;=14/24,Q$9&lt;20/24)</formula>
    </cfRule>
    <cfRule type="expression" dxfId="2774" priority="80">
      <formula>AND(Q$9&gt;=8/24,Q$9&lt;14/24)</formula>
    </cfRule>
    <cfRule type="expression" dxfId="2773" priority="81">
      <formula>Q$9&lt;8/24</formula>
    </cfRule>
  </conditionalFormatting>
  <conditionalFormatting sqref="Q32">
    <cfRule type="expression" dxfId="2772" priority="77">
      <formula>Q32&gt;$AG32</formula>
    </cfRule>
  </conditionalFormatting>
  <conditionalFormatting sqref="S17:S29">
    <cfRule type="expression" dxfId="2771" priority="73">
      <formula>S$9&gt;=20/24</formula>
    </cfRule>
    <cfRule type="expression" dxfId="2770" priority="74">
      <formula>AND(S$9&gt;=14/24,S$9&lt;20/24)</formula>
    </cfRule>
    <cfRule type="expression" dxfId="2769" priority="75">
      <formula>AND(S$9&gt;=8/24,S$9&lt;14/24)</formula>
    </cfRule>
    <cfRule type="expression" dxfId="2768" priority="76">
      <formula>S$9&lt;8/24</formula>
    </cfRule>
  </conditionalFormatting>
  <conditionalFormatting sqref="S35">
    <cfRule type="expression" dxfId="2767" priority="69">
      <formula>S$9&gt;=20/24</formula>
    </cfRule>
    <cfRule type="expression" dxfId="2766" priority="70">
      <formula>AND(S$9&gt;=14/24,S$9&lt;20/24)</formula>
    </cfRule>
    <cfRule type="expression" dxfId="2765" priority="71">
      <formula>AND(S$9&gt;=8/24,S$9&lt;14/24)</formula>
    </cfRule>
    <cfRule type="expression" dxfId="2764" priority="72">
      <formula>S$9&lt;8/24</formula>
    </cfRule>
  </conditionalFormatting>
  <conditionalFormatting sqref="S30:S31 S33">
    <cfRule type="expression" dxfId="2763" priority="65">
      <formula>S$9&gt;=20/24</formula>
    </cfRule>
    <cfRule type="expression" dxfId="2762" priority="66">
      <formula>AND(S$9&gt;=14/24,S$9&lt;20/24)</formula>
    </cfRule>
    <cfRule type="expression" dxfId="2761" priority="67">
      <formula>AND(S$9&gt;=8/24,S$9&lt;14/24)</formula>
    </cfRule>
    <cfRule type="expression" dxfId="2760" priority="68">
      <formula>S$9&lt;8/24</formula>
    </cfRule>
  </conditionalFormatting>
  <conditionalFormatting sqref="S17:S31 S33:S35">
    <cfRule type="expression" dxfId="2759" priority="64">
      <formula>S17&gt;$AG17</formula>
    </cfRule>
  </conditionalFormatting>
  <conditionalFormatting sqref="S34">
    <cfRule type="expression" dxfId="2758" priority="60">
      <formula>S$9&gt;=20/24</formula>
    </cfRule>
    <cfRule type="expression" dxfId="2757" priority="61">
      <formula>AND(S$9&gt;=14/24,S$9&lt;20/24)</formula>
    </cfRule>
    <cfRule type="expression" dxfId="2756" priority="62">
      <formula>AND(S$9&gt;=8/24,S$9&lt;14/24)</formula>
    </cfRule>
    <cfRule type="expression" dxfId="2755" priority="63">
      <formula>S$9&lt;8/24</formula>
    </cfRule>
  </conditionalFormatting>
  <conditionalFormatting sqref="S34">
    <cfRule type="expression" dxfId="2754" priority="56">
      <formula>S$9&gt;=20/24</formula>
    </cfRule>
    <cfRule type="expression" dxfId="2753" priority="57">
      <formula>AND(S$9&gt;=14/24,S$9&lt;20/24)</formula>
    </cfRule>
    <cfRule type="expression" dxfId="2752" priority="58">
      <formula>AND(S$9&gt;=8/24,S$9&lt;14/24)</formula>
    </cfRule>
    <cfRule type="expression" dxfId="2751" priority="59">
      <formula>S$9&lt;8/24</formula>
    </cfRule>
  </conditionalFormatting>
  <conditionalFormatting sqref="S32">
    <cfRule type="expression" dxfId="2750" priority="52">
      <formula>S$9&gt;=20/24</formula>
    </cfRule>
    <cfRule type="expression" dxfId="2749" priority="53">
      <formula>AND(S$9&gt;=14/24,S$9&lt;20/24)</formula>
    </cfRule>
    <cfRule type="expression" dxfId="2748" priority="54">
      <formula>AND(S$9&gt;=8/24,S$9&lt;14/24)</formula>
    </cfRule>
    <cfRule type="expression" dxfId="2747" priority="55">
      <formula>S$9&lt;8/24</formula>
    </cfRule>
  </conditionalFormatting>
  <conditionalFormatting sqref="S32">
    <cfRule type="expression" dxfId="2746" priority="51">
      <formula>S32&gt;$AG32</formula>
    </cfRule>
  </conditionalFormatting>
  <conditionalFormatting sqref="S16">
    <cfRule type="expression" dxfId="2745" priority="47">
      <formula>S$9&gt;=20/24</formula>
    </cfRule>
    <cfRule type="expression" dxfId="2744" priority="48">
      <formula>AND(S$9&gt;=14/24,S$9&lt;20/24)</formula>
    </cfRule>
    <cfRule type="expression" dxfId="2743" priority="49">
      <formula>AND(S$9&gt;=8/24,S$9&lt;14/24)</formula>
    </cfRule>
    <cfRule type="expression" dxfId="2742" priority="50">
      <formula>S$9&lt;8/24</formula>
    </cfRule>
  </conditionalFormatting>
  <conditionalFormatting sqref="T17:X29">
    <cfRule type="expression" dxfId="2741" priority="43">
      <formula>T$9&gt;=20/24</formula>
    </cfRule>
    <cfRule type="expression" dxfId="2740" priority="44">
      <formula>AND(T$9&gt;=14/24,T$9&lt;20/24)</formula>
    </cfRule>
    <cfRule type="expression" dxfId="2739" priority="45">
      <formula>AND(T$9&gt;=8/24,T$9&lt;14/24)</formula>
    </cfRule>
    <cfRule type="expression" dxfId="2738" priority="46">
      <formula>T$9&lt;8/24</formula>
    </cfRule>
  </conditionalFormatting>
  <conditionalFormatting sqref="T30:X31 T33:X33">
    <cfRule type="expression" dxfId="2737" priority="39">
      <formula>T$9&gt;=20/24</formula>
    </cfRule>
    <cfRule type="expression" dxfId="2736" priority="40">
      <formula>AND(T$9&gt;=14/24,T$9&lt;20/24)</formula>
    </cfRule>
    <cfRule type="expression" dxfId="2735" priority="41">
      <formula>AND(T$9&gt;=8/24,T$9&lt;14/24)</formula>
    </cfRule>
    <cfRule type="expression" dxfId="2734" priority="42">
      <formula>T$9&lt;8/24</formula>
    </cfRule>
  </conditionalFormatting>
  <conditionalFormatting sqref="T33:W34 X33 T17:X31">
    <cfRule type="expression" dxfId="2733" priority="38">
      <formula>T17&gt;$AG17</formula>
    </cfRule>
  </conditionalFormatting>
  <conditionalFormatting sqref="T34:W34">
    <cfRule type="expression" dxfId="2732" priority="34">
      <formula>T$9&gt;=20/24</formula>
    </cfRule>
    <cfRule type="expression" dxfId="2731" priority="35">
      <formula>AND(T$9&gt;=14/24,T$9&lt;20/24)</formula>
    </cfRule>
    <cfRule type="expression" dxfId="2730" priority="36">
      <formula>AND(T$9&gt;=8/24,T$9&lt;14/24)</formula>
    </cfRule>
    <cfRule type="expression" dxfId="2729" priority="37">
      <formula>T$9&lt;8/24</formula>
    </cfRule>
  </conditionalFormatting>
  <conditionalFormatting sqref="T34:W34">
    <cfRule type="expression" dxfId="2728" priority="30">
      <formula>T$9&gt;=20/24</formula>
    </cfRule>
    <cfRule type="expression" dxfId="2727" priority="31">
      <formula>AND(T$9&gt;=14/24,T$9&lt;20/24)</formula>
    </cfRule>
    <cfRule type="expression" dxfId="2726" priority="32">
      <formula>AND(T$9&gt;=8/24,T$9&lt;14/24)</formula>
    </cfRule>
    <cfRule type="expression" dxfId="2725" priority="33">
      <formula>T$9&lt;8/24</formula>
    </cfRule>
  </conditionalFormatting>
  <conditionalFormatting sqref="T32:X32">
    <cfRule type="expression" dxfId="2724" priority="26">
      <formula>T$9&gt;=20/24</formula>
    </cfRule>
    <cfRule type="expression" dxfId="2723" priority="27">
      <formula>AND(T$9&gt;=14/24,T$9&lt;20/24)</formula>
    </cfRule>
    <cfRule type="expression" dxfId="2722" priority="28">
      <formula>AND(T$9&gt;=8/24,T$9&lt;14/24)</formula>
    </cfRule>
    <cfRule type="expression" dxfId="2721" priority="29">
      <formula>T$9&lt;8/24</formula>
    </cfRule>
  </conditionalFormatting>
  <conditionalFormatting sqref="T32:X32">
    <cfRule type="expression" dxfId="2720" priority="25">
      <formula>T32&gt;$AG32</formula>
    </cfRule>
  </conditionalFormatting>
  <conditionalFormatting sqref="S83:S89">
    <cfRule type="expression" dxfId="2719" priority="21">
      <formula>S$9&gt;=20/24</formula>
    </cfRule>
    <cfRule type="expression" dxfId="2718" priority="22">
      <formula>AND(S$9&gt;=14/24,S$9&lt;20/24)</formula>
    </cfRule>
    <cfRule type="expression" dxfId="2717" priority="23">
      <formula>AND(S$9&gt;=8/24,S$9&lt;14/24)</formula>
    </cfRule>
    <cfRule type="expression" dxfId="2716" priority="24">
      <formula>S$9&lt;8/24</formula>
    </cfRule>
  </conditionalFormatting>
  <conditionalFormatting sqref="S82">
    <cfRule type="expression" dxfId="2715" priority="17">
      <formula>S$9&gt;=20/24</formula>
    </cfRule>
    <cfRule type="expression" dxfId="2714" priority="18">
      <formula>AND(S$9&gt;=14/24,S$9&lt;20/24)</formula>
    </cfRule>
    <cfRule type="expression" dxfId="2713" priority="19">
      <formula>AND(S$9&gt;=8/24,S$9&lt;14/24)</formula>
    </cfRule>
    <cfRule type="expression" dxfId="2712" priority="20">
      <formula>S$9&lt;8/24</formula>
    </cfRule>
  </conditionalFormatting>
  <conditionalFormatting sqref="S92:S95">
    <cfRule type="expression" dxfId="2711" priority="13">
      <formula>S$9&gt;=20/24</formula>
    </cfRule>
    <cfRule type="expression" dxfId="2710" priority="14">
      <formula>AND(S$9&gt;=14/24,S$9&lt;20/24)</formula>
    </cfRule>
    <cfRule type="expression" dxfId="2709" priority="15">
      <formula>AND(S$9&gt;=8/24,S$9&lt;14/24)</formula>
    </cfRule>
    <cfRule type="expression" dxfId="2708" priority="16">
      <formula>S$9&lt;8/24</formula>
    </cfRule>
  </conditionalFormatting>
  <conditionalFormatting sqref="S96">
    <cfRule type="expression" dxfId="2707" priority="9">
      <formula>S$9&gt;=20/24</formula>
    </cfRule>
    <cfRule type="expression" dxfId="2706" priority="10">
      <formula>AND(S$9&gt;=14/24,S$9&lt;20/24)</formula>
    </cfRule>
    <cfRule type="expression" dxfId="2705" priority="11">
      <formula>AND(S$9&gt;=8/24,S$9&lt;14/24)</formula>
    </cfRule>
    <cfRule type="expression" dxfId="2704" priority="12">
      <formula>S$9&lt;8/24</formula>
    </cfRule>
  </conditionalFormatting>
  <conditionalFormatting sqref="S92">
    <cfRule type="expression" dxfId="2703" priority="5">
      <formula>S$9&gt;=20/24</formula>
    </cfRule>
    <cfRule type="expression" dxfId="2702" priority="6">
      <formula>AND(S$9&gt;=14/24,S$9&lt;20/24)</formula>
    </cfRule>
    <cfRule type="expression" dxfId="2701" priority="7">
      <formula>AND(S$9&gt;=8/24,S$9&lt;14/24)</formula>
    </cfRule>
    <cfRule type="expression" dxfId="2700" priority="8">
      <formula>S$9&lt;8/24</formula>
    </cfRule>
  </conditionalFormatting>
  <conditionalFormatting sqref="S97">
    <cfRule type="expression" dxfId="2699" priority="1">
      <formula>S$9&gt;=20/24</formula>
    </cfRule>
    <cfRule type="expression" dxfId="2698" priority="2">
      <formula>AND(S$9&gt;=14/24,S$9&lt;20/24)</formula>
    </cfRule>
    <cfRule type="expression" dxfId="2697" priority="3">
      <formula>AND(S$9&gt;=8/24,S$9&lt;14/24)</formula>
    </cfRule>
    <cfRule type="expression" dxfId="2696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16" sqref="AB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2078/04/25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-174.3</v>
      </c>
      <c r="C5" s="32">
        <f t="shared" ref="C5:AF5" si="0">C66</f>
        <v>-204.4</v>
      </c>
      <c r="D5" s="32">
        <f t="shared" si="0"/>
        <v>-198.7</v>
      </c>
      <c r="E5" s="32">
        <f t="shared" si="0"/>
        <v>-171.1</v>
      </c>
      <c r="F5" s="32">
        <f t="shared" si="0"/>
        <v>-165.1</v>
      </c>
      <c r="G5" s="32">
        <f t="shared" si="0"/>
        <v>-187.60000000000002</v>
      </c>
      <c r="H5" s="32">
        <f t="shared" si="0"/>
        <v>-200.1</v>
      </c>
      <c r="I5" s="32">
        <f t="shared" si="0"/>
        <v>-185.6</v>
      </c>
      <c r="J5" s="32">
        <f t="shared" si="0"/>
        <v>-140.6</v>
      </c>
      <c r="K5" s="32">
        <f t="shared" si="0"/>
        <v>-126.4</v>
      </c>
      <c r="L5" s="32">
        <f t="shared" si="0"/>
        <v>-136.80000000000001</v>
      </c>
      <c r="M5" s="32">
        <f t="shared" si="0"/>
        <v>-138.80000000000001</v>
      </c>
      <c r="N5" s="32">
        <f t="shared" si="0"/>
        <v>-136.30000000000001</v>
      </c>
      <c r="O5" s="32">
        <f t="shared" si="0"/>
        <v>-127.7</v>
      </c>
      <c r="P5" s="32">
        <f t="shared" si="0"/>
        <v>-160.89999999999998</v>
      </c>
      <c r="Q5" s="32">
        <f t="shared" si="0"/>
        <v>-164</v>
      </c>
      <c r="R5" s="32">
        <f t="shared" si="0"/>
        <v>-178.2</v>
      </c>
      <c r="S5" s="32">
        <f t="shared" si="0"/>
        <v>-181.89999999999998</v>
      </c>
      <c r="T5" s="32">
        <f t="shared" si="0"/>
        <v>-221.5</v>
      </c>
      <c r="U5" s="32">
        <f t="shared" si="0"/>
        <v>-175.1</v>
      </c>
      <c r="V5" s="32">
        <f t="shared" si="0"/>
        <v>-232.6</v>
      </c>
      <c r="W5" s="32">
        <f t="shared" si="0"/>
        <v>-135.30000000000001</v>
      </c>
      <c r="X5" s="32">
        <f t="shared" si="0"/>
        <v>-76.699999999999989</v>
      </c>
      <c r="Y5" s="32">
        <f t="shared" si="0"/>
        <v>-98.2</v>
      </c>
      <c r="Z5" s="32">
        <f t="shared" si="0"/>
        <v>-75.099999999999994</v>
      </c>
      <c r="AA5" s="32">
        <f t="shared" si="0"/>
        <v>-147.4</v>
      </c>
      <c r="AB5" s="32">
        <f t="shared" si="0"/>
        <v>-147.4</v>
      </c>
      <c r="AC5" s="32">
        <f t="shared" si="0"/>
        <v>-184.4</v>
      </c>
      <c r="AD5" s="32">
        <f t="shared" si="0"/>
        <v>-251.39999999999998</v>
      </c>
      <c r="AE5" s="32">
        <f t="shared" si="0"/>
        <v>-304.10000000000002</v>
      </c>
      <c r="AF5" s="32">
        <f t="shared" si="0"/>
        <v>-336.1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1281MW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Load=1080</v>
      </c>
      <c r="B7" s="37">
        <f t="shared" ref="B7:AF7" si="1">B73</f>
        <v>1156.44</v>
      </c>
      <c r="C7" s="37">
        <f t="shared" si="1"/>
        <v>1154.04</v>
      </c>
      <c r="D7" s="37">
        <f t="shared" si="1"/>
        <v>1104.6400000000001</v>
      </c>
      <c r="E7" s="37">
        <f t="shared" si="1"/>
        <v>1080.1400000000001</v>
      </c>
      <c r="F7" s="37">
        <f t="shared" si="1"/>
        <v>1087.44</v>
      </c>
      <c r="G7" s="37">
        <f t="shared" si="1"/>
        <v>1112.74</v>
      </c>
      <c r="H7" s="37">
        <f t="shared" si="1"/>
        <v>1113.6400000000001</v>
      </c>
      <c r="I7" s="37">
        <f t="shared" si="1"/>
        <v>1128.3400000000001</v>
      </c>
      <c r="J7" s="37">
        <f t="shared" si="1"/>
        <v>1173.8400000000001</v>
      </c>
      <c r="K7" s="37">
        <f t="shared" si="1"/>
        <v>1205.6400000000001</v>
      </c>
      <c r="L7" s="37">
        <f>L73</f>
        <v>1248.1399999999999</v>
      </c>
      <c r="M7" s="37">
        <f t="shared" si="1"/>
        <v>1280.94</v>
      </c>
      <c r="N7" s="37">
        <f t="shared" si="1"/>
        <v>1303.1399999999999</v>
      </c>
      <c r="O7" s="37">
        <f t="shared" si="1"/>
        <v>1281.74</v>
      </c>
      <c r="P7" s="37">
        <f t="shared" si="1"/>
        <v>1295.6400000000001</v>
      </c>
      <c r="Q7" s="37">
        <f t="shared" si="1"/>
        <v>1266.94</v>
      </c>
      <c r="R7" s="37">
        <f t="shared" si="1"/>
        <v>1297.6400000000001</v>
      </c>
      <c r="S7" s="37">
        <f t="shared" si="1"/>
        <v>1289.94</v>
      </c>
      <c r="T7" s="37">
        <f t="shared" si="1"/>
        <v>1253.6399999999999</v>
      </c>
      <c r="U7" s="37">
        <f t="shared" si="1"/>
        <v>1240.6399999999999</v>
      </c>
      <c r="V7" s="37">
        <f t="shared" si="1"/>
        <v>1268.24</v>
      </c>
      <c r="W7" s="37">
        <f t="shared" si="1"/>
        <v>1408.04</v>
      </c>
      <c r="X7" s="37">
        <f t="shared" si="1"/>
        <v>1475.6399999999999</v>
      </c>
      <c r="Y7" s="37">
        <f t="shared" si="1"/>
        <v>1445.1399999999999</v>
      </c>
      <c r="Z7" s="37">
        <f t="shared" si="1"/>
        <v>1468.24</v>
      </c>
      <c r="AA7" s="37">
        <f t="shared" si="1"/>
        <v>1388.94</v>
      </c>
      <c r="AB7" s="37">
        <f t="shared" si="1"/>
        <v>1388.94</v>
      </c>
      <c r="AC7" s="37">
        <f t="shared" si="1"/>
        <v>1320.04</v>
      </c>
      <c r="AD7" s="37">
        <f t="shared" si="1"/>
        <v>1237.4399999999998</v>
      </c>
      <c r="AE7" s="37">
        <f t="shared" si="1"/>
        <v>1164.9399999999998</v>
      </c>
      <c r="AF7" s="37">
        <f t="shared" si="1"/>
        <v>1125.54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380</v>
      </c>
      <c r="C11" s="49">
        <v>410</v>
      </c>
      <c r="D11" s="49">
        <v>360</v>
      </c>
      <c r="E11" s="49">
        <v>320</v>
      </c>
      <c r="F11" s="49">
        <v>320</v>
      </c>
      <c r="G11" s="49">
        <v>350</v>
      </c>
      <c r="H11" s="49">
        <v>350</v>
      </c>
      <c r="I11" s="49">
        <v>350</v>
      </c>
      <c r="J11" s="49">
        <v>350</v>
      </c>
      <c r="K11" s="49">
        <v>360</v>
      </c>
      <c r="L11" s="50">
        <v>415</v>
      </c>
      <c r="M11" s="50">
        <v>430</v>
      </c>
      <c r="N11" s="50">
        <v>450</v>
      </c>
      <c r="O11" s="50">
        <v>430</v>
      </c>
      <c r="P11" s="50">
        <v>456</v>
      </c>
      <c r="Q11" s="51">
        <v>430</v>
      </c>
      <c r="R11" s="52">
        <v>456</v>
      </c>
      <c r="S11" s="52">
        <v>456</v>
      </c>
      <c r="T11" s="52">
        <v>456</v>
      </c>
      <c r="U11" s="52">
        <v>378</v>
      </c>
      <c r="V11" s="52">
        <v>456</v>
      </c>
      <c r="W11" s="52">
        <v>456</v>
      </c>
      <c r="X11" s="52">
        <v>456</v>
      </c>
      <c r="Y11" s="53">
        <v>456</v>
      </c>
      <c r="Z11" s="53">
        <v>456</v>
      </c>
      <c r="AA11" s="115">
        <v>449</v>
      </c>
      <c r="AB11" s="115">
        <v>449</v>
      </c>
      <c r="AC11" s="115">
        <v>451</v>
      </c>
      <c r="AD11" s="115">
        <v>449</v>
      </c>
      <c r="AE11" s="49">
        <v>446</v>
      </c>
      <c r="AF11" s="49">
        <v>446</v>
      </c>
      <c r="AG11" s="54">
        <v>456</v>
      </c>
      <c r="AH11" s="55">
        <f>MAX(B11:AF11)</f>
        <v>456</v>
      </c>
      <c r="AI11" s="56">
        <f>MIN(B11:AF11)</f>
        <v>320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48</v>
      </c>
      <c r="F12" s="49">
        <v>48</v>
      </c>
      <c r="G12" s="49">
        <v>48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37</v>
      </c>
      <c r="C14" s="50">
        <v>37</v>
      </c>
      <c r="D14" s="50">
        <v>37</v>
      </c>
      <c r="E14" s="50">
        <v>37</v>
      </c>
      <c r="F14" s="50">
        <v>37</v>
      </c>
      <c r="G14" s="62">
        <v>45.7</v>
      </c>
      <c r="H14" s="62">
        <v>46.3</v>
      </c>
      <c r="I14" s="62">
        <v>46.3</v>
      </c>
      <c r="J14" s="62">
        <v>46.3</v>
      </c>
      <c r="K14" s="62">
        <v>46.3</v>
      </c>
      <c r="L14" s="50">
        <v>45.8</v>
      </c>
      <c r="M14" s="50">
        <v>45.8</v>
      </c>
      <c r="N14" s="50">
        <v>45.8</v>
      </c>
      <c r="O14" s="50">
        <v>45.6</v>
      </c>
      <c r="P14" s="50">
        <v>45.6</v>
      </c>
      <c r="Q14" s="50">
        <v>45.6</v>
      </c>
      <c r="R14" s="50">
        <v>45.6</v>
      </c>
      <c r="S14" s="50">
        <v>45.6</v>
      </c>
      <c r="T14" s="50">
        <v>45.6</v>
      </c>
      <c r="U14" s="50">
        <v>45.6</v>
      </c>
      <c r="V14" s="50">
        <v>45.6</v>
      </c>
      <c r="W14" s="50">
        <v>45.6</v>
      </c>
      <c r="X14" s="50">
        <v>45.6</v>
      </c>
      <c r="Y14" s="50">
        <v>45.6</v>
      </c>
      <c r="Z14" s="50">
        <v>45.6</v>
      </c>
      <c r="AA14" s="50">
        <v>45.6</v>
      </c>
      <c r="AB14" s="50">
        <v>45.6</v>
      </c>
      <c r="AC14" s="50">
        <v>45.6</v>
      </c>
      <c r="AD14" s="50">
        <v>45.6</v>
      </c>
      <c r="AE14" s="50">
        <v>45.6</v>
      </c>
      <c r="AF14" s="50">
        <v>45.6</v>
      </c>
      <c r="AG14" s="63">
        <v>45</v>
      </c>
      <c r="AH14" s="55">
        <f t="shared" si="2"/>
        <v>46.3</v>
      </c>
      <c r="AI14" s="56">
        <f t="shared" si="3"/>
        <v>37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50">
        <v>26</v>
      </c>
      <c r="E15" s="50">
        <v>26</v>
      </c>
      <c r="F15" s="50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28</v>
      </c>
      <c r="X15" s="50">
        <v>28</v>
      </c>
      <c r="Y15" s="50">
        <v>28</v>
      </c>
      <c r="Z15" s="50">
        <v>28</v>
      </c>
      <c r="AA15" s="50">
        <v>28</v>
      </c>
      <c r="AB15" s="50">
        <v>28</v>
      </c>
      <c r="AC15" s="50">
        <v>28</v>
      </c>
      <c r="AD15" s="50">
        <v>28</v>
      </c>
      <c r="AE15" s="50">
        <v>28</v>
      </c>
      <c r="AF15" s="50">
        <v>28</v>
      </c>
      <c r="AG15" s="60">
        <v>45</v>
      </c>
      <c r="AH15" s="55">
        <f t="shared" si="2"/>
        <v>28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12</v>
      </c>
      <c r="C16" s="50">
        <v>12</v>
      </c>
      <c r="D16" s="50">
        <v>12</v>
      </c>
      <c r="E16" s="50">
        <v>12</v>
      </c>
      <c r="F16" s="50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50">
        <v>12</v>
      </c>
      <c r="M16" s="50">
        <v>0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50">
        <v>12</v>
      </c>
      <c r="Y16" s="50">
        <v>12</v>
      </c>
      <c r="Z16" s="50">
        <v>12</v>
      </c>
      <c r="AA16" s="50">
        <v>12</v>
      </c>
      <c r="AB16" s="50">
        <v>12</v>
      </c>
      <c r="AC16" s="50">
        <v>24</v>
      </c>
      <c r="AD16" s="50">
        <v>24</v>
      </c>
      <c r="AE16" s="50">
        <v>24</v>
      </c>
      <c r="AF16" s="50">
        <v>24</v>
      </c>
      <c r="AG16" s="60">
        <v>42</v>
      </c>
      <c r="AH16" s="55">
        <f t="shared" si="2"/>
        <v>24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20</v>
      </c>
      <c r="C17" s="50">
        <v>20</v>
      </c>
      <c r="D17" s="50">
        <v>20</v>
      </c>
      <c r="E17" s="50">
        <v>20</v>
      </c>
      <c r="F17" s="50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24.5</v>
      </c>
      <c r="C18" s="50">
        <v>24.5</v>
      </c>
      <c r="D18" s="50">
        <v>20</v>
      </c>
      <c r="E18" s="50">
        <v>20</v>
      </c>
      <c r="F18" s="50">
        <v>20</v>
      </c>
      <c r="G18" s="49">
        <v>25</v>
      </c>
      <c r="H18" s="49">
        <v>24.1</v>
      </c>
      <c r="I18" s="49">
        <v>24.1</v>
      </c>
      <c r="J18" s="49">
        <v>24.1</v>
      </c>
      <c r="K18" s="49">
        <v>24.1</v>
      </c>
      <c r="L18" s="50">
        <v>23.4</v>
      </c>
      <c r="M18" s="50">
        <v>23.3</v>
      </c>
      <c r="N18" s="50">
        <v>23.3</v>
      </c>
      <c r="O18" s="50">
        <v>23.9</v>
      </c>
      <c r="P18" s="50">
        <v>23.9</v>
      </c>
      <c r="Q18" s="50">
        <v>23.9</v>
      </c>
      <c r="R18" s="50">
        <v>23.9</v>
      </c>
      <c r="S18" s="50">
        <v>23.9</v>
      </c>
      <c r="T18" s="50">
        <v>23.9</v>
      </c>
      <c r="U18" s="50">
        <v>23.9</v>
      </c>
      <c r="V18" s="50">
        <v>23.9</v>
      </c>
      <c r="W18" s="50">
        <v>23.9</v>
      </c>
      <c r="X18" s="50">
        <v>23.9</v>
      </c>
      <c r="Y18" s="50">
        <v>23.9</v>
      </c>
      <c r="Z18" s="50">
        <v>23.9</v>
      </c>
      <c r="AA18" s="50">
        <v>23.9</v>
      </c>
      <c r="AB18" s="50">
        <v>23.9</v>
      </c>
      <c r="AC18" s="50">
        <v>23.9</v>
      </c>
      <c r="AD18" s="50">
        <v>23.9</v>
      </c>
      <c r="AE18" s="50">
        <v>23.9</v>
      </c>
      <c r="AF18" s="50">
        <v>23.9</v>
      </c>
      <c r="AG18" s="60">
        <v>30</v>
      </c>
      <c r="AH18" s="55">
        <f t="shared" si="2"/>
        <v>25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49">
        <v>0</v>
      </c>
      <c r="I20" s="49">
        <v>0</v>
      </c>
      <c r="J20" s="49">
        <v>0</v>
      </c>
      <c r="K20" s="49">
        <v>0</v>
      </c>
      <c r="L20" s="50">
        <v>0</v>
      </c>
      <c r="M20" s="50">
        <v>0</v>
      </c>
      <c r="N20" s="50">
        <v>0</v>
      </c>
      <c r="O20" s="50">
        <v>0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20</v>
      </c>
      <c r="D21" s="50">
        <v>20</v>
      </c>
      <c r="E21" s="50">
        <v>20</v>
      </c>
      <c r="F21" s="50">
        <v>20</v>
      </c>
      <c r="G21" s="50">
        <v>20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10</v>
      </c>
      <c r="C22" s="50">
        <v>10</v>
      </c>
      <c r="D22" s="50">
        <v>10</v>
      </c>
      <c r="E22" s="50">
        <v>10</v>
      </c>
      <c r="F22" s="50">
        <v>10</v>
      </c>
      <c r="G22" s="50">
        <v>10</v>
      </c>
      <c r="H22" s="49">
        <v>10</v>
      </c>
      <c r="I22" s="49">
        <v>10</v>
      </c>
      <c r="J22" s="49">
        <v>10</v>
      </c>
      <c r="K22" s="49">
        <v>10</v>
      </c>
      <c r="L22" s="50">
        <v>10</v>
      </c>
      <c r="M22" s="50">
        <v>10</v>
      </c>
      <c r="N22" s="50">
        <v>10</v>
      </c>
      <c r="O22" s="50">
        <v>10</v>
      </c>
      <c r="P22" s="50">
        <v>10</v>
      </c>
      <c r="Q22" s="50">
        <v>10</v>
      </c>
      <c r="R22" s="50">
        <v>13</v>
      </c>
      <c r="S22" s="50">
        <v>13</v>
      </c>
      <c r="T22" s="50">
        <v>13</v>
      </c>
      <c r="U22" s="50">
        <v>13</v>
      </c>
      <c r="V22" s="50">
        <v>13</v>
      </c>
      <c r="W22" s="50">
        <v>13</v>
      </c>
      <c r="X22" s="50">
        <v>13</v>
      </c>
      <c r="Y22" s="50">
        <v>13</v>
      </c>
      <c r="Z22" s="50">
        <v>13</v>
      </c>
      <c r="AA22" s="50">
        <v>13</v>
      </c>
      <c r="AB22" s="50">
        <v>13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10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17</v>
      </c>
      <c r="C23" s="50">
        <v>17</v>
      </c>
      <c r="D23" s="50">
        <v>17</v>
      </c>
      <c r="E23" s="50">
        <v>17</v>
      </c>
      <c r="F23" s="50">
        <v>17</v>
      </c>
      <c r="G23" s="50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17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14</v>
      </c>
      <c r="C24" s="50">
        <v>14</v>
      </c>
      <c r="D24" s="50">
        <v>14</v>
      </c>
      <c r="E24" s="50">
        <v>14</v>
      </c>
      <c r="F24" s="50">
        <v>14</v>
      </c>
      <c r="G24" s="50">
        <v>14</v>
      </c>
      <c r="H24" s="49">
        <v>14</v>
      </c>
      <c r="I24" s="49">
        <v>14</v>
      </c>
      <c r="J24" s="49">
        <v>14</v>
      </c>
      <c r="K24" s="49">
        <v>14</v>
      </c>
      <c r="L24" s="50">
        <v>14</v>
      </c>
      <c r="M24" s="50">
        <v>22</v>
      </c>
      <c r="N24" s="50">
        <v>15</v>
      </c>
      <c r="O24" s="50">
        <v>15</v>
      </c>
      <c r="P24" s="50">
        <v>15</v>
      </c>
      <c r="Q24" s="50">
        <v>15</v>
      </c>
      <c r="R24" s="50">
        <v>15</v>
      </c>
      <c r="S24" s="50">
        <v>15</v>
      </c>
      <c r="T24" s="50">
        <v>15</v>
      </c>
      <c r="U24" s="50">
        <v>15</v>
      </c>
      <c r="V24" s="50">
        <v>15</v>
      </c>
      <c r="W24" s="50">
        <v>15</v>
      </c>
      <c r="X24" s="50">
        <v>15</v>
      </c>
      <c r="Y24" s="50">
        <v>15</v>
      </c>
      <c r="Z24" s="50">
        <v>15</v>
      </c>
      <c r="AA24" s="50">
        <v>15</v>
      </c>
      <c r="AB24" s="50">
        <v>15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14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15</v>
      </c>
      <c r="S25" s="50">
        <v>11</v>
      </c>
      <c r="T25" s="50">
        <v>11</v>
      </c>
      <c r="U25" s="50">
        <v>11</v>
      </c>
      <c r="V25" s="50">
        <v>11</v>
      </c>
      <c r="W25" s="50">
        <v>15</v>
      </c>
      <c r="X25" s="50">
        <v>15</v>
      </c>
      <c r="Y25" s="50">
        <v>15</v>
      </c>
      <c r="Z25" s="50">
        <v>15</v>
      </c>
      <c r="AA25" s="50">
        <v>15</v>
      </c>
      <c r="AB25" s="50">
        <v>15</v>
      </c>
      <c r="AC25" s="50">
        <v>15</v>
      </c>
      <c r="AD25" s="50">
        <v>15</v>
      </c>
      <c r="AE25" s="50">
        <v>15</v>
      </c>
      <c r="AF25" s="50">
        <v>15</v>
      </c>
      <c r="AG25" s="60">
        <v>20</v>
      </c>
      <c r="AH25" s="55">
        <f t="shared" si="2"/>
        <v>15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50">
        <v>8</v>
      </c>
      <c r="C26" s="50">
        <v>8</v>
      </c>
      <c r="D26" s="50">
        <v>8</v>
      </c>
      <c r="E26" s="50">
        <v>8</v>
      </c>
      <c r="F26" s="50">
        <v>8</v>
      </c>
      <c r="G26" s="50">
        <v>8</v>
      </c>
      <c r="H26" s="49">
        <v>8</v>
      </c>
      <c r="I26" s="49">
        <v>8</v>
      </c>
      <c r="J26" s="49">
        <v>8</v>
      </c>
      <c r="K26" s="49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60">
        <v>23.5</v>
      </c>
      <c r="AH26" s="55">
        <f t="shared" si="2"/>
        <v>8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11.7</v>
      </c>
      <c r="C28" s="50">
        <v>11.7</v>
      </c>
      <c r="D28" s="50">
        <v>11.7</v>
      </c>
      <c r="E28" s="50">
        <v>11.7</v>
      </c>
      <c r="F28" s="50">
        <v>11.7</v>
      </c>
      <c r="G28" s="50">
        <v>11.7</v>
      </c>
      <c r="H28" s="49">
        <v>11.7</v>
      </c>
      <c r="I28" s="49">
        <v>11.7</v>
      </c>
      <c r="J28" s="49">
        <v>11.7</v>
      </c>
      <c r="K28" s="49">
        <v>11.7</v>
      </c>
      <c r="L28" s="50">
        <v>11.5</v>
      </c>
      <c r="M28" s="50">
        <v>11.4</v>
      </c>
      <c r="N28" s="50">
        <v>11.4</v>
      </c>
      <c r="O28" s="50">
        <v>11.4</v>
      </c>
      <c r="P28" s="50">
        <v>11.4</v>
      </c>
      <c r="Q28" s="50">
        <v>11.4</v>
      </c>
      <c r="R28" s="50">
        <v>11.4</v>
      </c>
      <c r="S28" s="50">
        <v>11.4</v>
      </c>
      <c r="T28" s="50">
        <v>11.4</v>
      </c>
      <c r="U28" s="50">
        <v>11.4</v>
      </c>
      <c r="V28" s="50">
        <v>11.4</v>
      </c>
      <c r="W28" s="50">
        <v>11.4</v>
      </c>
      <c r="X28" s="50">
        <v>11.4</v>
      </c>
      <c r="Y28" s="50">
        <v>11.4</v>
      </c>
      <c r="Z28" s="50">
        <v>11.4</v>
      </c>
      <c r="AA28" s="50">
        <v>11.4</v>
      </c>
      <c r="AB28" s="50">
        <v>11.4</v>
      </c>
      <c r="AC28" s="50">
        <v>11.4</v>
      </c>
      <c r="AD28" s="50">
        <v>11.4</v>
      </c>
      <c r="AE28" s="50">
        <v>11.4</v>
      </c>
      <c r="AF28" s="50">
        <v>11.4</v>
      </c>
      <c r="AG28" s="60">
        <v>22.1</v>
      </c>
      <c r="AH28" s="55">
        <f t="shared" si="2"/>
        <v>11.7</v>
      </c>
      <c r="AI28" s="56">
        <f t="shared" si="3"/>
        <v>11.4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6</v>
      </c>
      <c r="C30" s="50">
        <v>6</v>
      </c>
      <c r="D30" s="50">
        <v>6</v>
      </c>
      <c r="E30" s="50">
        <v>6</v>
      </c>
      <c r="F30" s="50">
        <v>6</v>
      </c>
      <c r="G30" s="50">
        <v>6</v>
      </c>
      <c r="H30" s="62">
        <v>6</v>
      </c>
      <c r="I30" s="62">
        <v>6</v>
      </c>
      <c r="J30" s="62">
        <v>6</v>
      </c>
      <c r="K30" s="62">
        <v>6</v>
      </c>
      <c r="L30" s="50">
        <v>6</v>
      </c>
      <c r="M30" s="50">
        <v>6</v>
      </c>
      <c r="N30" s="50">
        <v>6</v>
      </c>
      <c r="O30" s="50">
        <v>6</v>
      </c>
      <c r="P30" s="50">
        <v>6</v>
      </c>
      <c r="Q30" s="50">
        <v>6</v>
      </c>
      <c r="R30" s="50">
        <v>6</v>
      </c>
      <c r="S30" s="50">
        <v>6</v>
      </c>
      <c r="T30" s="50">
        <v>6</v>
      </c>
      <c r="U30" s="50">
        <v>6</v>
      </c>
      <c r="V30" s="50">
        <v>6</v>
      </c>
      <c r="W30" s="50">
        <v>6</v>
      </c>
      <c r="X30" s="50">
        <v>6</v>
      </c>
      <c r="Y30" s="50">
        <v>6</v>
      </c>
      <c r="Z30" s="50">
        <v>6</v>
      </c>
      <c r="AA30" s="50">
        <v>6</v>
      </c>
      <c r="AB30" s="50">
        <v>6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6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70">
        <v>102.1</v>
      </c>
      <c r="C35" s="70">
        <v>102.1</v>
      </c>
      <c r="D35" s="62">
        <v>105.1</v>
      </c>
      <c r="E35" s="62">
        <f>104.9</f>
        <v>104.9</v>
      </c>
      <c r="F35" s="62">
        <v>104.6</v>
      </c>
      <c r="G35" s="62">
        <v>103.4</v>
      </c>
      <c r="H35" s="62">
        <v>102.8</v>
      </c>
      <c r="I35" s="62">
        <v>103.2</v>
      </c>
      <c r="J35" s="62">
        <v>103.8</v>
      </c>
      <c r="K35" s="62">
        <v>103.5</v>
      </c>
      <c r="L35" s="70">
        <f>103.8</f>
        <v>103.8</v>
      </c>
      <c r="M35" s="70">
        <v>94.2</v>
      </c>
      <c r="N35" s="70">
        <v>105.1</v>
      </c>
      <c r="O35" s="70">
        <v>110</v>
      </c>
      <c r="P35" s="70">
        <v>110</v>
      </c>
      <c r="Q35" s="70">
        <v>107.9</v>
      </c>
      <c r="R35" s="70">
        <v>107.6</v>
      </c>
      <c r="S35" s="70">
        <v>107.6</v>
      </c>
      <c r="T35" s="70">
        <v>107.6</v>
      </c>
      <c r="U35" s="70">
        <v>105.1</v>
      </c>
      <c r="V35" s="70">
        <v>105.1</v>
      </c>
      <c r="W35" s="70">
        <v>102.6</v>
      </c>
      <c r="X35" s="70">
        <v>96</v>
      </c>
      <c r="Y35" s="70">
        <v>102.3</v>
      </c>
      <c r="Z35" s="70">
        <v>103.2</v>
      </c>
      <c r="AA35" s="70">
        <v>105.4</v>
      </c>
      <c r="AB35" s="70">
        <v>105.4</v>
      </c>
      <c r="AC35" s="70">
        <f>76.6+68.7</f>
        <v>145.30000000000001</v>
      </c>
      <c r="AD35" s="70">
        <f>76.6+68.7</f>
        <v>145.30000000000001</v>
      </c>
      <c r="AE35" s="62">
        <f>85.1+67.6</f>
        <v>152.69999999999999</v>
      </c>
      <c r="AF35" s="62">
        <f>86.9+66.3</f>
        <v>153.19999999999999</v>
      </c>
      <c r="AG35" s="67">
        <v>240</v>
      </c>
      <c r="AH35" s="55">
        <f t="shared" si="2"/>
        <v>153.19999999999999</v>
      </c>
      <c r="AI35" s="56">
        <f t="shared" si="3"/>
        <v>94.2</v>
      </c>
      <c r="AK35" s="57"/>
    </row>
    <row r="36" spans="1:88" ht="15.75" thickBot="1" x14ac:dyDescent="0.3">
      <c r="A36" s="71" t="s">
        <v>43</v>
      </c>
      <c r="B36" s="72">
        <f>SUM(B11:B34)</f>
        <v>886.40000000000009</v>
      </c>
      <c r="C36" s="72">
        <f t="shared" ref="C36:AF36" si="4">SUM(C11:C34)</f>
        <v>914.40000000000009</v>
      </c>
      <c r="D36" s="72">
        <f t="shared" si="4"/>
        <v>859.90000000000009</v>
      </c>
      <c r="E36" s="72">
        <f t="shared" si="4"/>
        <v>807.90000000000009</v>
      </c>
      <c r="F36" s="72">
        <f t="shared" si="4"/>
        <v>807.90000000000009</v>
      </c>
      <c r="G36" s="72">
        <f t="shared" si="4"/>
        <v>856.60000000000014</v>
      </c>
      <c r="H36" s="72">
        <f t="shared" si="4"/>
        <v>870.30000000000007</v>
      </c>
      <c r="I36" s="72">
        <f t="shared" si="4"/>
        <v>870.30000000000007</v>
      </c>
      <c r="J36" s="72">
        <f t="shared" si="4"/>
        <v>870.30000000000007</v>
      </c>
      <c r="K36" s="72">
        <f t="shared" si="4"/>
        <v>885.30000000000007</v>
      </c>
      <c r="L36" s="72">
        <f t="shared" si="4"/>
        <v>938.9</v>
      </c>
      <c r="M36" s="72">
        <f t="shared" si="4"/>
        <v>949.69999999999993</v>
      </c>
      <c r="N36" s="72">
        <f t="shared" si="4"/>
        <v>974.69999999999993</v>
      </c>
      <c r="O36" s="72">
        <f t="shared" si="4"/>
        <v>955.1</v>
      </c>
      <c r="P36" s="72">
        <f t="shared" si="4"/>
        <v>992.1</v>
      </c>
      <c r="Q36" s="72">
        <f t="shared" si="4"/>
        <v>966.1</v>
      </c>
      <c r="R36" s="72">
        <f t="shared" si="4"/>
        <v>1000.1</v>
      </c>
      <c r="S36" s="72">
        <f t="shared" si="4"/>
        <v>996.1</v>
      </c>
      <c r="T36" s="72">
        <f t="shared" si="4"/>
        <v>996.1</v>
      </c>
      <c r="U36" s="72">
        <f t="shared" si="4"/>
        <v>918.1</v>
      </c>
      <c r="V36" s="72">
        <f>SUM(V11:V34)</f>
        <v>996.1</v>
      </c>
      <c r="W36" s="72">
        <f>SUM(W11:W34)</f>
        <v>1002.1</v>
      </c>
      <c r="X36" s="72">
        <f t="shared" si="4"/>
        <v>1002.1</v>
      </c>
      <c r="Y36" s="72">
        <f t="shared" si="4"/>
        <v>1002.1</v>
      </c>
      <c r="Z36" s="72">
        <f t="shared" si="4"/>
        <v>1002.1</v>
      </c>
      <c r="AA36" s="72">
        <f t="shared" si="4"/>
        <v>995.1</v>
      </c>
      <c r="AB36" s="72">
        <f t="shared" si="4"/>
        <v>995.1</v>
      </c>
      <c r="AC36" s="72">
        <f t="shared" si="4"/>
        <v>1031.0999999999999</v>
      </c>
      <c r="AD36" s="72">
        <f t="shared" si="4"/>
        <v>1029.0999999999999</v>
      </c>
      <c r="AE36" s="72">
        <f t="shared" si="4"/>
        <v>1026.0999999999999</v>
      </c>
      <c r="AF36" s="72">
        <f t="shared" si="4"/>
        <v>1026.0999999999999</v>
      </c>
      <c r="AG36" s="67">
        <f>SUM(AG11:AG35)</f>
        <v>1431.83</v>
      </c>
      <c r="AH36" s="55">
        <f t="shared" si="2"/>
        <v>1031.0999999999999</v>
      </c>
      <c r="AI36" s="56">
        <f t="shared" si="3"/>
        <v>807.90000000000009</v>
      </c>
      <c r="AK36" s="57"/>
    </row>
    <row r="37" spans="1:88" x14ac:dyDescent="0.25">
      <c r="A37" s="58" t="s">
        <v>44</v>
      </c>
      <c r="B37" s="49">
        <v>145.19999999999999</v>
      </c>
      <c r="C37" s="62">
        <v>145.19999999999999</v>
      </c>
      <c r="D37" s="62">
        <v>145.19999999999999</v>
      </c>
      <c r="E37" s="62">
        <v>145.4</v>
      </c>
      <c r="F37" s="62">
        <v>145.4</v>
      </c>
      <c r="G37" s="62">
        <v>145.6</v>
      </c>
      <c r="H37" s="62">
        <v>145.4</v>
      </c>
      <c r="I37" s="62">
        <v>145.5</v>
      </c>
      <c r="J37" s="62">
        <v>145.5</v>
      </c>
      <c r="K37" s="62">
        <v>145.30000000000001</v>
      </c>
      <c r="L37" s="50">
        <v>145.69999999999999</v>
      </c>
      <c r="M37" s="50">
        <v>145.5</v>
      </c>
      <c r="N37" s="50">
        <v>145.5</v>
      </c>
      <c r="O37" s="50">
        <v>146.1</v>
      </c>
      <c r="P37" s="50">
        <v>146.1</v>
      </c>
      <c r="Q37" s="50">
        <v>145.69999999999999</v>
      </c>
      <c r="R37" s="50">
        <v>145.69999999999999</v>
      </c>
      <c r="S37" s="50">
        <v>145.69999999999999</v>
      </c>
      <c r="T37" s="50">
        <v>145.6</v>
      </c>
      <c r="U37" s="50">
        <v>145.6</v>
      </c>
      <c r="V37" s="50">
        <v>145.5</v>
      </c>
      <c r="W37" s="50">
        <v>145.5</v>
      </c>
      <c r="X37" s="50">
        <v>145.5</v>
      </c>
      <c r="Y37" s="50">
        <v>145.5</v>
      </c>
      <c r="Z37" s="50">
        <v>145.5</v>
      </c>
      <c r="AA37" s="50">
        <v>145.69999999999999</v>
      </c>
      <c r="AB37" s="50">
        <v>145.69999999999999</v>
      </c>
      <c r="AC37" s="50">
        <v>145</v>
      </c>
      <c r="AD37" s="50">
        <v>145</v>
      </c>
      <c r="AE37" s="49">
        <v>145.19999999999999</v>
      </c>
      <c r="AF37" s="49">
        <v>145.1</v>
      </c>
      <c r="AG37" s="63">
        <v>144</v>
      </c>
      <c r="AH37" s="55">
        <f t="shared" si="2"/>
        <v>146.1</v>
      </c>
      <c r="AI37" s="56">
        <f t="shared" si="3"/>
        <v>145</v>
      </c>
      <c r="AK37" s="57"/>
    </row>
    <row r="38" spans="1:88" x14ac:dyDescent="0.25">
      <c r="A38" s="66" t="s">
        <v>45</v>
      </c>
      <c r="B38" s="62">
        <v>70.400000000000006</v>
      </c>
      <c r="C38" s="62">
        <v>69.3</v>
      </c>
      <c r="D38" s="62">
        <v>70.2</v>
      </c>
      <c r="E38" s="62">
        <v>70.5</v>
      </c>
      <c r="F38" s="62">
        <v>71.900000000000006</v>
      </c>
      <c r="G38" s="62">
        <v>70.3</v>
      </c>
      <c r="H38" s="62">
        <v>70</v>
      </c>
      <c r="I38" s="62">
        <v>70.599999999999994</v>
      </c>
      <c r="J38" s="62">
        <v>70.7</v>
      </c>
      <c r="K38" s="62">
        <v>71.3</v>
      </c>
      <c r="L38" s="52">
        <v>70.7</v>
      </c>
      <c r="M38" s="52">
        <v>71</v>
      </c>
      <c r="N38" s="52">
        <v>70</v>
      </c>
      <c r="O38" s="52">
        <v>70.099999999999994</v>
      </c>
      <c r="P38" s="52">
        <v>70.099999999999994</v>
      </c>
      <c r="Q38" s="52">
        <v>70.099999999999994</v>
      </c>
      <c r="R38" s="52">
        <v>70.099999999999994</v>
      </c>
      <c r="S38" s="52">
        <v>70.099999999999994</v>
      </c>
      <c r="T38" s="52">
        <v>71.5</v>
      </c>
      <c r="U38" s="52">
        <v>71.5</v>
      </c>
      <c r="V38" s="52">
        <v>70.3</v>
      </c>
      <c r="W38" s="52">
        <v>70.3</v>
      </c>
      <c r="X38" s="52">
        <v>70.3</v>
      </c>
      <c r="Y38" s="52">
        <v>70.3</v>
      </c>
      <c r="Z38" s="52">
        <v>70.3</v>
      </c>
      <c r="AA38" s="52">
        <v>70.2</v>
      </c>
      <c r="AB38" s="52">
        <v>70.2</v>
      </c>
      <c r="AC38" s="52">
        <v>71</v>
      </c>
      <c r="AD38" s="52">
        <v>71</v>
      </c>
      <c r="AE38" s="62">
        <v>71.5</v>
      </c>
      <c r="AF38" s="62">
        <v>71.099999999999994</v>
      </c>
      <c r="AG38" s="67">
        <v>70</v>
      </c>
      <c r="AH38" s="55">
        <f t="shared" si="2"/>
        <v>71.900000000000006</v>
      </c>
      <c r="AI38" s="56">
        <f t="shared" si="3"/>
        <v>69.3</v>
      </c>
      <c r="AK38" s="57"/>
    </row>
    <row r="39" spans="1:88" x14ac:dyDescent="0.25">
      <c r="A39" s="66" t="s">
        <v>46</v>
      </c>
      <c r="B39" s="62">
        <v>70.900000000000006</v>
      </c>
      <c r="C39" s="62">
        <v>71.2</v>
      </c>
      <c r="D39" s="62">
        <v>69.8</v>
      </c>
      <c r="E39" s="62">
        <v>70.400000000000006</v>
      </c>
      <c r="F39" s="62">
        <v>70.2</v>
      </c>
      <c r="G39" s="62">
        <v>69.900000000000006</v>
      </c>
      <c r="H39" s="62">
        <v>70.2</v>
      </c>
      <c r="I39" s="62">
        <v>69.7</v>
      </c>
      <c r="J39" s="62">
        <v>70.099999999999994</v>
      </c>
      <c r="K39" s="62">
        <v>70.599999999999994</v>
      </c>
      <c r="L39" s="52">
        <v>70</v>
      </c>
      <c r="M39" s="52">
        <v>70.599999999999994</v>
      </c>
      <c r="N39" s="52">
        <v>70.3</v>
      </c>
      <c r="O39" s="52">
        <v>65.2</v>
      </c>
      <c r="P39" s="52">
        <v>65.2</v>
      </c>
      <c r="Q39" s="52">
        <v>68.900000000000006</v>
      </c>
      <c r="R39" s="52">
        <v>68.900000000000006</v>
      </c>
      <c r="S39" s="52">
        <v>68.900000000000006</v>
      </c>
      <c r="T39" s="52">
        <v>69.8</v>
      </c>
      <c r="U39" s="52">
        <v>69.8</v>
      </c>
      <c r="V39" s="52">
        <v>69.8</v>
      </c>
      <c r="W39" s="52">
        <v>69.8</v>
      </c>
      <c r="X39" s="52">
        <v>69.8</v>
      </c>
      <c r="Y39" s="52">
        <v>69.8</v>
      </c>
      <c r="Z39" s="52">
        <v>69.8</v>
      </c>
      <c r="AA39" s="52">
        <v>69.900000000000006</v>
      </c>
      <c r="AB39" s="52">
        <v>69.900000000000006</v>
      </c>
      <c r="AC39" s="52">
        <v>70</v>
      </c>
      <c r="AD39" s="52">
        <v>70</v>
      </c>
      <c r="AE39" s="62">
        <v>69.7</v>
      </c>
      <c r="AF39" s="62">
        <v>62.8</v>
      </c>
      <c r="AG39" s="67">
        <v>69</v>
      </c>
      <c r="AH39" s="55">
        <f t="shared" si="2"/>
        <v>71.2</v>
      </c>
      <c r="AI39" s="56">
        <f t="shared" si="3"/>
        <v>62.8</v>
      </c>
      <c r="AK39" s="57"/>
    </row>
    <row r="40" spans="1:88" x14ac:dyDescent="0.25">
      <c r="A40" s="66" t="s">
        <v>47</v>
      </c>
      <c r="B40" s="62">
        <v>60.9</v>
      </c>
      <c r="C40" s="62">
        <v>61.4</v>
      </c>
      <c r="D40" s="62">
        <v>61.4</v>
      </c>
      <c r="E40" s="62">
        <v>60.2</v>
      </c>
      <c r="F40" s="62">
        <v>60.2</v>
      </c>
      <c r="G40" s="62">
        <v>61</v>
      </c>
      <c r="H40" s="62">
        <v>61</v>
      </c>
      <c r="I40" s="62">
        <v>61</v>
      </c>
      <c r="J40" s="62">
        <v>61</v>
      </c>
      <c r="K40" s="62">
        <v>62.8</v>
      </c>
      <c r="L40" s="52">
        <v>62.8</v>
      </c>
      <c r="M40" s="52">
        <v>62.8</v>
      </c>
      <c r="N40" s="52">
        <v>62.8</v>
      </c>
      <c r="O40" s="52">
        <v>62</v>
      </c>
      <c r="P40" s="52">
        <v>62</v>
      </c>
      <c r="Q40" s="52">
        <v>60.2</v>
      </c>
      <c r="R40" s="52">
        <v>60.2</v>
      </c>
      <c r="S40" s="52">
        <v>60.2</v>
      </c>
      <c r="T40" s="52">
        <v>60.2</v>
      </c>
      <c r="U40" s="52">
        <v>60.2</v>
      </c>
      <c r="V40" s="52">
        <v>60.2</v>
      </c>
      <c r="W40" s="52">
        <v>60.2</v>
      </c>
      <c r="X40" s="52">
        <v>60.2</v>
      </c>
      <c r="Y40" s="52">
        <v>60.2</v>
      </c>
      <c r="Z40" s="52">
        <v>60.2</v>
      </c>
      <c r="AA40" s="52">
        <v>60.2</v>
      </c>
      <c r="AB40" s="52">
        <v>60.2</v>
      </c>
      <c r="AC40" s="52">
        <v>60.2</v>
      </c>
      <c r="AD40" s="52">
        <v>60.2</v>
      </c>
      <c r="AE40" s="52">
        <v>60.2</v>
      </c>
      <c r="AF40" s="62">
        <v>60.2</v>
      </c>
      <c r="AG40" s="67">
        <v>60</v>
      </c>
      <c r="AH40" s="55">
        <f t="shared" si="2"/>
        <v>62.8</v>
      </c>
      <c r="AI40" s="56">
        <f t="shared" si="3"/>
        <v>60.2</v>
      </c>
      <c r="AK40" s="57"/>
    </row>
    <row r="41" spans="1:88" x14ac:dyDescent="0.25">
      <c r="A41" s="66" t="s">
        <v>48</v>
      </c>
      <c r="B41" s="52">
        <v>29.8</v>
      </c>
      <c r="C41" s="52">
        <v>29.8</v>
      </c>
      <c r="D41" s="62">
        <v>29.6</v>
      </c>
      <c r="E41" s="62">
        <v>29.6</v>
      </c>
      <c r="F41" s="62">
        <v>29.7</v>
      </c>
      <c r="G41" s="62">
        <v>29.7</v>
      </c>
      <c r="H41" s="62">
        <v>29.6</v>
      </c>
      <c r="I41" s="62">
        <v>29.6</v>
      </c>
      <c r="J41" s="62">
        <v>29.6</v>
      </c>
      <c r="K41" s="62">
        <v>29.5</v>
      </c>
      <c r="L41" s="50">
        <v>29.6</v>
      </c>
      <c r="M41" s="50">
        <v>29.6</v>
      </c>
      <c r="N41" s="50">
        <v>29.6</v>
      </c>
      <c r="O41" s="50">
        <v>29.8</v>
      </c>
      <c r="P41" s="50">
        <v>29.8</v>
      </c>
      <c r="Q41" s="50">
        <v>29.6</v>
      </c>
      <c r="R41" s="50">
        <v>29.6</v>
      </c>
      <c r="S41" s="50">
        <v>29.6</v>
      </c>
      <c r="T41" s="50">
        <v>29.6</v>
      </c>
      <c r="U41" s="50">
        <v>29.6</v>
      </c>
      <c r="V41" s="50">
        <v>29.7</v>
      </c>
      <c r="W41" s="50">
        <v>29.7</v>
      </c>
      <c r="X41" s="50">
        <v>29.7</v>
      </c>
      <c r="Y41" s="52">
        <v>29.7</v>
      </c>
      <c r="Z41" s="52">
        <v>29.7</v>
      </c>
      <c r="AA41" s="52">
        <v>29.7</v>
      </c>
      <c r="AB41" s="52">
        <v>29.7</v>
      </c>
      <c r="AC41" s="52">
        <v>29.7</v>
      </c>
      <c r="AD41" s="52">
        <v>29.7</v>
      </c>
      <c r="AE41" s="52">
        <v>29.7</v>
      </c>
      <c r="AF41" s="52">
        <v>29.7</v>
      </c>
      <c r="AG41" s="67">
        <v>30</v>
      </c>
      <c r="AH41" s="55">
        <f t="shared" si="2"/>
        <v>29.8</v>
      </c>
      <c r="AI41" s="56">
        <f t="shared" si="3"/>
        <v>29.5</v>
      </c>
      <c r="AK41" s="57"/>
    </row>
    <row r="42" spans="1:88" x14ac:dyDescent="0.25">
      <c r="A42" s="66" t="s">
        <v>49</v>
      </c>
      <c r="B42" s="50">
        <v>0</v>
      </c>
      <c r="C42" s="50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50">
        <v>17.3</v>
      </c>
      <c r="C43" s="50">
        <v>17.3</v>
      </c>
      <c r="D43" s="73">
        <v>17.3</v>
      </c>
      <c r="E43" s="73">
        <v>17.3</v>
      </c>
      <c r="F43" s="73">
        <v>17.3</v>
      </c>
      <c r="G43" s="73">
        <v>17.3</v>
      </c>
      <c r="H43" s="73">
        <v>17.3</v>
      </c>
      <c r="I43" s="73">
        <v>17.3</v>
      </c>
      <c r="J43" s="73">
        <v>17.3</v>
      </c>
      <c r="K43" s="73">
        <v>17.3</v>
      </c>
      <c r="L43" s="50">
        <v>17.3</v>
      </c>
      <c r="M43" s="50">
        <v>17.3</v>
      </c>
      <c r="N43" s="50">
        <v>15</v>
      </c>
      <c r="O43" s="50">
        <v>16</v>
      </c>
      <c r="P43" s="50">
        <v>17.600000000000001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17.7</v>
      </c>
      <c r="W43" s="50">
        <v>17.7</v>
      </c>
      <c r="X43" s="50">
        <v>17.7</v>
      </c>
      <c r="Y43" s="50">
        <v>17.7</v>
      </c>
      <c r="Z43" s="50">
        <v>17.7</v>
      </c>
      <c r="AA43" s="50">
        <v>17.7</v>
      </c>
      <c r="AB43" s="50">
        <v>17.7</v>
      </c>
      <c r="AC43" s="50">
        <v>17.7</v>
      </c>
      <c r="AD43" s="50">
        <v>17.7</v>
      </c>
      <c r="AE43" s="50">
        <v>17.7</v>
      </c>
      <c r="AF43" s="50">
        <v>17.7</v>
      </c>
      <c r="AG43" s="67">
        <v>24</v>
      </c>
      <c r="AH43" s="55">
        <f t="shared" si="2"/>
        <v>18</v>
      </c>
      <c r="AI43" s="56">
        <f t="shared" si="3"/>
        <v>15</v>
      </c>
      <c r="AK43" s="57"/>
    </row>
    <row r="44" spans="1:88" x14ac:dyDescent="0.25">
      <c r="A44" s="66" t="s">
        <v>51</v>
      </c>
      <c r="B44" s="50">
        <v>3.2</v>
      </c>
      <c r="C44" s="50">
        <v>3.2</v>
      </c>
      <c r="D44" s="50">
        <v>3.2</v>
      </c>
      <c r="E44" s="50">
        <v>3.2</v>
      </c>
      <c r="F44" s="50">
        <v>3.2</v>
      </c>
      <c r="G44" s="50">
        <v>3.2</v>
      </c>
      <c r="H44" s="50">
        <v>3.2</v>
      </c>
      <c r="I44" s="50">
        <v>3.2</v>
      </c>
      <c r="J44" s="50">
        <v>3.2</v>
      </c>
      <c r="K44" s="50">
        <v>3.2</v>
      </c>
      <c r="L44" s="50">
        <v>3.2</v>
      </c>
      <c r="M44" s="50">
        <v>3.2</v>
      </c>
      <c r="N44" s="50">
        <v>3.2</v>
      </c>
      <c r="O44" s="50">
        <v>0</v>
      </c>
      <c r="P44" s="50">
        <v>0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50">
        <v>13</v>
      </c>
      <c r="C45" s="50">
        <v>13</v>
      </c>
      <c r="D45" s="62">
        <v>13.1</v>
      </c>
      <c r="E45" s="62">
        <v>13.1</v>
      </c>
      <c r="F45" s="62">
        <v>13.1</v>
      </c>
      <c r="G45" s="62">
        <v>13.1</v>
      </c>
      <c r="H45" s="62">
        <v>13.1</v>
      </c>
      <c r="I45" s="62">
        <v>13.1</v>
      </c>
      <c r="J45" s="62">
        <v>13.1</v>
      </c>
      <c r="K45" s="62">
        <v>13.1</v>
      </c>
      <c r="L45" s="50">
        <v>13.1</v>
      </c>
      <c r="M45" s="50">
        <v>13.1</v>
      </c>
      <c r="N45" s="50">
        <v>13.1</v>
      </c>
      <c r="O45" s="50">
        <v>13.1</v>
      </c>
      <c r="P45" s="50">
        <v>13.1</v>
      </c>
      <c r="Q45" s="50">
        <v>13.1</v>
      </c>
      <c r="R45" s="50">
        <v>13.1</v>
      </c>
      <c r="S45" s="50">
        <v>13.1</v>
      </c>
      <c r="T45" s="50">
        <v>13.1</v>
      </c>
      <c r="U45" s="50">
        <v>13.1</v>
      </c>
      <c r="V45" s="50">
        <v>13.1</v>
      </c>
      <c r="W45" s="50">
        <v>13.1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13.1</v>
      </c>
      <c r="AC45" s="50">
        <v>13.1</v>
      </c>
      <c r="AD45" s="50">
        <v>13.1</v>
      </c>
      <c r="AE45" s="50">
        <v>13.1</v>
      </c>
      <c r="AF45" s="50">
        <v>13.1</v>
      </c>
      <c r="AG45" s="67">
        <v>14.1</v>
      </c>
      <c r="AH45" s="55">
        <f t="shared" si="2"/>
        <v>13.1</v>
      </c>
      <c r="AI45" s="56">
        <f t="shared" si="3"/>
        <v>13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50">
        <v>14</v>
      </c>
      <c r="C46" s="50">
        <v>14</v>
      </c>
      <c r="D46" s="50">
        <v>14</v>
      </c>
      <c r="E46" s="50">
        <v>14</v>
      </c>
      <c r="F46" s="50">
        <v>14</v>
      </c>
      <c r="G46" s="50">
        <v>14</v>
      </c>
      <c r="H46" s="50">
        <v>14</v>
      </c>
      <c r="I46" s="50">
        <v>14</v>
      </c>
      <c r="J46" s="50">
        <v>14</v>
      </c>
      <c r="K46" s="50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50">
        <v>9.9</v>
      </c>
      <c r="C47" s="50">
        <v>9.9</v>
      </c>
      <c r="D47" s="50">
        <v>9.9</v>
      </c>
      <c r="E47" s="50">
        <v>9.9</v>
      </c>
      <c r="F47" s="50">
        <v>9.9</v>
      </c>
      <c r="G47" s="50">
        <v>9.9</v>
      </c>
      <c r="H47" s="50">
        <v>9.9</v>
      </c>
      <c r="I47" s="50">
        <v>9.9</v>
      </c>
      <c r="J47" s="50">
        <v>9.9</v>
      </c>
      <c r="K47" s="50">
        <v>9.9</v>
      </c>
      <c r="L47" s="50">
        <v>9.9</v>
      </c>
      <c r="M47" s="50">
        <v>9.9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9.9</v>
      </c>
      <c r="AB47" s="50">
        <v>9.9</v>
      </c>
      <c r="AC47" s="50">
        <v>9.9</v>
      </c>
      <c r="AD47" s="50">
        <v>9.9</v>
      </c>
      <c r="AE47" s="50">
        <v>9.9</v>
      </c>
      <c r="AF47" s="50">
        <v>9.9</v>
      </c>
      <c r="AG47" s="67">
        <v>10.050000000000001</v>
      </c>
      <c r="AH47" s="55">
        <f t="shared" si="2"/>
        <v>9.9</v>
      </c>
      <c r="AI47" s="56">
        <f t="shared" si="3"/>
        <v>9.9</v>
      </c>
      <c r="AK47" s="57"/>
    </row>
    <row r="48" spans="1:88" x14ac:dyDescent="0.25">
      <c r="A48" s="66" t="s">
        <v>55</v>
      </c>
      <c r="B48" s="50">
        <v>6.2</v>
      </c>
      <c r="C48" s="50">
        <v>6.2</v>
      </c>
      <c r="D48" s="50">
        <v>6.2</v>
      </c>
      <c r="E48" s="50">
        <v>6.2</v>
      </c>
      <c r="F48" s="50">
        <v>6.2</v>
      </c>
      <c r="G48" s="50">
        <v>6.2</v>
      </c>
      <c r="H48" s="50">
        <v>6.2</v>
      </c>
      <c r="I48" s="50">
        <v>6.2</v>
      </c>
      <c r="J48" s="50">
        <v>6.2</v>
      </c>
      <c r="K48" s="50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5.2</v>
      </c>
      <c r="V48" s="50">
        <v>5.2</v>
      </c>
      <c r="W48" s="50">
        <v>5.2</v>
      </c>
      <c r="X48" s="50">
        <v>5.2</v>
      </c>
      <c r="Y48" s="50">
        <v>5.2</v>
      </c>
      <c r="Z48" s="50">
        <v>5.2</v>
      </c>
      <c r="AA48" s="50">
        <v>5.2</v>
      </c>
      <c r="AB48" s="50">
        <v>5.2</v>
      </c>
      <c r="AC48" s="50">
        <v>5.2</v>
      </c>
      <c r="AD48" s="50">
        <v>5.2</v>
      </c>
      <c r="AE48" s="50">
        <v>5.2</v>
      </c>
      <c r="AF48" s="50">
        <v>5.2</v>
      </c>
      <c r="AG48" s="67">
        <v>6.2</v>
      </c>
      <c r="AH48" s="55">
        <f t="shared" si="2"/>
        <v>6.2</v>
      </c>
      <c r="AI48" s="56">
        <f t="shared" si="3"/>
        <v>5.2</v>
      </c>
      <c r="AK48" s="57"/>
    </row>
    <row r="49" spans="1:37" ht="15.75" thickBot="1" x14ac:dyDescent="0.3">
      <c r="A49" s="68" t="s">
        <v>56</v>
      </c>
      <c r="B49" s="76">
        <f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>SUM(B37:B49)</f>
        <v>444.34</v>
      </c>
      <c r="C50" s="72">
        <f t="shared" ref="C50:AF50" si="6">SUM(C37:C49)</f>
        <v>444.03999999999996</v>
      </c>
      <c r="D50" s="72">
        <f t="shared" si="6"/>
        <v>443.44</v>
      </c>
      <c r="E50" s="72">
        <f t="shared" si="6"/>
        <v>443.34000000000003</v>
      </c>
      <c r="F50" s="72">
        <f t="shared" si="6"/>
        <v>444.64</v>
      </c>
      <c r="G50" s="72">
        <f t="shared" si="6"/>
        <v>443.73999999999995</v>
      </c>
      <c r="H50" s="72">
        <f t="shared" si="6"/>
        <v>443.44000000000005</v>
      </c>
      <c r="I50" s="72">
        <f t="shared" si="6"/>
        <v>443.64000000000004</v>
      </c>
      <c r="J50" s="72">
        <f t="shared" si="6"/>
        <v>444.14</v>
      </c>
      <c r="K50" s="72">
        <f t="shared" si="6"/>
        <v>446.74000000000007</v>
      </c>
      <c r="L50" s="72">
        <f t="shared" si="6"/>
        <v>446.04</v>
      </c>
      <c r="M50" s="72">
        <f t="shared" si="6"/>
        <v>446.74000000000007</v>
      </c>
      <c r="N50" s="72">
        <f t="shared" si="6"/>
        <v>443.14000000000004</v>
      </c>
      <c r="O50" s="72">
        <f t="shared" si="6"/>
        <v>435.94</v>
      </c>
      <c r="P50" s="72">
        <f t="shared" si="6"/>
        <v>437.54</v>
      </c>
      <c r="Q50" s="72">
        <f t="shared" si="6"/>
        <v>442.44</v>
      </c>
      <c r="R50" s="72">
        <f t="shared" si="6"/>
        <v>442.44</v>
      </c>
      <c r="S50" s="72">
        <f t="shared" si="6"/>
        <v>442.44</v>
      </c>
      <c r="T50" s="72">
        <f t="shared" si="6"/>
        <v>444.64</v>
      </c>
      <c r="U50" s="72">
        <f t="shared" si="6"/>
        <v>443.64</v>
      </c>
      <c r="V50" s="72">
        <f t="shared" si="6"/>
        <v>442.14</v>
      </c>
      <c r="W50" s="72">
        <f t="shared" si="6"/>
        <v>442.14</v>
      </c>
      <c r="X50" s="72">
        <f t="shared" si="6"/>
        <v>442.14</v>
      </c>
      <c r="Y50" s="72">
        <f t="shared" si="6"/>
        <v>442.14</v>
      </c>
      <c r="Z50" s="72">
        <f t="shared" si="6"/>
        <v>442.14</v>
      </c>
      <c r="AA50" s="72">
        <f t="shared" si="6"/>
        <v>442.33999999999992</v>
      </c>
      <c r="AB50" s="72">
        <f t="shared" si="6"/>
        <v>442.33999999999992</v>
      </c>
      <c r="AC50" s="72">
        <f t="shared" si="6"/>
        <v>442.53999999999996</v>
      </c>
      <c r="AD50" s="72">
        <f t="shared" si="6"/>
        <v>442.53999999999996</v>
      </c>
      <c r="AE50" s="72">
        <f t="shared" si="6"/>
        <v>442.93999999999994</v>
      </c>
      <c r="AF50" s="72">
        <f t="shared" si="6"/>
        <v>435.53999999999996</v>
      </c>
      <c r="AG50" s="77">
        <f>SUM(AG37:AG49)</f>
        <v>489.91</v>
      </c>
      <c r="AH50" s="55">
        <f t="shared" si="2"/>
        <v>446.74000000000007</v>
      </c>
      <c r="AI50" s="56">
        <f t="shared" si="3"/>
        <v>435.53999999999996</v>
      </c>
      <c r="AK50" s="57"/>
    </row>
    <row r="51" spans="1:37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14.3</v>
      </c>
      <c r="N51" s="174">
        <v>13.6</v>
      </c>
      <c r="O51" s="174">
        <v>9.8000000000000007</v>
      </c>
      <c r="P51" s="50">
        <v>19.399999999999999</v>
      </c>
      <c r="Q51" s="50">
        <v>14.2</v>
      </c>
      <c r="R51" s="50">
        <v>20.6</v>
      </c>
      <c r="S51" s="50">
        <v>20.6</v>
      </c>
      <c r="T51" s="50">
        <v>20.7</v>
      </c>
      <c r="U51" s="50">
        <v>35</v>
      </c>
      <c r="V51" s="50">
        <v>40.4</v>
      </c>
      <c r="W51" s="50">
        <v>59.8</v>
      </c>
      <c r="X51" s="50">
        <v>59.8</v>
      </c>
      <c r="Y51" s="50">
        <v>59.8</v>
      </c>
      <c r="Z51" s="50">
        <v>59.8</v>
      </c>
      <c r="AA51" s="50">
        <v>60</v>
      </c>
      <c r="AB51" s="50">
        <v>60</v>
      </c>
      <c r="AC51" s="50">
        <v>20.399999999999999</v>
      </c>
      <c r="AD51" s="50">
        <v>12</v>
      </c>
      <c r="AE51" s="50">
        <v>0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6.6</v>
      </c>
      <c r="N52" s="174">
        <v>5.9</v>
      </c>
      <c r="O52" s="174">
        <v>6.3</v>
      </c>
      <c r="P52" s="52">
        <v>5.5</v>
      </c>
      <c r="Q52" s="52">
        <v>6</v>
      </c>
      <c r="R52" s="50">
        <v>9.3000000000000007</v>
      </c>
      <c r="S52" s="50">
        <v>9.3000000000000007</v>
      </c>
      <c r="T52" s="50">
        <v>10</v>
      </c>
      <c r="U52" s="52">
        <v>13.9</v>
      </c>
      <c r="V52" s="52">
        <v>16.3</v>
      </c>
      <c r="W52" s="52">
        <v>28.8</v>
      </c>
      <c r="X52" s="52">
        <v>28.8</v>
      </c>
      <c r="Y52" s="52">
        <v>28.8</v>
      </c>
      <c r="Z52" s="52">
        <v>28.8</v>
      </c>
      <c r="AA52" s="52">
        <v>28.5</v>
      </c>
      <c r="AB52" s="52">
        <v>28.5</v>
      </c>
      <c r="AC52" s="52">
        <v>7.6</v>
      </c>
      <c r="AD52" s="52">
        <v>3.8</v>
      </c>
      <c r="AE52" s="50">
        <v>0</v>
      </c>
      <c r="AF52" s="50">
        <v>0</v>
      </c>
      <c r="AG52" s="67">
        <v>32</v>
      </c>
      <c r="AH52" s="55">
        <f t="shared" si="2"/>
        <v>28.8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2.4</v>
      </c>
      <c r="N53" s="175">
        <v>2.1</v>
      </c>
      <c r="O53" s="175">
        <v>2.2999999999999998</v>
      </c>
      <c r="P53" s="78">
        <v>2</v>
      </c>
      <c r="Q53" s="78">
        <v>2.2000000000000002</v>
      </c>
      <c r="R53" s="50">
        <v>3.4</v>
      </c>
      <c r="S53" s="50">
        <v>3.4</v>
      </c>
      <c r="T53" s="50">
        <v>3.7</v>
      </c>
      <c r="U53" s="78">
        <v>5.0999999999999996</v>
      </c>
      <c r="V53" s="78">
        <v>5.9</v>
      </c>
      <c r="W53" s="78">
        <v>10.5</v>
      </c>
      <c r="X53" s="78">
        <v>10.5</v>
      </c>
      <c r="Y53" s="78">
        <v>10.5</v>
      </c>
      <c r="Z53" s="78">
        <v>10.5</v>
      </c>
      <c r="AA53" s="78">
        <v>10.4</v>
      </c>
      <c r="AB53" s="78">
        <v>10.4</v>
      </c>
      <c r="AC53" s="78">
        <v>2.8</v>
      </c>
      <c r="AD53" s="78">
        <v>1.4</v>
      </c>
      <c r="AE53" s="50">
        <v>0</v>
      </c>
      <c r="AF53" s="50">
        <v>0</v>
      </c>
      <c r="AG53" s="79">
        <v>14</v>
      </c>
      <c r="AH53" s="55">
        <f t="shared" si="2"/>
        <v>10.5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23.299999999999997</v>
      </c>
      <c r="N54" s="72">
        <f t="shared" si="7"/>
        <v>21.6</v>
      </c>
      <c r="O54" s="72">
        <f t="shared" si="7"/>
        <v>18.400000000000002</v>
      </c>
      <c r="P54" s="72">
        <f t="shared" si="7"/>
        <v>26.9</v>
      </c>
      <c r="Q54" s="72">
        <f t="shared" si="7"/>
        <v>22.4</v>
      </c>
      <c r="R54" s="72">
        <f t="shared" si="7"/>
        <v>33.300000000000004</v>
      </c>
      <c r="S54" s="72">
        <f t="shared" si="7"/>
        <v>33.300000000000004</v>
      </c>
      <c r="T54" s="72">
        <f t="shared" si="7"/>
        <v>34.4</v>
      </c>
      <c r="U54" s="72">
        <f t="shared" si="7"/>
        <v>54</v>
      </c>
      <c r="V54" s="72">
        <f t="shared" si="7"/>
        <v>62.6</v>
      </c>
      <c r="W54" s="72">
        <f t="shared" si="7"/>
        <v>99.1</v>
      </c>
      <c r="X54" s="72">
        <f t="shared" si="7"/>
        <v>99.1</v>
      </c>
      <c r="Y54" s="72">
        <f t="shared" si="7"/>
        <v>99.1</v>
      </c>
      <c r="Z54" s="72">
        <f t="shared" si="7"/>
        <v>99.1</v>
      </c>
      <c r="AA54" s="72">
        <f t="shared" si="7"/>
        <v>98.9</v>
      </c>
      <c r="AB54" s="72">
        <f t="shared" si="7"/>
        <v>98.9</v>
      </c>
      <c r="AC54" s="72">
        <f t="shared" si="7"/>
        <v>30.8</v>
      </c>
      <c r="AD54" s="72">
        <f t="shared" si="7"/>
        <v>17.2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99.1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49.8</v>
      </c>
      <c r="X55" s="50">
        <v>69.900000000000006</v>
      </c>
      <c r="Y55" s="50">
        <v>56.4</v>
      </c>
      <c r="Z55" s="50">
        <v>54</v>
      </c>
      <c r="AA55" s="50">
        <v>56.5</v>
      </c>
      <c r="AB55" s="50">
        <v>56.5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69.900000000000006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-64.7</v>
      </c>
      <c r="C56" s="52">
        <v>-64.8</v>
      </c>
      <c r="D56" s="52">
        <v>-15.1</v>
      </c>
      <c r="E56" s="52">
        <v>-13.8</v>
      </c>
      <c r="F56" s="52">
        <v>-12.5</v>
      </c>
      <c r="G56" s="52">
        <v>-55</v>
      </c>
      <c r="H56" s="52">
        <v>-45.6</v>
      </c>
      <c r="I56" s="52">
        <v>-37.6</v>
      </c>
      <c r="J56" s="52">
        <v>-34</v>
      </c>
      <c r="K56" s="52">
        <v>-33.1</v>
      </c>
      <c r="L56" s="50">
        <v>-26.7</v>
      </c>
      <c r="M56" s="50">
        <v>-38</v>
      </c>
      <c r="N56" s="50">
        <v>-41</v>
      </c>
      <c r="O56" s="50">
        <v>-44.9</v>
      </c>
      <c r="P56" s="50">
        <v>-46.1</v>
      </c>
      <c r="Q56" s="50">
        <v>-48.6</v>
      </c>
      <c r="R56" s="50">
        <v>-46.9</v>
      </c>
      <c r="S56" s="50">
        <v>-47.9</v>
      </c>
      <c r="T56" s="50">
        <v>-43.1</v>
      </c>
      <c r="U56" s="50">
        <v>-40.4</v>
      </c>
      <c r="V56" s="50">
        <v>-47.5</v>
      </c>
      <c r="W56" s="80">
        <v>-57.5</v>
      </c>
      <c r="X56" s="80">
        <v>0</v>
      </c>
      <c r="Y56" s="80">
        <v>-27.9</v>
      </c>
      <c r="Z56" s="80">
        <v>-38.4</v>
      </c>
      <c r="AA56" s="52">
        <v>-35.5</v>
      </c>
      <c r="AB56" s="52">
        <v>-35.5</v>
      </c>
      <c r="AC56" s="52">
        <v>-42.2</v>
      </c>
      <c r="AD56" s="52">
        <v>-79.400000000000006</v>
      </c>
      <c r="AE56" s="52">
        <v>-76.2</v>
      </c>
      <c r="AF56" s="52">
        <v>-83.6</v>
      </c>
      <c r="AG56" s="67"/>
      <c r="AH56" s="55">
        <f t="shared" si="2"/>
        <v>0</v>
      </c>
      <c r="AI56" s="56">
        <f t="shared" si="3"/>
        <v>-83.6</v>
      </c>
      <c r="AK56" s="57"/>
    </row>
    <row r="57" spans="1:37" x14ac:dyDescent="0.25">
      <c r="A57" s="66" t="s">
        <v>64</v>
      </c>
      <c r="B57" s="52">
        <v>-61.4</v>
      </c>
      <c r="C57" s="52">
        <v>-32.700000000000003</v>
      </c>
      <c r="D57" s="52">
        <v>-75</v>
      </c>
      <c r="E57" s="52">
        <v>-50</v>
      </c>
      <c r="F57" s="52">
        <v>-46.3</v>
      </c>
      <c r="G57" s="50">
        <v>-22.8</v>
      </c>
      <c r="H57" s="50">
        <v>-56.5</v>
      </c>
      <c r="I57" s="50">
        <v>-70</v>
      </c>
      <c r="J57" s="50">
        <v>-40</v>
      </c>
      <c r="K57" s="50">
        <v>-24.3</v>
      </c>
      <c r="L57" s="52">
        <v>-46.5</v>
      </c>
      <c r="M57" s="52">
        <v>-36.299999999999997</v>
      </c>
      <c r="N57" s="52">
        <v>-32.6</v>
      </c>
      <c r="O57" s="52">
        <v>-5.8</v>
      </c>
      <c r="P57" s="52">
        <v>-40</v>
      </c>
      <c r="Q57" s="52">
        <v>-47.8</v>
      </c>
      <c r="R57" s="52">
        <v>-56.8</v>
      </c>
      <c r="S57" s="52">
        <v>-51.3</v>
      </c>
      <c r="T57" s="52">
        <v>-116.3</v>
      </c>
      <c r="U57" s="52">
        <v>-64.5</v>
      </c>
      <c r="V57" s="52">
        <v>-90</v>
      </c>
      <c r="W57" s="81">
        <v>-14</v>
      </c>
      <c r="X57" s="81">
        <v>-23</v>
      </c>
      <c r="Y57" s="81">
        <v>12.8</v>
      </c>
      <c r="Z57" s="81">
        <v>32.700000000000003</v>
      </c>
      <c r="AA57" s="52">
        <v>-36.5</v>
      </c>
      <c r="AB57" s="52">
        <v>-36.5</v>
      </c>
      <c r="AC57" s="52">
        <v>-68</v>
      </c>
      <c r="AD57" s="52">
        <v>-99.9</v>
      </c>
      <c r="AE57" s="52">
        <v>-113</v>
      </c>
      <c r="AF57" s="52">
        <v>-130</v>
      </c>
      <c r="AG57" s="82"/>
      <c r="AH57" s="55">
        <f t="shared" si="2"/>
        <v>32.700000000000003</v>
      </c>
      <c r="AI57" s="56">
        <f t="shared" si="3"/>
        <v>-130</v>
      </c>
      <c r="AK57" s="57"/>
    </row>
    <row r="58" spans="1:37" x14ac:dyDescent="0.25">
      <c r="A58" s="66" t="s">
        <v>65</v>
      </c>
      <c r="B58" s="59">
        <v>0</v>
      </c>
      <c r="C58" s="59">
        <v>-60</v>
      </c>
      <c r="D58" s="59">
        <v>-62</v>
      </c>
      <c r="E58" s="59">
        <v>-60</v>
      </c>
      <c r="F58" s="59">
        <v>-60</v>
      </c>
      <c r="G58" s="59">
        <v>-58</v>
      </c>
      <c r="H58" s="59">
        <v>-50</v>
      </c>
      <c r="I58" s="59">
        <v>-38</v>
      </c>
      <c r="J58" s="59">
        <v>-35</v>
      </c>
      <c r="K58" s="59">
        <v>-35</v>
      </c>
      <c r="L58" s="52">
        <v>-28</v>
      </c>
      <c r="M58" s="52">
        <v>-28</v>
      </c>
      <c r="N58" s="52">
        <v>-27</v>
      </c>
      <c r="O58" s="52">
        <v>-38.799999999999997</v>
      </c>
      <c r="P58" s="52">
        <v>-31</v>
      </c>
      <c r="Q58" s="52">
        <v>-29</v>
      </c>
      <c r="R58" s="52">
        <v>-35</v>
      </c>
      <c r="S58" s="52">
        <v>-40</v>
      </c>
      <c r="T58" s="52">
        <v>-40</v>
      </c>
      <c r="U58" s="52">
        <v>-33.799999999999997</v>
      </c>
      <c r="V58" s="52">
        <v>-40</v>
      </c>
      <c r="W58" s="52">
        <v>-48</v>
      </c>
      <c r="X58" s="52">
        <v>-50</v>
      </c>
      <c r="Y58" s="52">
        <v>-63.2</v>
      </c>
      <c r="Z58" s="52">
        <v>-58.6</v>
      </c>
      <c r="AA58" s="52">
        <v>-60</v>
      </c>
      <c r="AB58" s="52">
        <v>-60</v>
      </c>
      <c r="AC58" s="52">
        <v>0</v>
      </c>
      <c r="AD58" s="52">
        <v>0</v>
      </c>
      <c r="AE58" s="59">
        <v>-46</v>
      </c>
      <c r="AF58" s="59">
        <v>-53</v>
      </c>
      <c r="AG58" s="82"/>
      <c r="AH58" s="55">
        <f t="shared" si="2"/>
        <v>0</v>
      </c>
      <c r="AI58" s="56">
        <f t="shared" si="3"/>
        <v>-63.2</v>
      </c>
      <c r="AK58" s="57"/>
    </row>
    <row r="59" spans="1:37" x14ac:dyDescent="0.25">
      <c r="A59" s="66" t="s">
        <v>66</v>
      </c>
      <c r="B59" s="50">
        <v>-56.2</v>
      </c>
      <c r="C59" s="59">
        <v>-54.9</v>
      </c>
      <c r="D59" s="59">
        <v>-54.6</v>
      </c>
      <c r="E59" s="59">
        <v>-55.3</v>
      </c>
      <c r="F59" s="59">
        <v>-54.3</v>
      </c>
      <c r="G59" s="59">
        <v>-51.8</v>
      </c>
      <c r="H59" s="59">
        <v>-48</v>
      </c>
      <c r="I59" s="59">
        <v>-40</v>
      </c>
      <c r="J59" s="59">
        <v>-31.6</v>
      </c>
      <c r="K59" s="59">
        <v>-34</v>
      </c>
      <c r="L59" s="50">
        <v>-35.6</v>
      </c>
      <c r="M59" s="50">
        <v>-36.5</v>
      </c>
      <c r="N59" s="50">
        <v>-35.700000000000003</v>
      </c>
      <c r="O59" s="50">
        <v>-38.200000000000003</v>
      </c>
      <c r="P59" s="50">
        <v>-43.8</v>
      </c>
      <c r="Q59" s="50">
        <v>-38.6</v>
      </c>
      <c r="R59" s="50">
        <v>-39.5</v>
      </c>
      <c r="S59" s="50">
        <v>-42.7</v>
      </c>
      <c r="T59" s="50">
        <v>-22.1</v>
      </c>
      <c r="U59" s="50">
        <v>-36.4</v>
      </c>
      <c r="V59" s="50">
        <v>-55.1</v>
      </c>
      <c r="W59" s="50">
        <v>-65.599999999999994</v>
      </c>
      <c r="X59" s="50">
        <v>-73.599999999999994</v>
      </c>
      <c r="Y59" s="50">
        <v>-76.3</v>
      </c>
      <c r="Z59" s="50">
        <v>-72.8</v>
      </c>
      <c r="AA59" s="50">
        <v>-79.900000000000006</v>
      </c>
      <c r="AB59" s="50">
        <v>-79.900000000000006</v>
      </c>
      <c r="AC59" s="50">
        <v>-82.2</v>
      </c>
      <c r="AD59" s="50">
        <v>-80.099999999999994</v>
      </c>
      <c r="AE59" s="50">
        <v>-76.900000000000006</v>
      </c>
      <c r="AF59" s="50">
        <v>-77.5</v>
      </c>
      <c r="AG59" s="82"/>
      <c r="AH59" s="55">
        <f t="shared" si="2"/>
        <v>-22.1</v>
      </c>
      <c r="AI59" s="56">
        <f t="shared" si="3"/>
        <v>-82.2</v>
      </c>
      <c r="AK59" s="57"/>
    </row>
    <row r="60" spans="1:37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8</v>
      </c>
      <c r="AA62" s="59">
        <v>8</v>
      </c>
      <c r="AB62" s="59">
        <v>8</v>
      </c>
      <c r="AC62" s="59">
        <v>8</v>
      </c>
      <c r="AD62" s="59">
        <v>8</v>
      </c>
      <c r="AE62" s="59">
        <v>8</v>
      </c>
      <c r="AF62" s="59">
        <v>8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84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-174.3</v>
      </c>
      <c r="C66" s="72">
        <f t="shared" ref="C66:AF66" si="8">SUM(C55:C65)</f>
        <v>-204.4</v>
      </c>
      <c r="D66" s="72">
        <f t="shared" si="8"/>
        <v>-198.7</v>
      </c>
      <c r="E66" s="72">
        <f t="shared" si="8"/>
        <v>-171.1</v>
      </c>
      <c r="F66" s="72">
        <f t="shared" si="8"/>
        <v>-165.1</v>
      </c>
      <c r="G66" s="72">
        <f t="shared" si="8"/>
        <v>-187.60000000000002</v>
      </c>
      <c r="H66" s="72">
        <f t="shared" si="8"/>
        <v>-200.1</v>
      </c>
      <c r="I66" s="72">
        <f t="shared" si="8"/>
        <v>-185.6</v>
      </c>
      <c r="J66" s="72">
        <f t="shared" si="8"/>
        <v>-140.6</v>
      </c>
      <c r="K66" s="72">
        <f t="shared" si="8"/>
        <v>-126.4</v>
      </c>
      <c r="L66" s="72">
        <f t="shared" si="8"/>
        <v>-136.80000000000001</v>
      </c>
      <c r="M66" s="72">
        <f t="shared" si="8"/>
        <v>-138.80000000000001</v>
      </c>
      <c r="N66" s="72">
        <f t="shared" si="8"/>
        <v>-136.30000000000001</v>
      </c>
      <c r="O66" s="72">
        <f t="shared" si="8"/>
        <v>-127.7</v>
      </c>
      <c r="P66" s="72">
        <f t="shared" si="8"/>
        <v>-160.89999999999998</v>
      </c>
      <c r="Q66" s="72">
        <f t="shared" si="8"/>
        <v>-164</v>
      </c>
      <c r="R66" s="72">
        <f t="shared" si="8"/>
        <v>-178.2</v>
      </c>
      <c r="S66" s="72">
        <f t="shared" si="8"/>
        <v>-181.89999999999998</v>
      </c>
      <c r="T66" s="72">
        <f t="shared" si="8"/>
        <v>-221.5</v>
      </c>
      <c r="U66" s="72">
        <f t="shared" si="8"/>
        <v>-175.1</v>
      </c>
      <c r="V66" s="72">
        <f t="shared" si="8"/>
        <v>-232.6</v>
      </c>
      <c r="W66" s="72">
        <f t="shared" si="8"/>
        <v>-135.30000000000001</v>
      </c>
      <c r="X66" s="72">
        <f t="shared" si="8"/>
        <v>-76.699999999999989</v>
      </c>
      <c r="Y66" s="72">
        <f t="shared" si="8"/>
        <v>-98.2</v>
      </c>
      <c r="Z66" s="72">
        <f t="shared" si="8"/>
        <v>-75.099999999999994</v>
      </c>
      <c r="AA66" s="72">
        <f t="shared" si="8"/>
        <v>-147.4</v>
      </c>
      <c r="AB66" s="72">
        <f t="shared" si="8"/>
        <v>-147.4</v>
      </c>
      <c r="AC66" s="72">
        <f t="shared" si="8"/>
        <v>-184.4</v>
      </c>
      <c r="AD66" s="72">
        <f t="shared" si="8"/>
        <v>-251.39999999999998</v>
      </c>
      <c r="AE66" s="72">
        <f t="shared" si="8"/>
        <v>-304.10000000000002</v>
      </c>
      <c r="AF66" s="72">
        <f t="shared" si="8"/>
        <v>-336.1</v>
      </c>
      <c r="AG66" s="77">
        <f>SUM(AG55:AG65)</f>
        <v>0</v>
      </c>
      <c r="AH66" s="55">
        <f t="shared" si="2"/>
        <v>-75.099999999999994</v>
      </c>
      <c r="AI66" s="56">
        <f t="shared" si="3"/>
        <v>-336.1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9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9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9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9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1156.44</v>
      </c>
      <c r="C71" s="87">
        <f t="shared" ref="C71:AG71" si="10">C66+C54+C50+C36+C70</f>
        <v>1154.04</v>
      </c>
      <c r="D71" s="87">
        <f t="shared" si="10"/>
        <v>1104.6400000000001</v>
      </c>
      <c r="E71" s="87">
        <f t="shared" si="10"/>
        <v>1080.1400000000001</v>
      </c>
      <c r="F71" s="87">
        <f t="shared" si="10"/>
        <v>1087.44</v>
      </c>
      <c r="G71" s="87">
        <f t="shared" si="10"/>
        <v>1112.74</v>
      </c>
      <c r="H71" s="87">
        <f t="shared" si="10"/>
        <v>1113.6400000000001</v>
      </c>
      <c r="I71" s="87">
        <f t="shared" si="10"/>
        <v>1128.3400000000001</v>
      </c>
      <c r="J71" s="87">
        <f t="shared" si="10"/>
        <v>1173.8400000000001</v>
      </c>
      <c r="K71" s="87">
        <f t="shared" si="10"/>
        <v>1205.6400000000001</v>
      </c>
      <c r="L71" s="87">
        <f t="shared" si="10"/>
        <v>1248.1399999999999</v>
      </c>
      <c r="M71" s="87">
        <f t="shared" si="10"/>
        <v>1280.94</v>
      </c>
      <c r="N71" s="87">
        <f t="shared" si="10"/>
        <v>1303.1399999999999</v>
      </c>
      <c r="O71" s="87">
        <f t="shared" si="10"/>
        <v>1281.74</v>
      </c>
      <c r="P71" s="87">
        <f t="shared" si="10"/>
        <v>1295.6400000000001</v>
      </c>
      <c r="Q71" s="87">
        <f t="shared" si="10"/>
        <v>1266.94</v>
      </c>
      <c r="R71" s="87">
        <f t="shared" si="10"/>
        <v>1297.6400000000001</v>
      </c>
      <c r="S71" s="87">
        <f t="shared" si="10"/>
        <v>1289.94</v>
      </c>
      <c r="T71" s="87">
        <f t="shared" si="10"/>
        <v>1253.6399999999999</v>
      </c>
      <c r="U71" s="87">
        <f t="shared" si="10"/>
        <v>1240.6399999999999</v>
      </c>
      <c r="V71" s="87">
        <f t="shared" si="10"/>
        <v>1268.24</v>
      </c>
      <c r="W71" s="87">
        <f t="shared" si="10"/>
        <v>1408.04</v>
      </c>
      <c r="X71" s="87">
        <f t="shared" si="10"/>
        <v>1475.6399999999999</v>
      </c>
      <c r="Y71" s="87">
        <f t="shared" si="10"/>
        <v>1445.1399999999999</v>
      </c>
      <c r="Z71" s="87">
        <f t="shared" si="10"/>
        <v>1468.24</v>
      </c>
      <c r="AA71" s="87">
        <f t="shared" si="10"/>
        <v>1388.94</v>
      </c>
      <c r="AB71" s="87">
        <f t="shared" si="10"/>
        <v>1388.94</v>
      </c>
      <c r="AC71" s="87">
        <f t="shared" si="10"/>
        <v>1320.04</v>
      </c>
      <c r="AD71" s="87">
        <f t="shared" si="10"/>
        <v>1237.4399999999998</v>
      </c>
      <c r="AE71" s="87">
        <f t="shared" si="10"/>
        <v>1164.9399999999998</v>
      </c>
      <c r="AF71" s="87">
        <f t="shared" si="10"/>
        <v>1125.54</v>
      </c>
      <c r="AG71" s="87">
        <f t="shared" si="10"/>
        <v>2083.14</v>
      </c>
      <c r="AH71" s="55">
        <f t="shared" si="2"/>
        <v>1475.6399999999999</v>
      </c>
      <c r="AI71" s="56">
        <f t="shared" si="3"/>
        <v>1080.1400000000001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B70+B66+B54+B50+B36+B72</f>
        <v>1156.44</v>
      </c>
      <c r="C73" s="87">
        <f t="shared" ref="C73:AF73" si="11">C70+C66+C54+C50+C36+C72</f>
        <v>1154.04</v>
      </c>
      <c r="D73" s="87">
        <f t="shared" si="11"/>
        <v>1104.6400000000001</v>
      </c>
      <c r="E73" s="87">
        <f t="shared" si="11"/>
        <v>1080.1400000000001</v>
      </c>
      <c r="F73" s="87">
        <f t="shared" si="11"/>
        <v>1087.44</v>
      </c>
      <c r="G73" s="87">
        <f t="shared" si="11"/>
        <v>1112.74</v>
      </c>
      <c r="H73" s="87">
        <f t="shared" si="11"/>
        <v>1113.6400000000001</v>
      </c>
      <c r="I73" s="87">
        <f t="shared" si="11"/>
        <v>1128.3400000000001</v>
      </c>
      <c r="J73" s="87">
        <f t="shared" si="11"/>
        <v>1173.8400000000001</v>
      </c>
      <c r="K73" s="87">
        <f t="shared" si="11"/>
        <v>1205.6400000000001</v>
      </c>
      <c r="L73" s="87">
        <f t="shared" si="11"/>
        <v>1248.1399999999999</v>
      </c>
      <c r="M73" s="87">
        <f t="shared" si="11"/>
        <v>1280.94</v>
      </c>
      <c r="N73" s="87">
        <f t="shared" si="11"/>
        <v>1303.1399999999999</v>
      </c>
      <c r="O73" s="87">
        <f t="shared" si="11"/>
        <v>1281.74</v>
      </c>
      <c r="P73" s="87">
        <f t="shared" si="11"/>
        <v>1295.6400000000001</v>
      </c>
      <c r="Q73" s="87">
        <f t="shared" si="11"/>
        <v>1266.94</v>
      </c>
      <c r="R73" s="87">
        <f t="shared" si="11"/>
        <v>1297.6400000000001</v>
      </c>
      <c r="S73" s="87">
        <f t="shared" si="11"/>
        <v>1289.94</v>
      </c>
      <c r="T73" s="87">
        <f t="shared" si="11"/>
        <v>1253.6399999999999</v>
      </c>
      <c r="U73" s="87">
        <f t="shared" si="11"/>
        <v>1240.6399999999999</v>
      </c>
      <c r="V73" s="87">
        <f t="shared" si="11"/>
        <v>1268.24</v>
      </c>
      <c r="W73" s="87">
        <f t="shared" si="11"/>
        <v>1408.04</v>
      </c>
      <c r="X73" s="87">
        <f t="shared" si="11"/>
        <v>1475.6399999999999</v>
      </c>
      <c r="Y73" s="87">
        <f t="shared" si="11"/>
        <v>1445.1399999999999</v>
      </c>
      <c r="Z73" s="87">
        <f t="shared" si="11"/>
        <v>1468.24</v>
      </c>
      <c r="AA73" s="87">
        <f t="shared" si="11"/>
        <v>1388.94</v>
      </c>
      <c r="AB73" s="87">
        <f t="shared" si="11"/>
        <v>1388.94</v>
      </c>
      <c r="AC73" s="87">
        <f t="shared" si="11"/>
        <v>1320.04</v>
      </c>
      <c r="AD73" s="87">
        <f t="shared" si="11"/>
        <v>1237.4399999999998</v>
      </c>
      <c r="AE73" s="87">
        <f t="shared" si="11"/>
        <v>1164.9399999999998</v>
      </c>
      <c r="AF73" s="87">
        <f t="shared" si="11"/>
        <v>1125.54</v>
      </c>
      <c r="AG73" s="77">
        <f>AG70+AG66+AG54+AG50+AG36+AG72</f>
        <v>2083.14</v>
      </c>
      <c r="AH73" s="55">
        <f t="shared" si="2"/>
        <v>1475.6399999999999</v>
      </c>
      <c r="AI73" s="56">
        <f t="shared" si="3"/>
        <v>1080.1400000000001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AF74" si="12">IF(C58&lt;0,C58*-1,0)</f>
        <v>60</v>
      </c>
      <c r="D74" s="59">
        <f t="shared" si="12"/>
        <v>62</v>
      </c>
      <c r="E74" s="59">
        <f t="shared" si="12"/>
        <v>60</v>
      </c>
      <c r="F74" s="59">
        <f t="shared" si="12"/>
        <v>60</v>
      </c>
      <c r="G74" s="59">
        <f t="shared" si="12"/>
        <v>58</v>
      </c>
      <c r="H74" s="59">
        <f t="shared" si="12"/>
        <v>50</v>
      </c>
      <c r="I74" s="59">
        <f t="shared" si="12"/>
        <v>38</v>
      </c>
      <c r="J74" s="59">
        <f t="shared" si="12"/>
        <v>35</v>
      </c>
      <c r="K74" s="59">
        <f t="shared" si="12"/>
        <v>35</v>
      </c>
      <c r="L74" s="59">
        <f t="shared" si="12"/>
        <v>28</v>
      </c>
      <c r="M74" s="59">
        <f t="shared" si="12"/>
        <v>28</v>
      </c>
      <c r="N74" s="59">
        <f t="shared" si="12"/>
        <v>27</v>
      </c>
      <c r="O74" s="59">
        <f t="shared" si="12"/>
        <v>38.799999999999997</v>
      </c>
      <c r="P74" s="59">
        <f t="shared" si="12"/>
        <v>31</v>
      </c>
      <c r="Q74" s="59">
        <f t="shared" si="12"/>
        <v>29</v>
      </c>
      <c r="R74" s="59">
        <f t="shared" si="12"/>
        <v>35</v>
      </c>
      <c r="S74" s="59">
        <f t="shared" si="12"/>
        <v>40</v>
      </c>
      <c r="T74" s="59">
        <f t="shared" si="12"/>
        <v>40</v>
      </c>
      <c r="U74" s="59">
        <f t="shared" si="12"/>
        <v>33.799999999999997</v>
      </c>
      <c r="V74" s="59">
        <f t="shared" si="12"/>
        <v>40</v>
      </c>
      <c r="W74" s="59">
        <f t="shared" si="12"/>
        <v>48</v>
      </c>
      <c r="X74" s="59">
        <f t="shared" si="12"/>
        <v>50</v>
      </c>
      <c r="Y74" s="59">
        <f t="shared" si="12"/>
        <v>63.2</v>
      </c>
      <c r="Z74" s="59">
        <f t="shared" si="12"/>
        <v>58.6</v>
      </c>
      <c r="AA74" s="59">
        <f t="shared" si="12"/>
        <v>60</v>
      </c>
      <c r="AB74" s="59">
        <f t="shared" si="12"/>
        <v>60</v>
      </c>
      <c r="AC74" s="59">
        <f t="shared" si="12"/>
        <v>0</v>
      </c>
      <c r="AD74" s="59">
        <f t="shared" si="12"/>
        <v>0</v>
      </c>
      <c r="AE74" s="59">
        <f t="shared" si="12"/>
        <v>46</v>
      </c>
      <c r="AF74" s="59">
        <f t="shared" si="12"/>
        <v>53</v>
      </c>
      <c r="AG74" s="63"/>
      <c r="AH74" s="55">
        <f t="shared" si="2"/>
        <v>63.2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64.7</v>
      </c>
      <c r="C75" s="59">
        <f t="shared" ref="C75:AF75" si="13">IF(C56&lt;0,C56*-1,0)</f>
        <v>64.8</v>
      </c>
      <c r="D75" s="59">
        <f t="shared" si="13"/>
        <v>15.1</v>
      </c>
      <c r="E75" s="59">
        <f t="shared" si="13"/>
        <v>13.8</v>
      </c>
      <c r="F75" s="59">
        <f t="shared" si="13"/>
        <v>12.5</v>
      </c>
      <c r="G75" s="59">
        <f t="shared" si="13"/>
        <v>55</v>
      </c>
      <c r="H75" s="59">
        <f t="shared" si="13"/>
        <v>45.6</v>
      </c>
      <c r="I75" s="59">
        <f t="shared" si="13"/>
        <v>37.6</v>
      </c>
      <c r="J75" s="59">
        <f t="shared" si="13"/>
        <v>34</v>
      </c>
      <c r="K75" s="59">
        <f t="shared" si="13"/>
        <v>33.1</v>
      </c>
      <c r="L75" s="59">
        <f t="shared" si="13"/>
        <v>26.7</v>
      </c>
      <c r="M75" s="59">
        <f t="shared" si="13"/>
        <v>38</v>
      </c>
      <c r="N75" s="59">
        <f t="shared" si="13"/>
        <v>41</v>
      </c>
      <c r="O75" s="59">
        <f t="shared" si="13"/>
        <v>44.9</v>
      </c>
      <c r="P75" s="59">
        <f t="shared" si="13"/>
        <v>46.1</v>
      </c>
      <c r="Q75" s="59">
        <f t="shared" si="13"/>
        <v>48.6</v>
      </c>
      <c r="R75" s="59">
        <f t="shared" si="13"/>
        <v>46.9</v>
      </c>
      <c r="S75" s="59">
        <f t="shared" si="13"/>
        <v>47.9</v>
      </c>
      <c r="T75" s="59">
        <f t="shared" si="13"/>
        <v>43.1</v>
      </c>
      <c r="U75" s="59">
        <f t="shared" si="13"/>
        <v>40.4</v>
      </c>
      <c r="V75" s="59">
        <f t="shared" si="13"/>
        <v>47.5</v>
      </c>
      <c r="W75" s="59">
        <f t="shared" si="13"/>
        <v>57.5</v>
      </c>
      <c r="X75" s="59">
        <f t="shared" si="13"/>
        <v>0</v>
      </c>
      <c r="Y75" s="59">
        <f t="shared" si="13"/>
        <v>27.9</v>
      </c>
      <c r="Z75" s="59">
        <f t="shared" si="13"/>
        <v>38.4</v>
      </c>
      <c r="AA75" s="59">
        <f t="shared" si="13"/>
        <v>35.5</v>
      </c>
      <c r="AB75" s="59">
        <f t="shared" si="13"/>
        <v>35.5</v>
      </c>
      <c r="AC75" s="59">
        <f t="shared" si="13"/>
        <v>42.2</v>
      </c>
      <c r="AD75" s="59">
        <f t="shared" si="13"/>
        <v>79.400000000000006</v>
      </c>
      <c r="AE75" s="59">
        <f t="shared" si="13"/>
        <v>76.2</v>
      </c>
      <c r="AF75" s="59">
        <f t="shared" si="13"/>
        <v>83.6</v>
      </c>
      <c r="AG75" s="67"/>
      <c r="AH75" s="55">
        <f t="shared" si="2"/>
        <v>83.6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56.2</v>
      </c>
      <c r="C76" s="59">
        <f t="shared" ref="C76:AF76" si="14">IF(C59&lt;0,C59*-1,0)</f>
        <v>54.9</v>
      </c>
      <c r="D76" s="59">
        <f t="shared" si="14"/>
        <v>54.6</v>
      </c>
      <c r="E76" s="59">
        <f t="shared" si="14"/>
        <v>55.3</v>
      </c>
      <c r="F76" s="59">
        <f t="shared" si="14"/>
        <v>54.3</v>
      </c>
      <c r="G76" s="59">
        <f t="shared" si="14"/>
        <v>51.8</v>
      </c>
      <c r="H76" s="59">
        <f t="shared" si="14"/>
        <v>48</v>
      </c>
      <c r="I76" s="59">
        <f t="shared" si="14"/>
        <v>40</v>
      </c>
      <c r="J76" s="59">
        <f t="shared" si="14"/>
        <v>31.6</v>
      </c>
      <c r="K76" s="59">
        <f t="shared" si="14"/>
        <v>34</v>
      </c>
      <c r="L76" s="59">
        <f t="shared" si="14"/>
        <v>35.6</v>
      </c>
      <c r="M76" s="59">
        <f t="shared" si="14"/>
        <v>36.5</v>
      </c>
      <c r="N76" s="59">
        <f t="shared" si="14"/>
        <v>35.700000000000003</v>
      </c>
      <c r="O76" s="59">
        <f t="shared" si="14"/>
        <v>38.200000000000003</v>
      </c>
      <c r="P76" s="59">
        <f t="shared" si="14"/>
        <v>43.8</v>
      </c>
      <c r="Q76" s="59">
        <f t="shared" si="14"/>
        <v>38.6</v>
      </c>
      <c r="R76" s="59">
        <f t="shared" si="14"/>
        <v>39.5</v>
      </c>
      <c r="S76" s="59">
        <f t="shared" si="14"/>
        <v>42.7</v>
      </c>
      <c r="T76" s="59">
        <f t="shared" si="14"/>
        <v>22.1</v>
      </c>
      <c r="U76" s="59">
        <f t="shared" si="14"/>
        <v>36.4</v>
      </c>
      <c r="V76" s="59">
        <f t="shared" si="14"/>
        <v>55.1</v>
      </c>
      <c r="W76" s="59">
        <f t="shared" si="14"/>
        <v>65.599999999999994</v>
      </c>
      <c r="X76" s="59">
        <f t="shared" si="14"/>
        <v>73.599999999999994</v>
      </c>
      <c r="Y76" s="59">
        <f t="shared" si="14"/>
        <v>76.3</v>
      </c>
      <c r="Z76" s="59">
        <f t="shared" si="14"/>
        <v>72.8</v>
      </c>
      <c r="AA76" s="59">
        <f t="shared" si="14"/>
        <v>79.900000000000006</v>
      </c>
      <c r="AB76" s="59">
        <f t="shared" si="14"/>
        <v>79.900000000000006</v>
      </c>
      <c r="AC76" s="59">
        <f t="shared" si="14"/>
        <v>82.2</v>
      </c>
      <c r="AD76" s="59">
        <f t="shared" si="14"/>
        <v>80.099999999999994</v>
      </c>
      <c r="AE76" s="59">
        <f t="shared" si="14"/>
        <v>76.900000000000006</v>
      </c>
      <c r="AF76" s="59">
        <f t="shared" si="14"/>
        <v>77.5</v>
      </c>
      <c r="AG76" s="90"/>
      <c r="AH76" s="55">
        <f t="shared" si="2"/>
        <v>82.2</v>
      </c>
      <c r="AI76" s="56">
        <f t="shared" si="3"/>
        <v>22.1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61.4</v>
      </c>
      <c r="C77" s="59">
        <f t="shared" ref="C77:AF77" si="15">IF(C57&lt;0,C57*-1,0)</f>
        <v>32.700000000000003</v>
      </c>
      <c r="D77" s="59">
        <f t="shared" si="15"/>
        <v>75</v>
      </c>
      <c r="E77" s="59">
        <f t="shared" si="15"/>
        <v>50</v>
      </c>
      <c r="F77" s="59">
        <f t="shared" si="15"/>
        <v>46.3</v>
      </c>
      <c r="G77" s="59">
        <f t="shared" si="15"/>
        <v>22.8</v>
      </c>
      <c r="H77" s="59">
        <f t="shared" si="15"/>
        <v>56.5</v>
      </c>
      <c r="I77" s="59">
        <f t="shared" si="15"/>
        <v>70</v>
      </c>
      <c r="J77" s="59">
        <f t="shared" si="15"/>
        <v>40</v>
      </c>
      <c r="K77" s="59">
        <f t="shared" si="15"/>
        <v>24.3</v>
      </c>
      <c r="L77" s="59">
        <f t="shared" si="15"/>
        <v>46.5</v>
      </c>
      <c r="M77" s="59">
        <f t="shared" si="15"/>
        <v>36.299999999999997</v>
      </c>
      <c r="N77" s="59">
        <f t="shared" si="15"/>
        <v>32.6</v>
      </c>
      <c r="O77" s="59">
        <f t="shared" si="15"/>
        <v>5.8</v>
      </c>
      <c r="P77" s="59">
        <f t="shared" si="15"/>
        <v>40</v>
      </c>
      <c r="Q77" s="59">
        <f t="shared" si="15"/>
        <v>47.8</v>
      </c>
      <c r="R77" s="59">
        <f t="shared" si="15"/>
        <v>56.8</v>
      </c>
      <c r="S77" s="59">
        <f t="shared" si="15"/>
        <v>51.3</v>
      </c>
      <c r="T77" s="59">
        <f t="shared" si="15"/>
        <v>116.3</v>
      </c>
      <c r="U77" s="59">
        <f t="shared" si="15"/>
        <v>64.5</v>
      </c>
      <c r="V77" s="59">
        <f t="shared" si="15"/>
        <v>90</v>
      </c>
      <c r="W77" s="59">
        <f t="shared" si="15"/>
        <v>14</v>
      </c>
      <c r="X77" s="59">
        <f t="shared" si="15"/>
        <v>23</v>
      </c>
      <c r="Y77" s="59">
        <f t="shared" si="15"/>
        <v>0</v>
      </c>
      <c r="Z77" s="59">
        <f t="shared" si="15"/>
        <v>0</v>
      </c>
      <c r="AA77" s="59">
        <f t="shared" si="15"/>
        <v>36.5</v>
      </c>
      <c r="AB77" s="59">
        <f t="shared" si="15"/>
        <v>36.5</v>
      </c>
      <c r="AC77" s="59">
        <f t="shared" si="15"/>
        <v>68</v>
      </c>
      <c r="AD77" s="59">
        <f t="shared" si="15"/>
        <v>99.9</v>
      </c>
      <c r="AE77" s="59">
        <f t="shared" si="15"/>
        <v>113</v>
      </c>
      <c r="AF77" s="59">
        <f t="shared" si="15"/>
        <v>130</v>
      </c>
      <c r="AG77" s="90"/>
      <c r="AH77" s="55">
        <f t="shared" ref="AH77:AH89" si="16">MAX(B77:AF77)</f>
        <v>130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>SUM(B74:B79)</f>
        <v>182.3</v>
      </c>
      <c r="C80" s="72">
        <f t="shared" ref="C80:AG80" si="19">SUM(C74:C79)</f>
        <v>212.39999999999998</v>
      </c>
      <c r="D80" s="72">
        <f t="shared" si="19"/>
        <v>206.7</v>
      </c>
      <c r="E80" s="72">
        <f t="shared" si="19"/>
        <v>179.1</v>
      </c>
      <c r="F80" s="72">
        <f t="shared" si="19"/>
        <v>173.1</v>
      </c>
      <c r="G80" s="72">
        <f t="shared" si="19"/>
        <v>187.60000000000002</v>
      </c>
      <c r="H80" s="72">
        <f t="shared" si="19"/>
        <v>200.1</v>
      </c>
      <c r="I80" s="72">
        <f t="shared" si="19"/>
        <v>185.6</v>
      </c>
      <c r="J80" s="72">
        <f t="shared" si="19"/>
        <v>140.6</v>
      </c>
      <c r="K80" s="72">
        <f t="shared" si="19"/>
        <v>126.39999999999999</v>
      </c>
      <c r="L80" s="72">
        <f t="shared" si="19"/>
        <v>136.80000000000001</v>
      </c>
      <c r="M80" s="72">
        <f t="shared" si="19"/>
        <v>138.80000000000001</v>
      </c>
      <c r="N80" s="72">
        <f t="shared" si="19"/>
        <v>136.30000000000001</v>
      </c>
      <c r="O80" s="72">
        <f t="shared" si="19"/>
        <v>127.69999999999999</v>
      </c>
      <c r="P80" s="72">
        <f t="shared" si="19"/>
        <v>160.89999999999998</v>
      </c>
      <c r="Q80" s="72">
        <f t="shared" si="19"/>
        <v>164</v>
      </c>
      <c r="R80" s="72">
        <f t="shared" si="19"/>
        <v>178.2</v>
      </c>
      <c r="S80" s="72">
        <f t="shared" si="19"/>
        <v>181.90000000000003</v>
      </c>
      <c r="T80" s="72">
        <f t="shared" si="19"/>
        <v>221.5</v>
      </c>
      <c r="U80" s="72">
        <f t="shared" si="19"/>
        <v>175.1</v>
      </c>
      <c r="V80" s="72">
        <f t="shared" si="19"/>
        <v>232.6</v>
      </c>
      <c r="W80" s="72">
        <f t="shared" si="19"/>
        <v>185.1</v>
      </c>
      <c r="X80" s="72">
        <f t="shared" si="19"/>
        <v>146.6</v>
      </c>
      <c r="Y80" s="72">
        <f t="shared" si="19"/>
        <v>167.39999999999998</v>
      </c>
      <c r="Z80" s="72">
        <f t="shared" si="19"/>
        <v>169.8</v>
      </c>
      <c r="AA80" s="72">
        <f t="shared" si="19"/>
        <v>211.9</v>
      </c>
      <c r="AB80" s="72">
        <f t="shared" si="19"/>
        <v>211.9</v>
      </c>
      <c r="AC80" s="72">
        <f t="shared" si="19"/>
        <v>192.4</v>
      </c>
      <c r="AD80" s="72">
        <f t="shared" si="19"/>
        <v>259.39999999999998</v>
      </c>
      <c r="AE80" s="72">
        <f t="shared" si="19"/>
        <v>312.10000000000002</v>
      </c>
      <c r="AF80" s="72">
        <f t="shared" si="19"/>
        <v>344.1</v>
      </c>
      <c r="AG80" s="77">
        <f t="shared" si="19"/>
        <v>0</v>
      </c>
      <c r="AH80" s="55">
        <f t="shared" si="16"/>
        <v>344.1</v>
      </c>
      <c r="AI80" s="56">
        <f t="shared" si="17"/>
        <v>126.39999999999999</v>
      </c>
      <c r="AK80" s="57"/>
    </row>
    <row r="81" spans="1:88" s="1" customFormat="1" ht="15.75" thickBot="1" x14ac:dyDescent="0.3">
      <c r="A81" s="71" t="s">
        <v>85</v>
      </c>
      <c r="B81" s="72">
        <f>SUM(B68:B80)</f>
        <v>2677.48</v>
      </c>
      <c r="C81" s="72">
        <f t="shared" ref="C81:AG81" si="20">SUM(C68:C80)</f>
        <v>2732.88</v>
      </c>
      <c r="D81" s="72">
        <f t="shared" si="20"/>
        <v>2622.68</v>
      </c>
      <c r="E81" s="72">
        <f t="shared" si="20"/>
        <v>2518.4800000000005</v>
      </c>
      <c r="F81" s="72">
        <f t="shared" si="20"/>
        <v>2521.0800000000004</v>
      </c>
      <c r="G81" s="72">
        <f t="shared" si="20"/>
        <v>2600.6800000000003</v>
      </c>
      <c r="H81" s="72">
        <f t="shared" si="20"/>
        <v>2627.48</v>
      </c>
      <c r="I81" s="72">
        <f t="shared" si="20"/>
        <v>2627.88</v>
      </c>
      <c r="J81" s="72">
        <f t="shared" si="20"/>
        <v>2628.88</v>
      </c>
      <c r="K81" s="72">
        <f t="shared" si="20"/>
        <v>2664.0800000000004</v>
      </c>
      <c r="L81" s="72">
        <f t="shared" si="20"/>
        <v>2769.8799999999997</v>
      </c>
      <c r="M81" s="72">
        <f t="shared" si="20"/>
        <v>2839.4800000000005</v>
      </c>
      <c r="N81" s="72">
        <f t="shared" si="20"/>
        <v>2878.8799999999997</v>
      </c>
      <c r="O81" s="72">
        <f t="shared" si="20"/>
        <v>2818.88</v>
      </c>
      <c r="P81" s="72">
        <f t="shared" si="20"/>
        <v>2913.0800000000004</v>
      </c>
      <c r="Q81" s="72">
        <f t="shared" si="20"/>
        <v>2861.88</v>
      </c>
      <c r="R81" s="72">
        <f t="shared" si="20"/>
        <v>2951.6800000000003</v>
      </c>
      <c r="S81" s="72">
        <f t="shared" si="20"/>
        <v>2943.6800000000003</v>
      </c>
      <c r="T81" s="72">
        <f t="shared" si="20"/>
        <v>2950.2799999999997</v>
      </c>
      <c r="U81" s="72">
        <f t="shared" si="20"/>
        <v>2831.48</v>
      </c>
      <c r="V81" s="72">
        <f t="shared" si="20"/>
        <v>3001.68</v>
      </c>
      <c r="W81" s="72">
        <f t="shared" si="20"/>
        <v>3186.2799999999997</v>
      </c>
      <c r="X81" s="72">
        <f t="shared" si="20"/>
        <v>3262.4799999999996</v>
      </c>
      <c r="Y81" s="72">
        <f t="shared" si="20"/>
        <v>3225.08</v>
      </c>
      <c r="Z81" s="72">
        <f t="shared" si="20"/>
        <v>3276.0800000000004</v>
      </c>
      <c r="AA81" s="72">
        <f t="shared" si="20"/>
        <v>3201.6800000000003</v>
      </c>
      <c r="AB81" s="72">
        <f t="shared" si="20"/>
        <v>3201.6800000000003</v>
      </c>
      <c r="AC81" s="72">
        <f t="shared" si="20"/>
        <v>3024.8799999999997</v>
      </c>
      <c r="AD81" s="72">
        <f t="shared" si="20"/>
        <v>2993.68</v>
      </c>
      <c r="AE81" s="72">
        <f t="shared" si="20"/>
        <v>2954.0799999999995</v>
      </c>
      <c r="AF81" s="72">
        <f t="shared" si="20"/>
        <v>2939.2799999999997</v>
      </c>
      <c r="AG81" s="77">
        <f t="shared" si="20"/>
        <v>4238.08</v>
      </c>
      <c r="AH81" s="55">
        <f t="shared" si="16"/>
        <v>3276.0800000000004</v>
      </c>
      <c r="AI81" s="56">
        <f t="shared" si="17"/>
        <v>2518.4800000000005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49.933999999999997</v>
      </c>
      <c r="C82" s="93">
        <v>50.039000000000001</v>
      </c>
      <c r="D82" s="93">
        <v>49.966000000000001</v>
      </c>
      <c r="E82" s="93">
        <v>49.984000000000002</v>
      </c>
      <c r="F82" s="93">
        <v>49.878</v>
      </c>
      <c r="G82" s="93">
        <v>49.933</v>
      </c>
      <c r="H82" s="93">
        <v>49.988999999999997</v>
      </c>
      <c r="I82" s="93">
        <v>49.929000000000002</v>
      </c>
      <c r="J82" s="93">
        <v>49.914999999999999</v>
      </c>
      <c r="K82" s="93">
        <v>49.893000000000001</v>
      </c>
      <c r="L82" s="93">
        <v>49.997999999999998</v>
      </c>
      <c r="M82" s="93">
        <v>50.045000000000002</v>
      </c>
      <c r="N82" s="93">
        <v>50.051000000000002</v>
      </c>
      <c r="O82" s="93" t="s">
        <v>234</v>
      </c>
      <c r="P82" s="93">
        <v>50</v>
      </c>
      <c r="Q82" s="93">
        <v>50.014000000000003</v>
      </c>
      <c r="R82" s="93">
        <v>50.006999999999998</v>
      </c>
      <c r="S82" s="93">
        <v>50.005000000000003</v>
      </c>
      <c r="T82" s="93">
        <v>49.906999999999996</v>
      </c>
      <c r="U82" s="93">
        <v>49.835999999999999</v>
      </c>
      <c r="V82" s="93">
        <v>49.895000000000003</v>
      </c>
      <c r="W82" s="93">
        <v>49.741</v>
      </c>
      <c r="X82" s="93">
        <v>49.847999999999999</v>
      </c>
      <c r="Y82" s="93">
        <v>49.804000000000002</v>
      </c>
      <c r="Z82" s="93">
        <v>49.962000000000003</v>
      </c>
      <c r="AA82" s="93">
        <v>50.017000000000003</v>
      </c>
      <c r="AB82" s="93">
        <v>50.017000000000003</v>
      </c>
      <c r="AC82" s="93">
        <v>50.037999999999997</v>
      </c>
      <c r="AD82" s="93">
        <v>50.036999999999999</v>
      </c>
      <c r="AE82" s="93">
        <v>49.826999999999998</v>
      </c>
      <c r="AF82" s="94">
        <v>49.896000000000001</v>
      </c>
      <c r="AG82" s="95"/>
      <c r="AH82" s="55">
        <f t="shared" si="16"/>
        <v>50.051000000000002</v>
      </c>
      <c r="AI82" s="56">
        <f t="shared" si="17"/>
        <v>49.741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124</v>
      </c>
      <c r="C83" s="52">
        <v>122.6</v>
      </c>
      <c r="D83" s="52">
        <v>124.9</v>
      </c>
      <c r="E83" s="52">
        <v>125.7</v>
      </c>
      <c r="F83" s="52">
        <v>125.3</v>
      </c>
      <c r="G83" s="52">
        <v>124</v>
      </c>
      <c r="H83" s="52">
        <v>125.3</v>
      </c>
      <c r="I83" s="52">
        <v>125.3</v>
      </c>
      <c r="J83" s="52">
        <v>123.7</v>
      </c>
      <c r="K83" s="52">
        <v>123</v>
      </c>
      <c r="L83" s="52">
        <v>122.8</v>
      </c>
      <c r="M83" s="52">
        <v>119.9</v>
      </c>
      <c r="N83" s="52">
        <v>120.5</v>
      </c>
      <c r="O83" s="52">
        <v>121.7</v>
      </c>
      <c r="P83" s="52">
        <v>121.3</v>
      </c>
      <c r="Q83" s="52">
        <v>121.9</v>
      </c>
      <c r="R83" s="52">
        <v>122.1</v>
      </c>
      <c r="S83" s="52">
        <v>121.7</v>
      </c>
      <c r="T83" s="97">
        <v>123.3</v>
      </c>
      <c r="U83" s="97">
        <v>124.5</v>
      </c>
      <c r="V83" s="97">
        <v>123.5</v>
      </c>
      <c r="W83" s="97">
        <v>122.4</v>
      </c>
      <c r="X83" s="97">
        <v>121.7</v>
      </c>
      <c r="Y83" s="97">
        <v>122.3</v>
      </c>
      <c r="Z83" s="97">
        <v>122.4</v>
      </c>
      <c r="AA83" s="52">
        <v>124.4</v>
      </c>
      <c r="AB83" s="52">
        <v>124.4</v>
      </c>
      <c r="AC83" s="52">
        <v>123</v>
      </c>
      <c r="AD83" s="52">
        <v>122.4</v>
      </c>
      <c r="AE83" s="52">
        <v>121</v>
      </c>
      <c r="AF83" s="98">
        <v>122</v>
      </c>
      <c r="AG83" s="99"/>
      <c r="AH83" s="55">
        <f t="shared" si="16"/>
        <v>125.7</v>
      </c>
      <c r="AI83" s="56">
        <f t="shared" si="17"/>
        <v>119.9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129.19999999999999</v>
      </c>
      <c r="C84" s="52">
        <v>128.69999999999999</v>
      </c>
      <c r="D84" s="52">
        <v>130</v>
      </c>
      <c r="E84" s="52">
        <v>130.4</v>
      </c>
      <c r="F84" s="52">
        <v>130.19999999999999</v>
      </c>
      <c r="G84" s="52">
        <v>1288</v>
      </c>
      <c r="H84" s="52">
        <v>129.4</v>
      </c>
      <c r="I84" s="52">
        <v>128.9</v>
      </c>
      <c r="J84" s="52">
        <v>127.8</v>
      </c>
      <c r="K84" s="52">
        <v>127.2</v>
      </c>
      <c r="L84" s="52">
        <v>127.6</v>
      </c>
      <c r="M84" s="52">
        <v>124.7</v>
      </c>
      <c r="N84" s="52">
        <v>124.8</v>
      </c>
      <c r="O84" s="52">
        <v>126.3</v>
      </c>
      <c r="P84" s="52">
        <v>125.8</v>
      </c>
      <c r="Q84" s="52">
        <v>126.4</v>
      </c>
      <c r="R84" s="52">
        <v>126.5</v>
      </c>
      <c r="S84" s="52">
        <v>126.5</v>
      </c>
      <c r="T84" s="97">
        <v>127.6</v>
      </c>
      <c r="U84" s="97">
        <v>128.5</v>
      </c>
      <c r="V84" s="97">
        <v>128.30000000000001</v>
      </c>
      <c r="W84" s="97">
        <v>127</v>
      </c>
      <c r="X84" s="97">
        <v>126.4</v>
      </c>
      <c r="Y84" s="97">
        <v>126.9</v>
      </c>
      <c r="Z84" s="97">
        <v>127.4</v>
      </c>
      <c r="AA84" s="52">
        <v>129.30000000000001</v>
      </c>
      <c r="AB84" s="52">
        <v>129.30000000000001</v>
      </c>
      <c r="AC84" s="52">
        <v>128.19999999999999</v>
      </c>
      <c r="AD84" s="52">
        <v>128.30000000000001</v>
      </c>
      <c r="AE84" s="52">
        <v>127</v>
      </c>
      <c r="AF84" s="98">
        <v>128.4</v>
      </c>
      <c r="AG84" s="99"/>
      <c r="AH84" s="55">
        <f t="shared" si="16"/>
        <v>1288</v>
      </c>
      <c r="AI84" s="56">
        <f t="shared" si="17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125.9</v>
      </c>
      <c r="C85" s="52">
        <v>126.5</v>
      </c>
      <c r="D85" s="52">
        <v>128.4</v>
      </c>
      <c r="E85" s="52">
        <v>130.19999999999999</v>
      </c>
      <c r="F85" s="52">
        <v>128.9</v>
      </c>
      <c r="G85" s="52">
        <v>129.1</v>
      </c>
      <c r="H85" s="52">
        <v>130.69999999999999</v>
      </c>
      <c r="I85" s="52">
        <v>129.5</v>
      </c>
      <c r="J85" s="52">
        <v>127.1</v>
      </c>
      <c r="K85" s="52">
        <v>126</v>
      </c>
      <c r="L85" s="52">
        <v>124.7</v>
      </c>
      <c r="M85" s="52">
        <v>118.2</v>
      </c>
      <c r="N85" s="52">
        <v>121.3</v>
      </c>
      <c r="O85" s="52">
        <v>121.4</v>
      </c>
      <c r="P85" s="52">
        <v>122.9</v>
      </c>
      <c r="Q85" s="52">
        <v>121.7</v>
      </c>
      <c r="R85" s="52">
        <v>120.1</v>
      </c>
      <c r="S85" s="52">
        <v>119.3</v>
      </c>
      <c r="T85" s="52">
        <v>121.6</v>
      </c>
      <c r="U85" s="52">
        <v>126.8</v>
      </c>
      <c r="V85" s="52">
        <v>125.5</v>
      </c>
      <c r="W85" s="97">
        <v>125.3</v>
      </c>
      <c r="X85" s="97">
        <v>123.4</v>
      </c>
      <c r="Y85" s="97">
        <v>127.9</v>
      </c>
      <c r="Z85" s="97">
        <v>125</v>
      </c>
      <c r="AA85" s="52">
        <v>124.6</v>
      </c>
      <c r="AB85" s="52">
        <v>124.6</v>
      </c>
      <c r="AC85" s="52">
        <v>126.9</v>
      </c>
      <c r="AD85" s="52">
        <v>122.4</v>
      </c>
      <c r="AE85" s="52">
        <v>123.4</v>
      </c>
      <c r="AF85" s="98">
        <v>126.2</v>
      </c>
      <c r="AG85" s="99"/>
      <c r="AH85" s="55">
        <f t="shared" si="16"/>
        <v>130.69999999999999</v>
      </c>
      <c r="AI85" s="56">
        <f t="shared" si="17"/>
        <v>118.2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131.5</v>
      </c>
      <c r="C86" s="52">
        <v>132.30000000000001</v>
      </c>
      <c r="D86" s="52">
        <v>133.9</v>
      </c>
      <c r="E86" s="52">
        <v>135.1</v>
      </c>
      <c r="F86" s="52">
        <v>134.5</v>
      </c>
      <c r="G86" s="52">
        <v>133.69999999999999</v>
      </c>
      <c r="H86" s="52">
        <v>134.6</v>
      </c>
      <c r="I86" s="52">
        <v>133.1</v>
      </c>
      <c r="J86" s="52">
        <v>130.1</v>
      </c>
      <c r="K86" s="52">
        <v>128.80000000000001</v>
      </c>
      <c r="L86" s="52">
        <v>126.7</v>
      </c>
      <c r="M86" s="52">
        <v>121.1</v>
      </c>
      <c r="N86" s="52">
        <v>124.1</v>
      </c>
      <c r="O86" s="52">
        <v>124.5</v>
      </c>
      <c r="P86" s="52">
        <v>124.6</v>
      </c>
      <c r="Q86" s="52">
        <v>125.7</v>
      </c>
      <c r="R86" s="52">
        <v>123</v>
      </c>
      <c r="S86" s="52">
        <v>122</v>
      </c>
      <c r="T86" s="52">
        <v>124.4</v>
      </c>
      <c r="U86" s="52">
        <v>129</v>
      </c>
      <c r="V86" s="52">
        <v>127.8</v>
      </c>
      <c r="W86" s="97">
        <v>126.7</v>
      </c>
      <c r="X86" s="97">
        <v>126.2</v>
      </c>
      <c r="Y86" s="97">
        <v>129</v>
      </c>
      <c r="Z86" s="97">
        <v>127</v>
      </c>
      <c r="AA86" s="52">
        <v>127.5</v>
      </c>
      <c r="AB86" s="52">
        <v>127.5</v>
      </c>
      <c r="AC86" s="52">
        <v>131.69999999999999</v>
      </c>
      <c r="AD86" s="52">
        <v>129</v>
      </c>
      <c r="AE86" s="52">
        <v>130.1</v>
      </c>
      <c r="AF86" s="98">
        <v>132.5</v>
      </c>
      <c r="AG86" s="99"/>
      <c r="AH86" s="55">
        <f t="shared" si="16"/>
        <v>135.1</v>
      </c>
      <c r="AI86" s="56">
        <f t="shared" si="17"/>
        <v>121.1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132.9</v>
      </c>
      <c r="C87" s="101">
        <v>131.69999999999999</v>
      </c>
      <c r="D87" s="101">
        <v>135.30000000000001</v>
      </c>
      <c r="E87" s="101">
        <v>135.19999999999999</v>
      </c>
      <c r="F87" s="101">
        <v>134.1</v>
      </c>
      <c r="G87" s="101">
        <v>132.80000000000001</v>
      </c>
      <c r="H87" s="101">
        <v>132.9</v>
      </c>
      <c r="I87" s="101">
        <v>131.80000000000001</v>
      </c>
      <c r="J87" s="101">
        <v>133</v>
      </c>
      <c r="K87" s="101">
        <v>131.6</v>
      </c>
      <c r="L87" s="101">
        <v>132.9</v>
      </c>
      <c r="M87" s="101">
        <v>129.19999999999999</v>
      </c>
      <c r="N87" s="101">
        <v>129.9</v>
      </c>
      <c r="O87" s="101">
        <v>133.80000000000001</v>
      </c>
      <c r="P87" s="101">
        <v>133</v>
      </c>
      <c r="Q87" s="101">
        <v>132.4</v>
      </c>
      <c r="R87" s="101">
        <v>131.4</v>
      </c>
      <c r="S87" s="101">
        <v>132.19999999999999</v>
      </c>
      <c r="T87" s="101">
        <v>134.19999999999999</v>
      </c>
      <c r="U87" s="101">
        <v>132.4</v>
      </c>
      <c r="V87" s="101">
        <v>134.6</v>
      </c>
      <c r="W87" s="97">
        <v>131.19999999999999</v>
      </c>
      <c r="X87" s="97">
        <v>134</v>
      </c>
      <c r="Y87" s="97">
        <v>129.80000000000001</v>
      </c>
      <c r="Z87" s="97">
        <v>135.69999999999999</v>
      </c>
      <c r="AA87" s="101">
        <v>134.9</v>
      </c>
      <c r="AB87" s="101">
        <v>134.9</v>
      </c>
      <c r="AC87" s="101">
        <v>133</v>
      </c>
      <c r="AD87" s="101">
        <v>133.80000000000001</v>
      </c>
      <c r="AE87" s="101">
        <v>131.69999999999999</v>
      </c>
      <c r="AF87" s="102">
        <v>134.1</v>
      </c>
      <c r="AG87" s="103"/>
      <c r="AH87" s="55">
        <f t="shared" si="16"/>
        <v>135.69999999999999</v>
      </c>
      <c r="AI87" s="56">
        <f t="shared" si="17"/>
        <v>129.19999999999999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131.4</v>
      </c>
      <c r="C88" s="52">
        <v>129.30000000000001</v>
      </c>
      <c r="D88" s="52">
        <v>133.80000000000001</v>
      </c>
      <c r="E88" s="52">
        <v>132.69999999999999</v>
      </c>
      <c r="F88" s="52">
        <v>131.19999999999999</v>
      </c>
      <c r="G88" s="52">
        <v>129.4</v>
      </c>
      <c r="H88" s="52">
        <v>129.1</v>
      </c>
      <c r="I88" s="52">
        <v>126.9</v>
      </c>
      <c r="J88" s="52">
        <v>131.30000000000001</v>
      </c>
      <c r="K88" s="52">
        <v>129</v>
      </c>
      <c r="L88" s="52">
        <v>127.9</v>
      </c>
      <c r="M88" s="52">
        <v>126.2</v>
      </c>
      <c r="N88" s="52">
        <v>125.2</v>
      </c>
      <c r="O88" s="52">
        <v>129.80000000000001</v>
      </c>
      <c r="P88" s="52">
        <v>130.9</v>
      </c>
      <c r="Q88" s="52">
        <v>129.69999999999999</v>
      </c>
      <c r="R88" s="52">
        <v>127.3</v>
      </c>
      <c r="S88" s="52">
        <v>129</v>
      </c>
      <c r="T88" s="52">
        <v>132.9</v>
      </c>
      <c r="U88" s="52">
        <v>129.1</v>
      </c>
      <c r="V88" s="52">
        <v>133.9</v>
      </c>
      <c r="W88" s="97">
        <v>138.6</v>
      </c>
      <c r="X88" s="97">
        <v>135.80000000000001</v>
      </c>
      <c r="Y88" s="97">
        <v>133.5</v>
      </c>
      <c r="Z88" s="97">
        <v>133.69999999999999</v>
      </c>
      <c r="AA88" s="52">
        <v>132.30000000000001</v>
      </c>
      <c r="AB88" s="52">
        <v>132.30000000000001</v>
      </c>
      <c r="AC88" s="52">
        <v>132</v>
      </c>
      <c r="AD88" s="52">
        <v>134.69999999999999</v>
      </c>
      <c r="AE88" s="52">
        <v>128.1</v>
      </c>
      <c r="AF88" s="98">
        <v>132.6</v>
      </c>
      <c r="AG88" s="99"/>
      <c r="AH88" s="55">
        <f t="shared" si="16"/>
        <v>138.6</v>
      </c>
      <c r="AI88" s="56">
        <f t="shared" si="17"/>
        <v>125.2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66.2</v>
      </c>
      <c r="C89" s="104">
        <v>65.8</v>
      </c>
      <c r="D89" s="104">
        <v>66.599999999999994</v>
      </c>
      <c r="E89" s="104">
        <v>66.8</v>
      </c>
      <c r="F89" s="104">
        <v>66.599999999999994</v>
      </c>
      <c r="G89" s="104">
        <v>65.900000000000006</v>
      </c>
      <c r="H89" s="104">
        <v>66.099999999999994</v>
      </c>
      <c r="I89" s="104">
        <v>65.599999999999994</v>
      </c>
      <c r="J89" s="104">
        <v>65.3</v>
      </c>
      <c r="K89" s="104">
        <v>64.8</v>
      </c>
      <c r="L89" s="104">
        <v>65</v>
      </c>
      <c r="M89" s="104">
        <v>64.3</v>
      </c>
      <c r="N89" s="104">
        <v>63.8</v>
      </c>
      <c r="O89" s="104">
        <v>64.599999999999994</v>
      </c>
      <c r="P89" s="104">
        <v>64.5</v>
      </c>
      <c r="Q89" s="104">
        <v>64.599999999999994</v>
      </c>
      <c r="R89" s="104">
        <v>64.5</v>
      </c>
      <c r="S89" s="104">
        <v>64.599999999999994</v>
      </c>
      <c r="T89" s="104">
        <v>65.099999999999994</v>
      </c>
      <c r="U89" s="104">
        <v>65.400000000000006</v>
      </c>
      <c r="V89" s="104">
        <v>65.3</v>
      </c>
      <c r="W89" s="104">
        <v>64.7</v>
      </c>
      <c r="X89" s="104">
        <v>64.400000000000006</v>
      </c>
      <c r="Y89" s="104">
        <v>64.8</v>
      </c>
      <c r="Z89" s="104">
        <v>65.400000000000006</v>
      </c>
      <c r="AA89" s="104">
        <v>65.8</v>
      </c>
      <c r="AB89" s="104">
        <v>65.8</v>
      </c>
      <c r="AC89" s="104">
        <v>65.400000000000006</v>
      </c>
      <c r="AD89" s="104">
        <v>65.5</v>
      </c>
      <c r="AE89" s="104">
        <v>64.900000000000006</v>
      </c>
      <c r="AF89" s="105">
        <v>65.8</v>
      </c>
      <c r="AG89" s="106"/>
      <c r="AH89" s="55">
        <f t="shared" si="16"/>
        <v>66.8</v>
      </c>
      <c r="AI89" s="56">
        <f t="shared" si="17"/>
        <v>63.8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133.84</v>
      </c>
      <c r="C91" s="178">
        <f t="shared" ref="C91:AF91" si="21">SUM(C14,C17,C20:C21,C40,C42:C43,C45,C47,C92:C95,C100,C106,C112,C121,C123,C135,C142,C145:C146,C153,C155,C157,C161:C163,C165:C167,C172,C178:C179,C181:C183,C191,C196)</f>
        <v>124.44000000000001</v>
      </c>
      <c r="D91" s="178">
        <f t="shared" si="21"/>
        <v>117.94000000000001</v>
      </c>
      <c r="E91" s="178">
        <f t="shared" si="21"/>
        <v>119.34000000000002</v>
      </c>
      <c r="F91" s="111">
        <f t="shared" si="21"/>
        <v>137.33999999999997</v>
      </c>
      <c r="G91" s="111">
        <f t="shared" si="21"/>
        <v>160.93999999999997</v>
      </c>
      <c r="H91" s="111">
        <f t="shared" si="21"/>
        <v>174.44</v>
      </c>
      <c r="I91" s="111">
        <f t="shared" si="21"/>
        <v>198.04</v>
      </c>
      <c r="J91" s="111">
        <f t="shared" si="21"/>
        <v>225.73999999999998</v>
      </c>
      <c r="K91" s="111">
        <f t="shared" si="21"/>
        <v>242.73999999999998</v>
      </c>
      <c r="L91" s="111">
        <f t="shared" si="21"/>
        <v>250.44</v>
      </c>
      <c r="M91" s="111">
        <f t="shared" si="21"/>
        <v>251.33999999999997</v>
      </c>
      <c r="N91" s="111">
        <f t="shared" si="21"/>
        <v>260.74</v>
      </c>
      <c r="O91" s="111">
        <f t="shared" si="21"/>
        <v>243.03999999999996</v>
      </c>
      <c r="P91" s="111">
        <f t="shared" si="21"/>
        <v>249.14</v>
      </c>
      <c r="Q91" s="111">
        <f t="shared" si="21"/>
        <v>244.14</v>
      </c>
      <c r="R91" s="111">
        <f t="shared" si="21"/>
        <v>239.83999999999997</v>
      </c>
      <c r="S91" s="111">
        <f t="shared" si="21"/>
        <v>241.33999999999997</v>
      </c>
      <c r="T91" s="111">
        <f t="shared" si="21"/>
        <v>236.33999999999997</v>
      </c>
      <c r="U91" s="111">
        <f t="shared" si="21"/>
        <v>241.14</v>
      </c>
      <c r="V91" s="111">
        <f t="shared" si="21"/>
        <v>249.33999999999997</v>
      </c>
      <c r="W91" s="111">
        <f t="shared" si="21"/>
        <v>295.54000000000002</v>
      </c>
      <c r="X91" s="111">
        <f t="shared" si="21"/>
        <v>314.64</v>
      </c>
      <c r="Y91" s="111">
        <f t="shared" si="21"/>
        <v>312.74</v>
      </c>
      <c r="Z91" s="111">
        <f t="shared" si="21"/>
        <v>299.94000000000005</v>
      </c>
      <c r="AA91" s="111">
        <f t="shared" si="21"/>
        <v>274.14</v>
      </c>
      <c r="AB91" s="111">
        <f t="shared" si="21"/>
        <v>274.14</v>
      </c>
      <c r="AC91" s="111">
        <f t="shared" si="21"/>
        <v>229.73999999999995</v>
      </c>
      <c r="AD91" s="111">
        <f t="shared" si="21"/>
        <v>190.94</v>
      </c>
      <c r="AE91" s="111">
        <f t="shared" si="21"/>
        <v>161.54</v>
      </c>
      <c r="AF91" s="111">
        <f t="shared" si="21"/>
        <v>144.53999999999996</v>
      </c>
      <c r="AG91" s="112"/>
      <c r="AH91" s="55">
        <f>MAX(B91:AF91)</f>
        <v>314.64</v>
      </c>
      <c r="AI91" s="56">
        <f>MIN(B91:AF91)</f>
        <v>117.94000000000001</v>
      </c>
    </row>
    <row r="92" spans="1:88" x14ac:dyDescent="0.25">
      <c r="A92" s="113" t="s">
        <v>95</v>
      </c>
      <c r="B92" s="59">
        <v>45.4</v>
      </c>
      <c r="C92" s="59">
        <v>19</v>
      </c>
      <c r="D92" s="59">
        <v>27.6</v>
      </c>
      <c r="E92" s="59">
        <v>31.8</v>
      </c>
      <c r="F92" s="114">
        <v>32.1</v>
      </c>
      <c r="G92" s="114">
        <v>28.2</v>
      </c>
      <c r="H92" s="114">
        <v>28.9</v>
      </c>
      <c r="I92" s="114">
        <v>38.700000000000003</v>
      </c>
      <c r="J92" s="114">
        <v>40.200000000000003</v>
      </c>
      <c r="K92" s="114">
        <v>31.5</v>
      </c>
      <c r="L92" s="114">
        <v>69.8</v>
      </c>
      <c r="M92" s="114">
        <v>59.8</v>
      </c>
      <c r="N92" s="114">
        <v>24.7</v>
      </c>
      <c r="O92" s="114">
        <v>21.6</v>
      </c>
      <c r="P92" s="114">
        <v>18.3</v>
      </c>
      <c r="Q92" s="114">
        <v>20.9</v>
      </c>
      <c r="R92" s="114">
        <v>18.3</v>
      </c>
      <c r="S92" s="114">
        <v>14.4</v>
      </c>
      <c r="T92" s="115">
        <v>30.7</v>
      </c>
      <c r="U92" s="115">
        <v>23.2</v>
      </c>
      <c r="V92" s="115">
        <v>17.7</v>
      </c>
      <c r="W92" s="114">
        <v>19.5</v>
      </c>
      <c r="X92" s="114">
        <v>10.1</v>
      </c>
      <c r="Y92" s="114">
        <v>10.199999999999999</v>
      </c>
      <c r="Z92" s="114">
        <v>8.3000000000000007</v>
      </c>
      <c r="AA92" s="115">
        <v>13.7</v>
      </c>
      <c r="AB92" s="115">
        <v>13.7</v>
      </c>
      <c r="AC92" s="115">
        <v>19.5</v>
      </c>
      <c r="AD92" s="115">
        <v>34.299999999999997</v>
      </c>
      <c r="AE92" s="115">
        <v>29.4</v>
      </c>
      <c r="AF92" s="116">
        <v>29.1</v>
      </c>
      <c r="AG92" s="117">
        <v>75</v>
      </c>
      <c r="AH92" s="55">
        <f t="shared" ref="AH92:AH97" si="22">IF(ABS(MAX(B92:AF92))&gt;ABS(MIN(B92:AF92)),MAX(B92:AF92),MIN(B92:AF92))</f>
        <v>69.8</v>
      </c>
      <c r="AI92" s="118">
        <f t="shared" ref="AI92:AI97" si="23">INDEX($B$9:$AF$9,1,MATCH(AH92,B92:AF92,0))</f>
        <v>0.33333333333333331</v>
      </c>
    </row>
    <row r="93" spans="1:88" x14ac:dyDescent="0.25">
      <c r="A93" s="119" t="s">
        <v>96</v>
      </c>
      <c r="B93" s="61">
        <v>-110</v>
      </c>
      <c r="C93" s="61">
        <v>-93.2</v>
      </c>
      <c r="D93" s="61">
        <v>-110</v>
      </c>
      <c r="E93" s="61">
        <v>-110</v>
      </c>
      <c r="F93" s="61">
        <v>-96</v>
      </c>
      <c r="G93" s="61">
        <v>-80</v>
      </c>
      <c r="H93" s="61">
        <v>-73</v>
      </c>
      <c r="I93" s="61">
        <v>-67</v>
      </c>
      <c r="J93" s="61">
        <v>-42</v>
      </c>
      <c r="K93" s="61">
        <v>-80</v>
      </c>
      <c r="L93" s="61">
        <v>-108.1</v>
      </c>
      <c r="M93" s="61">
        <v>-105.9</v>
      </c>
      <c r="N93" s="61">
        <v>-80.5</v>
      </c>
      <c r="O93" s="61">
        <v>-85.1</v>
      </c>
      <c r="P93" s="61">
        <v>-90</v>
      </c>
      <c r="Q93" s="61">
        <v>-90.3</v>
      </c>
      <c r="R93" s="61">
        <v>-90.6</v>
      </c>
      <c r="S93" s="61">
        <v>-90.5</v>
      </c>
      <c r="T93" s="61">
        <v>-90</v>
      </c>
      <c r="U93" s="61">
        <v>-86</v>
      </c>
      <c r="V93" s="61">
        <v>-87.3</v>
      </c>
      <c r="W93" s="61">
        <v>-70.599999999999994</v>
      </c>
      <c r="X93" s="61">
        <v>-60.2</v>
      </c>
      <c r="Y93" s="61">
        <v>-63.8</v>
      </c>
      <c r="Z93" s="61">
        <v>-70</v>
      </c>
      <c r="AA93" s="52">
        <v>-80</v>
      </c>
      <c r="AB93" s="52">
        <v>-80</v>
      </c>
      <c r="AC93" s="52">
        <v>-103</v>
      </c>
      <c r="AD93" s="52">
        <v>-124</v>
      </c>
      <c r="AE93" s="52">
        <v>-100</v>
      </c>
      <c r="AF93" s="120">
        <v>-112</v>
      </c>
      <c r="AG93" s="117">
        <v>240</v>
      </c>
      <c r="AH93" s="55">
        <f t="shared" si="22"/>
        <v>-124</v>
      </c>
      <c r="AI93" s="118">
        <f t="shared" si="23"/>
        <v>0.91666666666666696</v>
      </c>
    </row>
    <row r="94" spans="1:88" x14ac:dyDescent="0.25">
      <c r="A94" s="119" t="s">
        <v>97</v>
      </c>
      <c r="B94" s="61">
        <v>-16.5</v>
      </c>
      <c r="C94" s="61">
        <v>-14.8</v>
      </c>
      <c r="D94" s="61">
        <v>-13.2</v>
      </c>
      <c r="E94" s="61">
        <v>-14.8</v>
      </c>
      <c r="F94" s="61">
        <v>-11.1</v>
      </c>
      <c r="G94" s="61">
        <v>-9.1</v>
      </c>
      <c r="H94" s="61">
        <v>-5.9</v>
      </c>
      <c r="I94" s="61">
        <v>1.9</v>
      </c>
      <c r="J94" s="61">
        <v>3.1</v>
      </c>
      <c r="K94" s="61">
        <v>-3.4</v>
      </c>
      <c r="L94" s="61">
        <v>-5.2</v>
      </c>
      <c r="M94" s="61">
        <v>6.9</v>
      </c>
      <c r="N94" s="61">
        <v>5.8</v>
      </c>
      <c r="O94" s="61">
        <v>13.9</v>
      </c>
      <c r="P94" s="61">
        <v>6.1</v>
      </c>
      <c r="Q94" s="61">
        <v>8.6999999999999993</v>
      </c>
      <c r="R94" s="61">
        <v>6.2</v>
      </c>
      <c r="S94" s="61">
        <v>6</v>
      </c>
      <c r="T94" s="61">
        <v>6.8</v>
      </c>
      <c r="U94" s="61">
        <v>13.8</v>
      </c>
      <c r="V94" s="61">
        <v>17.8</v>
      </c>
      <c r="W94" s="61">
        <v>33</v>
      </c>
      <c r="X94" s="61">
        <v>35.299999999999997</v>
      </c>
      <c r="Y94" s="61">
        <v>32.6</v>
      </c>
      <c r="Z94" s="61">
        <v>29.4</v>
      </c>
      <c r="AA94" s="52">
        <v>31.7</v>
      </c>
      <c r="AB94" s="52">
        <v>31.7</v>
      </c>
      <c r="AC94" s="52">
        <v>9.1</v>
      </c>
      <c r="AD94" s="52">
        <v>-1.2</v>
      </c>
      <c r="AE94" s="52">
        <v>-7.2</v>
      </c>
      <c r="AF94" s="120">
        <v>-11.9</v>
      </c>
      <c r="AG94" s="117">
        <v>60</v>
      </c>
      <c r="AH94" s="55">
        <f t="shared" si="22"/>
        <v>35.299999999999997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63.4</v>
      </c>
      <c r="L95" s="84">
        <v>63.2</v>
      </c>
      <c r="M95" s="84">
        <v>59.8</v>
      </c>
      <c r="N95" s="84">
        <v>82.3</v>
      </c>
      <c r="O95" s="84">
        <v>64.2</v>
      </c>
      <c r="P95" s="84">
        <v>73.7</v>
      </c>
      <c r="Q95" s="84">
        <v>65.2</v>
      </c>
      <c r="R95" s="84">
        <v>66.3</v>
      </c>
      <c r="S95" s="84">
        <v>71.8</v>
      </c>
      <c r="T95" s="84">
        <v>49.2</v>
      </c>
      <c r="U95" s="84">
        <v>50.5</v>
      </c>
      <c r="V95" s="84">
        <v>61.8</v>
      </c>
      <c r="W95" s="84">
        <v>74.3</v>
      </c>
      <c r="X95" s="84">
        <v>90.1</v>
      </c>
      <c r="Y95" s="84">
        <v>94.4</v>
      </c>
      <c r="Z95" s="84">
        <v>92.9</v>
      </c>
      <c r="AA95" s="122">
        <v>69.400000000000006</v>
      </c>
      <c r="AB95" s="122">
        <v>69.400000000000006</v>
      </c>
      <c r="AC95" s="122">
        <v>64.8</v>
      </c>
      <c r="AD95" s="122">
        <v>42.5</v>
      </c>
      <c r="AE95" s="122">
        <v>0</v>
      </c>
      <c r="AF95" s="123">
        <v>0</v>
      </c>
      <c r="AG95" s="124">
        <v>120</v>
      </c>
      <c r="AH95" s="55">
        <f t="shared" si="22"/>
        <v>94.4</v>
      </c>
      <c r="AI95" s="118">
        <f t="shared" si="23"/>
        <v>0.79166666666666663</v>
      </c>
    </row>
    <row r="96" spans="1:88" x14ac:dyDescent="0.25">
      <c r="A96" s="121" t="s">
        <v>99</v>
      </c>
      <c r="B96" s="84">
        <v>53.4</v>
      </c>
      <c r="C96" s="84">
        <v>84.8</v>
      </c>
      <c r="D96" s="84">
        <v>70.7</v>
      </c>
      <c r="E96" s="84">
        <v>59.5</v>
      </c>
      <c r="F96" s="84">
        <v>64.900000000000006</v>
      </c>
      <c r="G96" s="84">
        <v>73.099999999999994</v>
      </c>
      <c r="H96" s="84">
        <v>75.5</v>
      </c>
      <c r="I96" s="84">
        <v>69.400000000000006</v>
      </c>
      <c r="J96" s="84">
        <v>90.8</v>
      </c>
      <c r="K96" s="84">
        <v>66.8</v>
      </c>
      <c r="L96" s="84">
        <v>69.2</v>
      </c>
      <c r="M96" s="84">
        <v>63.2</v>
      </c>
      <c r="N96" s="84">
        <v>78.099999999999994</v>
      </c>
      <c r="O96" s="84">
        <v>68</v>
      </c>
      <c r="P96" s="84">
        <v>73.3</v>
      </c>
      <c r="Q96" s="84">
        <v>66.5</v>
      </c>
      <c r="R96" s="84">
        <v>65.3</v>
      </c>
      <c r="S96" s="84">
        <v>70.900000000000006</v>
      </c>
      <c r="T96" s="84">
        <v>47.6</v>
      </c>
      <c r="U96" s="84">
        <v>55.9</v>
      </c>
      <c r="V96" s="84">
        <v>61.9</v>
      </c>
      <c r="W96" s="84">
        <v>69</v>
      </c>
      <c r="X96" s="84">
        <v>86.7</v>
      </c>
      <c r="Y96" s="84">
        <v>86.5</v>
      </c>
      <c r="Z96" s="84">
        <v>87.3</v>
      </c>
      <c r="AA96" s="122">
        <v>71.2</v>
      </c>
      <c r="AB96" s="122">
        <v>71.2</v>
      </c>
      <c r="AC96" s="122">
        <v>72</v>
      </c>
      <c r="AD96" s="122">
        <v>53.9</v>
      </c>
      <c r="AE96" s="122">
        <v>79.099999999999994</v>
      </c>
      <c r="AF96" s="123">
        <v>71.7</v>
      </c>
      <c r="AG96" s="124"/>
      <c r="AH96" s="55">
        <f t="shared" si="22"/>
        <v>90.8</v>
      </c>
      <c r="AI96" s="118">
        <f t="shared" si="23"/>
        <v>0.29166666666666669</v>
      </c>
    </row>
    <row r="97" spans="1:37" ht="15.75" thickBot="1" x14ac:dyDescent="0.3">
      <c r="A97" s="121" t="s">
        <v>100</v>
      </c>
      <c r="B97" s="84">
        <v>46.8</v>
      </c>
      <c r="C97" s="84">
        <v>66.099999999999994</v>
      </c>
      <c r="D97" s="84">
        <v>47.5</v>
      </c>
      <c r="E97" s="84">
        <v>37</v>
      </c>
      <c r="F97" s="84">
        <v>40.5</v>
      </c>
      <c r="G97" s="84">
        <v>47.3</v>
      </c>
      <c r="H97" s="84">
        <v>47.4</v>
      </c>
      <c r="I97" s="84">
        <v>23.6</v>
      </c>
      <c r="J97" s="84">
        <v>24</v>
      </c>
      <c r="K97" s="84">
        <v>29.5</v>
      </c>
      <c r="L97" s="84">
        <v>29.5</v>
      </c>
      <c r="M97" s="84">
        <v>33.1</v>
      </c>
      <c r="N97" s="84">
        <v>43.2</v>
      </c>
      <c r="O97" s="84">
        <v>44.7</v>
      </c>
      <c r="P97" s="84">
        <v>50.6</v>
      </c>
      <c r="Q97" s="84">
        <v>45.8</v>
      </c>
      <c r="R97" s="84">
        <v>53.7</v>
      </c>
      <c r="S97" s="84">
        <v>59.4</v>
      </c>
      <c r="T97" s="84">
        <v>27.6</v>
      </c>
      <c r="U97" s="84">
        <v>45.2</v>
      </c>
      <c r="V97" s="84">
        <v>50.9</v>
      </c>
      <c r="W97" s="84">
        <v>44.6</v>
      </c>
      <c r="X97" s="84">
        <v>58.5</v>
      </c>
      <c r="Y97" s="84">
        <v>66</v>
      </c>
      <c r="Z97" s="84">
        <v>75.599999999999994</v>
      </c>
      <c r="AA97" s="122">
        <v>59.2</v>
      </c>
      <c r="AB97" s="122">
        <v>59.2</v>
      </c>
      <c r="AC97" s="122">
        <v>69.7</v>
      </c>
      <c r="AD97" s="122">
        <v>60.5</v>
      </c>
      <c r="AE97" s="122">
        <v>69.900000000000006</v>
      </c>
      <c r="AF97" s="123">
        <v>77.5</v>
      </c>
      <c r="AG97" s="125"/>
      <c r="AH97" s="55">
        <f t="shared" si="22"/>
        <v>77.5</v>
      </c>
      <c r="AI97" s="118">
        <f t="shared" si="23"/>
        <v>1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1280.94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25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2078/04/25)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2078/04/25)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1156.44</v>
      </c>
      <c r="U211" s="170">
        <f t="shared" si="52"/>
        <v>1154.04</v>
      </c>
      <c r="V211" s="170">
        <f t="shared" si="52"/>
        <v>1104.6400000000001</v>
      </c>
      <c r="W211" s="170">
        <f t="shared" si="52"/>
        <v>1080.1400000000001</v>
      </c>
      <c r="X211" s="170">
        <f t="shared" si="52"/>
        <v>1087.44</v>
      </c>
      <c r="Y211" s="170">
        <f t="shared" si="52"/>
        <v>1112.74</v>
      </c>
      <c r="Z211" s="170">
        <f t="shared" si="52"/>
        <v>1113.6400000000001</v>
      </c>
      <c r="AA211" s="170">
        <f t="shared" si="52"/>
        <v>1128.3400000000001</v>
      </c>
      <c r="AB211" s="170">
        <f t="shared" si="52"/>
        <v>1173.8400000000001</v>
      </c>
      <c r="AC211" s="170">
        <f t="shared" si="52"/>
        <v>1205.6400000000001</v>
      </c>
      <c r="AD211" s="170">
        <f t="shared" si="52"/>
        <v>1248.1399999999999</v>
      </c>
      <c r="AE211" s="170">
        <f t="shared" si="52"/>
        <v>1280.94</v>
      </c>
      <c r="AF211" s="170">
        <f t="shared" si="52"/>
        <v>1303.1399999999999</v>
      </c>
      <c r="AG211" s="170">
        <f t="shared" si="52"/>
        <v>1281.74</v>
      </c>
      <c r="AH211" s="170">
        <f t="shared" si="52"/>
        <v>1295.6400000000001</v>
      </c>
      <c r="AI211" s="170">
        <f t="shared" si="52"/>
        <v>1266.94</v>
      </c>
      <c r="AJ211" s="170">
        <f t="shared" si="52"/>
        <v>1297.6400000000001</v>
      </c>
      <c r="AK211" s="170">
        <f t="shared" si="52"/>
        <v>1289.94</v>
      </c>
      <c r="AL211" s="170">
        <f t="shared" si="52"/>
        <v>1253.6399999999999</v>
      </c>
      <c r="AM211" s="170">
        <f t="shared" si="52"/>
        <v>1240.6399999999999</v>
      </c>
      <c r="AN211" s="170">
        <f t="shared" si="52"/>
        <v>1268.24</v>
      </c>
      <c r="AO211" s="170">
        <f t="shared" si="52"/>
        <v>1408.04</v>
      </c>
      <c r="AP211" s="170">
        <f t="shared" si="52"/>
        <v>1475.6399999999999</v>
      </c>
      <c r="AQ211" s="170">
        <f t="shared" si="52"/>
        <v>1445.1399999999999</v>
      </c>
      <c r="AR211" s="170">
        <f t="shared" si="52"/>
        <v>1468.24</v>
      </c>
      <c r="AS211" s="170">
        <f t="shared" si="52"/>
        <v>1388.94</v>
      </c>
      <c r="AT211" s="170">
        <f t="shared" si="52"/>
        <v>1388.94</v>
      </c>
      <c r="AU211" s="170">
        <f t="shared" si="52"/>
        <v>1320.04</v>
      </c>
      <c r="AV211" s="170">
        <f t="shared" si="52"/>
        <v>1237.4399999999998</v>
      </c>
      <c r="AW211" s="170">
        <f t="shared" si="52"/>
        <v>1164.9399999999998</v>
      </c>
      <c r="AX211" s="170">
        <f t="shared" si="52"/>
        <v>1125.54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695" priority="342">
      <formula>S$9&gt;=20/24</formula>
    </cfRule>
    <cfRule type="expression" dxfId="2694" priority="343">
      <formula>AND(S$9&gt;=14/24,S$9&lt;20/24)</formula>
    </cfRule>
    <cfRule type="expression" dxfId="2693" priority="344">
      <formula>AND(S$9&gt;=8/24,S$9&lt;14/24)</formula>
    </cfRule>
    <cfRule type="expression" dxfId="2692" priority="345">
      <formula>S$9&lt;8/24</formula>
    </cfRule>
  </conditionalFormatting>
  <conditionalFormatting sqref="B8:AF10 AA79:AF79 C79:Q79 C54:AF54 C80:AF80 C191:AF197 AE55:AF58 C66:AF70 C55:K57 M60:M65 T210:AX210 C61 C58:N58 C59:M59 N59:N65 L56:Q57 W83:Z89 C72:AF76 C78:AF78 C63:C65 L11:P13 O58:Q65 Q12:Q13 S56:V57 R56:R65 L37:S40 L35:T35 M43:U43 M45:U46 Q11:X11 L15:X31 T38:X40 S60:X65 Y11:AD12 AA82:AF89 Y38:AD41 AE40:AE41 Y15:AF30 R13:AF13 AF41 L51:AF53">
    <cfRule type="expression" dxfId="2691" priority="338">
      <formula>B$9&gt;=20/24</formula>
    </cfRule>
    <cfRule type="expression" dxfId="2690" priority="339">
      <formula>AND(B$9&gt;=14/24,B$9&lt;20/24)</formula>
    </cfRule>
    <cfRule type="expression" dxfId="2689" priority="340">
      <formula>AND(B$9&gt;=8/24,B$9&lt;14/24)</formula>
    </cfRule>
    <cfRule type="expression" dxfId="2688" priority="341">
      <formula>B$9&lt;8/24</formula>
    </cfRule>
  </conditionalFormatting>
  <conditionalFormatting sqref="B189:AF189">
    <cfRule type="expression" dxfId="2687" priority="334">
      <formula>B$9&gt;=20/24</formula>
    </cfRule>
    <cfRule type="expression" dxfId="2686" priority="335">
      <formula>AND(B$9&gt;=14/24,B$9&lt;20/24)</formula>
    </cfRule>
    <cfRule type="expression" dxfId="2685" priority="336">
      <formula>AND(B$9&gt;=8/24,B$9&lt;14/24)</formula>
    </cfRule>
    <cfRule type="expression" dxfId="2684" priority="337">
      <formula>B$9&lt;8/24</formula>
    </cfRule>
  </conditionalFormatting>
  <conditionalFormatting sqref="AL4:AL6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L55:R55">
    <cfRule type="expression" dxfId="2683" priority="329">
      <formula>L$9&gt;=20/24</formula>
    </cfRule>
    <cfRule type="expression" dxfId="2682" priority="330">
      <formula>AND(L$9&gt;=14/24,L$9&lt;20/24)</formula>
    </cfRule>
    <cfRule type="expression" dxfId="2681" priority="331">
      <formula>AND(L$9&gt;=8/24,L$9&lt;14/24)</formula>
    </cfRule>
    <cfRule type="expression" dxfId="2680" priority="332">
      <formula>L$9&lt;8/24</formula>
    </cfRule>
  </conditionalFormatting>
  <conditionalFormatting sqref="L41:S41">
    <cfRule type="expression" dxfId="2679" priority="325">
      <formula>L$9&gt;=20/24</formula>
    </cfRule>
    <cfRule type="expression" dxfId="2678" priority="326">
      <formula>AND(L$9&gt;=14/24,L$9&lt;20/24)</formula>
    </cfRule>
    <cfRule type="expression" dxfId="2677" priority="327">
      <formula>AND(L$9&gt;=8/24,L$9&lt;14/24)</formula>
    </cfRule>
    <cfRule type="expression" dxfId="2676" priority="328">
      <formula>L$9&lt;8/24</formula>
    </cfRule>
  </conditionalFormatting>
  <conditionalFormatting sqref="Y31:AF31">
    <cfRule type="expression" dxfId="2675" priority="321">
      <formula>Y$9&gt;=20/24</formula>
    </cfRule>
    <cfRule type="expression" dxfId="2674" priority="322">
      <formula>AND(Y$9&gt;=14/24,Y$9&lt;20/24)</formula>
    </cfRule>
    <cfRule type="expression" dxfId="2673" priority="323">
      <formula>AND(Y$9&gt;=8/24,Y$9&lt;14/24)</formula>
    </cfRule>
    <cfRule type="expression" dxfId="2672" priority="324">
      <formula>Y$9&lt;8/24</formula>
    </cfRule>
  </conditionalFormatting>
  <conditionalFormatting sqref="T37:AD37">
    <cfRule type="expression" dxfId="2671" priority="317">
      <formula>T$9&gt;=20/24</formula>
    </cfRule>
    <cfRule type="expression" dxfId="2670" priority="318">
      <formula>AND(T$9&gt;=14/24,T$9&lt;20/24)</formula>
    </cfRule>
    <cfRule type="expression" dxfId="2669" priority="319">
      <formula>AND(T$9&gt;=8/24,T$9&lt;14/24)</formula>
    </cfRule>
    <cfRule type="expression" dxfId="2668" priority="320">
      <formula>T$9&lt;8/24</formula>
    </cfRule>
  </conditionalFormatting>
  <conditionalFormatting sqref="S55:AD55">
    <cfRule type="expression" dxfId="2667" priority="313">
      <formula>S$9&gt;=20/24</formula>
    </cfRule>
    <cfRule type="expression" dxfId="2666" priority="314">
      <formula>AND(S$9&gt;=14/24,S$9&lt;20/24)</formula>
    </cfRule>
    <cfRule type="expression" dxfId="2665" priority="315">
      <formula>AND(S$9&gt;=8/24,S$9&lt;14/24)</formula>
    </cfRule>
    <cfRule type="expression" dxfId="2664" priority="316">
      <formula>S$9&lt;8/24</formula>
    </cfRule>
  </conditionalFormatting>
  <conditionalFormatting sqref="R79:Z79">
    <cfRule type="expression" dxfId="2663" priority="309">
      <formula>R$9&gt;=20/24</formula>
    </cfRule>
    <cfRule type="expression" dxfId="2662" priority="310">
      <formula>AND(R$9&gt;=14/24,R$9&lt;20/24)</formula>
    </cfRule>
    <cfRule type="expression" dxfId="2661" priority="311">
      <formula>AND(R$9&gt;=8/24,R$9&lt;14/24)</formula>
    </cfRule>
    <cfRule type="expression" dxfId="2660" priority="312">
      <formula>R$9&lt;8/24</formula>
    </cfRule>
  </conditionalFormatting>
  <conditionalFormatting sqref="T82:Z82">
    <cfRule type="expression" dxfId="2659" priority="305">
      <formula>T$9&gt;=20/24</formula>
    </cfRule>
    <cfRule type="expression" dxfId="2658" priority="306">
      <formula>AND(T$9&gt;=14/24,T$9&lt;20/24)</formula>
    </cfRule>
    <cfRule type="expression" dxfId="2657" priority="307">
      <formula>AND(T$9&gt;=8/24,T$9&lt;14/24)</formula>
    </cfRule>
    <cfRule type="expression" dxfId="2656" priority="308">
      <formula>T$9&lt;8/24</formula>
    </cfRule>
  </conditionalFormatting>
  <conditionalFormatting sqref="L33:X33">
    <cfRule type="expression" dxfId="2655" priority="301">
      <formula>L$9&gt;=20/24</formula>
    </cfRule>
    <cfRule type="expression" dxfId="2654" priority="302">
      <formula>AND(L$9&gt;=14/24,L$9&lt;20/24)</formula>
    </cfRule>
    <cfRule type="expression" dxfId="2653" priority="303">
      <formula>AND(L$9&gt;=8/24,L$9&lt;14/24)</formula>
    </cfRule>
    <cfRule type="expression" dxfId="2652" priority="304">
      <formula>L$9&lt;8/24</formula>
    </cfRule>
  </conditionalFormatting>
  <conditionalFormatting sqref="L47:U47">
    <cfRule type="expression" dxfId="2651" priority="297">
      <formula>L$9&gt;=20/24</formula>
    </cfRule>
    <cfRule type="expression" dxfId="2650" priority="298">
      <formula>AND(L$9&gt;=14/24,L$9&lt;20/24)</formula>
    </cfRule>
    <cfRule type="expression" dxfId="2649" priority="299">
      <formula>AND(L$9&gt;=8/24,L$9&lt;14/24)</formula>
    </cfRule>
    <cfRule type="expression" dxfId="2648" priority="300">
      <formula>L$9&lt;8/24</formula>
    </cfRule>
  </conditionalFormatting>
  <conditionalFormatting sqref="L48:U48">
    <cfRule type="expression" dxfId="2647" priority="293">
      <formula>L$9&gt;=20/24</formula>
    </cfRule>
    <cfRule type="expression" dxfId="2646" priority="294">
      <formula>AND(L$9&gt;=14/24,L$9&lt;20/24)</formula>
    </cfRule>
    <cfRule type="expression" dxfId="2645" priority="295">
      <formula>AND(L$9&gt;=8/24,L$9&lt;14/24)</formula>
    </cfRule>
    <cfRule type="expression" dxfId="2644" priority="296">
      <formula>L$9&lt;8/24</formula>
    </cfRule>
  </conditionalFormatting>
  <conditionalFormatting sqref="L43:U43 L45:U46">
    <cfRule type="expression" dxfId="2643" priority="289">
      <formula>L$9&gt;=20/24</formula>
    </cfRule>
    <cfRule type="expression" dxfId="2642" priority="290">
      <formula>AND(L$9&gt;=14/24,L$9&lt;20/24)</formula>
    </cfRule>
    <cfRule type="expression" dxfId="2641" priority="291">
      <formula>AND(L$9&gt;=8/24,L$9&lt;14/24)</formula>
    </cfRule>
    <cfRule type="expression" dxfId="2640" priority="292">
      <formula>L$9&lt;8/24</formula>
    </cfRule>
  </conditionalFormatting>
  <conditionalFormatting sqref="S35:AD35">
    <cfRule type="expression" dxfId="2639" priority="285">
      <formula>S$9&gt;=20/24</formula>
    </cfRule>
    <cfRule type="expression" dxfId="2638" priority="286">
      <formula>AND(S$9&gt;=14/24,S$9&lt;20/24)</formula>
    </cfRule>
    <cfRule type="expression" dxfId="2637" priority="287">
      <formula>AND(S$9&gt;=8/24,S$9&lt;14/24)</formula>
    </cfRule>
    <cfRule type="expression" dxfId="2636" priority="288">
      <formula>S$9&lt;8/24</formula>
    </cfRule>
  </conditionalFormatting>
  <conditionalFormatting sqref="Y33:AF33">
    <cfRule type="expression" dxfId="2635" priority="281">
      <formula>Y$9&gt;=20/24</formula>
    </cfRule>
    <cfRule type="expression" dxfId="2634" priority="282">
      <formula>AND(Y$9&gt;=14/24,Y$9&lt;20/24)</formula>
    </cfRule>
    <cfRule type="expression" dxfId="2633" priority="283">
      <formula>AND(Y$9&gt;=8/24,Y$9&lt;14/24)</formula>
    </cfRule>
    <cfRule type="expression" dxfId="2632" priority="284">
      <formula>Y$9&lt;8/24</formula>
    </cfRule>
  </conditionalFormatting>
  <conditionalFormatting sqref="T41:X41 V43:AF46">
    <cfRule type="expression" dxfId="2631" priority="277">
      <formula>T$9&gt;=20/24</formula>
    </cfRule>
    <cfRule type="expression" dxfId="2630" priority="278">
      <formula>AND(T$9&gt;=14/24,T$9&lt;20/24)</formula>
    </cfRule>
    <cfRule type="expression" dxfId="2629" priority="279">
      <formula>AND(T$9&gt;=8/24,T$9&lt;14/24)</formula>
    </cfRule>
    <cfRule type="expression" dxfId="2628" priority="280">
      <formula>T$9&lt;8/24</formula>
    </cfRule>
  </conditionalFormatting>
  <conditionalFormatting sqref="V47:AF47">
    <cfRule type="expression" dxfId="2627" priority="273">
      <formula>V$9&gt;=20/24</formula>
    </cfRule>
    <cfRule type="expression" dxfId="2626" priority="274">
      <formula>AND(V$9&gt;=14/24,V$9&lt;20/24)</formula>
    </cfRule>
    <cfRule type="expression" dxfId="2625" priority="275">
      <formula>AND(V$9&gt;=8/24,V$9&lt;14/24)</formula>
    </cfRule>
    <cfRule type="expression" dxfId="2624" priority="276">
      <formula>V$9&lt;8/24</formula>
    </cfRule>
  </conditionalFormatting>
  <conditionalFormatting sqref="V48:AF48">
    <cfRule type="expression" dxfId="2623" priority="269">
      <formula>V$9&gt;=20/24</formula>
    </cfRule>
    <cfRule type="expression" dxfId="2622" priority="270">
      <formula>AND(V$9&gt;=14/24,V$9&lt;20/24)</formula>
    </cfRule>
    <cfRule type="expression" dxfId="2621" priority="271">
      <formula>AND(V$9&gt;=8/24,V$9&lt;14/24)</formula>
    </cfRule>
    <cfRule type="expression" dxfId="2620" priority="272">
      <formula>V$9&lt;8/24</formula>
    </cfRule>
  </conditionalFormatting>
  <conditionalFormatting sqref="S58:S59 W58:AA59 Y60:AA65 AB58:AD65 AE59:AF65">
    <cfRule type="expression" dxfId="2619" priority="265">
      <formula>S$9&gt;=20/24</formula>
    </cfRule>
    <cfRule type="expression" dxfId="2618" priority="266">
      <formula>AND(S$9&gt;=14/24,S$9&lt;20/24)</formula>
    </cfRule>
    <cfRule type="expression" dxfId="2617" priority="267">
      <formula>AND(S$9&gt;=8/24,S$9&lt;14/24)</formula>
    </cfRule>
    <cfRule type="expression" dxfId="2616" priority="268">
      <formula>S$9&lt;8/24</formula>
    </cfRule>
  </conditionalFormatting>
  <conditionalFormatting sqref="AA92:AF95">
    <cfRule type="expression" dxfId="2615" priority="261">
      <formula>AA$9&gt;=20/24</formula>
    </cfRule>
    <cfRule type="expression" dxfId="2614" priority="262">
      <formula>AND(AA$9&gt;=14/24,AA$9&lt;20/24)</formula>
    </cfRule>
    <cfRule type="expression" dxfId="2613" priority="263">
      <formula>AND(AA$9&gt;=8/24,AA$9&lt;14/24)</formula>
    </cfRule>
    <cfRule type="expression" dxfId="2612" priority="264">
      <formula>AA$9&lt;8/24</formula>
    </cfRule>
  </conditionalFormatting>
  <conditionalFormatting sqref="C60:G60 H60:K65">
    <cfRule type="expression" dxfId="2611" priority="257">
      <formula>C$9&gt;=20/24</formula>
    </cfRule>
    <cfRule type="expression" dxfId="2610" priority="258">
      <formula>AND(C$9&gt;=14/24,C$9&lt;20/24)</formula>
    </cfRule>
    <cfRule type="expression" dxfId="2609" priority="259">
      <formula>AND(C$9&gt;=8/24,C$9&lt;14/24)</formula>
    </cfRule>
    <cfRule type="expression" dxfId="2608" priority="260">
      <formula>C$9&lt;8/24</formula>
    </cfRule>
  </conditionalFormatting>
  <conditionalFormatting sqref="T92:Z95">
    <cfRule type="expression" dxfId="2607" priority="253">
      <formula>T$9&gt;=20/24</formula>
    </cfRule>
    <cfRule type="expression" dxfId="2606" priority="254">
      <formula>AND(T$9&gt;=14/24,T$9&lt;20/24)</formula>
    </cfRule>
    <cfRule type="expression" dxfId="2605" priority="255">
      <formula>AND(T$9&gt;=8/24,T$9&lt;14/24)</formula>
    </cfRule>
    <cfRule type="expression" dxfId="2604" priority="256">
      <formula>T$9&lt;8/24</formula>
    </cfRule>
  </conditionalFormatting>
  <conditionalFormatting sqref="AG49 E12 G15:H18 C11:E11 G34:H34 F11:F12 H33 H19:H31 D45:K45 G11:P13 Q12:Q13 D43:U43 L45:U48 Q11:AF11 D35:AE35 R13:AE13 I33:AE34 C36:AF40 Y12:AE12 I15:AF31 AF33:AF35 AF12:AF13 V43:AF48 D41:AF41 C49:AF54">
    <cfRule type="expression" dxfId="2603" priority="252">
      <formula>C11&gt;$AG11</formula>
    </cfRule>
  </conditionalFormatting>
  <conditionalFormatting sqref="A98:A154 A82:A95 A11:A13 A15:A31 A43:A70 A78:A80 A72:A76 A33:A41 A167:A198">
    <cfRule type="expression" dxfId="2602" priority="251">
      <formula>$AH11=0</formula>
    </cfRule>
  </conditionalFormatting>
  <conditionalFormatting sqref="AA96:AF96">
    <cfRule type="expression" dxfId="2601" priority="247">
      <formula>AA$9&gt;=20/24</formula>
    </cfRule>
    <cfRule type="expression" dxfId="2600" priority="248">
      <formula>AND(AA$9&gt;=14/24,AA$9&lt;20/24)</formula>
    </cfRule>
    <cfRule type="expression" dxfId="2599" priority="249">
      <formula>AND(AA$9&gt;=8/24,AA$9&lt;14/24)</formula>
    </cfRule>
    <cfRule type="expression" dxfId="2598" priority="250">
      <formula>AA$9&lt;8/24</formula>
    </cfRule>
  </conditionalFormatting>
  <conditionalFormatting sqref="T96:Z96">
    <cfRule type="expression" dxfId="2597" priority="243">
      <formula>T$9&gt;=20/24</formula>
    </cfRule>
    <cfRule type="expression" dxfId="2596" priority="244">
      <formula>AND(T$9&gt;=14/24,T$9&lt;20/24)</formula>
    </cfRule>
    <cfRule type="expression" dxfId="2595" priority="245">
      <formula>AND(T$9&gt;=8/24,T$9&lt;14/24)</formula>
    </cfRule>
    <cfRule type="expression" dxfId="2594" priority="246">
      <formula>T$9&lt;8/24</formula>
    </cfRule>
  </conditionalFormatting>
  <conditionalFormatting sqref="A96">
    <cfRule type="expression" dxfId="2593" priority="242">
      <formula>$AH96=0</formula>
    </cfRule>
  </conditionalFormatting>
  <conditionalFormatting sqref="G34:AF34">
    <cfRule type="expression" dxfId="2592" priority="238">
      <formula>G$9&gt;=20/24</formula>
    </cfRule>
    <cfRule type="expression" dxfId="2591" priority="239">
      <formula>AND(G$9&gt;=14/24,G$9&lt;20/24)</formula>
    </cfRule>
    <cfRule type="expression" dxfId="2590" priority="240">
      <formula>AND(G$9&gt;=8/24,G$9&lt;14/24)</formula>
    </cfRule>
    <cfRule type="expression" dxfId="2589" priority="241">
      <formula>G$9&lt;8/24</formula>
    </cfRule>
  </conditionalFormatting>
  <conditionalFormatting sqref="Y34:AF34">
    <cfRule type="expression" dxfId="2588" priority="234">
      <formula>Y$9&gt;=20/24</formula>
    </cfRule>
    <cfRule type="expression" dxfId="2587" priority="235">
      <formula>AND(Y$9&gt;=14/24,Y$9&lt;20/24)</formula>
    </cfRule>
    <cfRule type="expression" dxfId="2586" priority="236">
      <formula>AND(Y$9&gt;=8/24,Y$9&lt;14/24)</formula>
    </cfRule>
    <cfRule type="expression" dxfId="2585" priority="237">
      <formula>Y$9&lt;8/24</formula>
    </cfRule>
  </conditionalFormatting>
  <conditionalFormatting sqref="D61:G61 D63:G65 G62">
    <cfRule type="expression" dxfId="2584" priority="226">
      <formula>D$9&gt;=20/24</formula>
    </cfRule>
    <cfRule type="expression" dxfId="2583" priority="227">
      <formula>AND(D$9&gt;=14/24,D$9&lt;20/24)</formula>
    </cfRule>
    <cfRule type="expression" dxfId="2582" priority="228">
      <formula>AND(D$9&gt;=8/24,D$9&lt;14/24)</formula>
    </cfRule>
    <cfRule type="expression" dxfId="2581" priority="229">
      <formula>D$9&lt;8/24</formula>
    </cfRule>
  </conditionalFormatting>
  <conditionalFormatting sqref="L60:L65">
    <cfRule type="expression" dxfId="2580" priority="222">
      <formula>L$9&gt;=20/24</formula>
    </cfRule>
    <cfRule type="expression" dxfId="2579" priority="223">
      <formula>AND(L$9&gt;=14/24,L$9&lt;20/24)</formula>
    </cfRule>
    <cfRule type="expression" dxfId="2578" priority="224">
      <formula>AND(L$9&gt;=8/24,L$9&lt;14/24)</formula>
    </cfRule>
    <cfRule type="expression" dxfId="2577" priority="225">
      <formula>L$9&lt;8/24</formula>
    </cfRule>
  </conditionalFormatting>
  <conditionalFormatting sqref="AL31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2576" priority="217">
      <formula>Y$9&gt;=20/24</formula>
    </cfRule>
    <cfRule type="expression" dxfId="2575" priority="218">
      <formula>AND(Y$9&gt;=14/24,Y$9&lt;20/24)</formula>
    </cfRule>
    <cfRule type="expression" dxfId="2574" priority="219">
      <formula>AND(Y$9&gt;=8/24,Y$9&lt;14/24)</formula>
    </cfRule>
    <cfRule type="expression" dxfId="2573" priority="220">
      <formula>Y$9&lt;8/24</formula>
    </cfRule>
  </conditionalFormatting>
  <conditionalFormatting sqref="L32:X32">
    <cfRule type="expression" dxfId="2572" priority="213">
      <formula>L$9&gt;=20/24</formula>
    </cfRule>
    <cfRule type="expression" dxfId="2571" priority="214">
      <formula>AND(L$9&gt;=14/24,L$9&lt;20/24)</formula>
    </cfRule>
    <cfRule type="expression" dxfId="2570" priority="215">
      <formula>AND(L$9&gt;=8/24,L$9&lt;14/24)</formula>
    </cfRule>
    <cfRule type="expression" dxfId="2569" priority="216">
      <formula>L$9&lt;8/24</formula>
    </cfRule>
  </conditionalFormatting>
  <conditionalFormatting sqref="H32:AF32">
    <cfRule type="expression" dxfId="2568" priority="208">
      <formula>H32&gt;$AG32</formula>
    </cfRule>
  </conditionalFormatting>
  <conditionalFormatting sqref="A32">
    <cfRule type="expression" dxfId="2567" priority="207">
      <formula>$AH32=0</formula>
    </cfRule>
  </conditionalFormatting>
  <conditionalFormatting sqref="C81:AF81">
    <cfRule type="expression" dxfId="2566" priority="203">
      <formula>C$9&gt;=20/24</formula>
    </cfRule>
    <cfRule type="expression" dxfId="2565" priority="204">
      <formula>AND(C$9&gt;=14/24,C$9&lt;20/24)</formula>
    </cfRule>
    <cfRule type="expression" dxfId="2564" priority="205">
      <formula>AND(C$9&gt;=8/24,C$9&lt;14/24)</formula>
    </cfRule>
    <cfRule type="expression" dxfId="2563" priority="206">
      <formula>C$9&lt;8/24</formula>
    </cfRule>
  </conditionalFormatting>
  <conditionalFormatting sqref="A81">
    <cfRule type="expression" dxfId="2562" priority="202">
      <formula>$AH81=0</formula>
    </cfRule>
  </conditionalFormatting>
  <conditionalFormatting sqref="Y14:AF14">
    <cfRule type="expression" dxfId="2561" priority="198">
      <formula>Y$9&gt;=20/24</formula>
    </cfRule>
    <cfRule type="expression" dxfId="2560" priority="199">
      <formula>AND(Y$9&gt;=14/24,Y$9&lt;20/24)</formula>
    </cfRule>
    <cfRule type="expression" dxfId="2559" priority="200">
      <formula>AND(Y$9&gt;=8/24,Y$9&lt;14/24)</formula>
    </cfRule>
    <cfRule type="expression" dxfId="2558" priority="201">
      <formula>Y$9&lt;8/24</formula>
    </cfRule>
  </conditionalFormatting>
  <conditionalFormatting sqref="L14:X14">
    <cfRule type="expression" dxfId="2557" priority="194">
      <formula>L$9&gt;=20/24</formula>
    </cfRule>
    <cfRule type="expression" dxfId="2556" priority="195">
      <formula>AND(L$9&gt;=14/24,L$9&lt;20/24)</formula>
    </cfRule>
    <cfRule type="expression" dxfId="2555" priority="196">
      <formula>AND(L$9&gt;=8/24,L$9&lt;14/24)</formula>
    </cfRule>
    <cfRule type="expression" dxfId="2554" priority="197">
      <formula>L$9&lt;8/24</formula>
    </cfRule>
  </conditionalFormatting>
  <conditionalFormatting sqref="G14:AF14">
    <cfRule type="expression" dxfId="2553" priority="193">
      <formula>G14&gt;$AG14</formula>
    </cfRule>
  </conditionalFormatting>
  <conditionalFormatting sqref="A14">
    <cfRule type="expression" dxfId="2552" priority="192">
      <formula>$AH14=0</formula>
    </cfRule>
  </conditionalFormatting>
  <conditionalFormatting sqref="A161:A166">
    <cfRule type="expression" dxfId="2551" priority="191">
      <formula>$AH161=0</formula>
    </cfRule>
  </conditionalFormatting>
  <conditionalFormatting sqref="A155:A160">
    <cfRule type="expression" dxfId="2550" priority="190">
      <formula>$AH155=0</formula>
    </cfRule>
  </conditionalFormatting>
  <conditionalFormatting sqref="Y42:AF42">
    <cfRule type="expression" dxfId="2549" priority="186">
      <formula>Y$9&gt;=20/24</formula>
    </cfRule>
    <cfRule type="expression" dxfId="2548" priority="187">
      <formula>AND(Y$9&gt;=14/24,Y$9&lt;20/24)</formula>
    </cfRule>
    <cfRule type="expression" dxfId="2547" priority="188">
      <formula>AND(Y$9&gt;=8/24,Y$9&lt;14/24)</formula>
    </cfRule>
    <cfRule type="expression" dxfId="2546" priority="189">
      <formula>Y$9&lt;8/24</formula>
    </cfRule>
  </conditionalFormatting>
  <conditionalFormatting sqref="L42:U42">
    <cfRule type="expression" dxfId="2545" priority="182">
      <formula>L$9&gt;=20/24</formula>
    </cfRule>
    <cfRule type="expression" dxfId="2544" priority="183">
      <formula>AND(L$9&gt;=14/24,L$9&lt;20/24)</formula>
    </cfRule>
    <cfRule type="expression" dxfId="2543" priority="184">
      <formula>AND(L$9&gt;=8/24,L$9&lt;14/24)</formula>
    </cfRule>
    <cfRule type="expression" dxfId="2542" priority="185">
      <formula>L$9&lt;8/24</formula>
    </cfRule>
  </conditionalFormatting>
  <conditionalFormatting sqref="V42:X42">
    <cfRule type="expression" dxfId="2541" priority="178">
      <formula>V$9&gt;=20/24</formula>
    </cfRule>
    <cfRule type="expression" dxfId="2540" priority="179">
      <formula>AND(V$9&gt;=14/24,V$9&lt;20/24)</formula>
    </cfRule>
    <cfRule type="expression" dxfId="2539" priority="180">
      <formula>AND(V$9&gt;=8/24,V$9&lt;14/24)</formula>
    </cfRule>
    <cfRule type="expression" dxfId="2538" priority="181">
      <formula>V$9&lt;8/24</formula>
    </cfRule>
  </conditionalFormatting>
  <conditionalFormatting sqref="D42:AF42">
    <cfRule type="expression" dxfId="2537" priority="177">
      <formula>D42&gt;$AG42</formula>
    </cfRule>
  </conditionalFormatting>
  <conditionalFormatting sqref="A42">
    <cfRule type="expression" dxfId="2536" priority="176">
      <formula>$AH42=0</formula>
    </cfRule>
  </conditionalFormatting>
  <conditionalFormatting sqref="C77:AF77">
    <cfRule type="expression" dxfId="2535" priority="172">
      <formula>C$9&gt;=20/24</formula>
    </cfRule>
    <cfRule type="expression" dxfId="2534" priority="173">
      <formula>AND(C$9&gt;=14/24,C$9&lt;20/24)</formula>
    </cfRule>
    <cfRule type="expression" dxfId="2533" priority="174">
      <formula>AND(C$9&gt;=8/24,C$9&lt;14/24)</formula>
    </cfRule>
    <cfRule type="expression" dxfId="2532" priority="175">
      <formula>C$9&lt;8/24</formula>
    </cfRule>
  </conditionalFormatting>
  <conditionalFormatting sqref="A77">
    <cfRule type="expression" dxfId="2531" priority="171">
      <formula>$AH77=0</formula>
    </cfRule>
  </conditionalFormatting>
  <conditionalFormatting sqref="C71:AG71">
    <cfRule type="expression" dxfId="2530" priority="167">
      <formula>C$9&gt;=20/24</formula>
    </cfRule>
    <cfRule type="expression" dxfId="2529" priority="168">
      <formula>AND(C$9&gt;=14/24,C$9&lt;20/24)</formula>
    </cfRule>
    <cfRule type="expression" dxfId="2528" priority="169">
      <formula>AND(C$9&gt;=8/24,C$9&lt;14/24)</formula>
    </cfRule>
    <cfRule type="expression" dxfId="2527" priority="170">
      <formula>C$9&lt;8/24</formula>
    </cfRule>
  </conditionalFormatting>
  <conditionalFormatting sqref="A71">
    <cfRule type="expression" dxfId="2526" priority="166">
      <formula>$AH71=0</formula>
    </cfRule>
  </conditionalFormatting>
  <conditionalFormatting sqref="AL32:AL33 AL7:AL30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T58:V59">
    <cfRule type="expression" dxfId="2525" priority="162">
      <formula>T$9&gt;=20/24</formula>
    </cfRule>
    <cfRule type="expression" dxfId="2524" priority="163">
      <formula>AND(T$9&gt;=14/24,T$9&lt;20/24)</formula>
    </cfRule>
    <cfRule type="expression" dxfId="2523" priority="164">
      <formula>AND(T$9&gt;=8/24,T$9&lt;14/24)</formula>
    </cfRule>
    <cfRule type="expression" dxfId="2522" priority="165">
      <formula>T$9&lt;8/24</formula>
    </cfRule>
  </conditionalFormatting>
  <conditionalFormatting sqref="T83:V89">
    <cfRule type="expression" dxfId="2521" priority="158">
      <formula>T$9&gt;=20/24</formula>
    </cfRule>
    <cfRule type="expression" dxfId="2520" priority="159">
      <formula>AND(T$9&gt;=14/24,T$9&lt;20/24)</formula>
    </cfRule>
    <cfRule type="expression" dxfId="2519" priority="160">
      <formula>AND(T$9&gt;=8/24,T$9&lt;14/24)</formula>
    </cfRule>
    <cfRule type="expression" dxfId="2518" priority="161">
      <formula>T$9&lt;8/24</formula>
    </cfRule>
  </conditionalFormatting>
  <conditionalFormatting sqref="R83:S89 C82:Q89">
    <cfRule type="expression" dxfId="2517" priority="154">
      <formula>C$9&gt;=20/24</formula>
    </cfRule>
    <cfRule type="expression" dxfId="2516" priority="155">
      <formula>AND(C$9&gt;=14/24,C$9&lt;20/24)</formula>
    </cfRule>
    <cfRule type="expression" dxfId="2515" priority="156">
      <formula>AND(C$9&gt;=8/24,C$9&lt;14/24)</formula>
    </cfRule>
    <cfRule type="expression" dxfId="2514" priority="157">
      <formula>C$9&lt;8/24</formula>
    </cfRule>
  </conditionalFormatting>
  <conditionalFormatting sqref="R82:S82">
    <cfRule type="expression" dxfId="2513" priority="150">
      <formula>R$9&gt;=20/24</formula>
    </cfRule>
    <cfRule type="expression" dxfId="2512" priority="151">
      <formula>AND(R$9&gt;=14/24,R$9&lt;20/24)</formula>
    </cfRule>
    <cfRule type="expression" dxfId="2511" priority="152">
      <formula>AND(R$9&gt;=8/24,R$9&lt;14/24)</formula>
    </cfRule>
    <cfRule type="expression" dxfId="2510" priority="153">
      <formula>R$9&lt;8/24</formula>
    </cfRule>
  </conditionalFormatting>
  <conditionalFormatting sqref="B92:E92 B93:L95">
    <cfRule type="expression" dxfId="2509" priority="146">
      <formula>B$9&gt;=20/24</formula>
    </cfRule>
    <cfRule type="expression" dxfId="2508" priority="147">
      <formula>AND(B$9&gt;=14/24,B$9&lt;20/24)</formula>
    </cfRule>
    <cfRule type="expression" dxfId="2507" priority="148">
      <formula>AND(B$9&gt;=8/24,B$9&lt;14/24)</formula>
    </cfRule>
    <cfRule type="expression" dxfId="2506" priority="149">
      <formula>B$9&lt;8/24</formula>
    </cfRule>
  </conditionalFormatting>
  <conditionalFormatting sqref="O92:Q95 M93:N95">
    <cfRule type="expression" dxfId="2505" priority="142">
      <formula>M$9&gt;=20/24</formula>
    </cfRule>
    <cfRule type="expression" dxfId="2504" priority="143">
      <formula>AND(M$9&gt;=14/24,M$9&lt;20/24)</formula>
    </cfRule>
    <cfRule type="expression" dxfId="2503" priority="144">
      <formula>AND(M$9&gt;=8/24,M$9&lt;14/24)</formula>
    </cfRule>
    <cfRule type="expression" dxfId="2502" priority="145">
      <formula>M$9&lt;8/24</formula>
    </cfRule>
  </conditionalFormatting>
  <conditionalFormatting sqref="R92:S95">
    <cfRule type="expression" dxfId="2501" priority="138">
      <formula>R$9&gt;=20/24</formula>
    </cfRule>
    <cfRule type="expression" dxfId="2500" priority="139">
      <formula>AND(R$9&gt;=14/24,R$9&lt;20/24)</formula>
    </cfRule>
    <cfRule type="expression" dxfId="2499" priority="140">
      <formula>AND(R$9&gt;=8/24,R$9&lt;14/24)</formula>
    </cfRule>
    <cfRule type="expression" dxfId="2498" priority="141">
      <formula>R$9&lt;8/24</formula>
    </cfRule>
  </conditionalFormatting>
  <conditionalFormatting sqref="B96:L96">
    <cfRule type="expression" dxfId="2497" priority="134">
      <formula>B$9&gt;=20/24</formula>
    </cfRule>
    <cfRule type="expression" dxfId="2496" priority="135">
      <formula>AND(B$9&gt;=14/24,B$9&lt;20/24)</formula>
    </cfRule>
    <cfRule type="expression" dxfId="2495" priority="136">
      <formula>AND(B$9&gt;=8/24,B$9&lt;14/24)</formula>
    </cfRule>
    <cfRule type="expression" dxfId="2494" priority="137">
      <formula>B$9&lt;8/24</formula>
    </cfRule>
  </conditionalFormatting>
  <conditionalFormatting sqref="M96:Q96">
    <cfRule type="expression" dxfId="2493" priority="130">
      <formula>M$9&gt;=20/24</formula>
    </cfRule>
    <cfRule type="expression" dxfId="2492" priority="131">
      <formula>AND(M$9&gt;=14/24,M$9&lt;20/24)</formula>
    </cfRule>
    <cfRule type="expression" dxfId="2491" priority="132">
      <formula>AND(M$9&gt;=8/24,M$9&lt;14/24)</formula>
    </cfRule>
    <cfRule type="expression" dxfId="2490" priority="133">
      <formula>M$9&lt;8/24</formula>
    </cfRule>
  </conditionalFormatting>
  <conditionalFormatting sqref="R96:S96">
    <cfRule type="expression" dxfId="2489" priority="126">
      <formula>R$9&gt;=20/24</formula>
    </cfRule>
    <cfRule type="expression" dxfId="2488" priority="127">
      <formula>AND(R$9&gt;=14/24,R$9&lt;20/24)</formula>
    </cfRule>
    <cfRule type="expression" dxfId="2487" priority="128">
      <formula>AND(R$9&gt;=8/24,R$9&lt;14/24)</formula>
    </cfRule>
    <cfRule type="expression" dxfId="2486" priority="129">
      <formula>R$9&lt;8/24</formula>
    </cfRule>
  </conditionalFormatting>
  <conditionalFormatting sqref="M92:N92">
    <cfRule type="expression" dxfId="2485" priority="122">
      <formula>M$9&gt;=20/24</formula>
    </cfRule>
    <cfRule type="expression" dxfId="2484" priority="123">
      <formula>AND(M$9&gt;=14/24,M$9&lt;20/24)</formula>
    </cfRule>
    <cfRule type="expression" dxfId="2483" priority="124">
      <formula>AND(M$9&gt;=8/24,M$9&lt;14/24)</formula>
    </cfRule>
    <cfRule type="expression" dxfId="2482" priority="125">
      <formula>M$9&lt;8/24</formula>
    </cfRule>
  </conditionalFormatting>
  <conditionalFormatting sqref="F92:L92">
    <cfRule type="expression" dxfId="2481" priority="118">
      <formula>F$9&gt;=20/24</formula>
    </cfRule>
    <cfRule type="expression" dxfId="2480" priority="119">
      <formula>AND(F$9&gt;=14/24,F$9&lt;20/24)</formula>
    </cfRule>
    <cfRule type="expression" dxfId="2479" priority="120">
      <formula>AND(F$9&gt;=8/24,F$9&lt;14/24)</formula>
    </cfRule>
    <cfRule type="expression" dxfId="2478" priority="121">
      <formula>F$9&lt;8/24</formula>
    </cfRule>
  </conditionalFormatting>
  <conditionalFormatting sqref="T92:V92">
    <cfRule type="expression" dxfId="2477" priority="114">
      <formula>T$9&gt;=20/24</formula>
    </cfRule>
    <cfRule type="expression" dxfId="2476" priority="115">
      <formula>AND(T$9&gt;=14/24,T$9&lt;20/24)</formula>
    </cfRule>
    <cfRule type="expression" dxfId="2475" priority="116">
      <formula>AND(T$9&gt;=8/24,T$9&lt;14/24)</formula>
    </cfRule>
    <cfRule type="expression" dxfId="2474" priority="117">
      <formula>T$9&lt;8/24</formula>
    </cfRule>
  </conditionalFormatting>
  <conditionalFormatting sqref="M92:S92">
    <cfRule type="expression" dxfId="2473" priority="110">
      <formula>M$9&gt;=20/24</formula>
    </cfRule>
    <cfRule type="expression" dxfId="2472" priority="111">
      <formula>AND(M$9&gt;=14/24,M$9&lt;20/24)</formula>
    </cfRule>
    <cfRule type="expression" dxfId="2471" priority="112">
      <formula>AND(M$9&gt;=8/24,M$9&lt;14/24)</formula>
    </cfRule>
    <cfRule type="expression" dxfId="2470" priority="113">
      <formula>M$9&lt;8/24</formula>
    </cfRule>
  </conditionalFormatting>
  <conditionalFormatting sqref="AA97:AF97">
    <cfRule type="expression" dxfId="2469" priority="106">
      <formula>AA$9&gt;=20/24</formula>
    </cfRule>
    <cfRule type="expression" dxfId="2468" priority="107">
      <formula>AND(AA$9&gt;=14/24,AA$9&lt;20/24)</formula>
    </cfRule>
    <cfRule type="expression" dxfId="2467" priority="108">
      <formula>AND(AA$9&gt;=8/24,AA$9&lt;14/24)</formula>
    </cfRule>
    <cfRule type="expression" dxfId="2466" priority="109">
      <formula>AA$9&lt;8/24</formula>
    </cfRule>
  </conditionalFormatting>
  <conditionalFormatting sqref="T97:Z97">
    <cfRule type="expression" dxfId="2465" priority="102">
      <formula>T$9&gt;=20/24</formula>
    </cfRule>
    <cfRule type="expression" dxfId="2464" priority="103">
      <formula>AND(T$9&gt;=14/24,T$9&lt;20/24)</formula>
    </cfRule>
    <cfRule type="expression" dxfId="2463" priority="104">
      <formula>AND(T$9&gt;=8/24,T$9&lt;14/24)</formula>
    </cfRule>
    <cfRule type="expression" dxfId="2462" priority="105">
      <formula>T$9&lt;8/24</formula>
    </cfRule>
  </conditionalFormatting>
  <conditionalFormatting sqref="A97">
    <cfRule type="expression" dxfId="2461" priority="101">
      <formula>$AH97=0</formula>
    </cfRule>
  </conditionalFormatting>
  <conditionalFormatting sqref="B97:L97">
    <cfRule type="expression" dxfId="2460" priority="97">
      <formula>B$9&gt;=20/24</formula>
    </cfRule>
    <cfRule type="expression" dxfId="2459" priority="98">
      <formula>AND(B$9&gt;=14/24,B$9&lt;20/24)</formula>
    </cfRule>
    <cfRule type="expression" dxfId="2458" priority="99">
      <formula>AND(B$9&gt;=8/24,B$9&lt;14/24)</formula>
    </cfRule>
    <cfRule type="expression" dxfId="2457" priority="100">
      <formula>B$9&lt;8/24</formula>
    </cfRule>
  </conditionalFormatting>
  <conditionalFormatting sqref="M97:Q97">
    <cfRule type="expression" dxfId="2456" priority="93">
      <formula>M$9&gt;=20/24</formula>
    </cfRule>
    <cfRule type="expression" dxfId="2455" priority="94">
      <formula>AND(M$9&gt;=14/24,M$9&lt;20/24)</formula>
    </cfRule>
    <cfRule type="expression" dxfId="2454" priority="95">
      <formula>AND(M$9&gt;=8/24,M$9&lt;14/24)</formula>
    </cfRule>
    <cfRule type="expression" dxfId="2453" priority="96">
      <formula>M$9&lt;8/24</formula>
    </cfRule>
  </conditionalFormatting>
  <conditionalFormatting sqref="R97:S97">
    <cfRule type="expression" dxfId="2452" priority="89">
      <formula>R$9&gt;=20/24</formula>
    </cfRule>
    <cfRule type="expression" dxfId="2451" priority="90">
      <formula>AND(R$9&gt;=14/24,R$9&lt;20/24)</formula>
    </cfRule>
    <cfRule type="expression" dxfId="2450" priority="91">
      <formula>AND(R$9&gt;=8/24,R$9&lt;14/24)</formula>
    </cfRule>
    <cfRule type="expression" dxfId="2449" priority="92">
      <formula>R$9&lt;8/24</formula>
    </cfRule>
  </conditionalFormatting>
  <conditionalFormatting sqref="R12:X12">
    <cfRule type="expression" dxfId="2448" priority="85">
      <formula>R$9&gt;=20/24</formula>
    </cfRule>
    <cfRule type="expression" dxfId="2447" priority="86">
      <formula>AND(R$9&gt;=14/24,R$9&lt;20/24)</formula>
    </cfRule>
    <cfRule type="expression" dxfId="2446" priority="87">
      <formula>AND(R$9&gt;=8/24,R$9&lt;14/24)</formula>
    </cfRule>
    <cfRule type="expression" dxfId="2445" priority="88">
      <formula>R$9&lt;8/24</formula>
    </cfRule>
  </conditionalFormatting>
  <conditionalFormatting sqref="R12:X12">
    <cfRule type="expression" dxfId="2444" priority="77">
      <formula>R$9&gt;=20/24</formula>
    </cfRule>
    <cfRule type="expression" dxfId="2443" priority="78">
      <formula>AND(R$9&gt;=14/24,R$9&lt;20/24)</formula>
    </cfRule>
    <cfRule type="expression" dxfId="2442" priority="79">
      <formula>AND(R$9&gt;=8/24,R$9&lt;14/24)</formula>
    </cfRule>
    <cfRule type="expression" dxfId="2441" priority="80">
      <formula>R$9&lt;8/24</formula>
    </cfRule>
  </conditionalFormatting>
  <conditionalFormatting sqref="AA56:AD57">
    <cfRule type="expression" dxfId="2440" priority="73">
      <formula>AA$9&gt;=20/24</formula>
    </cfRule>
    <cfRule type="expression" dxfId="2439" priority="74">
      <formula>AND(AA$9&gt;=14/24,AA$9&lt;20/24)</formula>
    </cfRule>
    <cfRule type="expression" dxfId="2438" priority="75">
      <formula>AND(AA$9&gt;=8/24,AA$9&lt;14/24)</formula>
    </cfRule>
    <cfRule type="expression" dxfId="2437" priority="76">
      <formula>AA$9&lt;8/24</formula>
    </cfRule>
  </conditionalFormatting>
  <conditionalFormatting sqref="B66:B70 B72:B76 B78:B80 B51:B58 B41:C41 B13:F13 B15:F30 G19:G30">
    <cfRule type="expression" dxfId="2436" priority="69">
      <formula>B$9&gt;=20/24</formula>
    </cfRule>
    <cfRule type="expression" dxfId="2435" priority="70">
      <formula>AND(B$9&gt;=14/24,B$9&lt;20/24)</formula>
    </cfRule>
    <cfRule type="expression" dxfId="2434" priority="71">
      <formula>AND(B$9&gt;=8/24,B$9&lt;14/24)</formula>
    </cfRule>
    <cfRule type="expression" dxfId="2433" priority="72">
      <formula>B$9&lt;8/24</formula>
    </cfRule>
  </conditionalFormatting>
  <conditionalFormatting sqref="B31:G31">
    <cfRule type="expression" dxfId="2432" priority="65">
      <formula>B$9&gt;=20/24</formula>
    </cfRule>
    <cfRule type="expression" dxfId="2431" priority="66">
      <formula>AND(B$9&gt;=14/24,B$9&lt;20/24)</formula>
    </cfRule>
    <cfRule type="expression" dxfId="2430" priority="67">
      <formula>AND(B$9&gt;=8/24,B$9&lt;14/24)</formula>
    </cfRule>
    <cfRule type="expression" dxfId="2429" priority="68">
      <formula>B$9&lt;8/24</formula>
    </cfRule>
  </conditionalFormatting>
  <conditionalFormatting sqref="B35:C35">
    <cfRule type="expression" dxfId="2428" priority="61">
      <formula>B$9&gt;=20/24</formula>
    </cfRule>
    <cfRule type="expression" dxfId="2427" priority="62">
      <formula>AND(B$9&gt;=14/24,B$9&lt;20/24)</formula>
    </cfRule>
    <cfRule type="expression" dxfId="2426" priority="63">
      <formula>AND(B$9&gt;=8/24,B$9&lt;14/24)</formula>
    </cfRule>
    <cfRule type="expression" dxfId="2425" priority="64">
      <formula>B$9&lt;8/24</formula>
    </cfRule>
  </conditionalFormatting>
  <conditionalFormatting sqref="B33:G33">
    <cfRule type="expression" dxfId="2424" priority="57">
      <formula>B$9&gt;=20/24</formula>
    </cfRule>
    <cfRule type="expression" dxfId="2423" priority="58">
      <formula>AND(B$9&gt;=14/24,B$9&lt;20/24)</formula>
    </cfRule>
    <cfRule type="expression" dxfId="2422" priority="59">
      <formula>AND(B$9&gt;=8/24,B$9&lt;14/24)</formula>
    </cfRule>
    <cfRule type="expression" dxfId="2421" priority="60">
      <formula>B$9&lt;8/24</formula>
    </cfRule>
  </conditionalFormatting>
  <conditionalFormatting sqref="B43:C43 D46:K46 B45:C46 B44:U44">
    <cfRule type="expression" dxfId="2420" priority="53">
      <formula>B$9&gt;=20/24</formula>
    </cfRule>
    <cfRule type="expression" dxfId="2419" priority="54">
      <formula>AND(B$9&gt;=14/24,B$9&lt;20/24)</formula>
    </cfRule>
    <cfRule type="expression" dxfId="2418" priority="55">
      <formula>AND(B$9&gt;=8/24,B$9&lt;14/24)</formula>
    </cfRule>
    <cfRule type="expression" dxfId="2417" priority="56">
      <formula>B$9&lt;8/24</formula>
    </cfRule>
  </conditionalFormatting>
  <conditionalFormatting sqref="B47:K47">
    <cfRule type="expression" dxfId="2416" priority="49">
      <formula>B$9&gt;=20/24</formula>
    </cfRule>
    <cfRule type="expression" dxfId="2415" priority="50">
      <formula>AND(B$9&gt;=14/24,B$9&lt;20/24)</formula>
    </cfRule>
    <cfRule type="expression" dxfId="2414" priority="51">
      <formula>AND(B$9&gt;=8/24,B$9&lt;14/24)</formula>
    </cfRule>
    <cfRule type="expression" dxfId="2413" priority="52">
      <formula>B$9&lt;8/24</formula>
    </cfRule>
  </conditionalFormatting>
  <conditionalFormatting sqref="B48:K48">
    <cfRule type="expression" dxfId="2412" priority="45">
      <formula>B$9&gt;=20/24</formula>
    </cfRule>
    <cfRule type="expression" dxfId="2411" priority="46">
      <formula>AND(B$9&gt;=14/24,B$9&lt;20/24)</formula>
    </cfRule>
    <cfRule type="expression" dxfId="2410" priority="47">
      <formula>AND(B$9&gt;=8/24,B$9&lt;14/24)</formula>
    </cfRule>
    <cfRule type="expression" dxfId="2409" priority="48">
      <formula>B$9&lt;8/24</formula>
    </cfRule>
  </conditionalFormatting>
  <conditionalFormatting sqref="B59:B65 C62:F62">
    <cfRule type="expression" dxfId="2408" priority="41">
      <formula>B$9&gt;=20/24</formula>
    </cfRule>
    <cfRule type="expression" dxfId="2407" priority="42">
      <formula>AND(B$9&gt;=14/24,B$9&lt;20/24)</formula>
    </cfRule>
    <cfRule type="expression" dxfId="2406" priority="43">
      <formula>AND(B$9&gt;=8/24,B$9&lt;14/24)</formula>
    </cfRule>
    <cfRule type="expression" dxfId="2405" priority="44">
      <formula>B$9&lt;8/24</formula>
    </cfRule>
  </conditionalFormatting>
  <conditionalFormatting sqref="B11:B13 B43:B54 B33:B41 C43 C41 C12:D13 C35 E13:F13 C33:F34 B15:F31 G33 G19:G31 D46:K48 C45:C48 C44:U44">
    <cfRule type="expression" dxfId="2404" priority="40">
      <formula>B11&gt;$AG11</formula>
    </cfRule>
  </conditionalFormatting>
  <conditionalFormatting sqref="B34:F34">
    <cfRule type="expression" dxfId="2403" priority="36">
      <formula>B$9&gt;=20/24</formula>
    </cfRule>
    <cfRule type="expression" dxfId="2402" priority="37">
      <formula>AND(B$9&gt;=14/24,B$9&lt;20/24)</formula>
    </cfRule>
    <cfRule type="expression" dxfId="2401" priority="38">
      <formula>AND(B$9&gt;=8/24,B$9&lt;14/24)</formula>
    </cfRule>
    <cfRule type="expression" dxfId="2400" priority="39">
      <formula>B$9&lt;8/24</formula>
    </cfRule>
  </conditionalFormatting>
  <conditionalFormatting sqref="B34:F34">
    <cfRule type="expression" dxfId="2399" priority="32">
      <formula>B$9&gt;=20/24</formula>
    </cfRule>
    <cfRule type="expression" dxfId="2398" priority="33">
      <formula>AND(B$9&gt;=14/24,B$9&lt;20/24)</formula>
    </cfRule>
    <cfRule type="expression" dxfId="2397" priority="34">
      <formula>AND(B$9&gt;=8/24,B$9&lt;14/24)</formula>
    </cfRule>
    <cfRule type="expression" dxfId="2396" priority="35">
      <formula>B$9&lt;8/24</formula>
    </cfRule>
  </conditionalFormatting>
  <conditionalFormatting sqref="B32:G32">
    <cfRule type="expression" dxfId="2395" priority="28">
      <formula>B$9&gt;=20/24</formula>
    </cfRule>
    <cfRule type="expression" dxfId="2394" priority="29">
      <formula>AND(B$9&gt;=14/24,B$9&lt;20/24)</formula>
    </cfRule>
    <cfRule type="expression" dxfId="2393" priority="30">
      <formula>AND(B$9&gt;=8/24,B$9&lt;14/24)</formula>
    </cfRule>
    <cfRule type="expression" dxfId="2392" priority="31">
      <formula>B$9&lt;8/24</formula>
    </cfRule>
  </conditionalFormatting>
  <conditionalFormatting sqref="B32:G32">
    <cfRule type="expression" dxfId="2391" priority="27">
      <formula>B32&gt;$AG32</formula>
    </cfRule>
  </conditionalFormatting>
  <conditionalFormatting sqref="B81">
    <cfRule type="expression" dxfId="2390" priority="23">
      <formula>B$9&gt;=20/24</formula>
    </cfRule>
    <cfRule type="expression" dxfId="2389" priority="24">
      <formula>AND(B$9&gt;=14/24,B$9&lt;20/24)</formula>
    </cfRule>
    <cfRule type="expression" dxfId="2388" priority="25">
      <formula>AND(B$9&gt;=8/24,B$9&lt;14/24)</formula>
    </cfRule>
    <cfRule type="expression" dxfId="2387" priority="26">
      <formula>B$9&lt;8/24</formula>
    </cfRule>
  </conditionalFormatting>
  <conditionalFormatting sqref="B14:F14">
    <cfRule type="expression" dxfId="2386" priority="19">
      <formula>B$9&gt;=20/24</formula>
    </cfRule>
    <cfRule type="expression" dxfId="2385" priority="20">
      <formula>AND(B$9&gt;=14/24,B$9&lt;20/24)</formula>
    </cfRule>
    <cfRule type="expression" dxfId="2384" priority="21">
      <formula>AND(B$9&gt;=8/24,B$9&lt;14/24)</formula>
    </cfRule>
    <cfRule type="expression" dxfId="2383" priority="22">
      <formula>B$9&lt;8/24</formula>
    </cfRule>
  </conditionalFormatting>
  <conditionalFormatting sqref="B14:F14">
    <cfRule type="expression" dxfId="2382" priority="18">
      <formula>B14&gt;$AG14</formula>
    </cfRule>
  </conditionalFormatting>
  <conditionalFormatting sqref="B42:C42">
    <cfRule type="expression" dxfId="2381" priority="14">
      <formula>B$9&gt;=20/24</formula>
    </cfRule>
    <cfRule type="expression" dxfId="2380" priority="15">
      <formula>AND(B$9&gt;=14/24,B$9&lt;20/24)</formula>
    </cfRule>
    <cfRule type="expression" dxfId="2379" priority="16">
      <formula>AND(B$9&gt;=8/24,B$9&lt;14/24)</formula>
    </cfRule>
    <cfRule type="expression" dxfId="2378" priority="17">
      <formula>B$9&lt;8/24</formula>
    </cfRule>
  </conditionalFormatting>
  <conditionalFormatting sqref="B42:C42">
    <cfRule type="expression" dxfId="2377" priority="13">
      <formula>B42&gt;$AG42</formula>
    </cfRule>
  </conditionalFormatting>
  <conditionalFormatting sqref="B77">
    <cfRule type="expression" dxfId="2376" priority="9">
      <formula>B$9&gt;=20/24</formula>
    </cfRule>
    <cfRule type="expression" dxfId="2375" priority="10">
      <formula>AND(B$9&gt;=14/24,B$9&lt;20/24)</formula>
    </cfRule>
    <cfRule type="expression" dxfId="2374" priority="11">
      <formula>AND(B$9&gt;=8/24,B$9&lt;14/24)</formula>
    </cfRule>
    <cfRule type="expression" dxfId="2373" priority="12">
      <formula>B$9&lt;8/24</formula>
    </cfRule>
  </conditionalFormatting>
  <conditionalFormatting sqref="B71">
    <cfRule type="expression" dxfId="2372" priority="5">
      <formula>B$9&gt;=20/24</formula>
    </cfRule>
    <cfRule type="expression" dxfId="2371" priority="6">
      <formula>AND(B$9&gt;=14/24,B$9&lt;20/24)</formula>
    </cfRule>
    <cfRule type="expression" dxfId="2370" priority="7">
      <formula>AND(B$9&gt;=8/24,B$9&lt;14/24)</formula>
    </cfRule>
    <cfRule type="expression" dxfId="2369" priority="8">
      <formula>B$9&lt;8/24</formula>
    </cfRule>
  </conditionalFormatting>
  <conditionalFormatting sqref="B82:B89">
    <cfRule type="expression" dxfId="2368" priority="1">
      <formula>B$9&gt;=20/24</formula>
    </cfRule>
    <cfRule type="expression" dxfId="2367" priority="2">
      <formula>AND(B$9&gt;=14/24,B$9&lt;20/24)</formula>
    </cfRule>
    <cfRule type="expression" dxfId="2366" priority="3">
      <formula>AND(B$9&gt;=8/24,B$9&lt;14/24)</formula>
    </cfRule>
    <cfRule type="expression" dxfId="236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2" sqref="AL2:AL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K1" s="193" t="s">
        <v>232</v>
      </c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227</v>
      </c>
      <c r="AL2" s="3">
        <f>(440-AJ50)*24</f>
        <v>669.80361290322617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7</v>
      </c>
      <c r="AL3" s="3">
        <f>(1050-AJ36)*24-AL4</f>
        <v>559.19999999999345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2078/04/26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233</v>
      </c>
      <c r="AL4" s="3">
        <f>(456-AJ11)*24</f>
        <v>1119.7935483870961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-348.6</v>
      </c>
      <c r="C5" s="32">
        <f t="shared" ref="C5:AF5" si="0">C66</f>
        <v>-366.1</v>
      </c>
      <c r="D5" s="32">
        <f t="shared" si="0"/>
        <v>-306.39999999999998</v>
      </c>
      <c r="E5" s="32">
        <f t="shared" si="0"/>
        <v>-318.8</v>
      </c>
      <c r="F5" s="32">
        <f t="shared" si="0"/>
        <v>-164</v>
      </c>
      <c r="G5" s="32">
        <f t="shared" si="0"/>
        <v>-315</v>
      </c>
      <c r="H5" s="32">
        <f t="shared" si="0"/>
        <v>-318.2</v>
      </c>
      <c r="I5" s="32">
        <f t="shared" si="0"/>
        <v>-364.9</v>
      </c>
      <c r="J5" s="32">
        <f t="shared" si="0"/>
        <v>-303.10000000000002</v>
      </c>
      <c r="K5" s="32">
        <f t="shared" si="0"/>
        <v>-288.60000000000002</v>
      </c>
      <c r="L5" s="32">
        <f t="shared" si="0"/>
        <v>-255.5</v>
      </c>
      <c r="M5" s="32">
        <f t="shared" si="0"/>
        <v>-260.5</v>
      </c>
      <c r="N5" s="32">
        <f t="shared" si="0"/>
        <v>-262.10000000000002</v>
      </c>
      <c r="O5" s="32">
        <f t="shared" si="0"/>
        <v>-248.4</v>
      </c>
      <c r="P5" s="32">
        <f t="shared" si="0"/>
        <v>-311.5</v>
      </c>
      <c r="Q5" s="32">
        <f t="shared" si="0"/>
        <v>-141</v>
      </c>
      <c r="R5" s="32">
        <f t="shared" si="0"/>
        <v>-225.6</v>
      </c>
      <c r="S5" s="32">
        <f t="shared" si="0"/>
        <v>-236</v>
      </c>
      <c r="T5" s="32">
        <f t="shared" si="0"/>
        <v>-261.2</v>
      </c>
      <c r="U5" s="32">
        <f t="shared" si="0"/>
        <v>-317.3</v>
      </c>
      <c r="V5" s="32">
        <f t="shared" si="0"/>
        <v>-332</v>
      </c>
      <c r="W5" s="32">
        <f t="shared" si="0"/>
        <v>-199.3</v>
      </c>
      <c r="X5" s="32">
        <f t="shared" si="0"/>
        <v>-196.8</v>
      </c>
      <c r="Y5" s="32">
        <f t="shared" si="0"/>
        <v>-183.89999999999998</v>
      </c>
      <c r="Z5" s="32">
        <f t="shared" si="0"/>
        <v>-207.2</v>
      </c>
      <c r="AA5" s="32">
        <f t="shared" si="0"/>
        <v>-244</v>
      </c>
      <c r="AB5" s="32">
        <f t="shared" si="0"/>
        <v>-269</v>
      </c>
      <c r="AC5" s="32">
        <f t="shared" si="0"/>
        <v>-265</v>
      </c>
      <c r="AD5" s="32">
        <f t="shared" si="0"/>
        <v>-299</v>
      </c>
      <c r="AE5" s="32">
        <f t="shared" si="0"/>
        <v>-347</v>
      </c>
      <c r="AF5" s="32">
        <f t="shared" si="0"/>
        <v>-370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1079MW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Load=1020</v>
      </c>
      <c r="B7" s="37">
        <f t="shared" ref="B7:AF7" si="1">B73</f>
        <v>1110.1399999999999</v>
      </c>
      <c r="C7" s="37">
        <f t="shared" si="1"/>
        <v>1086.1399999999999</v>
      </c>
      <c r="D7" s="37">
        <f t="shared" si="1"/>
        <v>1071.8400000000001</v>
      </c>
      <c r="E7" s="37">
        <f t="shared" si="1"/>
        <v>1034.239</v>
      </c>
      <c r="F7" s="37">
        <f t="shared" si="1"/>
        <v>1025.039</v>
      </c>
      <c r="G7" s="37">
        <f t="shared" si="1"/>
        <v>1050.039</v>
      </c>
      <c r="H7" s="37">
        <f t="shared" si="1"/>
        <v>1062.74</v>
      </c>
      <c r="I7" s="37">
        <f t="shared" si="1"/>
        <v>1038.44</v>
      </c>
      <c r="J7" s="37">
        <f t="shared" si="1"/>
        <v>1019.84</v>
      </c>
      <c r="K7" s="37">
        <f t="shared" si="1"/>
        <v>1037.04</v>
      </c>
      <c r="L7" s="37">
        <f>L73</f>
        <v>1078.6400000000001</v>
      </c>
      <c r="M7" s="37">
        <f t="shared" si="1"/>
        <v>1073.8400000000001</v>
      </c>
      <c r="N7" s="37">
        <f t="shared" si="1"/>
        <v>1098.8399999999999</v>
      </c>
      <c r="O7" s="37">
        <f t="shared" si="1"/>
        <v>1106.6400000000001</v>
      </c>
      <c r="P7" s="37">
        <f t="shared" si="1"/>
        <v>1116.8400000000001</v>
      </c>
      <c r="Q7" s="37">
        <f t="shared" si="1"/>
        <v>1127.24</v>
      </c>
      <c r="R7" s="37">
        <f t="shared" si="1"/>
        <v>1071.6399999999999</v>
      </c>
      <c r="S7" s="37">
        <f t="shared" si="1"/>
        <v>1103.6399999999999</v>
      </c>
      <c r="T7" s="37">
        <f t="shared" si="1"/>
        <v>1052.44</v>
      </c>
      <c r="U7" s="37">
        <f t="shared" si="1"/>
        <v>1061.3399999999999</v>
      </c>
      <c r="V7" s="37">
        <f t="shared" si="1"/>
        <v>1119.04</v>
      </c>
      <c r="W7" s="37">
        <f t="shared" si="1"/>
        <v>1264.74</v>
      </c>
      <c r="X7" s="37">
        <f t="shared" si="1"/>
        <v>1382.64</v>
      </c>
      <c r="Y7" s="37">
        <f t="shared" si="1"/>
        <v>1392.3400000000001</v>
      </c>
      <c r="Z7" s="37">
        <f t="shared" si="1"/>
        <v>1368.54</v>
      </c>
      <c r="AA7" s="37">
        <f t="shared" si="1"/>
        <v>1331.74</v>
      </c>
      <c r="AB7" s="37">
        <f t="shared" si="1"/>
        <v>1306.74</v>
      </c>
      <c r="AC7" s="37">
        <f t="shared" si="1"/>
        <v>1277.44</v>
      </c>
      <c r="AD7" s="37">
        <f t="shared" si="1"/>
        <v>1193.6400000000001</v>
      </c>
      <c r="AE7" s="37">
        <f t="shared" si="1"/>
        <v>1123.6400000000001</v>
      </c>
      <c r="AF7" s="37">
        <f t="shared" si="1"/>
        <v>1070.94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446</v>
      </c>
      <c r="C11" s="49">
        <v>446</v>
      </c>
      <c r="D11" s="49">
        <v>380</v>
      </c>
      <c r="E11" s="49">
        <v>380</v>
      </c>
      <c r="F11" s="49">
        <v>380</v>
      </c>
      <c r="G11" s="49">
        <v>380</v>
      </c>
      <c r="H11" s="49">
        <v>380</v>
      </c>
      <c r="I11" s="49">
        <v>380</v>
      </c>
      <c r="J11" s="49">
        <v>380</v>
      </c>
      <c r="K11" s="49">
        <v>380</v>
      </c>
      <c r="L11" s="50">
        <v>380</v>
      </c>
      <c r="M11" s="50">
        <v>380</v>
      </c>
      <c r="N11" s="50">
        <v>380</v>
      </c>
      <c r="O11" s="50">
        <v>380</v>
      </c>
      <c r="P11" s="50">
        <v>451.6</v>
      </c>
      <c r="Q11" s="51">
        <v>300</v>
      </c>
      <c r="R11" s="52">
        <v>300</v>
      </c>
      <c r="S11" s="52">
        <v>360</v>
      </c>
      <c r="T11" s="52">
        <v>380</v>
      </c>
      <c r="U11" s="52">
        <v>430</v>
      </c>
      <c r="V11" s="52">
        <v>456</v>
      </c>
      <c r="W11" s="52">
        <v>456</v>
      </c>
      <c r="X11" s="52">
        <v>456</v>
      </c>
      <c r="Y11" s="52">
        <v>456</v>
      </c>
      <c r="Z11" s="52">
        <v>456</v>
      </c>
      <c r="AA11" s="52">
        <v>456</v>
      </c>
      <c r="AB11" s="52">
        <v>456</v>
      </c>
      <c r="AC11" s="52">
        <v>456</v>
      </c>
      <c r="AD11" s="52">
        <v>456</v>
      </c>
      <c r="AE11" s="52">
        <v>456</v>
      </c>
      <c r="AF11" s="52">
        <v>456</v>
      </c>
      <c r="AG11" s="54">
        <v>456</v>
      </c>
      <c r="AH11" s="55">
        <f>MAX(B11:AF11)</f>
        <v>456</v>
      </c>
      <c r="AI11" s="56">
        <f>MIN(B11:AF11)</f>
        <v>300</v>
      </c>
      <c r="AJ11" s="176">
        <f>AVERAGE(B11:AF11)</f>
        <v>409.341935483871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59">
        <v>60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9">
        <v>60</v>
      </c>
      <c r="AB12" s="59">
        <v>60</v>
      </c>
      <c r="AC12" s="59">
        <v>60</v>
      </c>
      <c r="AD12" s="59">
        <v>60</v>
      </c>
      <c r="AE12" s="59">
        <v>60</v>
      </c>
      <c r="AF12" s="5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</v>
      </c>
      <c r="C14" s="62">
        <v>45.6</v>
      </c>
      <c r="D14" s="62">
        <v>45.9</v>
      </c>
      <c r="E14" s="62">
        <v>45.9</v>
      </c>
      <c r="F14" s="62">
        <v>45.9</v>
      </c>
      <c r="G14" s="62">
        <v>45.9</v>
      </c>
      <c r="H14" s="62">
        <v>45.9</v>
      </c>
      <c r="I14" s="62">
        <v>45.9</v>
      </c>
      <c r="J14" s="62">
        <v>45.9</v>
      </c>
      <c r="K14" s="62">
        <v>45.9</v>
      </c>
      <c r="L14" s="50">
        <v>45.9</v>
      </c>
      <c r="M14" s="50">
        <v>46.1</v>
      </c>
      <c r="N14" s="50">
        <v>45.9</v>
      </c>
      <c r="O14" s="50">
        <v>45.7</v>
      </c>
      <c r="P14" s="50">
        <v>45.7</v>
      </c>
      <c r="Q14" s="50">
        <v>45.4</v>
      </c>
      <c r="R14" s="61">
        <v>45.4</v>
      </c>
      <c r="S14" s="61">
        <v>45.4</v>
      </c>
      <c r="T14" s="61">
        <v>45.8</v>
      </c>
      <c r="U14" s="61">
        <v>45.8</v>
      </c>
      <c r="V14" s="61">
        <v>45.6</v>
      </c>
      <c r="W14" s="61">
        <v>45.6</v>
      </c>
      <c r="X14" s="61">
        <v>45.6</v>
      </c>
      <c r="Y14" s="61">
        <v>45.6</v>
      </c>
      <c r="Z14" s="61">
        <v>45.6</v>
      </c>
      <c r="AA14" s="61">
        <v>45.6</v>
      </c>
      <c r="AB14" s="61">
        <v>45.6</v>
      </c>
      <c r="AC14" s="61">
        <v>45.6</v>
      </c>
      <c r="AD14" s="61">
        <v>45.6</v>
      </c>
      <c r="AE14" s="61">
        <v>45.6</v>
      </c>
      <c r="AF14" s="61">
        <v>45.6</v>
      </c>
      <c r="AG14" s="63">
        <v>45</v>
      </c>
      <c r="AH14" s="55">
        <f t="shared" si="2"/>
        <v>46.1</v>
      </c>
      <c r="AI14" s="56">
        <f t="shared" si="3"/>
        <v>45.4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0</v>
      </c>
      <c r="R15" s="84">
        <v>26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28</v>
      </c>
      <c r="Y15" s="84">
        <v>28</v>
      </c>
      <c r="Z15" s="84">
        <v>28</v>
      </c>
      <c r="AA15" s="84">
        <v>28</v>
      </c>
      <c r="AB15" s="84">
        <v>28</v>
      </c>
      <c r="AC15" s="84">
        <v>28</v>
      </c>
      <c r="AD15" s="84">
        <v>26</v>
      </c>
      <c r="AE15" s="84">
        <v>26</v>
      </c>
      <c r="AF15" s="84">
        <v>0</v>
      </c>
      <c r="AG15" s="60">
        <v>45</v>
      </c>
      <c r="AH15" s="55">
        <f t="shared" si="2"/>
        <v>28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24</v>
      </c>
      <c r="C16" s="49">
        <v>24</v>
      </c>
      <c r="D16" s="49">
        <v>24</v>
      </c>
      <c r="E16" s="49">
        <v>24</v>
      </c>
      <c r="F16" s="49">
        <v>0</v>
      </c>
      <c r="G16" s="49">
        <v>24</v>
      </c>
      <c r="H16" s="49">
        <v>24</v>
      </c>
      <c r="I16" s="49">
        <v>24</v>
      </c>
      <c r="J16" s="49">
        <v>24</v>
      </c>
      <c r="K16" s="49">
        <v>24</v>
      </c>
      <c r="L16" s="50">
        <v>25</v>
      </c>
      <c r="M16" s="50">
        <v>25</v>
      </c>
      <c r="N16" s="50">
        <v>25</v>
      </c>
      <c r="O16" s="50">
        <v>24</v>
      </c>
      <c r="P16" s="50">
        <v>24</v>
      </c>
      <c r="Q16" s="50">
        <v>25</v>
      </c>
      <c r="R16" s="61">
        <v>25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61">
        <v>25</v>
      </c>
      <c r="Z16" s="61">
        <v>25</v>
      </c>
      <c r="AA16" s="61">
        <v>25</v>
      </c>
      <c r="AB16" s="61">
        <v>25</v>
      </c>
      <c r="AC16" s="61">
        <v>25</v>
      </c>
      <c r="AD16" s="61">
        <v>25</v>
      </c>
      <c r="AE16" s="61">
        <v>25</v>
      </c>
      <c r="AF16" s="61">
        <v>25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</v>
      </c>
      <c r="C18" s="49">
        <v>25</v>
      </c>
      <c r="D18" s="49">
        <v>25</v>
      </c>
      <c r="E18" s="49">
        <v>25</v>
      </c>
      <c r="F18" s="49">
        <v>25</v>
      </c>
      <c r="G18" s="49">
        <v>25</v>
      </c>
      <c r="H18" s="49">
        <v>25</v>
      </c>
      <c r="I18" s="49">
        <v>25</v>
      </c>
      <c r="J18" s="49">
        <v>25</v>
      </c>
      <c r="K18" s="49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25.9</v>
      </c>
      <c r="R18" s="50">
        <v>25.9</v>
      </c>
      <c r="S18" s="50">
        <v>25.9</v>
      </c>
      <c r="T18" s="50">
        <v>25.9</v>
      </c>
      <c r="U18" s="50">
        <v>25.9</v>
      </c>
      <c r="V18" s="50">
        <v>25.9</v>
      </c>
      <c r="W18" s="50">
        <v>25.9</v>
      </c>
      <c r="X18" s="50">
        <v>25.9</v>
      </c>
      <c r="Y18" s="50">
        <v>25.9</v>
      </c>
      <c r="Z18" s="50">
        <v>25.9</v>
      </c>
      <c r="AA18" s="50">
        <v>25.9</v>
      </c>
      <c r="AB18" s="50">
        <v>25.9</v>
      </c>
      <c r="AC18" s="50">
        <v>25.9</v>
      </c>
      <c r="AD18" s="50">
        <v>25.9</v>
      </c>
      <c r="AE18" s="50">
        <v>25.9</v>
      </c>
      <c r="AF18" s="50">
        <v>25.9</v>
      </c>
      <c r="AG18" s="60">
        <v>30</v>
      </c>
      <c r="AH18" s="55">
        <f t="shared" si="2"/>
        <v>25.9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0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0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13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16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60">
        <v>20</v>
      </c>
      <c r="AH25" s="55">
        <f t="shared" si="2"/>
        <v>20</v>
      </c>
      <c r="AI25" s="56">
        <f t="shared" si="3"/>
        <v>10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8</v>
      </c>
      <c r="C26" s="49">
        <v>8</v>
      </c>
      <c r="D26" s="49">
        <v>8</v>
      </c>
      <c r="E26" s="49">
        <v>8</v>
      </c>
      <c r="F26" s="49">
        <v>0</v>
      </c>
      <c r="G26" s="49">
        <v>8</v>
      </c>
      <c r="H26" s="49">
        <v>8</v>
      </c>
      <c r="I26" s="49">
        <v>8</v>
      </c>
      <c r="J26" s="49">
        <v>8</v>
      </c>
      <c r="K26" s="49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60">
        <v>23.5</v>
      </c>
      <c r="AH26" s="55">
        <f t="shared" si="2"/>
        <v>8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0</v>
      </c>
      <c r="AG27" s="60">
        <v>22.2</v>
      </c>
      <c r="AH27" s="55">
        <f t="shared" si="2"/>
        <v>10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11.4</v>
      </c>
      <c r="C28" s="49">
        <v>11.4</v>
      </c>
      <c r="D28" s="49">
        <v>11.4</v>
      </c>
      <c r="E28" s="49">
        <v>11.4</v>
      </c>
      <c r="F28" s="49">
        <v>11.4</v>
      </c>
      <c r="G28" s="49">
        <v>11.4</v>
      </c>
      <c r="H28" s="49">
        <v>11.4</v>
      </c>
      <c r="I28" s="49">
        <v>11.4</v>
      </c>
      <c r="J28" s="49">
        <v>11.4</v>
      </c>
      <c r="K28" s="49">
        <v>11.4</v>
      </c>
      <c r="L28" s="50">
        <v>11.4</v>
      </c>
      <c r="M28" s="50">
        <v>11.4</v>
      </c>
      <c r="N28" s="50">
        <v>11.4</v>
      </c>
      <c r="O28" s="50">
        <v>11.4</v>
      </c>
      <c r="P28" s="50">
        <v>11.4</v>
      </c>
      <c r="Q28" s="50">
        <v>11</v>
      </c>
      <c r="R28" s="50">
        <v>11</v>
      </c>
      <c r="S28" s="50">
        <v>11</v>
      </c>
      <c r="T28" s="50">
        <v>11</v>
      </c>
      <c r="U28" s="50">
        <v>11</v>
      </c>
      <c r="V28" s="50">
        <v>11</v>
      </c>
      <c r="W28" s="50">
        <v>11</v>
      </c>
      <c r="X28" s="50">
        <v>11</v>
      </c>
      <c r="Y28" s="50">
        <v>11</v>
      </c>
      <c r="Z28" s="50">
        <v>11</v>
      </c>
      <c r="AA28" s="50">
        <v>11</v>
      </c>
      <c r="AB28" s="50">
        <v>11</v>
      </c>
      <c r="AC28" s="50">
        <v>11</v>
      </c>
      <c r="AD28" s="50">
        <v>11</v>
      </c>
      <c r="AE28" s="50">
        <v>11</v>
      </c>
      <c r="AF28" s="50">
        <v>11</v>
      </c>
      <c r="AG28" s="60">
        <v>22.1</v>
      </c>
      <c r="AH28" s="55">
        <f t="shared" si="2"/>
        <v>11.4</v>
      </c>
      <c r="AI28" s="56">
        <f t="shared" si="3"/>
        <v>11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0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100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100</v>
      </c>
      <c r="AK34" s="57"/>
    </row>
    <row r="35" spans="1:88" ht="15.75" thickBot="1" x14ac:dyDescent="0.3">
      <c r="A35" s="69" t="s">
        <v>42</v>
      </c>
      <c r="B35" s="62">
        <v>153.19999999999999</v>
      </c>
      <c r="C35" s="62">
        <v>153.19999999999999</v>
      </c>
      <c r="D35" s="62">
        <v>149.6</v>
      </c>
      <c r="E35" s="62">
        <v>152.19999999999999</v>
      </c>
      <c r="F35" s="62">
        <v>0</v>
      </c>
      <c r="G35" s="62">
        <v>152.19999999999999</v>
      </c>
      <c r="H35" s="62">
        <v>144</v>
      </c>
      <c r="I35" s="62">
        <v>147.80000000000001</v>
      </c>
      <c r="J35" s="62">
        <v>147.80000000000001</v>
      </c>
      <c r="K35" s="62">
        <v>146</v>
      </c>
      <c r="L35" s="70">
        <v>146</v>
      </c>
      <c r="M35" s="70">
        <v>146</v>
      </c>
      <c r="N35" s="70">
        <f>64.3+87.5</f>
        <v>151.80000000000001</v>
      </c>
      <c r="O35" s="70">
        <v>146</v>
      </c>
      <c r="P35" s="70">
        <v>152.9</v>
      </c>
      <c r="Q35" s="70">
        <f>64.8+86.2</f>
        <v>151</v>
      </c>
      <c r="R35" s="70">
        <v>151</v>
      </c>
      <c r="S35" s="70">
        <v>151</v>
      </c>
      <c r="T35" s="70">
        <v>151.69999999999999</v>
      </c>
      <c r="U35" s="70">
        <v>150</v>
      </c>
      <c r="V35" s="70">
        <v>149.6</v>
      </c>
      <c r="W35" s="70">
        <v>149.6</v>
      </c>
      <c r="X35" s="70">
        <v>149.6</v>
      </c>
      <c r="Y35" s="70">
        <v>149.6</v>
      </c>
      <c r="Z35" s="70">
        <v>149.6</v>
      </c>
      <c r="AA35" s="70">
        <v>149.6</v>
      </c>
      <c r="AB35" s="70">
        <v>149.6</v>
      </c>
      <c r="AC35" s="70">
        <v>149.6</v>
      </c>
      <c r="AD35" s="70">
        <v>150</v>
      </c>
      <c r="AE35" s="70">
        <v>150</v>
      </c>
      <c r="AF35" s="70">
        <v>150</v>
      </c>
      <c r="AG35" s="67">
        <v>240</v>
      </c>
      <c r="AH35" s="55">
        <f t="shared" si="2"/>
        <v>153.19999999999999</v>
      </c>
      <c r="AI35" s="56">
        <f t="shared" si="3"/>
        <v>0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1023.2</v>
      </c>
      <c r="C36" s="72">
        <f>SUM(C11:C34)</f>
        <v>1020.2</v>
      </c>
      <c r="D36" s="72">
        <f t="shared" si="4"/>
        <v>954.5</v>
      </c>
      <c r="E36" s="72">
        <f t="shared" si="4"/>
        <v>942.5</v>
      </c>
      <c r="F36" s="72">
        <f>SUM(F11:F34)</f>
        <v>778.5</v>
      </c>
      <c r="G36" s="72">
        <f t="shared" si="4"/>
        <v>954.5</v>
      </c>
      <c r="H36" s="72">
        <f t="shared" si="4"/>
        <v>954.5</v>
      </c>
      <c r="I36" s="72">
        <f t="shared" si="4"/>
        <v>954.5</v>
      </c>
      <c r="J36" s="72">
        <f t="shared" si="4"/>
        <v>954.5</v>
      </c>
      <c r="K36" s="72">
        <f t="shared" si="4"/>
        <v>954.5</v>
      </c>
      <c r="L36" s="72">
        <f t="shared" si="4"/>
        <v>955.5</v>
      </c>
      <c r="M36" s="72">
        <f t="shared" si="4"/>
        <v>955.7</v>
      </c>
      <c r="N36" s="72">
        <f t="shared" si="4"/>
        <v>955.5</v>
      </c>
      <c r="O36" s="72">
        <f t="shared" si="4"/>
        <v>954.30000000000007</v>
      </c>
      <c r="P36" s="72">
        <f t="shared" si="4"/>
        <v>1025.9000000000001</v>
      </c>
      <c r="Q36" s="72">
        <f t="shared" si="4"/>
        <v>849.5</v>
      </c>
      <c r="R36" s="72">
        <f t="shared" si="4"/>
        <v>875.5</v>
      </c>
      <c r="S36" s="72">
        <f t="shared" si="4"/>
        <v>935.5</v>
      </c>
      <c r="T36" s="72">
        <f t="shared" si="4"/>
        <v>955.9</v>
      </c>
      <c r="U36" s="72">
        <f t="shared" si="4"/>
        <v>1005.9</v>
      </c>
      <c r="V36" s="72">
        <f t="shared" si="4"/>
        <v>1031.7</v>
      </c>
      <c r="W36" s="72">
        <f t="shared" si="4"/>
        <v>1037.7</v>
      </c>
      <c r="X36" s="72">
        <f t="shared" si="4"/>
        <v>1043.7</v>
      </c>
      <c r="Y36" s="72">
        <f t="shared" si="4"/>
        <v>1043.7</v>
      </c>
      <c r="Z36" s="72">
        <f t="shared" si="4"/>
        <v>1043.7</v>
      </c>
      <c r="AA36" s="72">
        <f t="shared" si="4"/>
        <v>1043.7</v>
      </c>
      <c r="AB36" s="72">
        <f t="shared" si="4"/>
        <v>1043.7</v>
      </c>
      <c r="AC36" s="72">
        <f t="shared" si="4"/>
        <v>1043.7</v>
      </c>
      <c r="AD36" s="72">
        <f t="shared" si="4"/>
        <v>1041.7</v>
      </c>
      <c r="AE36" s="72">
        <f t="shared" si="4"/>
        <v>1041.7</v>
      </c>
      <c r="AF36" s="72">
        <f t="shared" si="4"/>
        <v>1005.7</v>
      </c>
      <c r="AG36" s="67">
        <f>SUM(AG11:AG35)</f>
        <v>1431.83</v>
      </c>
      <c r="AH36" s="55">
        <f t="shared" si="2"/>
        <v>1043.7</v>
      </c>
      <c r="AI36" s="56">
        <f t="shared" si="3"/>
        <v>778.5</v>
      </c>
      <c r="AJ36" s="176">
        <f>AVERAGE(B36:AF36)</f>
        <v>980.04193548387127</v>
      </c>
      <c r="AK36" s="57"/>
    </row>
    <row r="37" spans="1:88" x14ac:dyDescent="0.25">
      <c r="A37" s="58" t="s">
        <v>44</v>
      </c>
      <c r="B37" s="62">
        <v>145.1</v>
      </c>
      <c r="C37" s="62">
        <v>139.4</v>
      </c>
      <c r="D37" s="62">
        <v>131.30000000000001</v>
      </c>
      <c r="E37" s="62">
        <v>125.999</v>
      </c>
      <c r="F37" s="62">
        <v>125.999</v>
      </c>
      <c r="G37" s="62">
        <v>125.999</v>
      </c>
      <c r="H37" s="62">
        <v>130</v>
      </c>
      <c r="I37" s="62">
        <v>126</v>
      </c>
      <c r="J37" s="62">
        <v>110</v>
      </c>
      <c r="K37" s="62">
        <v>112</v>
      </c>
      <c r="L37" s="50">
        <v>111.1</v>
      </c>
      <c r="M37" s="50">
        <v>111.1</v>
      </c>
      <c r="N37" s="50">
        <v>141</v>
      </c>
      <c r="O37" s="50">
        <v>121</v>
      </c>
      <c r="P37" s="50">
        <v>121</v>
      </c>
      <c r="Q37" s="50">
        <v>143.6</v>
      </c>
      <c r="R37" s="50">
        <v>144.6</v>
      </c>
      <c r="S37" s="50">
        <v>142</v>
      </c>
      <c r="T37" s="50">
        <v>96</v>
      </c>
      <c r="U37" s="50">
        <v>121</v>
      </c>
      <c r="V37" s="50">
        <v>145</v>
      </c>
      <c r="W37" s="50">
        <v>140</v>
      </c>
      <c r="X37" s="50">
        <v>145.6</v>
      </c>
      <c r="Y37" s="50">
        <v>145.1</v>
      </c>
      <c r="Z37" s="50">
        <v>145.1</v>
      </c>
      <c r="AA37" s="50">
        <v>145.1</v>
      </c>
      <c r="AB37" s="50">
        <v>145.1</v>
      </c>
      <c r="AC37" s="50">
        <v>145.1</v>
      </c>
      <c r="AD37" s="50">
        <v>145.30000000000001</v>
      </c>
      <c r="AE37" s="50">
        <v>145.30000000000001</v>
      </c>
      <c r="AF37" s="50">
        <v>145.30000000000001</v>
      </c>
      <c r="AG37" s="63">
        <v>144</v>
      </c>
      <c r="AH37" s="55">
        <f t="shared" si="2"/>
        <v>145.6</v>
      </c>
      <c r="AI37" s="56">
        <f t="shared" si="3"/>
        <v>96</v>
      </c>
      <c r="AJ37" s="176">
        <f>AVERAGE(B37:AF37)</f>
        <v>132.78054838709676</v>
      </c>
      <c r="AK37" s="57"/>
    </row>
    <row r="38" spans="1:88" x14ac:dyDescent="0.25">
      <c r="A38" s="66" t="s">
        <v>45</v>
      </c>
      <c r="B38" s="62">
        <v>71.099999999999994</v>
      </c>
      <c r="C38" s="62">
        <v>70.099999999999994</v>
      </c>
      <c r="D38" s="62">
        <v>70</v>
      </c>
      <c r="E38" s="62">
        <v>62</v>
      </c>
      <c r="F38" s="62">
        <v>62</v>
      </c>
      <c r="G38" s="62">
        <v>62</v>
      </c>
      <c r="H38" s="62">
        <v>70</v>
      </c>
      <c r="I38" s="62">
        <v>70</v>
      </c>
      <c r="J38" s="62">
        <v>50</v>
      </c>
      <c r="K38" s="62">
        <v>50</v>
      </c>
      <c r="L38" s="52">
        <v>53.6</v>
      </c>
      <c r="M38" s="52">
        <v>53.6</v>
      </c>
      <c r="N38" s="52">
        <v>50.6</v>
      </c>
      <c r="O38" s="52">
        <v>51.7</v>
      </c>
      <c r="P38" s="52">
        <v>53.4</v>
      </c>
      <c r="Q38" s="52">
        <v>53.3</v>
      </c>
      <c r="R38" s="52">
        <v>53.5</v>
      </c>
      <c r="S38" s="52">
        <v>55</v>
      </c>
      <c r="T38" s="52">
        <v>52.8</v>
      </c>
      <c r="U38" s="52">
        <v>46</v>
      </c>
      <c r="V38" s="52">
        <v>56</v>
      </c>
      <c r="W38" s="52">
        <v>66</v>
      </c>
      <c r="X38" s="52">
        <v>69.7</v>
      </c>
      <c r="Y38" s="52">
        <v>67.2</v>
      </c>
      <c r="Z38" s="52">
        <v>67.2</v>
      </c>
      <c r="AA38" s="52">
        <v>67.2</v>
      </c>
      <c r="AB38" s="52">
        <v>67.2</v>
      </c>
      <c r="AC38" s="52">
        <v>70</v>
      </c>
      <c r="AD38" s="52">
        <v>70</v>
      </c>
      <c r="AE38" s="52">
        <v>70</v>
      </c>
      <c r="AF38" s="52">
        <v>70</v>
      </c>
      <c r="AG38" s="67">
        <v>70</v>
      </c>
      <c r="AH38" s="55">
        <f t="shared" si="2"/>
        <v>71.099999999999994</v>
      </c>
      <c r="AI38" s="56">
        <f t="shared" si="3"/>
        <v>46</v>
      </c>
      <c r="AJ38" s="176">
        <f>AVERAGE(B38:AF38)</f>
        <v>61.329032258064522</v>
      </c>
      <c r="AK38" s="57"/>
    </row>
    <row r="39" spans="1:88" x14ac:dyDescent="0.25">
      <c r="A39" s="66" t="s">
        <v>46</v>
      </c>
      <c r="B39" s="62">
        <v>62.8</v>
      </c>
      <c r="C39" s="62">
        <v>66</v>
      </c>
      <c r="D39" s="62">
        <v>66</v>
      </c>
      <c r="E39" s="62">
        <v>66.099999999999994</v>
      </c>
      <c r="F39" s="62">
        <v>66.099999999999994</v>
      </c>
      <c r="G39" s="62">
        <v>66.099999999999994</v>
      </c>
      <c r="H39" s="62">
        <v>70</v>
      </c>
      <c r="I39" s="62">
        <v>52</v>
      </c>
      <c r="J39" s="62">
        <v>52</v>
      </c>
      <c r="K39" s="62">
        <v>52.7</v>
      </c>
      <c r="L39" s="52">
        <v>57.9</v>
      </c>
      <c r="M39" s="52">
        <v>57.9</v>
      </c>
      <c r="N39" s="52">
        <v>57.4</v>
      </c>
      <c r="O39" s="52">
        <v>70.400000000000006</v>
      </c>
      <c r="P39" s="52">
        <v>70.400000000000006</v>
      </c>
      <c r="Q39" s="52">
        <v>64.099999999999994</v>
      </c>
      <c r="R39" s="52">
        <v>64.8</v>
      </c>
      <c r="S39" s="52">
        <v>50</v>
      </c>
      <c r="T39" s="52">
        <v>55</v>
      </c>
      <c r="U39" s="52">
        <v>50.5</v>
      </c>
      <c r="V39" s="52">
        <v>63</v>
      </c>
      <c r="W39" s="52">
        <v>65</v>
      </c>
      <c r="X39" s="52">
        <v>65.400000000000006</v>
      </c>
      <c r="Y39" s="52">
        <v>65.2</v>
      </c>
      <c r="Z39" s="52">
        <v>65.2</v>
      </c>
      <c r="AA39" s="52">
        <v>65.2</v>
      </c>
      <c r="AB39" s="52">
        <v>65.2</v>
      </c>
      <c r="AC39" s="52">
        <v>61.4</v>
      </c>
      <c r="AD39" s="52">
        <v>61.4</v>
      </c>
      <c r="AE39" s="52">
        <v>61.4</v>
      </c>
      <c r="AF39" s="52">
        <v>70.5</v>
      </c>
      <c r="AG39" s="67">
        <v>69</v>
      </c>
      <c r="AH39" s="55">
        <f t="shared" si="2"/>
        <v>70.5</v>
      </c>
      <c r="AI39" s="56">
        <f t="shared" si="3"/>
        <v>50</v>
      </c>
      <c r="AJ39" s="176">
        <f>AVERAGE(B39:AF39)</f>
        <v>62.164516129032279</v>
      </c>
      <c r="AK39" s="57"/>
    </row>
    <row r="40" spans="1:88" x14ac:dyDescent="0.25">
      <c r="A40" s="66" t="s">
        <v>47</v>
      </c>
      <c r="B40" s="62">
        <v>60.2</v>
      </c>
      <c r="C40" s="62">
        <v>60.2</v>
      </c>
      <c r="D40" s="62">
        <v>60.3</v>
      </c>
      <c r="E40" s="62">
        <v>60.3</v>
      </c>
      <c r="F40" s="62">
        <v>60.3</v>
      </c>
      <c r="G40" s="62">
        <v>60.3</v>
      </c>
      <c r="H40" s="62">
        <v>60.3</v>
      </c>
      <c r="I40" s="62">
        <v>60.3</v>
      </c>
      <c r="J40" s="62">
        <v>60.3</v>
      </c>
      <c r="K40" s="62">
        <v>60.3</v>
      </c>
      <c r="L40" s="52">
        <v>60</v>
      </c>
      <c r="M40" s="52">
        <v>60</v>
      </c>
      <c r="N40" s="52">
        <v>60.2</v>
      </c>
      <c r="O40" s="52">
        <v>61.4</v>
      </c>
      <c r="P40" s="52">
        <v>61.4</v>
      </c>
      <c r="Q40" s="52">
        <v>62</v>
      </c>
      <c r="R40" s="52">
        <v>61.7</v>
      </c>
      <c r="S40" s="52">
        <v>60</v>
      </c>
      <c r="T40" s="52">
        <v>59.7</v>
      </c>
      <c r="U40" s="52">
        <v>61</v>
      </c>
      <c r="V40" s="52">
        <v>61</v>
      </c>
      <c r="W40" s="52">
        <v>61</v>
      </c>
      <c r="X40" s="52">
        <v>61.4</v>
      </c>
      <c r="Y40" s="52">
        <v>61.4</v>
      </c>
      <c r="Z40" s="52">
        <v>61.4</v>
      </c>
      <c r="AA40" s="52">
        <v>61.4</v>
      </c>
      <c r="AB40" s="52">
        <v>61.4</v>
      </c>
      <c r="AC40" s="52">
        <v>61.4</v>
      </c>
      <c r="AD40" s="52">
        <v>57.8</v>
      </c>
      <c r="AE40" s="52">
        <v>57.8</v>
      </c>
      <c r="AF40" s="52">
        <v>55</v>
      </c>
      <c r="AG40" s="67">
        <v>60</v>
      </c>
      <c r="AH40" s="55">
        <f t="shared" si="2"/>
        <v>62</v>
      </c>
      <c r="AI40" s="56">
        <f t="shared" si="3"/>
        <v>55</v>
      </c>
      <c r="AK40" s="57"/>
    </row>
    <row r="41" spans="1:88" x14ac:dyDescent="0.25">
      <c r="A41" s="66" t="s">
        <v>48</v>
      </c>
      <c r="B41" s="62">
        <v>29.7</v>
      </c>
      <c r="C41" s="62">
        <v>29.7</v>
      </c>
      <c r="D41" s="62">
        <v>29.6</v>
      </c>
      <c r="E41" s="62">
        <v>29.6</v>
      </c>
      <c r="F41" s="62">
        <v>29.6</v>
      </c>
      <c r="G41" s="62">
        <v>29.6</v>
      </c>
      <c r="H41" s="62">
        <v>29.6</v>
      </c>
      <c r="I41" s="62">
        <v>29.6</v>
      </c>
      <c r="J41" s="62">
        <v>29.6</v>
      </c>
      <c r="K41" s="62">
        <v>29.6</v>
      </c>
      <c r="L41" s="50">
        <v>29.5</v>
      </c>
      <c r="M41" s="50">
        <v>29.5</v>
      </c>
      <c r="N41" s="50">
        <v>29.5</v>
      </c>
      <c r="O41" s="50">
        <v>29.5</v>
      </c>
      <c r="P41" s="50">
        <v>29.5</v>
      </c>
      <c r="Q41" s="50">
        <v>29.4</v>
      </c>
      <c r="R41" s="50">
        <v>29.7</v>
      </c>
      <c r="S41" s="50">
        <v>29.7</v>
      </c>
      <c r="T41" s="50">
        <v>29.5</v>
      </c>
      <c r="U41" s="50">
        <v>29.5</v>
      </c>
      <c r="V41" s="50">
        <v>29.6</v>
      </c>
      <c r="W41" s="50">
        <v>29.6</v>
      </c>
      <c r="X41" s="50">
        <v>29.6</v>
      </c>
      <c r="Y41" s="50">
        <v>29.6</v>
      </c>
      <c r="Z41" s="50">
        <v>29.6</v>
      </c>
      <c r="AA41" s="50">
        <v>29.6</v>
      </c>
      <c r="AB41" s="50">
        <v>29.6</v>
      </c>
      <c r="AC41" s="50">
        <v>29.6</v>
      </c>
      <c r="AD41" s="50">
        <v>29.7</v>
      </c>
      <c r="AE41" s="50">
        <v>29.7</v>
      </c>
      <c r="AF41" s="50">
        <v>29.7</v>
      </c>
      <c r="AG41" s="67">
        <v>30</v>
      </c>
      <c r="AH41" s="55">
        <f t="shared" si="2"/>
        <v>29.7</v>
      </c>
      <c r="AI41" s="56">
        <f t="shared" si="3"/>
        <v>29.4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17.7</v>
      </c>
      <c r="C43" s="73">
        <v>17.7</v>
      </c>
      <c r="D43" s="73">
        <v>17.600000000000001</v>
      </c>
      <c r="E43" s="73">
        <v>17.600000000000001</v>
      </c>
      <c r="F43" s="73">
        <v>17.600000000000001</v>
      </c>
      <c r="G43" s="73">
        <v>17.600000000000001</v>
      </c>
      <c r="H43" s="73">
        <v>17.600000000000001</v>
      </c>
      <c r="I43" s="73">
        <v>17.600000000000001</v>
      </c>
      <c r="J43" s="73">
        <v>17.600000000000001</v>
      </c>
      <c r="K43" s="73">
        <v>17.600000000000001</v>
      </c>
      <c r="L43" s="50">
        <v>17.600000000000001</v>
      </c>
      <c r="M43" s="50">
        <v>17.600000000000001</v>
      </c>
      <c r="N43" s="50">
        <v>17.8</v>
      </c>
      <c r="O43" s="50">
        <v>17.8</v>
      </c>
      <c r="P43" s="50">
        <v>17.8</v>
      </c>
      <c r="Q43" s="50">
        <v>17.399999999999999</v>
      </c>
      <c r="R43" s="50">
        <v>17.7</v>
      </c>
      <c r="S43" s="50">
        <v>17.7</v>
      </c>
      <c r="T43" s="50">
        <v>15</v>
      </c>
      <c r="U43" s="50">
        <v>15</v>
      </c>
      <c r="V43" s="50">
        <v>15</v>
      </c>
      <c r="W43" s="50">
        <v>15</v>
      </c>
      <c r="X43" s="50">
        <v>15</v>
      </c>
      <c r="Y43" s="50">
        <v>15</v>
      </c>
      <c r="Z43" s="50">
        <v>15</v>
      </c>
      <c r="AA43" s="50">
        <v>15</v>
      </c>
      <c r="AB43" s="50">
        <v>15</v>
      </c>
      <c r="AC43" s="50">
        <v>15</v>
      </c>
      <c r="AD43" s="50">
        <v>15</v>
      </c>
      <c r="AE43" s="50">
        <v>15</v>
      </c>
      <c r="AF43" s="50">
        <v>15</v>
      </c>
      <c r="AG43" s="67">
        <v>24</v>
      </c>
      <c r="AH43" s="55">
        <f t="shared" si="2"/>
        <v>17.8</v>
      </c>
      <c r="AI43" s="56">
        <f t="shared" si="3"/>
        <v>15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3.2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13.1</v>
      </c>
      <c r="C45" s="62">
        <v>13.1</v>
      </c>
      <c r="D45" s="62">
        <v>13.1</v>
      </c>
      <c r="E45" s="62">
        <v>13.1</v>
      </c>
      <c r="F45" s="62">
        <v>13.1</v>
      </c>
      <c r="G45" s="62">
        <v>13.1</v>
      </c>
      <c r="H45" s="62">
        <v>13.1</v>
      </c>
      <c r="I45" s="62">
        <v>13.1</v>
      </c>
      <c r="J45" s="62">
        <v>13.1</v>
      </c>
      <c r="K45" s="62">
        <v>13.1</v>
      </c>
      <c r="L45" s="50">
        <v>13.1</v>
      </c>
      <c r="M45" s="50">
        <v>13.1</v>
      </c>
      <c r="N45" s="50">
        <v>13.1</v>
      </c>
      <c r="O45" s="50">
        <v>13.1</v>
      </c>
      <c r="P45" s="50">
        <v>13.1</v>
      </c>
      <c r="Q45" s="50">
        <v>13.1</v>
      </c>
      <c r="R45" s="50">
        <v>13.1</v>
      </c>
      <c r="S45" s="50">
        <v>13.1</v>
      </c>
      <c r="T45" s="50">
        <v>13.1</v>
      </c>
      <c r="U45" s="50">
        <v>13.1</v>
      </c>
      <c r="V45" s="50">
        <v>13.1</v>
      </c>
      <c r="W45" s="50">
        <v>13.1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13.1</v>
      </c>
      <c r="AC45" s="50">
        <v>13.1</v>
      </c>
      <c r="AD45" s="50">
        <v>13.1</v>
      </c>
      <c r="AE45" s="50">
        <v>13.1</v>
      </c>
      <c r="AF45" s="50">
        <v>13.1</v>
      </c>
      <c r="AG45" s="67">
        <v>14.1</v>
      </c>
      <c r="AH45" s="55">
        <f t="shared" si="2"/>
        <v>13.1</v>
      </c>
      <c r="AI45" s="56">
        <f t="shared" si="3"/>
        <v>13.1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62">
        <v>9.9</v>
      </c>
      <c r="C47" s="62">
        <v>9.9</v>
      </c>
      <c r="D47" s="62">
        <v>9.9</v>
      </c>
      <c r="E47" s="62">
        <v>9.9</v>
      </c>
      <c r="F47" s="62">
        <v>9.9</v>
      </c>
      <c r="G47" s="62">
        <v>9.9</v>
      </c>
      <c r="H47" s="62">
        <v>9.9</v>
      </c>
      <c r="I47" s="62">
        <v>9.9</v>
      </c>
      <c r="J47" s="62">
        <v>9.9</v>
      </c>
      <c r="K47" s="62">
        <v>9.9</v>
      </c>
      <c r="L47" s="50">
        <v>9.9</v>
      </c>
      <c r="M47" s="50">
        <v>9.9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9.9</v>
      </c>
      <c r="AB47" s="50">
        <v>9.9</v>
      </c>
      <c r="AC47" s="50">
        <v>9.9</v>
      </c>
      <c r="AD47" s="50">
        <v>9.9</v>
      </c>
      <c r="AE47" s="50">
        <v>9.9</v>
      </c>
      <c r="AF47" s="50">
        <v>9.9</v>
      </c>
      <c r="AG47" s="67">
        <v>10.050000000000001</v>
      </c>
      <c r="AH47" s="55">
        <f t="shared" si="2"/>
        <v>9.9</v>
      </c>
      <c r="AI47" s="56">
        <f t="shared" si="3"/>
        <v>9.9</v>
      </c>
      <c r="AK47" s="57"/>
    </row>
    <row r="48" spans="1:88" x14ac:dyDescent="0.25">
      <c r="A48" s="66" t="s">
        <v>55</v>
      </c>
      <c r="B48" s="62">
        <v>5.2</v>
      </c>
      <c r="C48" s="62">
        <v>5.2</v>
      </c>
      <c r="D48" s="62">
        <v>5.2</v>
      </c>
      <c r="E48" s="62">
        <v>5.2</v>
      </c>
      <c r="F48" s="62">
        <v>5.2</v>
      </c>
      <c r="G48" s="62">
        <v>5.2</v>
      </c>
      <c r="H48" s="62">
        <v>5.2</v>
      </c>
      <c r="I48" s="62">
        <v>5.2</v>
      </c>
      <c r="J48" s="62">
        <v>5.2</v>
      </c>
      <c r="K48" s="62">
        <v>5.2</v>
      </c>
      <c r="L48" s="50">
        <v>5.2</v>
      </c>
      <c r="M48" s="50">
        <v>5.2</v>
      </c>
      <c r="N48" s="50">
        <v>5.2</v>
      </c>
      <c r="O48" s="50">
        <v>5.2</v>
      </c>
      <c r="P48" s="50">
        <v>5.2</v>
      </c>
      <c r="Q48" s="50">
        <v>5.2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5.2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435.53999999999996</v>
      </c>
      <c r="C50" s="72">
        <f t="shared" si="6"/>
        <v>432.03999999999996</v>
      </c>
      <c r="D50" s="72">
        <f t="shared" si="6"/>
        <v>423.74000000000007</v>
      </c>
      <c r="E50" s="72">
        <f t="shared" si="6"/>
        <v>410.53900000000004</v>
      </c>
      <c r="F50" s="72">
        <f t="shared" si="6"/>
        <v>410.53900000000004</v>
      </c>
      <c r="G50" s="72">
        <f t="shared" si="6"/>
        <v>410.53900000000004</v>
      </c>
      <c r="H50" s="72">
        <f t="shared" si="6"/>
        <v>426.44000000000005</v>
      </c>
      <c r="I50" s="72">
        <f t="shared" si="6"/>
        <v>404.44000000000005</v>
      </c>
      <c r="J50" s="72">
        <f t="shared" si="6"/>
        <v>368.44000000000005</v>
      </c>
      <c r="K50" s="72">
        <f t="shared" si="6"/>
        <v>371.14000000000004</v>
      </c>
      <c r="L50" s="72">
        <f t="shared" si="6"/>
        <v>378.64000000000004</v>
      </c>
      <c r="M50" s="72">
        <f t="shared" si="6"/>
        <v>378.64000000000004</v>
      </c>
      <c r="N50" s="72">
        <f t="shared" si="6"/>
        <v>405.44</v>
      </c>
      <c r="O50" s="72">
        <f t="shared" si="6"/>
        <v>400.74</v>
      </c>
      <c r="P50" s="72">
        <f t="shared" si="6"/>
        <v>402.44</v>
      </c>
      <c r="Q50" s="72">
        <f t="shared" si="6"/>
        <v>418.73999999999995</v>
      </c>
      <c r="R50" s="72">
        <f t="shared" si="6"/>
        <v>421.73999999999995</v>
      </c>
      <c r="S50" s="72">
        <f t="shared" si="6"/>
        <v>404.14</v>
      </c>
      <c r="T50" s="72">
        <f t="shared" si="6"/>
        <v>357.74</v>
      </c>
      <c r="U50" s="72">
        <f t="shared" si="6"/>
        <v>372.74</v>
      </c>
      <c r="V50" s="72">
        <f t="shared" si="6"/>
        <v>419.34000000000003</v>
      </c>
      <c r="W50" s="72">
        <f t="shared" si="6"/>
        <v>426.34000000000003</v>
      </c>
      <c r="X50" s="72">
        <f t="shared" si="6"/>
        <v>436.44000000000005</v>
      </c>
      <c r="Y50" s="72">
        <f t="shared" si="6"/>
        <v>433.24</v>
      </c>
      <c r="Z50" s="72">
        <f t="shared" si="6"/>
        <v>433.24</v>
      </c>
      <c r="AA50" s="72">
        <f t="shared" si="6"/>
        <v>433.24</v>
      </c>
      <c r="AB50" s="72">
        <f t="shared" si="6"/>
        <v>433.24</v>
      </c>
      <c r="AC50" s="72">
        <f t="shared" si="6"/>
        <v>432.24</v>
      </c>
      <c r="AD50" s="72">
        <f t="shared" si="6"/>
        <v>428.94</v>
      </c>
      <c r="AE50" s="72">
        <f t="shared" si="6"/>
        <v>428.94</v>
      </c>
      <c r="AF50" s="72">
        <f t="shared" si="6"/>
        <v>435.24</v>
      </c>
      <c r="AG50" s="77">
        <f>SUM(AG37:AG49)</f>
        <v>489.91</v>
      </c>
      <c r="AH50" s="55">
        <f t="shared" si="2"/>
        <v>436.44000000000005</v>
      </c>
      <c r="AI50" s="56">
        <f t="shared" si="3"/>
        <v>357.74</v>
      </c>
      <c r="AJ50" s="176">
        <f>AVERAGE(B50:AF50)</f>
        <v>412.09151612903224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30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60</v>
      </c>
      <c r="Y51" s="50">
        <v>60</v>
      </c>
      <c r="Z51" s="50">
        <v>60</v>
      </c>
      <c r="AA51" s="50">
        <v>60</v>
      </c>
      <c r="AB51" s="50">
        <v>60</v>
      </c>
      <c r="AC51" s="50">
        <v>40</v>
      </c>
      <c r="AD51" s="50">
        <v>14</v>
      </c>
      <c r="AE51" s="50">
        <v>0</v>
      </c>
      <c r="AF51" s="50">
        <v>0</v>
      </c>
      <c r="AG51" s="63">
        <v>60</v>
      </c>
      <c r="AH51" s="55">
        <f t="shared" si="2"/>
        <v>60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10.5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2">
        <v>0</v>
      </c>
      <c r="W52" s="52">
        <v>0</v>
      </c>
      <c r="X52" s="52">
        <v>28.8</v>
      </c>
      <c r="Y52" s="52">
        <v>28.8</v>
      </c>
      <c r="Z52" s="52">
        <v>28.4</v>
      </c>
      <c r="AA52" s="52">
        <v>28.4</v>
      </c>
      <c r="AB52" s="52">
        <v>28.4</v>
      </c>
      <c r="AC52" s="52">
        <v>19.399999999999999</v>
      </c>
      <c r="AD52" s="52">
        <v>6</v>
      </c>
      <c r="AE52" s="52">
        <v>0</v>
      </c>
      <c r="AF52" s="52">
        <v>0</v>
      </c>
      <c r="AG52" s="67">
        <v>32</v>
      </c>
      <c r="AH52" s="55">
        <f t="shared" si="2"/>
        <v>28.8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3.9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50">
        <v>0</v>
      </c>
      <c r="S53" s="50">
        <v>0</v>
      </c>
      <c r="T53" s="50">
        <v>0</v>
      </c>
      <c r="U53" s="50">
        <v>0</v>
      </c>
      <c r="V53" s="78">
        <v>0</v>
      </c>
      <c r="W53" s="78">
        <v>0</v>
      </c>
      <c r="X53" s="78">
        <v>10.5</v>
      </c>
      <c r="Y53" s="78">
        <v>10.5</v>
      </c>
      <c r="Z53" s="78">
        <v>10.4</v>
      </c>
      <c r="AA53" s="78">
        <v>10.4</v>
      </c>
      <c r="AB53" s="78">
        <v>10.4</v>
      </c>
      <c r="AC53" s="78">
        <v>7.1</v>
      </c>
      <c r="AD53" s="78">
        <v>2</v>
      </c>
      <c r="AE53" s="78">
        <v>0</v>
      </c>
      <c r="AF53" s="78">
        <v>0</v>
      </c>
      <c r="AG53" s="79">
        <v>14</v>
      </c>
      <c r="AH53" s="55">
        <f t="shared" si="2"/>
        <v>10.5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44.4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99.3</v>
      </c>
      <c r="Y54" s="72">
        <f t="shared" si="7"/>
        <v>99.3</v>
      </c>
      <c r="Z54" s="72">
        <f t="shared" si="7"/>
        <v>98.800000000000011</v>
      </c>
      <c r="AA54" s="72">
        <f t="shared" si="7"/>
        <v>98.800000000000011</v>
      </c>
      <c r="AB54" s="72">
        <f t="shared" si="7"/>
        <v>98.800000000000011</v>
      </c>
      <c r="AC54" s="72">
        <f t="shared" si="7"/>
        <v>66.5</v>
      </c>
      <c r="AD54" s="72">
        <f t="shared" si="7"/>
        <v>22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99.3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25.4</v>
      </c>
      <c r="Y55" s="50">
        <v>53.7</v>
      </c>
      <c r="Z55" s="50">
        <v>28.7</v>
      </c>
      <c r="AA55" s="50">
        <v>14</v>
      </c>
      <c r="AB55" s="50">
        <v>12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53.7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-79</v>
      </c>
      <c r="C56" s="52">
        <v>-16.7</v>
      </c>
      <c r="D56" s="52">
        <v>-17.2</v>
      </c>
      <c r="E56" s="52">
        <v>-74.5</v>
      </c>
      <c r="F56" s="52">
        <v>0</v>
      </c>
      <c r="G56" s="52">
        <v>-75</v>
      </c>
      <c r="H56" s="52">
        <v>-54.2</v>
      </c>
      <c r="I56" s="52">
        <v>-45.9</v>
      </c>
      <c r="J56" s="52">
        <v>-44.1</v>
      </c>
      <c r="K56" s="52">
        <v>-43</v>
      </c>
      <c r="L56" s="50">
        <v>-39.1</v>
      </c>
      <c r="M56" s="50">
        <v>-45.1</v>
      </c>
      <c r="N56" s="50">
        <v>-46.9</v>
      </c>
      <c r="O56" s="50">
        <v>-48.5</v>
      </c>
      <c r="P56" s="50">
        <v>-53</v>
      </c>
      <c r="Q56" s="50">
        <v>-58.3</v>
      </c>
      <c r="R56" s="50">
        <v>-59</v>
      </c>
      <c r="S56" s="50">
        <v>-55</v>
      </c>
      <c r="T56" s="50">
        <v>-53.7</v>
      </c>
      <c r="U56" s="50">
        <v>-48.6</v>
      </c>
      <c r="V56" s="50">
        <v>-56</v>
      </c>
      <c r="W56" s="80">
        <v>-75</v>
      </c>
      <c r="X56" s="80">
        <v>-82</v>
      </c>
      <c r="Y56" s="80">
        <v>-83</v>
      </c>
      <c r="Z56" s="80">
        <v>-86.6</v>
      </c>
      <c r="AA56" s="52">
        <v>-86</v>
      </c>
      <c r="AB56" s="52">
        <v>-84</v>
      </c>
      <c r="AC56" s="52">
        <v>-84</v>
      </c>
      <c r="AD56" s="52">
        <v>-72</v>
      </c>
      <c r="AE56" s="52">
        <v>-82</v>
      </c>
      <c r="AF56" s="52">
        <v>-80</v>
      </c>
      <c r="AG56" s="67"/>
      <c r="AH56" s="55">
        <f t="shared" si="2"/>
        <v>0</v>
      </c>
      <c r="AI56" s="56">
        <f t="shared" si="3"/>
        <v>-86.6</v>
      </c>
      <c r="AJ56" s="176">
        <f>AVERAGE(B56:AF56)*24</f>
        <v>-1414.7612903225806</v>
      </c>
      <c r="AK56" s="57"/>
    </row>
    <row r="57" spans="1:37" x14ac:dyDescent="0.25">
      <c r="A57" s="66" t="s">
        <v>64</v>
      </c>
      <c r="B57" s="52">
        <v>-150</v>
      </c>
      <c r="C57" s="52">
        <v>-227</v>
      </c>
      <c r="D57" s="52">
        <v>-189</v>
      </c>
      <c r="E57" s="52">
        <v>-132</v>
      </c>
      <c r="F57" s="52">
        <v>-60</v>
      </c>
      <c r="G57" s="50">
        <v>-128</v>
      </c>
      <c r="H57" s="50">
        <v>-160</v>
      </c>
      <c r="I57" s="50">
        <v>-219</v>
      </c>
      <c r="J57" s="50">
        <v>-175</v>
      </c>
      <c r="K57" s="50">
        <v>-170</v>
      </c>
      <c r="L57" s="52">
        <v>-143.4</v>
      </c>
      <c r="M57" s="52">
        <v>-135.80000000000001</v>
      </c>
      <c r="N57" s="52">
        <v>-125</v>
      </c>
      <c r="O57" s="52">
        <v>-109.3</v>
      </c>
      <c r="P57" s="52">
        <v>-163.30000000000001</v>
      </c>
      <c r="Q57" s="52">
        <v>-52.7</v>
      </c>
      <c r="R57" s="52">
        <v>-77.599999999999994</v>
      </c>
      <c r="S57" s="52">
        <v>-80</v>
      </c>
      <c r="T57" s="52">
        <v>-110.7</v>
      </c>
      <c r="U57" s="52">
        <v>-166</v>
      </c>
      <c r="V57" s="52">
        <v>-177</v>
      </c>
      <c r="W57" s="81">
        <v>5</v>
      </c>
      <c r="X57" s="81">
        <v>-4.4000000000000004</v>
      </c>
      <c r="Y57" s="81">
        <v>-17.899999999999999</v>
      </c>
      <c r="Z57" s="81">
        <v>-6.5</v>
      </c>
      <c r="AA57" s="52">
        <v>-12</v>
      </c>
      <c r="AB57" s="52">
        <v>-40</v>
      </c>
      <c r="AC57" s="52">
        <v>-38</v>
      </c>
      <c r="AD57" s="52">
        <v>-95</v>
      </c>
      <c r="AE57" s="52">
        <v>-126</v>
      </c>
      <c r="AF57" s="52">
        <v>-158</v>
      </c>
      <c r="AG57" s="82"/>
      <c r="AH57" s="55">
        <f t="shared" si="2"/>
        <v>5</v>
      </c>
      <c r="AI57" s="56">
        <f t="shared" si="3"/>
        <v>-227</v>
      </c>
      <c r="AJ57" s="176">
        <f>AVERAGE(B57:AF57)*24</f>
        <v>-2666.0129032258064</v>
      </c>
      <c r="AK57" s="57"/>
    </row>
    <row r="58" spans="1:37" x14ac:dyDescent="0.25">
      <c r="A58" s="66" t="s">
        <v>65</v>
      </c>
      <c r="B58" s="59">
        <v>-50</v>
      </c>
      <c r="C58" s="59">
        <v>-53</v>
      </c>
      <c r="D58" s="59">
        <v>-53.2</v>
      </c>
      <c r="E58" s="59">
        <v>-64.3</v>
      </c>
      <c r="F58" s="59">
        <v>-56</v>
      </c>
      <c r="G58" s="59">
        <v>-52</v>
      </c>
      <c r="H58" s="59">
        <v>-48</v>
      </c>
      <c r="I58" s="59">
        <v>-45</v>
      </c>
      <c r="J58" s="59">
        <v>-35</v>
      </c>
      <c r="K58" s="59">
        <v>-30</v>
      </c>
      <c r="L58" s="52">
        <v>-27</v>
      </c>
      <c r="M58" s="52">
        <v>-30</v>
      </c>
      <c r="N58" s="52">
        <v>-30</v>
      </c>
      <c r="O58" s="52">
        <v>-30</v>
      </c>
      <c r="P58" s="52">
        <v>-35</v>
      </c>
      <c r="Q58" s="52">
        <v>-30</v>
      </c>
      <c r="R58" s="52">
        <v>-28</v>
      </c>
      <c r="S58" s="52">
        <v>-51</v>
      </c>
      <c r="T58" s="52">
        <v>-38</v>
      </c>
      <c r="U58" s="52">
        <v>-43</v>
      </c>
      <c r="V58" s="52">
        <v>-59</v>
      </c>
      <c r="W58" s="52">
        <v>-60</v>
      </c>
      <c r="X58" s="52">
        <v>-60</v>
      </c>
      <c r="Y58" s="52">
        <v>-58</v>
      </c>
      <c r="Z58" s="52">
        <v>-62</v>
      </c>
      <c r="AA58" s="52">
        <v>-80</v>
      </c>
      <c r="AB58" s="52">
        <v>-75</v>
      </c>
      <c r="AC58" s="52">
        <v>-60</v>
      </c>
      <c r="AD58" s="52">
        <v>-50</v>
      </c>
      <c r="AE58" s="59">
        <v>-60</v>
      </c>
      <c r="AF58" s="59">
        <v>-54</v>
      </c>
      <c r="AG58" s="82"/>
      <c r="AH58" s="55">
        <f t="shared" si="2"/>
        <v>-27</v>
      </c>
      <c r="AI58" s="56">
        <f t="shared" si="3"/>
        <v>-80</v>
      </c>
      <c r="AJ58" s="176">
        <f>AVERAGE(B58:AF58)*24</f>
        <v>-1166.3225806451612</v>
      </c>
      <c r="AK58" s="57"/>
    </row>
    <row r="59" spans="1:37" x14ac:dyDescent="0.25">
      <c r="A59" s="66" t="s">
        <v>66</v>
      </c>
      <c r="B59" s="59">
        <v>-77.599999999999994</v>
      </c>
      <c r="C59" s="59">
        <v>-77.400000000000006</v>
      </c>
      <c r="D59" s="59">
        <v>-55</v>
      </c>
      <c r="E59" s="59">
        <v>-56</v>
      </c>
      <c r="F59" s="59">
        <v>-56</v>
      </c>
      <c r="G59" s="59">
        <v>-60</v>
      </c>
      <c r="H59" s="59">
        <v>-56</v>
      </c>
      <c r="I59" s="59">
        <v>-55</v>
      </c>
      <c r="J59" s="59">
        <v>-49</v>
      </c>
      <c r="K59" s="59">
        <v>-45.6</v>
      </c>
      <c r="L59" s="50">
        <v>-46</v>
      </c>
      <c r="M59" s="50">
        <v>-49.6</v>
      </c>
      <c r="N59" s="50">
        <v>-60.2</v>
      </c>
      <c r="O59" s="50">
        <v>-60.6</v>
      </c>
      <c r="P59" s="50">
        <v>-60.2</v>
      </c>
      <c r="Q59" s="50">
        <v>0</v>
      </c>
      <c r="R59" s="50">
        <v>-61</v>
      </c>
      <c r="S59" s="50">
        <v>-50</v>
      </c>
      <c r="T59" s="50">
        <v>-58.8</v>
      </c>
      <c r="U59" s="50">
        <v>-59.7</v>
      </c>
      <c r="V59" s="50">
        <v>-40</v>
      </c>
      <c r="W59" s="50">
        <v>-69.3</v>
      </c>
      <c r="X59" s="50">
        <v>-75.8</v>
      </c>
      <c r="Y59" s="50">
        <v>-78.7</v>
      </c>
      <c r="Z59" s="50">
        <v>-80.8</v>
      </c>
      <c r="AA59" s="50">
        <v>-80</v>
      </c>
      <c r="AB59" s="50">
        <v>-82</v>
      </c>
      <c r="AC59" s="50">
        <v>-83</v>
      </c>
      <c r="AD59" s="50">
        <v>-82</v>
      </c>
      <c r="AE59" s="50">
        <v>-79</v>
      </c>
      <c r="AF59" s="50">
        <v>-78</v>
      </c>
      <c r="AG59" s="82"/>
      <c r="AH59" s="55">
        <f t="shared" si="2"/>
        <v>0</v>
      </c>
      <c r="AI59" s="56">
        <f t="shared" si="3"/>
        <v>-83</v>
      </c>
      <c r="AJ59" s="176">
        <f>AVERAGE(B59:AF59)*24</f>
        <v>-1488.2322580645164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8</v>
      </c>
      <c r="D62" s="59">
        <v>8</v>
      </c>
      <c r="E62" s="59">
        <v>8</v>
      </c>
      <c r="F62" s="59">
        <v>8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-348.6</v>
      </c>
      <c r="C66" s="72">
        <f t="shared" ref="C66:AF66" si="8">SUM(C55:C65)</f>
        <v>-366.1</v>
      </c>
      <c r="D66" s="72">
        <f t="shared" si="8"/>
        <v>-306.39999999999998</v>
      </c>
      <c r="E66" s="72">
        <f t="shared" si="8"/>
        <v>-318.8</v>
      </c>
      <c r="F66" s="72">
        <f t="shared" si="8"/>
        <v>-164</v>
      </c>
      <c r="G66" s="72">
        <f t="shared" si="8"/>
        <v>-315</v>
      </c>
      <c r="H66" s="72">
        <f t="shared" si="8"/>
        <v>-318.2</v>
      </c>
      <c r="I66" s="72">
        <f t="shared" si="8"/>
        <v>-364.9</v>
      </c>
      <c r="J66" s="72">
        <f t="shared" si="8"/>
        <v>-303.10000000000002</v>
      </c>
      <c r="K66" s="72">
        <f t="shared" si="8"/>
        <v>-288.60000000000002</v>
      </c>
      <c r="L66" s="72">
        <f t="shared" si="8"/>
        <v>-255.5</v>
      </c>
      <c r="M66" s="72">
        <f t="shared" si="8"/>
        <v>-260.5</v>
      </c>
      <c r="N66" s="72">
        <f t="shared" si="8"/>
        <v>-262.10000000000002</v>
      </c>
      <c r="O66" s="72">
        <f t="shared" si="8"/>
        <v>-248.4</v>
      </c>
      <c r="P66" s="72">
        <f t="shared" si="8"/>
        <v>-311.5</v>
      </c>
      <c r="Q66" s="72">
        <f t="shared" si="8"/>
        <v>-141</v>
      </c>
      <c r="R66" s="72">
        <f t="shared" si="8"/>
        <v>-225.6</v>
      </c>
      <c r="S66" s="72">
        <f t="shared" si="8"/>
        <v>-236</v>
      </c>
      <c r="T66" s="72">
        <f t="shared" si="8"/>
        <v>-261.2</v>
      </c>
      <c r="U66" s="72">
        <f t="shared" si="8"/>
        <v>-317.3</v>
      </c>
      <c r="V66" s="72">
        <f t="shared" si="8"/>
        <v>-332</v>
      </c>
      <c r="W66" s="72">
        <f t="shared" si="8"/>
        <v>-199.3</v>
      </c>
      <c r="X66" s="72">
        <f t="shared" si="8"/>
        <v>-196.8</v>
      </c>
      <c r="Y66" s="72">
        <f t="shared" si="8"/>
        <v>-183.89999999999998</v>
      </c>
      <c r="Z66" s="72">
        <f t="shared" si="8"/>
        <v>-207.2</v>
      </c>
      <c r="AA66" s="72">
        <f t="shared" si="8"/>
        <v>-244</v>
      </c>
      <c r="AB66" s="72">
        <f t="shared" si="8"/>
        <v>-269</v>
      </c>
      <c r="AC66" s="72">
        <f t="shared" si="8"/>
        <v>-265</v>
      </c>
      <c r="AD66" s="72">
        <f t="shared" si="8"/>
        <v>-299</v>
      </c>
      <c r="AE66" s="72">
        <f t="shared" si="8"/>
        <v>-347</v>
      </c>
      <c r="AF66" s="72">
        <f t="shared" si="8"/>
        <v>-370</v>
      </c>
      <c r="AG66" s="77">
        <f>SUM(AG55:AG65)</f>
        <v>0</v>
      </c>
      <c r="AH66" s="55">
        <f t="shared" si="2"/>
        <v>-141</v>
      </c>
      <c r="AI66" s="56">
        <f t="shared" si="3"/>
        <v>-370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1110.1399999999999</v>
      </c>
      <c r="C71" s="87">
        <f t="shared" ref="C71:AG71" si="10">C66+C54+C50+C36+C70</f>
        <v>1086.1399999999999</v>
      </c>
      <c r="D71" s="87">
        <f t="shared" si="10"/>
        <v>1071.8400000000001</v>
      </c>
      <c r="E71" s="87">
        <f t="shared" si="10"/>
        <v>1034.239</v>
      </c>
      <c r="F71" s="87">
        <f t="shared" si="10"/>
        <v>1025.039</v>
      </c>
      <c r="G71" s="87">
        <f t="shared" si="10"/>
        <v>1050.039</v>
      </c>
      <c r="H71" s="87">
        <f t="shared" si="10"/>
        <v>1062.74</v>
      </c>
      <c r="I71" s="87">
        <f t="shared" si="10"/>
        <v>1038.44</v>
      </c>
      <c r="J71" s="87">
        <f t="shared" si="10"/>
        <v>1019.84</v>
      </c>
      <c r="K71" s="87">
        <f t="shared" si="10"/>
        <v>1037.04</v>
      </c>
      <c r="L71" s="87">
        <f t="shared" si="10"/>
        <v>1078.6400000000001</v>
      </c>
      <c r="M71" s="87">
        <f t="shared" si="10"/>
        <v>1073.8400000000001</v>
      </c>
      <c r="N71" s="87">
        <f t="shared" si="10"/>
        <v>1098.8399999999999</v>
      </c>
      <c r="O71" s="87">
        <f t="shared" si="10"/>
        <v>1106.6400000000001</v>
      </c>
      <c r="P71" s="87">
        <f t="shared" si="10"/>
        <v>1116.8400000000001</v>
      </c>
      <c r="Q71" s="87">
        <f t="shared" si="10"/>
        <v>1127.24</v>
      </c>
      <c r="R71" s="87">
        <f t="shared" si="10"/>
        <v>1071.6399999999999</v>
      </c>
      <c r="S71" s="87">
        <f t="shared" si="10"/>
        <v>1103.6399999999999</v>
      </c>
      <c r="T71" s="87">
        <f t="shared" si="10"/>
        <v>1052.44</v>
      </c>
      <c r="U71" s="87">
        <f>U66+U54+U50+U36+U70</f>
        <v>1061.3399999999999</v>
      </c>
      <c r="V71" s="87">
        <f t="shared" si="10"/>
        <v>1119.04</v>
      </c>
      <c r="W71" s="87">
        <f t="shared" si="10"/>
        <v>1264.74</v>
      </c>
      <c r="X71" s="87">
        <f t="shared" si="10"/>
        <v>1382.64</v>
      </c>
      <c r="Y71" s="87">
        <f t="shared" si="10"/>
        <v>1392.3400000000001</v>
      </c>
      <c r="Z71" s="87">
        <f t="shared" si="10"/>
        <v>1368.54</v>
      </c>
      <c r="AA71" s="87">
        <f t="shared" si="10"/>
        <v>1331.74</v>
      </c>
      <c r="AB71" s="87">
        <f t="shared" si="10"/>
        <v>1306.74</v>
      </c>
      <c r="AC71" s="87">
        <f t="shared" si="10"/>
        <v>1277.44</v>
      </c>
      <c r="AD71" s="87">
        <f t="shared" si="10"/>
        <v>1193.6400000000001</v>
      </c>
      <c r="AE71" s="87">
        <f t="shared" si="10"/>
        <v>1123.6400000000001</v>
      </c>
      <c r="AF71" s="87">
        <f t="shared" si="10"/>
        <v>1070.94</v>
      </c>
      <c r="AG71" s="87">
        <f t="shared" si="10"/>
        <v>2083.14</v>
      </c>
      <c r="AH71" s="55">
        <f t="shared" si="2"/>
        <v>1392.3400000000001</v>
      </c>
      <c r="AI71" s="56">
        <f t="shared" si="3"/>
        <v>1019.84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1110.1399999999999</v>
      </c>
      <c r="C73" s="87">
        <f t="shared" ref="C73:AF73" si="11">C70+C66+C54+C50+C36+C72</f>
        <v>1086.1399999999999</v>
      </c>
      <c r="D73" s="87">
        <f t="shared" si="11"/>
        <v>1071.8400000000001</v>
      </c>
      <c r="E73" s="87">
        <f t="shared" si="11"/>
        <v>1034.239</v>
      </c>
      <c r="F73" s="87">
        <f t="shared" si="11"/>
        <v>1025.039</v>
      </c>
      <c r="G73" s="87">
        <f t="shared" si="11"/>
        <v>1050.039</v>
      </c>
      <c r="H73" s="87">
        <f t="shared" si="11"/>
        <v>1062.74</v>
      </c>
      <c r="I73" s="87">
        <f t="shared" si="11"/>
        <v>1038.44</v>
      </c>
      <c r="J73" s="87">
        <f t="shared" si="11"/>
        <v>1019.84</v>
      </c>
      <c r="K73" s="87">
        <f t="shared" si="11"/>
        <v>1037.04</v>
      </c>
      <c r="L73" s="87">
        <f t="shared" si="11"/>
        <v>1078.6400000000001</v>
      </c>
      <c r="M73" s="87">
        <f t="shared" si="11"/>
        <v>1073.8400000000001</v>
      </c>
      <c r="N73" s="87">
        <f t="shared" si="11"/>
        <v>1098.8399999999999</v>
      </c>
      <c r="O73" s="87">
        <f t="shared" si="11"/>
        <v>1106.6400000000001</v>
      </c>
      <c r="P73" s="87">
        <f t="shared" si="11"/>
        <v>1116.8400000000001</v>
      </c>
      <c r="Q73" s="87">
        <f t="shared" si="11"/>
        <v>1127.24</v>
      </c>
      <c r="R73" s="87">
        <f t="shared" si="11"/>
        <v>1071.6399999999999</v>
      </c>
      <c r="S73" s="87">
        <f t="shared" si="11"/>
        <v>1103.6399999999999</v>
      </c>
      <c r="T73" s="87">
        <f t="shared" si="11"/>
        <v>1052.44</v>
      </c>
      <c r="U73" s="87">
        <f t="shared" si="11"/>
        <v>1061.3399999999999</v>
      </c>
      <c r="V73" s="87">
        <f t="shared" si="11"/>
        <v>1119.04</v>
      </c>
      <c r="W73" s="87">
        <f t="shared" si="11"/>
        <v>1264.74</v>
      </c>
      <c r="X73" s="87">
        <f t="shared" si="11"/>
        <v>1382.64</v>
      </c>
      <c r="Y73" s="87">
        <f t="shared" si="11"/>
        <v>1392.3400000000001</v>
      </c>
      <c r="Z73" s="87">
        <f t="shared" si="11"/>
        <v>1368.54</v>
      </c>
      <c r="AA73" s="87">
        <f t="shared" si="11"/>
        <v>1331.74</v>
      </c>
      <c r="AB73" s="87">
        <f t="shared" si="11"/>
        <v>1306.74</v>
      </c>
      <c r="AC73" s="87">
        <f t="shared" si="11"/>
        <v>1277.44</v>
      </c>
      <c r="AD73" s="87">
        <f t="shared" si="11"/>
        <v>1193.6400000000001</v>
      </c>
      <c r="AE73" s="87">
        <f t="shared" si="11"/>
        <v>1123.6400000000001</v>
      </c>
      <c r="AF73" s="87">
        <f t="shared" si="11"/>
        <v>1070.94</v>
      </c>
      <c r="AG73" s="77">
        <f>AG70+AG66+AG54+AG50+AG36+AG72</f>
        <v>2083.14</v>
      </c>
      <c r="AH73" s="55">
        <f t="shared" si="2"/>
        <v>1392.3400000000001</v>
      </c>
      <c r="AI73" s="56">
        <f t="shared" si="3"/>
        <v>1019.84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50</v>
      </c>
      <c r="C74" s="59">
        <f t="shared" ref="C74:AF74" si="12">IF(C58&lt;0,C58*-1,0)</f>
        <v>53</v>
      </c>
      <c r="D74" s="59">
        <f t="shared" si="12"/>
        <v>53.2</v>
      </c>
      <c r="E74" s="59">
        <f t="shared" si="12"/>
        <v>64.3</v>
      </c>
      <c r="F74" s="59">
        <f t="shared" si="12"/>
        <v>56</v>
      </c>
      <c r="G74" s="59">
        <f t="shared" si="12"/>
        <v>52</v>
      </c>
      <c r="H74" s="59">
        <f t="shared" si="12"/>
        <v>48</v>
      </c>
      <c r="I74" s="59">
        <f t="shared" si="12"/>
        <v>45</v>
      </c>
      <c r="J74" s="59">
        <f t="shared" si="12"/>
        <v>35</v>
      </c>
      <c r="K74" s="59">
        <f t="shared" si="12"/>
        <v>30</v>
      </c>
      <c r="L74" s="59">
        <f t="shared" si="12"/>
        <v>27</v>
      </c>
      <c r="M74" s="59">
        <f t="shared" si="12"/>
        <v>30</v>
      </c>
      <c r="N74" s="59">
        <f t="shared" si="12"/>
        <v>30</v>
      </c>
      <c r="O74" s="59">
        <f t="shared" si="12"/>
        <v>30</v>
      </c>
      <c r="P74" s="59">
        <f t="shared" si="12"/>
        <v>35</v>
      </c>
      <c r="Q74" s="59">
        <f t="shared" si="12"/>
        <v>30</v>
      </c>
      <c r="R74" s="59">
        <f t="shared" si="12"/>
        <v>28</v>
      </c>
      <c r="S74" s="59">
        <f t="shared" si="12"/>
        <v>51</v>
      </c>
      <c r="T74" s="59">
        <f t="shared" si="12"/>
        <v>38</v>
      </c>
      <c r="U74" s="59">
        <f t="shared" si="12"/>
        <v>43</v>
      </c>
      <c r="V74" s="59">
        <f t="shared" si="12"/>
        <v>59</v>
      </c>
      <c r="W74" s="59">
        <f t="shared" si="12"/>
        <v>60</v>
      </c>
      <c r="X74" s="59">
        <f t="shared" si="12"/>
        <v>60</v>
      </c>
      <c r="Y74" s="59">
        <f t="shared" si="12"/>
        <v>58</v>
      </c>
      <c r="Z74" s="59">
        <f t="shared" si="12"/>
        <v>62</v>
      </c>
      <c r="AA74" s="59">
        <f t="shared" si="12"/>
        <v>80</v>
      </c>
      <c r="AB74" s="59">
        <f t="shared" si="12"/>
        <v>75</v>
      </c>
      <c r="AC74" s="59">
        <f t="shared" si="12"/>
        <v>60</v>
      </c>
      <c r="AD74" s="59">
        <f t="shared" si="12"/>
        <v>50</v>
      </c>
      <c r="AE74" s="59">
        <f t="shared" si="12"/>
        <v>60</v>
      </c>
      <c r="AF74" s="59">
        <f t="shared" si="12"/>
        <v>54</v>
      </c>
      <c r="AG74" s="63"/>
      <c r="AH74" s="55">
        <f t="shared" si="2"/>
        <v>80</v>
      </c>
      <c r="AI74" s="56">
        <f t="shared" si="3"/>
        <v>27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79</v>
      </c>
      <c r="C75" s="59">
        <f t="shared" ref="C75:AF75" si="13">IF(C56&lt;0,C56*-1,0)</f>
        <v>16.7</v>
      </c>
      <c r="D75" s="59">
        <f t="shared" si="13"/>
        <v>17.2</v>
      </c>
      <c r="E75" s="59">
        <f t="shared" si="13"/>
        <v>74.5</v>
      </c>
      <c r="F75" s="59">
        <f t="shared" si="13"/>
        <v>0</v>
      </c>
      <c r="G75" s="59">
        <f t="shared" si="13"/>
        <v>75</v>
      </c>
      <c r="H75" s="59">
        <f t="shared" si="13"/>
        <v>54.2</v>
      </c>
      <c r="I75" s="59">
        <f t="shared" si="13"/>
        <v>45.9</v>
      </c>
      <c r="J75" s="59">
        <f t="shared" si="13"/>
        <v>44.1</v>
      </c>
      <c r="K75" s="59">
        <f t="shared" si="13"/>
        <v>43</v>
      </c>
      <c r="L75" s="59">
        <f t="shared" si="13"/>
        <v>39.1</v>
      </c>
      <c r="M75" s="59">
        <f t="shared" si="13"/>
        <v>45.1</v>
      </c>
      <c r="N75" s="59">
        <f t="shared" si="13"/>
        <v>46.9</v>
      </c>
      <c r="O75" s="59">
        <f t="shared" si="13"/>
        <v>48.5</v>
      </c>
      <c r="P75" s="59">
        <f t="shared" si="13"/>
        <v>53</v>
      </c>
      <c r="Q75" s="59">
        <f t="shared" si="13"/>
        <v>58.3</v>
      </c>
      <c r="R75" s="59">
        <f t="shared" si="13"/>
        <v>59</v>
      </c>
      <c r="S75" s="59">
        <f t="shared" si="13"/>
        <v>55</v>
      </c>
      <c r="T75" s="59">
        <f t="shared" si="13"/>
        <v>53.7</v>
      </c>
      <c r="U75" s="59">
        <f t="shared" si="13"/>
        <v>48.6</v>
      </c>
      <c r="V75" s="59">
        <f t="shared" si="13"/>
        <v>56</v>
      </c>
      <c r="W75" s="59">
        <f t="shared" si="13"/>
        <v>75</v>
      </c>
      <c r="X75" s="59">
        <f t="shared" si="13"/>
        <v>82</v>
      </c>
      <c r="Y75" s="59">
        <f t="shared" si="13"/>
        <v>83</v>
      </c>
      <c r="Z75" s="59">
        <f t="shared" si="13"/>
        <v>86.6</v>
      </c>
      <c r="AA75" s="59">
        <f t="shared" si="13"/>
        <v>86</v>
      </c>
      <c r="AB75" s="59">
        <f t="shared" si="13"/>
        <v>84</v>
      </c>
      <c r="AC75" s="59">
        <f t="shared" si="13"/>
        <v>84</v>
      </c>
      <c r="AD75" s="59">
        <f t="shared" si="13"/>
        <v>72</v>
      </c>
      <c r="AE75" s="59">
        <f t="shared" si="13"/>
        <v>82</v>
      </c>
      <c r="AF75" s="59">
        <f t="shared" si="13"/>
        <v>80</v>
      </c>
      <c r="AG75" s="67"/>
      <c r="AH75" s="55">
        <f t="shared" si="2"/>
        <v>86.6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77.599999999999994</v>
      </c>
      <c r="C76" s="59">
        <f t="shared" ref="C76:AF76" si="14">IF(C59&lt;0,C59*-1,0)</f>
        <v>77.400000000000006</v>
      </c>
      <c r="D76" s="59">
        <f t="shared" si="14"/>
        <v>55</v>
      </c>
      <c r="E76" s="59">
        <f t="shared" si="14"/>
        <v>56</v>
      </c>
      <c r="F76" s="59">
        <f t="shared" si="14"/>
        <v>56</v>
      </c>
      <c r="G76" s="59">
        <f t="shared" si="14"/>
        <v>60</v>
      </c>
      <c r="H76" s="59">
        <f t="shared" si="14"/>
        <v>56</v>
      </c>
      <c r="I76" s="59">
        <f t="shared" si="14"/>
        <v>55</v>
      </c>
      <c r="J76" s="59">
        <f t="shared" si="14"/>
        <v>49</v>
      </c>
      <c r="K76" s="59">
        <f t="shared" si="14"/>
        <v>45.6</v>
      </c>
      <c r="L76" s="59">
        <f t="shared" si="14"/>
        <v>46</v>
      </c>
      <c r="M76" s="59">
        <f t="shared" si="14"/>
        <v>49.6</v>
      </c>
      <c r="N76" s="59">
        <f t="shared" si="14"/>
        <v>60.2</v>
      </c>
      <c r="O76" s="59">
        <f t="shared" si="14"/>
        <v>60.6</v>
      </c>
      <c r="P76" s="59">
        <f t="shared" si="14"/>
        <v>60.2</v>
      </c>
      <c r="Q76" s="59">
        <f t="shared" si="14"/>
        <v>0</v>
      </c>
      <c r="R76" s="59">
        <f t="shared" si="14"/>
        <v>61</v>
      </c>
      <c r="S76" s="59">
        <f t="shared" si="14"/>
        <v>50</v>
      </c>
      <c r="T76" s="59">
        <f t="shared" si="14"/>
        <v>58.8</v>
      </c>
      <c r="U76" s="59">
        <f t="shared" si="14"/>
        <v>59.7</v>
      </c>
      <c r="V76" s="59">
        <f t="shared" si="14"/>
        <v>40</v>
      </c>
      <c r="W76" s="59">
        <f t="shared" si="14"/>
        <v>69.3</v>
      </c>
      <c r="X76" s="59">
        <f t="shared" si="14"/>
        <v>75.8</v>
      </c>
      <c r="Y76" s="59">
        <f t="shared" si="14"/>
        <v>78.7</v>
      </c>
      <c r="Z76" s="59">
        <f t="shared" si="14"/>
        <v>80.8</v>
      </c>
      <c r="AA76" s="59">
        <f t="shared" si="14"/>
        <v>80</v>
      </c>
      <c r="AB76" s="59">
        <f t="shared" si="14"/>
        <v>82</v>
      </c>
      <c r="AC76" s="59">
        <f t="shared" si="14"/>
        <v>83</v>
      </c>
      <c r="AD76" s="59">
        <f t="shared" si="14"/>
        <v>82</v>
      </c>
      <c r="AE76" s="59">
        <f t="shared" si="14"/>
        <v>79</v>
      </c>
      <c r="AF76" s="59">
        <f t="shared" si="14"/>
        <v>78</v>
      </c>
      <c r="AG76" s="90"/>
      <c r="AH76" s="55">
        <f t="shared" si="2"/>
        <v>83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150</v>
      </c>
      <c r="C77" s="59">
        <f t="shared" ref="C77:AF77" si="15">IF(C57&lt;0,C57*-1,0)</f>
        <v>227</v>
      </c>
      <c r="D77" s="59">
        <f t="shared" si="15"/>
        <v>189</v>
      </c>
      <c r="E77" s="59">
        <f t="shared" si="15"/>
        <v>132</v>
      </c>
      <c r="F77" s="59">
        <f t="shared" si="15"/>
        <v>60</v>
      </c>
      <c r="G77" s="59">
        <f t="shared" si="15"/>
        <v>128</v>
      </c>
      <c r="H77" s="59">
        <f t="shared" si="15"/>
        <v>160</v>
      </c>
      <c r="I77" s="59">
        <f t="shared" si="15"/>
        <v>219</v>
      </c>
      <c r="J77" s="59">
        <f t="shared" si="15"/>
        <v>175</v>
      </c>
      <c r="K77" s="59">
        <f t="shared" si="15"/>
        <v>170</v>
      </c>
      <c r="L77" s="59">
        <f t="shared" si="15"/>
        <v>143.4</v>
      </c>
      <c r="M77" s="59">
        <f t="shared" si="15"/>
        <v>135.80000000000001</v>
      </c>
      <c r="N77" s="59">
        <f t="shared" si="15"/>
        <v>125</v>
      </c>
      <c r="O77" s="59">
        <f t="shared" si="15"/>
        <v>109.3</v>
      </c>
      <c r="P77" s="59">
        <f t="shared" si="15"/>
        <v>163.30000000000001</v>
      </c>
      <c r="Q77" s="59">
        <f t="shared" si="15"/>
        <v>52.7</v>
      </c>
      <c r="R77" s="59">
        <f t="shared" si="15"/>
        <v>77.599999999999994</v>
      </c>
      <c r="S77" s="59">
        <f t="shared" si="15"/>
        <v>80</v>
      </c>
      <c r="T77" s="59">
        <f t="shared" si="15"/>
        <v>110.7</v>
      </c>
      <c r="U77" s="59">
        <f t="shared" si="15"/>
        <v>166</v>
      </c>
      <c r="V77" s="59">
        <f t="shared" si="15"/>
        <v>177</v>
      </c>
      <c r="W77" s="59">
        <f t="shared" si="15"/>
        <v>0</v>
      </c>
      <c r="X77" s="59">
        <f t="shared" si="15"/>
        <v>4.4000000000000004</v>
      </c>
      <c r="Y77" s="59">
        <f t="shared" si="15"/>
        <v>17.899999999999999</v>
      </c>
      <c r="Z77" s="59">
        <f t="shared" si="15"/>
        <v>6.5</v>
      </c>
      <c r="AA77" s="59">
        <f t="shared" si="15"/>
        <v>12</v>
      </c>
      <c r="AB77" s="59">
        <f t="shared" si="15"/>
        <v>40</v>
      </c>
      <c r="AC77" s="59">
        <f t="shared" si="15"/>
        <v>38</v>
      </c>
      <c r="AD77" s="59">
        <f t="shared" si="15"/>
        <v>95</v>
      </c>
      <c r="AE77" s="59">
        <f t="shared" si="15"/>
        <v>126</v>
      </c>
      <c r="AF77" s="59">
        <f t="shared" si="15"/>
        <v>158</v>
      </c>
      <c r="AG77" s="90"/>
      <c r="AH77" s="55">
        <f t="shared" ref="AH77:AH89" si="16">MAX(B77:AF77)</f>
        <v>227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356.6</v>
      </c>
      <c r="C80" s="72">
        <f t="shared" si="19"/>
        <v>374.1</v>
      </c>
      <c r="D80" s="72">
        <f t="shared" si="19"/>
        <v>314.39999999999998</v>
      </c>
      <c r="E80" s="72">
        <f t="shared" si="19"/>
        <v>326.8</v>
      </c>
      <c r="F80" s="72">
        <f t="shared" si="19"/>
        <v>172</v>
      </c>
      <c r="G80" s="72">
        <f t="shared" si="19"/>
        <v>315</v>
      </c>
      <c r="H80" s="72">
        <f t="shared" si="19"/>
        <v>318.2</v>
      </c>
      <c r="I80" s="72">
        <f t="shared" si="19"/>
        <v>364.9</v>
      </c>
      <c r="J80" s="72">
        <f t="shared" si="19"/>
        <v>303.10000000000002</v>
      </c>
      <c r="K80" s="72">
        <f t="shared" si="19"/>
        <v>288.60000000000002</v>
      </c>
      <c r="L80" s="72">
        <f t="shared" si="19"/>
        <v>255.5</v>
      </c>
      <c r="M80" s="72">
        <f t="shared" si="19"/>
        <v>260.5</v>
      </c>
      <c r="N80" s="72">
        <f t="shared" si="19"/>
        <v>262.10000000000002</v>
      </c>
      <c r="O80" s="72">
        <f t="shared" si="19"/>
        <v>248.39999999999998</v>
      </c>
      <c r="P80" s="72">
        <f t="shared" si="19"/>
        <v>311.5</v>
      </c>
      <c r="Q80" s="72">
        <f t="shared" si="19"/>
        <v>141</v>
      </c>
      <c r="R80" s="72">
        <f t="shared" si="19"/>
        <v>225.6</v>
      </c>
      <c r="S80" s="72">
        <f t="shared" si="19"/>
        <v>236</v>
      </c>
      <c r="T80" s="72">
        <f t="shared" si="19"/>
        <v>261.2</v>
      </c>
      <c r="U80" s="72">
        <f t="shared" si="19"/>
        <v>317.3</v>
      </c>
      <c r="V80" s="72">
        <f t="shared" si="19"/>
        <v>332</v>
      </c>
      <c r="W80" s="72">
        <f t="shared" si="19"/>
        <v>204.3</v>
      </c>
      <c r="X80" s="72">
        <f t="shared" si="19"/>
        <v>222.20000000000002</v>
      </c>
      <c r="Y80" s="72">
        <f t="shared" si="19"/>
        <v>237.6</v>
      </c>
      <c r="Z80" s="72">
        <f t="shared" si="19"/>
        <v>235.89999999999998</v>
      </c>
      <c r="AA80" s="72">
        <f t="shared" si="19"/>
        <v>258</v>
      </c>
      <c r="AB80" s="72">
        <f t="shared" si="19"/>
        <v>281</v>
      </c>
      <c r="AC80" s="72">
        <f t="shared" si="19"/>
        <v>265</v>
      </c>
      <c r="AD80" s="72">
        <f t="shared" si="19"/>
        <v>299</v>
      </c>
      <c r="AE80" s="72">
        <f t="shared" si="19"/>
        <v>347</v>
      </c>
      <c r="AF80" s="72">
        <f t="shared" si="19"/>
        <v>370</v>
      </c>
      <c r="AG80" s="77">
        <f t="shared" si="19"/>
        <v>0</v>
      </c>
      <c r="AH80" s="55">
        <f t="shared" si="16"/>
        <v>374.1</v>
      </c>
      <c r="AI80" s="56">
        <f t="shared" si="17"/>
        <v>141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2933.4799999999996</v>
      </c>
      <c r="C81" s="72">
        <f t="shared" si="20"/>
        <v>2920.4799999999996</v>
      </c>
      <c r="D81" s="72">
        <f t="shared" si="20"/>
        <v>2772.48</v>
      </c>
      <c r="E81" s="72">
        <f t="shared" si="20"/>
        <v>2722.0780000000004</v>
      </c>
      <c r="F81" s="72">
        <f t="shared" si="20"/>
        <v>2394.078</v>
      </c>
      <c r="G81" s="72">
        <f t="shared" si="20"/>
        <v>2730.078</v>
      </c>
      <c r="H81" s="72">
        <f t="shared" si="20"/>
        <v>2761.8799999999997</v>
      </c>
      <c r="I81" s="72">
        <f t="shared" si="20"/>
        <v>2806.6800000000003</v>
      </c>
      <c r="J81" s="72">
        <f t="shared" si="20"/>
        <v>2645.88</v>
      </c>
      <c r="K81" s="72">
        <f t="shared" si="20"/>
        <v>2651.2799999999997</v>
      </c>
      <c r="L81" s="72">
        <f t="shared" si="20"/>
        <v>2668.28</v>
      </c>
      <c r="M81" s="72">
        <f t="shared" si="20"/>
        <v>2668.6800000000003</v>
      </c>
      <c r="N81" s="72">
        <f t="shared" si="20"/>
        <v>2721.8799999999997</v>
      </c>
      <c r="O81" s="72">
        <f t="shared" si="20"/>
        <v>2710.0800000000004</v>
      </c>
      <c r="P81" s="72">
        <f t="shared" si="20"/>
        <v>2856.6800000000003</v>
      </c>
      <c r="Q81" s="72">
        <f t="shared" si="20"/>
        <v>2536.48</v>
      </c>
      <c r="R81" s="72">
        <f t="shared" si="20"/>
        <v>2594.4799999999996</v>
      </c>
      <c r="S81" s="72">
        <f t="shared" si="20"/>
        <v>2679.2799999999997</v>
      </c>
      <c r="T81" s="72">
        <f t="shared" si="20"/>
        <v>2627.2799999999997</v>
      </c>
      <c r="U81" s="72">
        <f t="shared" si="20"/>
        <v>2757.2799999999997</v>
      </c>
      <c r="V81" s="72">
        <f t="shared" si="20"/>
        <v>2902.08</v>
      </c>
      <c r="W81" s="72">
        <f t="shared" si="20"/>
        <v>2938.0800000000004</v>
      </c>
      <c r="X81" s="72">
        <f t="shared" si="20"/>
        <v>3209.6800000000003</v>
      </c>
      <c r="Y81" s="72">
        <f t="shared" si="20"/>
        <v>3259.88</v>
      </c>
      <c r="Z81" s="72">
        <f t="shared" si="20"/>
        <v>3208.88</v>
      </c>
      <c r="AA81" s="72">
        <f t="shared" si="20"/>
        <v>3179.48</v>
      </c>
      <c r="AB81" s="72">
        <f t="shared" si="20"/>
        <v>3175.48</v>
      </c>
      <c r="AC81" s="72">
        <f t="shared" si="20"/>
        <v>3084.88</v>
      </c>
      <c r="AD81" s="72">
        <f t="shared" si="20"/>
        <v>2985.28</v>
      </c>
      <c r="AE81" s="72">
        <f t="shared" si="20"/>
        <v>2941.28</v>
      </c>
      <c r="AF81" s="72">
        <f t="shared" si="20"/>
        <v>2881.88</v>
      </c>
      <c r="AG81" s="77">
        <f t="shared" si="20"/>
        <v>4238.08</v>
      </c>
      <c r="AH81" s="55">
        <f t="shared" si="16"/>
        <v>3259.88</v>
      </c>
      <c r="AI81" s="56">
        <f t="shared" si="17"/>
        <v>2394.078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50.031999999999996</v>
      </c>
      <c r="C82" s="93">
        <v>50.031999999999996</v>
      </c>
      <c r="D82" s="93">
        <v>49.989199999999997</v>
      </c>
      <c r="E82" s="93">
        <v>49.819000000000003</v>
      </c>
      <c r="F82" s="93">
        <v>49.819000000000003</v>
      </c>
      <c r="G82" s="93">
        <v>49.834000000000003</v>
      </c>
      <c r="H82" s="93">
        <v>49.862000000000002</v>
      </c>
      <c r="I82" s="93">
        <v>49.784999999999997</v>
      </c>
      <c r="J82" s="93">
        <v>50.024999999999999</v>
      </c>
      <c r="K82" s="93">
        <v>50.048999999999999</v>
      </c>
      <c r="L82" s="93">
        <v>50.064</v>
      </c>
      <c r="M82" s="93">
        <v>50.033999999999999</v>
      </c>
      <c r="N82" s="93">
        <v>50.02</v>
      </c>
      <c r="O82" s="93">
        <v>50.03</v>
      </c>
      <c r="P82" s="93">
        <v>49.914999999999999</v>
      </c>
      <c r="Q82" s="93">
        <v>49.968000000000004</v>
      </c>
      <c r="R82" s="93">
        <v>49.860999999999997</v>
      </c>
      <c r="S82" s="93">
        <v>49.921999999999997</v>
      </c>
      <c r="T82" s="93">
        <v>50.09</v>
      </c>
      <c r="U82" s="93">
        <v>49.981999999999999</v>
      </c>
      <c r="V82" s="93">
        <v>50</v>
      </c>
      <c r="W82" s="93">
        <v>49.915999999999997</v>
      </c>
      <c r="X82" s="93">
        <v>49.691000000000003</v>
      </c>
      <c r="Y82" s="93">
        <v>49.831000000000003</v>
      </c>
      <c r="Z82" s="93">
        <v>49.981999999999999</v>
      </c>
      <c r="AA82" s="93">
        <v>50.04</v>
      </c>
      <c r="AB82" s="93">
        <v>50</v>
      </c>
      <c r="AC82" s="93">
        <v>50</v>
      </c>
      <c r="AD82" s="93">
        <v>49.97</v>
      </c>
      <c r="AE82" s="93">
        <v>49.93</v>
      </c>
      <c r="AF82" s="94">
        <v>49.9</v>
      </c>
      <c r="AG82" s="95"/>
      <c r="AH82" s="55">
        <f t="shared" si="16"/>
        <v>50.09</v>
      </c>
      <c r="AI82" s="56">
        <f t="shared" si="17"/>
        <v>49.691000000000003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122.5</v>
      </c>
      <c r="C83" s="52">
        <v>122.5</v>
      </c>
      <c r="D83" s="52">
        <v>123.7</v>
      </c>
      <c r="E83" s="52">
        <v>123.3</v>
      </c>
      <c r="F83" s="52">
        <v>123.3</v>
      </c>
      <c r="G83" s="52">
        <v>124.5</v>
      </c>
      <c r="H83" s="52">
        <v>124.6</v>
      </c>
      <c r="I83" s="52">
        <v>126.3</v>
      </c>
      <c r="J83" s="52">
        <v>126.5</v>
      </c>
      <c r="K83" s="52">
        <v>126.7</v>
      </c>
      <c r="L83" s="52">
        <v>123.7</v>
      </c>
      <c r="M83" s="52">
        <v>121.8</v>
      </c>
      <c r="N83" s="52">
        <v>122.7</v>
      </c>
      <c r="O83" s="52">
        <v>122.7</v>
      </c>
      <c r="P83" s="52">
        <v>122.3</v>
      </c>
      <c r="Q83" s="52">
        <v>124.5</v>
      </c>
      <c r="R83" s="52">
        <v>123.6</v>
      </c>
      <c r="S83" s="52">
        <v>124</v>
      </c>
      <c r="T83" s="52">
        <v>124.2</v>
      </c>
      <c r="U83" s="97">
        <v>124</v>
      </c>
      <c r="V83" s="97">
        <v>122.6</v>
      </c>
      <c r="W83" s="97">
        <v>122.5</v>
      </c>
      <c r="X83" s="97">
        <v>122.9</v>
      </c>
      <c r="Y83" s="97">
        <v>123.8</v>
      </c>
      <c r="Z83" s="97">
        <v>123.6</v>
      </c>
      <c r="AA83" s="52">
        <v>124</v>
      </c>
      <c r="AB83" s="52">
        <v>124</v>
      </c>
      <c r="AC83" s="52">
        <v>123.5</v>
      </c>
      <c r="AD83" s="52">
        <v>123.5</v>
      </c>
      <c r="AE83" s="52">
        <v>122.5</v>
      </c>
      <c r="AF83" s="98">
        <v>122.7</v>
      </c>
      <c r="AG83" s="99"/>
      <c r="AH83" s="55">
        <f t="shared" si="16"/>
        <v>126.7</v>
      </c>
      <c r="AI83" s="56">
        <f t="shared" si="17"/>
        <v>121.8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128.4</v>
      </c>
      <c r="C84" s="52">
        <v>128.4</v>
      </c>
      <c r="D84" s="52">
        <v>129.6</v>
      </c>
      <c r="E84" s="52">
        <v>128.9</v>
      </c>
      <c r="F84" s="52">
        <v>128.9</v>
      </c>
      <c r="G84" s="52">
        <v>129.9</v>
      </c>
      <c r="H84" s="52">
        <v>128.80000000000001</v>
      </c>
      <c r="I84" s="52">
        <v>130.1</v>
      </c>
      <c r="J84" s="52">
        <v>129.9</v>
      </c>
      <c r="K84" s="52">
        <v>129.1</v>
      </c>
      <c r="L84" s="52">
        <v>127.5</v>
      </c>
      <c r="M84" s="52">
        <v>125.9</v>
      </c>
      <c r="N84" s="52">
        <v>126.7</v>
      </c>
      <c r="O84" s="52">
        <v>126.8</v>
      </c>
      <c r="P84" s="52">
        <v>126.9</v>
      </c>
      <c r="Q84" s="52">
        <v>128.69999999999999</v>
      </c>
      <c r="R84" s="52">
        <v>127.8</v>
      </c>
      <c r="S84" s="52">
        <v>128</v>
      </c>
      <c r="T84" s="52">
        <v>127.9</v>
      </c>
      <c r="U84" s="97">
        <v>128</v>
      </c>
      <c r="V84" s="97">
        <v>127</v>
      </c>
      <c r="W84" s="97">
        <v>125.5</v>
      </c>
      <c r="X84" s="97">
        <v>126.1</v>
      </c>
      <c r="Y84" s="97">
        <v>127.2</v>
      </c>
      <c r="Z84" s="97">
        <v>127.5</v>
      </c>
      <c r="AA84" s="52">
        <v>128</v>
      </c>
      <c r="AB84" s="52">
        <v>128</v>
      </c>
      <c r="AC84" s="52">
        <v>128</v>
      </c>
      <c r="AD84" s="52">
        <v>128.74</v>
      </c>
      <c r="AE84" s="52">
        <v>128</v>
      </c>
      <c r="AF84" s="98">
        <v>128</v>
      </c>
      <c r="AG84" s="99"/>
      <c r="AH84" s="55">
        <f t="shared" si="16"/>
        <v>130.1</v>
      </c>
      <c r="AI84" s="56">
        <f t="shared" si="17"/>
        <v>125.5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129.69999999999999</v>
      </c>
      <c r="C85" s="52">
        <v>129.69999999999999</v>
      </c>
      <c r="D85" s="52">
        <v>126.5</v>
      </c>
      <c r="E85" s="52">
        <v>126.4</v>
      </c>
      <c r="F85" s="52">
        <v>126.4</v>
      </c>
      <c r="G85" s="52">
        <v>127</v>
      </c>
      <c r="H85" s="52">
        <v>128.80000000000001</v>
      </c>
      <c r="I85" s="52">
        <v>127.9</v>
      </c>
      <c r="J85" s="52">
        <v>127</v>
      </c>
      <c r="K85" s="52">
        <v>126.7</v>
      </c>
      <c r="L85" s="52">
        <v>125.4</v>
      </c>
      <c r="M85" s="52">
        <v>128.1</v>
      </c>
      <c r="N85" s="52">
        <v>128.19999999999999</v>
      </c>
      <c r="O85" s="52">
        <v>128.19999999999999</v>
      </c>
      <c r="P85" s="52">
        <v>127.8</v>
      </c>
      <c r="Q85" s="52">
        <v>127</v>
      </c>
      <c r="R85" s="52">
        <v>126.7</v>
      </c>
      <c r="S85" s="52">
        <v>130</v>
      </c>
      <c r="T85" s="52">
        <v>128.69999999999999</v>
      </c>
      <c r="U85" s="52">
        <v>128</v>
      </c>
      <c r="V85" s="52">
        <v>128</v>
      </c>
      <c r="W85" s="97">
        <v>124.1</v>
      </c>
      <c r="X85" s="97">
        <v>123.2</v>
      </c>
      <c r="Y85" s="97">
        <v>124.7</v>
      </c>
      <c r="Z85" s="97">
        <v>123.9</v>
      </c>
      <c r="AA85" s="52">
        <v>127</v>
      </c>
      <c r="AB85" s="52">
        <v>126</v>
      </c>
      <c r="AC85" s="52">
        <v>127</v>
      </c>
      <c r="AD85" s="52">
        <v>127</v>
      </c>
      <c r="AE85" s="52">
        <v>126</v>
      </c>
      <c r="AF85" s="98">
        <v>130</v>
      </c>
      <c r="AG85" s="99"/>
      <c r="AH85" s="55">
        <f t="shared" si="16"/>
        <v>130</v>
      </c>
      <c r="AI85" s="56">
        <f t="shared" si="17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135.6</v>
      </c>
      <c r="C86" s="52">
        <v>135.6</v>
      </c>
      <c r="D86" s="52">
        <v>131.9</v>
      </c>
      <c r="E86" s="52">
        <v>131.69999999999999</v>
      </c>
      <c r="F86" s="52">
        <v>131.69999999999999</v>
      </c>
      <c r="G86" s="52">
        <v>131.5</v>
      </c>
      <c r="H86" s="52">
        <v>131.5</v>
      </c>
      <c r="I86" s="52">
        <v>130.6</v>
      </c>
      <c r="J86" s="52">
        <v>128.4</v>
      </c>
      <c r="K86" s="52">
        <v>129.69999999999999</v>
      </c>
      <c r="L86" s="52">
        <v>129.5</v>
      </c>
      <c r="M86" s="52">
        <v>131.4</v>
      </c>
      <c r="N86" s="52">
        <v>131.6</v>
      </c>
      <c r="O86" s="52">
        <v>131.4</v>
      </c>
      <c r="P86" s="52">
        <v>131.30000000000001</v>
      </c>
      <c r="Q86" s="52">
        <v>131.80000000000001</v>
      </c>
      <c r="R86" s="52">
        <v>131.5</v>
      </c>
      <c r="S86" s="52">
        <v>133</v>
      </c>
      <c r="T86" s="52">
        <v>131.5</v>
      </c>
      <c r="U86" s="52">
        <v>131</v>
      </c>
      <c r="V86" s="52">
        <v>133.1</v>
      </c>
      <c r="W86" s="97">
        <v>128.5</v>
      </c>
      <c r="X86" s="97">
        <v>128.4</v>
      </c>
      <c r="Y86" s="97">
        <v>129.80000000000001</v>
      </c>
      <c r="Z86" s="97">
        <v>129</v>
      </c>
      <c r="AA86" s="52">
        <v>131.5</v>
      </c>
      <c r="AB86" s="52">
        <v>131</v>
      </c>
      <c r="AC86" s="52">
        <v>132</v>
      </c>
      <c r="AD86" s="52">
        <v>132</v>
      </c>
      <c r="AE86" s="52">
        <v>132</v>
      </c>
      <c r="AF86" s="98">
        <v>134</v>
      </c>
      <c r="AG86" s="99"/>
      <c r="AH86" s="55">
        <f t="shared" si="16"/>
        <v>135.6</v>
      </c>
      <c r="AI86" s="56">
        <f t="shared" si="17"/>
        <v>128.4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131.69999999999999</v>
      </c>
      <c r="C87" s="101">
        <v>131.69999999999999</v>
      </c>
      <c r="D87" s="101">
        <v>133.6</v>
      </c>
      <c r="E87" s="101">
        <v>131.5</v>
      </c>
      <c r="F87" s="101">
        <v>131.5</v>
      </c>
      <c r="G87" s="101">
        <v>131.80000000000001</v>
      </c>
      <c r="H87" s="101">
        <v>131.80000000000001</v>
      </c>
      <c r="I87" s="101">
        <v>132.19999999999999</v>
      </c>
      <c r="J87" s="101">
        <v>133.5</v>
      </c>
      <c r="K87" s="101">
        <v>133</v>
      </c>
      <c r="L87" s="101">
        <v>132</v>
      </c>
      <c r="M87" s="101">
        <v>132.9</v>
      </c>
      <c r="N87" s="101">
        <v>134.19999999999999</v>
      </c>
      <c r="O87" s="101">
        <v>132.69999999999999</v>
      </c>
      <c r="P87" s="101">
        <v>132.1</v>
      </c>
      <c r="Q87" s="101">
        <v>131.4</v>
      </c>
      <c r="R87" s="101">
        <v>131.1</v>
      </c>
      <c r="S87" s="101">
        <v>132</v>
      </c>
      <c r="T87" s="101">
        <v>128.19999999999999</v>
      </c>
      <c r="U87" s="101">
        <v>130</v>
      </c>
      <c r="V87" s="101">
        <v>139.30000000000001</v>
      </c>
      <c r="W87" s="97">
        <v>130.30000000000001</v>
      </c>
      <c r="X87" s="97">
        <v>134.30000000000001</v>
      </c>
      <c r="Y87" s="97">
        <v>130.69999999999999</v>
      </c>
      <c r="Z87" s="97">
        <v>131.30000000000001</v>
      </c>
      <c r="AA87" s="101">
        <v>134.80000000000001</v>
      </c>
      <c r="AB87" s="101">
        <v>130</v>
      </c>
      <c r="AC87" s="101">
        <v>133</v>
      </c>
      <c r="AD87" s="101">
        <v>133</v>
      </c>
      <c r="AE87" s="101">
        <v>133.5</v>
      </c>
      <c r="AF87" s="102">
        <v>131</v>
      </c>
      <c r="AG87" s="103"/>
      <c r="AH87" s="55">
        <f t="shared" si="16"/>
        <v>139.30000000000001</v>
      </c>
      <c r="AI87" s="56">
        <f t="shared" si="17"/>
        <v>128.19999999999999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132.30000000000001</v>
      </c>
      <c r="C88" s="52">
        <v>132.30000000000001</v>
      </c>
      <c r="D88" s="52">
        <v>133.6</v>
      </c>
      <c r="E88" s="52">
        <v>132.1</v>
      </c>
      <c r="F88" s="52">
        <v>132.1</v>
      </c>
      <c r="G88" s="52">
        <v>131.80000000000001</v>
      </c>
      <c r="H88" s="52">
        <v>131.80000000000001</v>
      </c>
      <c r="I88" s="52">
        <v>130.80000000000001</v>
      </c>
      <c r="J88" s="52">
        <v>131.19999999999999</v>
      </c>
      <c r="K88" s="52">
        <v>131.69999999999999</v>
      </c>
      <c r="L88" s="52">
        <v>127.5</v>
      </c>
      <c r="M88" s="52">
        <v>129.69999999999999</v>
      </c>
      <c r="N88" s="52">
        <v>131.30000000000001</v>
      </c>
      <c r="O88" s="52">
        <v>130.5</v>
      </c>
      <c r="P88" s="52">
        <v>127.9</v>
      </c>
      <c r="Q88" s="52">
        <v>128</v>
      </c>
      <c r="R88" s="52">
        <v>126.6</v>
      </c>
      <c r="S88" s="52">
        <v>128</v>
      </c>
      <c r="T88" s="52">
        <v>126.4</v>
      </c>
      <c r="U88" s="52">
        <v>128</v>
      </c>
      <c r="V88" s="52">
        <v>132.5</v>
      </c>
      <c r="W88" s="97">
        <v>128.1</v>
      </c>
      <c r="X88" s="97">
        <v>131.1</v>
      </c>
      <c r="Y88" s="97">
        <v>124.5</v>
      </c>
      <c r="Z88" s="97">
        <v>132.6</v>
      </c>
      <c r="AA88" s="52">
        <v>131.19999999999999</v>
      </c>
      <c r="AB88" s="52">
        <v>127</v>
      </c>
      <c r="AC88" s="52">
        <v>132</v>
      </c>
      <c r="AD88" s="52">
        <v>132</v>
      </c>
      <c r="AE88" s="52">
        <v>130</v>
      </c>
      <c r="AF88" s="98">
        <v>129</v>
      </c>
      <c r="AG88" s="99"/>
      <c r="AH88" s="55">
        <f t="shared" si="16"/>
        <v>133.6</v>
      </c>
      <c r="AI88" s="56">
        <f t="shared" si="17"/>
        <v>124.5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65.7</v>
      </c>
      <c r="C89" s="104">
        <v>65.7</v>
      </c>
      <c r="D89" s="104">
        <v>66.2</v>
      </c>
      <c r="E89" s="104">
        <v>65.8</v>
      </c>
      <c r="F89" s="104">
        <v>65.8</v>
      </c>
      <c r="G89" s="104">
        <v>65.7</v>
      </c>
      <c r="H89" s="104">
        <v>65.7</v>
      </c>
      <c r="I89" s="104">
        <v>66.3</v>
      </c>
      <c r="J89" s="104">
        <v>66</v>
      </c>
      <c r="K89" s="104">
        <v>65.900000000000006</v>
      </c>
      <c r="L89" s="104">
        <v>65.099999999999994</v>
      </c>
      <c r="M89" s="104">
        <v>64.099999999999994</v>
      </c>
      <c r="N89" s="104">
        <v>64.7</v>
      </c>
      <c r="O89" s="104">
        <v>65</v>
      </c>
      <c r="P89" s="104">
        <v>64.7</v>
      </c>
      <c r="Q89" s="104">
        <v>65.7</v>
      </c>
      <c r="R89" s="104">
        <v>64.599999999999994</v>
      </c>
      <c r="S89" s="104">
        <v>65</v>
      </c>
      <c r="T89" s="104">
        <v>65.099999999999994</v>
      </c>
      <c r="U89" s="104">
        <v>65.2</v>
      </c>
      <c r="V89" s="104">
        <v>64.5</v>
      </c>
      <c r="W89" s="104">
        <v>64.3</v>
      </c>
      <c r="X89" s="104">
        <v>64.400000000000006</v>
      </c>
      <c r="Y89" s="104">
        <v>65</v>
      </c>
      <c r="Z89" s="104">
        <v>65.2</v>
      </c>
      <c r="AA89" s="104">
        <v>65.5</v>
      </c>
      <c r="AB89" s="104">
        <v>65.599999999999994</v>
      </c>
      <c r="AC89" s="104">
        <v>65.400000000000006</v>
      </c>
      <c r="AD89" s="104">
        <v>65.400000000000006</v>
      </c>
      <c r="AE89" s="104">
        <v>65.400000000000006</v>
      </c>
      <c r="AF89" s="105">
        <v>65.400000000000006</v>
      </c>
      <c r="AG89" s="106"/>
      <c r="AH89" s="55">
        <f t="shared" si="16"/>
        <v>66.3</v>
      </c>
      <c r="AI89" s="56">
        <f t="shared" si="17"/>
        <v>64.099999999999994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139.04</v>
      </c>
      <c r="C91" s="178">
        <f t="shared" ref="C91:AF91" si="21">SUM(C14,C17,C20:C21,C40,C42:C43,C45,C47,C92:C95,C100,C106,C112,C121,C123,C135,C142,C145:C146,C153,C155,C157,C161:C163,C165:C167,C172,C178:C179,C181:C183,C191,C196)</f>
        <v>139.04</v>
      </c>
      <c r="D91" s="178">
        <f t="shared" si="21"/>
        <v>124.13999999999997</v>
      </c>
      <c r="E91" s="178">
        <f t="shared" si="21"/>
        <v>136.73999999999995</v>
      </c>
      <c r="F91" s="111">
        <f t="shared" si="21"/>
        <v>136.63999999999996</v>
      </c>
      <c r="G91" s="111">
        <f t="shared" si="21"/>
        <v>194.73999999999995</v>
      </c>
      <c r="H91" s="111">
        <f t="shared" si="21"/>
        <v>194.73999999999995</v>
      </c>
      <c r="I91" s="111">
        <f t="shared" si="21"/>
        <v>207.33999999999997</v>
      </c>
      <c r="J91" s="111">
        <f t="shared" si="21"/>
        <v>221.53999999999996</v>
      </c>
      <c r="K91" s="111">
        <f t="shared" si="21"/>
        <v>226.43999999999994</v>
      </c>
      <c r="L91" s="111">
        <f t="shared" si="21"/>
        <v>224.73999999999998</v>
      </c>
      <c r="M91" s="111">
        <f t="shared" si="21"/>
        <v>239.53999999999996</v>
      </c>
      <c r="N91" s="111">
        <f t="shared" si="21"/>
        <v>215.74</v>
      </c>
      <c r="O91" s="111">
        <f t="shared" si="21"/>
        <v>228.74</v>
      </c>
      <c r="P91" s="111">
        <f t="shared" si="21"/>
        <v>218.83999999999997</v>
      </c>
      <c r="Q91" s="111">
        <f t="shared" si="21"/>
        <v>207.53999999999996</v>
      </c>
      <c r="R91" s="111">
        <f t="shared" si="21"/>
        <v>225.23999999999998</v>
      </c>
      <c r="S91" s="111">
        <f t="shared" si="21"/>
        <v>216.93999999999997</v>
      </c>
      <c r="T91" s="111">
        <f t="shared" si="21"/>
        <v>216.53999999999996</v>
      </c>
      <c r="U91" s="111">
        <f t="shared" si="21"/>
        <v>219.44</v>
      </c>
      <c r="V91" s="111">
        <f t="shared" si="21"/>
        <v>242.33999999999997</v>
      </c>
      <c r="W91" s="111">
        <f t="shared" si="21"/>
        <v>293.44000000000005</v>
      </c>
      <c r="X91" s="111">
        <f t="shared" si="21"/>
        <v>300.54000000000002</v>
      </c>
      <c r="Y91" s="111">
        <f t="shared" si="21"/>
        <v>291.04000000000002</v>
      </c>
      <c r="Z91" s="111">
        <f t="shared" si="21"/>
        <v>278.74</v>
      </c>
      <c r="AA91" s="111">
        <f t="shared" si="21"/>
        <v>259.1400000000001</v>
      </c>
      <c r="AB91" s="111">
        <f t="shared" si="21"/>
        <v>240.83999999999997</v>
      </c>
      <c r="AC91" s="111">
        <f t="shared" si="21"/>
        <v>224.83999999999997</v>
      </c>
      <c r="AD91" s="111">
        <f t="shared" si="21"/>
        <v>174.23999999999995</v>
      </c>
      <c r="AE91" s="111">
        <f t="shared" si="21"/>
        <v>151.23999999999995</v>
      </c>
      <c r="AF91" s="111">
        <f t="shared" si="21"/>
        <v>131.43999999999997</v>
      </c>
      <c r="AG91" s="112"/>
      <c r="AH91" s="55">
        <f>MAX(B91:AF91)</f>
        <v>300.54000000000002</v>
      </c>
      <c r="AI91" s="56">
        <f>MIN(B91:AF91)</f>
        <v>124.13999999999997</v>
      </c>
    </row>
    <row r="92" spans="1:88" x14ac:dyDescent="0.25">
      <c r="A92" s="113" t="s">
        <v>95</v>
      </c>
      <c r="B92" s="59">
        <v>28.9</v>
      </c>
      <c r="C92" s="59">
        <v>28.9</v>
      </c>
      <c r="D92" s="59">
        <v>33.5</v>
      </c>
      <c r="E92" s="59">
        <v>30</v>
      </c>
      <c r="F92" s="114">
        <v>32</v>
      </c>
      <c r="G92" s="114">
        <v>47</v>
      </c>
      <c r="H92" s="114">
        <v>47</v>
      </c>
      <c r="I92" s="114">
        <v>30.3</v>
      </c>
      <c r="J92" s="114">
        <v>0</v>
      </c>
      <c r="K92" s="114">
        <v>0</v>
      </c>
      <c r="L92" s="115">
        <v>0</v>
      </c>
      <c r="M92" s="114"/>
      <c r="N92" s="114">
        <v>0</v>
      </c>
      <c r="O92" s="114">
        <v>0</v>
      </c>
      <c r="P92" s="114">
        <v>0</v>
      </c>
      <c r="Q92" s="114">
        <v>0</v>
      </c>
      <c r="R92" s="114">
        <v>0</v>
      </c>
      <c r="S92" s="114">
        <v>0</v>
      </c>
      <c r="T92" s="114">
        <v>0</v>
      </c>
      <c r="U92" s="115">
        <v>0</v>
      </c>
      <c r="V92" s="115">
        <v>0</v>
      </c>
      <c r="W92" s="114">
        <v>0</v>
      </c>
      <c r="X92" s="114">
        <v>0</v>
      </c>
      <c r="Y92" s="114">
        <v>0</v>
      </c>
      <c r="Z92" s="114">
        <v>0</v>
      </c>
      <c r="AA92" s="115">
        <v>0</v>
      </c>
      <c r="AB92" s="115">
        <v>0</v>
      </c>
      <c r="AC92" s="115">
        <v>0</v>
      </c>
      <c r="AD92" s="115">
        <v>0</v>
      </c>
      <c r="AE92" s="115">
        <v>0</v>
      </c>
      <c r="AF92" s="116">
        <v>0</v>
      </c>
      <c r="AG92" s="117">
        <v>75</v>
      </c>
      <c r="AH92" s="55">
        <f t="shared" ref="AH92:AH97" si="22">IF(ABS(MAX(B92:AF92))&gt;ABS(MIN(B92:AF92)),MAX(B92:AF92),MIN(B92:AF92))</f>
        <v>47</v>
      </c>
      <c r="AI92" s="118">
        <f t="shared" ref="AI92:AI97" si="23">INDEX($B$9:$AF$9,1,MATCH(AH92,B92:AF92,0))</f>
        <v>0.22916666666666666</v>
      </c>
    </row>
    <row r="93" spans="1:88" x14ac:dyDescent="0.25">
      <c r="A93" s="119" t="s">
        <v>96</v>
      </c>
      <c r="B93" s="61">
        <v>-115</v>
      </c>
      <c r="C93" s="61">
        <v>-115</v>
      </c>
      <c r="D93" s="61">
        <v>-136</v>
      </c>
      <c r="E93" s="61">
        <v>-120</v>
      </c>
      <c r="F93" s="61">
        <v>-125</v>
      </c>
      <c r="G93" s="61">
        <v>-89</v>
      </c>
      <c r="H93" s="61">
        <v>-89</v>
      </c>
      <c r="I93" s="61">
        <v>-97</v>
      </c>
      <c r="J93" s="61">
        <v>-67</v>
      </c>
      <c r="K93" s="61">
        <v>-61.5</v>
      </c>
      <c r="L93" s="61">
        <v>-66.2</v>
      </c>
      <c r="M93" s="61"/>
      <c r="N93" s="61">
        <f>-34.3-40.8</f>
        <v>-75.099999999999994</v>
      </c>
      <c r="O93" s="61">
        <v>-77</v>
      </c>
      <c r="P93" s="61">
        <v>-83</v>
      </c>
      <c r="Q93" s="61">
        <v>-77.400000000000006</v>
      </c>
      <c r="R93" s="61">
        <v>-78</v>
      </c>
      <c r="S93" s="61">
        <v>-72</v>
      </c>
      <c r="T93" s="61">
        <f>-34.8-41.6</f>
        <v>-76.400000000000006</v>
      </c>
      <c r="U93" s="61">
        <v>-78</v>
      </c>
      <c r="V93" s="61">
        <v>-59.6</v>
      </c>
      <c r="W93" s="61">
        <v>-61.5</v>
      </c>
      <c r="X93" s="61">
        <v>-60</v>
      </c>
      <c r="Y93" s="61">
        <v>-60</v>
      </c>
      <c r="Z93" s="61">
        <v>-68</v>
      </c>
      <c r="AA93" s="52">
        <v>-82</v>
      </c>
      <c r="AB93" s="52">
        <v>-86</v>
      </c>
      <c r="AC93" s="52">
        <v>-93</v>
      </c>
      <c r="AD93" s="52">
        <v>-68</v>
      </c>
      <c r="AE93" s="52">
        <v>-80</v>
      </c>
      <c r="AF93" s="120">
        <v>-93</v>
      </c>
      <c r="AG93" s="117">
        <v>240</v>
      </c>
      <c r="AH93" s="55">
        <f t="shared" si="22"/>
        <v>-136</v>
      </c>
      <c r="AI93" s="118">
        <f t="shared" si="23"/>
        <v>0.125</v>
      </c>
    </row>
    <row r="94" spans="1:88" x14ac:dyDescent="0.25">
      <c r="A94" s="119" t="s">
        <v>97</v>
      </c>
      <c r="B94" s="61">
        <v>-14.2</v>
      </c>
      <c r="C94" s="61">
        <v>-14.2</v>
      </c>
      <c r="D94" s="61">
        <v>-13</v>
      </c>
      <c r="E94" s="61">
        <v>-12.9</v>
      </c>
      <c r="F94" s="61">
        <v>-10</v>
      </c>
      <c r="G94" s="61">
        <v>-2.9</v>
      </c>
      <c r="H94" s="61">
        <v>-2.9</v>
      </c>
      <c r="I94" s="61">
        <v>11.8</v>
      </c>
      <c r="J94" s="61">
        <v>3.8</v>
      </c>
      <c r="K94" s="61">
        <v>9</v>
      </c>
      <c r="L94" s="61">
        <v>4.0999999999999996</v>
      </c>
      <c r="M94" s="61"/>
      <c r="N94" s="61">
        <v>6.1</v>
      </c>
      <c r="O94" s="61">
        <v>1.3</v>
      </c>
      <c r="P94" s="61">
        <v>-2.2000000000000002</v>
      </c>
      <c r="Q94" s="61">
        <v>-2.7</v>
      </c>
      <c r="R94" s="61">
        <v>-4.2</v>
      </c>
      <c r="S94" s="61">
        <v>3</v>
      </c>
      <c r="T94" s="61">
        <v>0.9</v>
      </c>
      <c r="U94" s="61">
        <v>2.4</v>
      </c>
      <c r="V94" s="61">
        <v>4.4000000000000004</v>
      </c>
      <c r="W94" s="61">
        <v>21.8</v>
      </c>
      <c r="X94" s="61">
        <v>37.4</v>
      </c>
      <c r="Y94" s="61">
        <v>37.700000000000003</v>
      </c>
      <c r="Z94" s="61">
        <v>36.700000000000003</v>
      </c>
      <c r="AA94" s="52">
        <v>31</v>
      </c>
      <c r="AB94" s="52">
        <v>21</v>
      </c>
      <c r="AC94" s="52">
        <v>14</v>
      </c>
      <c r="AD94" s="52">
        <v>8</v>
      </c>
      <c r="AE94" s="52">
        <v>-3</v>
      </c>
      <c r="AF94" s="120">
        <v>-7</v>
      </c>
      <c r="AG94" s="117">
        <v>60</v>
      </c>
      <c r="AH94" s="55">
        <f t="shared" si="22"/>
        <v>37.700000000000003</v>
      </c>
      <c r="AI94" s="118">
        <f t="shared" si="23"/>
        <v>0.79166666666666663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22.6</v>
      </c>
      <c r="J95" s="84">
        <v>45.1</v>
      </c>
      <c r="K95" s="84">
        <v>39.299999999999997</v>
      </c>
      <c r="L95" s="84">
        <v>47.5</v>
      </c>
      <c r="M95" s="84"/>
      <c r="N95" s="84">
        <v>45</v>
      </c>
      <c r="O95" s="84">
        <v>63.7</v>
      </c>
      <c r="P95" s="84">
        <v>63.3</v>
      </c>
      <c r="Q95" s="84">
        <v>47</v>
      </c>
      <c r="R95" s="84">
        <v>66.8</v>
      </c>
      <c r="S95" s="84">
        <v>47</v>
      </c>
      <c r="T95" s="84">
        <v>55.7</v>
      </c>
      <c r="U95" s="84">
        <v>57.4</v>
      </c>
      <c r="V95" s="84">
        <v>60.1</v>
      </c>
      <c r="W95" s="84">
        <v>95.7</v>
      </c>
      <c r="X95" s="84">
        <v>85.3</v>
      </c>
      <c r="Y95" s="84">
        <v>75.5</v>
      </c>
      <c r="Z95" s="84">
        <v>72.2</v>
      </c>
      <c r="AA95" s="122">
        <v>72.3</v>
      </c>
      <c r="AB95" s="122">
        <v>68</v>
      </c>
      <c r="AC95" s="122">
        <v>66</v>
      </c>
      <c r="AD95" s="122">
        <v>0</v>
      </c>
      <c r="AE95" s="122">
        <v>0</v>
      </c>
      <c r="AF95" s="123">
        <v>0</v>
      </c>
      <c r="AG95" s="124">
        <v>120</v>
      </c>
      <c r="AH95" s="55">
        <f t="shared" si="22"/>
        <v>95.7</v>
      </c>
      <c r="AI95" s="118">
        <f t="shared" si="23"/>
        <v>0.75</v>
      </c>
    </row>
    <row r="96" spans="1:88" x14ac:dyDescent="0.25">
      <c r="A96" s="121" t="s">
        <v>99</v>
      </c>
      <c r="B96" s="84">
        <v>60.2</v>
      </c>
      <c r="C96" s="84">
        <v>60.2</v>
      </c>
      <c r="D96" s="84">
        <v>-45.9</v>
      </c>
      <c r="E96" s="84">
        <v>52.9</v>
      </c>
      <c r="F96" s="84">
        <v>53</v>
      </c>
      <c r="G96" s="84">
        <v>50</v>
      </c>
      <c r="H96" s="84">
        <v>50</v>
      </c>
      <c r="I96" s="84">
        <v>34</v>
      </c>
      <c r="J96" s="84">
        <v>43.6</v>
      </c>
      <c r="K96" s="84">
        <v>38.6</v>
      </c>
      <c r="L96" s="84">
        <v>49.4</v>
      </c>
      <c r="M96" s="84"/>
      <c r="N96" s="84">
        <v>55</v>
      </c>
      <c r="O96" s="84">
        <v>48.2</v>
      </c>
      <c r="P96" s="84">
        <v>50.2</v>
      </c>
      <c r="Q96" s="84">
        <v>39.299999999999997</v>
      </c>
      <c r="R96" s="84">
        <v>68</v>
      </c>
      <c r="S96" s="84">
        <v>56</v>
      </c>
      <c r="T96" s="84">
        <v>57.7</v>
      </c>
      <c r="U96" s="84">
        <v>55.9</v>
      </c>
      <c r="V96" s="84">
        <v>55.1</v>
      </c>
      <c r="W96" s="84">
        <v>82</v>
      </c>
      <c r="X96" s="84">
        <v>76.900000000000006</v>
      </c>
      <c r="Y96" s="84">
        <v>67.8</v>
      </c>
      <c r="Z96" s="84">
        <v>68</v>
      </c>
      <c r="AA96" s="122">
        <v>70</v>
      </c>
      <c r="AB96" s="122">
        <v>68</v>
      </c>
      <c r="AC96" s="122">
        <v>69</v>
      </c>
      <c r="AD96" s="122">
        <v>78</v>
      </c>
      <c r="AE96" s="122">
        <v>68</v>
      </c>
      <c r="AF96" s="123">
        <v>62</v>
      </c>
      <c r="AG96" s="124"/>
      <c r="AH96" s="55">
        <f t="shared" si="22"/>
        <v>82</v>
      </c>
      <c r="AI96" s="118">
        <f t="shared" si="23"/>
        <v>0.75</v>
      </c>
    </row>
    <row r="97" spans="1:37" ht="15.75" thickBot="1" x14ac:dyDescent="0.3">
      <c r="A97" s="121" t="s">
        <v>100</v>
      </c>
      <c r="B97" s="84">
        <v>79.400000000000006</v>
      </c>
      <c r="C97" s="84">
        <v>79.400000000000006</v>
      </c>
      <c r="D97" s="84">
        <v>78</v>
      </c>
      <c r="E97" s="84">
        <v>77</v>
      </c>
      <c r="F97" s="84">
        <v>75</v>
      </c>
      <c r="G97" s="84">
        <v>68.599999999999994</v>
      </c>
      <c r="H97" s="84">
        <v>68.599999999999994</v>
      </c>
      <c r="I97" s="84">
        <v>70.7</v>
      </c>
      <c r="J97" s="84">
        <v>62.1</v>
      </c>
      <c r="K97" s="84">
        <v>50</v>
      </c>
      <c r="L97" s="84">
        <v>49.7</v>
      </c>
      <c r="M97" s="84"/>
      <c r="N97" s="84">
        <v>5.8</v>
      </c>
      <c r="O97" s="84">
        <v>16.600000000000001</v>
      </c>
      <c r="P97" s="84">
        <v>20.399999999999999</v>
      </c>
      <c r="Q97" s="84">
        <v>71</v>
      </c>
      <c r="R97" s="84">
        <v>43.7</v>
      </c>
      <c r="S97" s="84">
        <v>60</v>
      </c>
      <c r="T97" s="84">
        <v>60.9</v>
      </c>
      <c r="U97" s="84">
        <v>60</v>
      </c>
      <c r="V97" s="84">
        <v>8</v>
      </c>
      <c r="W97" s="84">
        <v>69</v>
      </c>
      <c r="X97" s="84">
        <v>83.1</v>
      </c>
      <c r="Y97" s="84">
        <v>58.2</v>
      </c>
      <c r="Z97" s="84">
        <v>72.599999999999994</v>
      </c>
      <c r="AA97" s="122">
        <v>86</v>
      </c>
      <c r="AB97" s="122">
        <v>67</v>
      </c>
      <c r="AC97" s="122">
        <v>74</v>
      </c>
      <c r="AD97" s="122">
        <v>44</v>
      </c>
      <c r="AE97" s="122">
        <v>31</v>
      </c>
      <c r="AF97" s="123">
        <v>44</v>
      </c>
      <c r="AG97" s="125"/>
      <c r="AH97" s="55">
        <f t="shared" si="22"/>
        <v>86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1078.6400000000001</v>
      </c>
      <c r="C206" s="161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26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2078/04/26)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2078/04/26)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1110.1399999999999</v>
      </c>
      <c r="U211" s="170">
        <f t="shared" si="52"/>
        <v>1086.1399999999999</v>
      </c>
      <c r="V211" s="170">
        <f t="shared" si="52"/>
        <v>1071.8400000000001</v>
      </c>
      <c r="W211" s="170">
        <f t="shared" si="52"/>
        <v>1034.239</v>
      </c>
      <c r="X211" s="170">
        <f t="shared" si="52"/>
        <v>1025.039</v>
      </c>
      <c r="Y211" s="170">
        <f t="shared" si="52"/>
        <v>1050.039</v>
      </c>
      <c r="Z211" s="170">
        <f t="shared" si="52"/>
        <v>1062.74</v>
      </c>
      <c r="AA211" s="170">
        <f t="shared" si="52"/>
        <v>1038.44</v>
      </c>
      <c r="AB211" s="170">
        <f t="shared" si="52"/>
        <v>1019.84</v>
      </c>
      <c r="AC211" s="170">
        <f t="shared" si="52"/>
        <v>1037.04</v>
      </c>
      <c r="AD211" s="170">
        <f t="shared" si="52"/>
        <v>1078.6400000000001</v>
      </c>
      <c r="AE211" s="170">
        <f t="shared" si="52"/>
        <v>1073.8400000000001</v>
      </c>
      <c r="AF211" s="170">
        <f t="shared" si="52"/>
        <v>1098.8399999999999</v>
      </c>
      <c r="AG211" s="170">
        <f t="shared" si="52"/>
        <v>1106.6400000000001</v>
      </c>
      <c r="AH211" s="170">
        <f t="shared" si="52"/>
        <v>1116.8400000000001</v>
      </c>
      <c r="AI211" s="170">
        <f t="shared" si="52"/>
        <v>1127.24</v>
      </c>
      <c r="AJ211" s="170">
        <f t="shared" si="52"/>
        <v>1071.6399999999999</v>
      </c>
      <c r="AK211" s="170">
        <f t="shared" si="52"/>
        <v>1103.6399999999999</v>
      </c>
      <c r="AL211" s="170">
        <f t="shared" si="52"/>
        <v>1052.44</v>
      </c>
      <c r="AM211" s="170">
        <f t="shared" si="52"/>
        <v>1061.3399999999999</v>
      </c>
      <c r="AN211" s="170">
        <f t="shared" si="52"/>
        <v>1119.04</v>
      </c>
      <c r="AO211" s="170">
        <f t="shared" si="52"/>
        <v>1264.74</v>
      </c>
      <c r="AP211" s="170">
        <f t="shared" si="52"/>
        <v>1382.64</v>
      </c>
      <c r="AQ211" s="170">
        <f t="shared" si="52"/>
        <v>1392.3400000000001</v>
      </c>
      <c r="AR211" s="170">
        <f t="shared" si="52"/>
        <v>1368.54</v>
      </c>
      <c r="AS211" s="170">
        <f t="shared" si="52"/>
        <v>1331.74</v>
      </c>
      <c r="AT211" s="170">
        <f t="shared" si="52"/>
        <v>1306.74</v>
      </c>
      <c r="AU211" s="170">
        <f t="shared" si="52"/>
        <v>1277.44</v>
      </c>
      <c r="AV211" s="170">
        <f t="shared" si="52"/>
        <v>1193.6400000000001</v>
      </c>
      <c r="AW211" s="170">
        <f t="shared" si="52"/>
        <v>1123.6400000000001</v>
      </c>
      <c r="AX211" s="170">
        <f t="shared" si="52"/>
        <v>1070.94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364" priority="319">
      <formula>S$9&gt;=20/24</formula>
    </cfRule>
    <cfRule type="expression" dxfId="2363" priority="320">
      <formula>AND(S$9&gt;=14/24,S$9&lt;20/24)</formula>
    </cfRule>
    <cfRule type="expression" dxfId="2362" priority="321">
      <formula>AND(S$9&gt;=8/24,S$9&lt;14/24)</formula>
    </cfRule>
    <cfRule type="expression" dxfId="2361" priority="322">
      <formula>S$9&lt;8/24</formula>
    </cfRule>
  </conditionalFormatting>
  <conditionalFormatting sqref="B8:AF10 AA79:AF79 B79:Q79 B54:AF54 B80:AF80 C191:AF197 P35:Q35 AE55:AF58 B66:AF70 M60:M65 T210:AX210 N59:N65 Q40 Q12:Q13 Q15:Q16 Q18:Q31 Q17:R17 R18:R29 W83:Z89 B72:AF76 B78:AF78 D59:M59 D58:N58 D55:K57 B61:C65 B55:C59 D62:F62 Q37 N37:P40 N43:Q46 O58:Q65 Q38:T39 L56:V57 AA82:AF89 L11:AF11 S17:AF29 U38:AF40 L51:AF53">
    <cfRule type="expression" dxfId="2360" priority="315">
      <formula>B$9&gt;=20/24</formula>
    </cfRule>
    <cfRule type="expression" dxfId="2359" priority="316">
      <formula>AND(B$9&gt;=14/24,B$9&lt;20/24)</formula>
    </cfRule>
    <cfRule type="expression" dxfId="2358" priority="317">
      <formula>AND(B$9&gt;=8/24,B$9&lt;14/24)</formula>
    </cfRule>
    <cfRule type="expression" dxfId="2357" priority="318">
      <formula>B$9&lt;8/24</formula>
    </cfRule>
  </conditionalFormatting>
  <conditionalFormatting sqref="B189:AF189">
    <cfRule type="expression" dxfId="2356" priority="311">
      <formula>B$9&gt;=20/24</formula>
    </cfRule>
    <cfRule type="expression" dxfId="2355" priority="312">
      <formula>AND(B$9&gt;=14/24,B$9&lt;20/24)</formula>
    </cfRule>
    <cfRule type="expression" dxfId="2354" priority="313">
      <formula>AND(B$9&gt;=8/24,B$9&lt;14/24)</formula>
    </cfRule>
    <cfRule type="expression" dxfId="2353" priority="314">
      <formula>B$9&lt;8/24</formula>
    </cfRule>
  </conditionalFormatting>
  <conditionalFormatting sqref="AL5:AL6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2352" priority="306">
      <formula>L$9&gt;=20/24</formula>
    </cfRule>
    <cfRule type="expression" dxfId="2351" priority="307">
      <formula>AND(L$9&gt;=14/24,L$9&lt;20/24)</formula>
    </cfRule>
    <cfRule type="expression" dxfId="2350" priority="308">
      <formula>AND(L$9&gt;=8/24,L$9&lt;14/24)</formula>
    </cfRule>
    <cfRule type="expression" dxfId="2349" priority="309">
      <formula>L$9&lt;8/24</formula>
    </cfRule>
  </conditionalFormatting>
  <conditionalFormatting sqref="N41:Q41">
    <cfRule type="expression" dxfId="2348" priority="302">
      <formula>N$9&gt;=20/24</formula>
    </cfRule>
    <cfRule type="expression" dxfId="2347" priority="303">
      <formula>AND(N$9&gt;=14/24,N$9&lt;20/24)</formula>
    </cfRule>
    <cfRule type="expression" dxfId="2346" priority="304">
      <formula>AND(N$9&gt;=8/24,N$9&lt;14/24)</formula>
    </cfRule>
    <cfRule type="expression" dxfId="2345" priority="305">
      <formula>N$9&lt;8/24</formula>
    </cfRule>
  </conditionalFormatting>
  <conditionalFormatting sqref="R37:AF37">
    <cfRule type="expression" dxfId="2344" priority="294">
      <formula>R$9&gt;=20/24</formula>
    </cfRule>
    <cfRule type="expression" dxfId="2343" priority="295">
      <formula>AND(R$9&gt;=14/24,R$9&lt;20/24)</formula>
    </cfRule>
    <cfRule type="expression" dxfId="2342" priority="296">
      <formula>AND(R$9&gt;=8/24,R$9&lt;14/24)</formula>
    </cfRule>
    <cfRule type="expression" dxfId="2341" priority="297">
      <formula>R$9&lt;8/24</formula>
    </cfRule>
  </conditionalFormatting>
  <conditionalFormatting sqref="R55:AD55">
    <cfRule type="expression" dxfId="2340" priority="290">
      <formula>R$9&gt;=20/24</formula>
    </cfRule>
    <cfRule type="expression" dxfId="2339" priority="291">
      <formula>AND(R$9&gt;=14/24,R$9&lt;20/24)</formula>
    </cfRule>
    <cfRule type="expression" dxfId="2338" priority="292">
      <formula>AND(R$9&gt;=8/24,R$9&lt;14/24)</formula>
    </cfRule>
    <cfRule type="expression" dxfId="2337" priority="293">
      <formula>R$9&lt;8/24</formula>
    </cfRule>
  </conditionalFormatting>
  <conditionalFormatting sqref="R79:Z79">
    <cfRule type="expression" dxfId="2336" priority="286">
      <formula>R$9&gt;=20/24</formula>
    </cfRule>
    <cfRule type="expression" dxfId="2335" priority="287">
      <formula>AND(R$9&gt;=14/24,R$9&lt;20/24)</formula>
    </cfRule>
    <cfRule type="expression" dxfId="2334" priority="288">
      <formula>AND(R$9&gt;=8/24,R$9&lt;14/24)</formula>
    </cfRule>
    <cfRule type="expression" dxfId="2333" priority="289">
      <formula>R$9&lt;8/24</formula>
    </cfRule>
  </conditionalFormatting>
  <conditionalFormatting sqref="U82:Z82">
    <cfRule type="expression" dxfId="2332" priority="282">
      <formula>U$9&gt;=20/24</formula>
    </cfRule>
    <cfRule type="expression" dxfId="2331" priority="283">
      <formula>AND(U$9&gt;=14/24,U$9&lt;20/24)</formula>
    </cfRule>
    <cfRule type="expression" dxfId="2330" priority="284">
      <formula>AND(U$9&gt;=8/24,U$9&lt;14/24)</formula>
    </cfRule>
    <cfRule type="expression" dxfId="2329" priority="285">
      <formula>U$9&lt;8/24</formula>
    </cfRule>
  </conditionalFormatting>
  <conditionalFormatting sqref="Q33">
    <cfRule type="expression" dxfId="2328" priority="278">
      <formula>Q$9&gt;=20/24</formula>
    </cfRule>
    <cfRule type="expression" dxfId="2327" priority="279">
      <formula>AND(Q$9&gt;=14/24,Q$9&lt;20/24)</formula>
    </cfRule>
    <cfRule type="expression" dxfId="2326" priority="280">
      <formula>AND(Q$9&gt;=8/24,Q$9&lt;14/24)</formula>
    </cfRule>
    <cfRule type="expression" dxfId="2325" priority="281">
      <formula>Q$9&lt;8/24</formula>
    </cfRule>
  </conditionalFormatting>
  <conditionalFormatting sqref="N47:AF47">
    <cfRule type="expression" dxfId="2324" priority="274">
      <formula>N$9&gt;=20/24</formula>
    </cfRule>
    <cfRule type="expression" dxfId="2323" priority="275">
      <formula>AND(N$9&gt;=14/24,N$9&lt;20/24)</formula>
    </cfRule>
    <cfRule type="expression" dxfId="2322" priority="276">
      <formula>AND(N$9&gt;=8/24,N$9&lt;14/24)</formula>
    </cfRule>
    <cfRule type="expression" dxfId="2321" priority="277">
      <formula>N$9&lt;8/24</formula>
    </cfRule>
  </conditionalFormatting>
  <conditionalFormatting sqref="N48:Q48">
    <cfRule type="expression" dxfId="2320" priority="270">
      <formula>N$9&gt;=20/24</formula>
    </cfRule>
    <cfRule type="expression" dxfId="2319" priority="271">
      <formula>AND(N$9&gt;=14/24,N$9&lt;20/24)</formula>
    </cfRule>
    <cfRule type="expression" dxfId="2318" priority="272">
      <formula>AND(N$9&gt;=8/24,N$9&lt;14/24)</formula>
    </cfRule>
    <cfRule type="expression" dxfId="2317" priority="273">
      <formula>N$9&lt;8/24</formula>
    </cfRule>
  </conditionalFormatting>
  <conditionalFormatting sqref="N43:Q46">
    <cfRule type="expression" dxfId="2316" priority="266">
      <formula>N$9&gt;=20/24</formula>
    </cfRule>
    <cfRule type="expression" dxfId="2315" priority="267">
      <formula>AND(N$9&gt;=14/24,N$9&lt;20/24)</formula>
    </cfRule>
    <cfRule type="expression" dxfId="2314" priority="268">
      <formula>AND(N$9&gt;=8/24,N$9&lt;14/24)</formula>
    </cfRule>
    <cfRule type="expression" dxfId="2313" priority="269">
      <formula>N$9&lt;8/24</formula>
    </cfRule>
  </conditionalFormatting>
  <conditionalFormatting sqref="R35:AF35">
    <cfRule type="expression" dxfId="2312" priority="262">
      <formula>R$9&gt;=20/24</formula>
    </cfRule>
    <cfRule type="expression" dxfId="2311" priority="263">
      <formula>AND(R$9&gt;=14/24,R$9&lt;20/24)</formula>
    </cfRule>
    <cfRule type="expression" dxfId="2310" priority="264">
      <formula>AND(R$9&gt;=8/24,R$9&lt;14/24)</formula>
    </cfRule>
    <cfRule type="expression" dxfId="2309" priority="265">
      <formula>R$9&lt;8/24</formula>
    </cfRule>
  </conditionalFormatting>
  <conditionalFormatting sqref="R30:AF31 R33:AF33">
    <cfRule type="expression" dxfId="2308" priority="258">
      <formula>R$9&gt;=20/24</formula>
    </cfRule>
    <cfRule type="expression" dxfId="2307" priority="259">
      <formula>AND(R$9&gt;=14/24,R$9&lt;20/24)</formula>
    </cfRule>
    <cfRule type="expression" dxfId="2306" priority="260">
      <formula>AND(R$9&gt;=8/24,R$9&lt;14/24)</formula>
    </cfRule>
    <cfRule type="expression" dxfId="2305" priority="261">
      <formula>R$9&lt;8/24</formula>
    </cfRule>
  </conditionalFormatting>
  <conditionalFormatting sqref="R40:T41 U41:AF41 R43:AF46">
    <cfRule type="expression" dxfId="2304" priority="254">
      <formula>R$9&gt;=20/24</formula>
    </cfRule>
    <cfRule type="expression" dxfId="2303" priority="255">
      <formula>AND(R$9&gt;=14/24,R$9&lt;20/24)</formula>
    </cfRule>
    <cfRule type="expression" dxfId="2302" priority="256">
      <formula>AND(R$9&gt;=8/24,R$9&lt;14/24)</formula>
    </cfRule>
    <cfRule type="expression" dxfId="2301" priority="257">
      <formula>R$9&lt;8/24</formula>
    </cfRule>
  </conditionalFormatting>
  <conditionalFormatting sqref="R47:AF47">
    <cfRule type="expression" dxfId="2300" priority="250">
      <formula>R$9&gt;=20/24</formula>
    </cfRule>
    <cfRule type="expression" dxfId="2299" priority="251">
      <formula>AND(R$9&gt;=14/24,R$9&lt;20/24)</formula>
    </cfRule>
    <cfRule type="expression" dxfId="2298" priority="252">
      <formula>AND(R$9&gt;=8/24,R$9&lt;14/24)</formula>
    </cfRule>
    <cfRule type="expression" dxfId="2297" priority="253">
      <formula>R$9&lt;8/24</formula>
    </cfRule>
  </conditionalFormatting>
  <conditionalFormatting sqref="R48:AF48">
    <cfRule type="expression" dxfId="2296" priority="246">
      <formula>R$9&gt;=20/24</formula>
    </cfRule>
    <cfRule type="expression" dxfId="2295" priority="247">
      <formula>AND(R$9&gt;=14/24,R$9&lt;20/24)</formula>
    </cfRule>
    <cfRule type="expression" dxfId="2294" priority="248">
      <formula>AND(R$9&gt;=8/24,R$9&lt;14/24)</formula>
    </cfRule>
    <cfRule type="expression" dxfId="2293" priority="249">
      <formula>R$9&lt;8/24</formula>
    </cfRule>
  </conditionalFormatting>
  <conditionalFormatting sqref="AE59:AF59 R58:T65 U60:U65 W58:AD59 W60:AF65">
    <cfRule type="expression" dxfId="2292" priority="242">
      <formula>R$9&gt;=20/24</formula>
    </cfRule>
    <cfRule type="expression" dxfId="2291" priority="243">
      <formula>AND(R$9&gt;=14/24,R$9&lt;20/24)</formula>
    </cfRule>
    <cfRule type="expression" dxfId="2290" priority="244">
      <formula>AND(R$9&gt;=8/24,R$9&lt;14/24)</formula>
    </cfRule>
    <cfRule type="expression" dxfId="2289" priority="245">
      <formula>R$9&lt;8/24</formula>
    </cfRule>
  </conditionalFormatting>
  <conditionalFormatting sqref="AA92:AF95">
    <cfRule type="expression" dxfId="2288" priority="238">
      <formula>AA$9&gt;=20/24</formula>
    </cfRule>
    <cfRule type="expression" dxfId="2287" priority="239">
      <formula>AND(AA$9&gt;=14/24,AA$9&lt;20/24)</formula>
    </cfRule>
    <cfRule type="expression" dxfId="2286" priority="240">
      <formula>AND(AA$9&gt;=8/24,AA$9&lt;14/24)</formula>
    </cfRule>
    <cfRule type="expression" dxfId="2285" priority="241">
      <formula>AA$9&lt;8/24</formula>
    </cfRule>
  </conditionalFormatting>
  <conditionalFormatting sqref="H61:H65 B60:H60 I60:K65">
    <cfRule type="expression" dxfId="2284" priority="234">
      <formula>B$9&gt;=20/24</formula>
    </cfRule>
    <cfRule type="expression" dxfId="2283" priority="235">
      <formula>AND(B$9&gt;=14/24,B$9&lt;20/24)</formula>
    </cfRule>
    <cfRule type="expression" dxfId="2282" priority="236">
      <formula>AND(B$9&gt;=8/24,B$9&lt;14/24)</formula>
    </cfRule>
    <cfRule type="expression" dxfId="2281" priority="237">
      <formula>B$9&lt;8/24</formula>
    </cfRule>
  </conditionalFormatting>
  <conditionalFormatting sqref="U92:Z95">
    <cfRule type="expression" dxfId="2280" priority="230">
      <formula>U$9&gt;=20/24</formula>
    </cfRule>
    <cfRule type="expression" dxfId="2279" priority="231">
      <formula>AND(U$9&gt;=14/24,U$9&lt;20/24)</formula>
    </cfRule>
    <cfRule type="expression" dxfId="2278" priority="232">
      <formula>AND(U$9&gt;=8/24,U$9&lt;14/24)</formula>
    </cfRule>
    <cfRule type="expression" dxfId="2277" priority="233">
      <formula>U$9&lt;8/24</formula>
    </cfRule>
  </conditionalFormatting>
  <conditionalFormatting sqref="AG49 Q15:Q16 B11:K13 Q12:Q13 B15:K31 B33:K35 B36:AF36 B43:K48 B37:K41 P35:U35 Q33:U34 L11:AF11 Q17:AF31 V33:AF35 N43:AF48 N37:AF41 B49:AF54">
    <cfRule type="expression" dxfId="2276" priority="229">
      <formula>B11&gt;$AG11</formula>
    </cfRule>
  </conditionalFormatting>
  <conditionalFormatting sqref="A98:A154 A82:A95 A11:A13 A15:A31 A43:A70 A78:A80 A72:A76 A33:A41 A167:A198">
    <cfRule type="expression" dxfId="2275" priority="228">
      <formula>$AH11=0</formula>
    </cfRule>
  </conditionalFormatting>
  <conditionalFormatting sqref="AA96:AF96">
    <cfRule type="expression" dxfId="2274" priority="224">
      <formula>AA$9&gt;=20/24</formula>
    </cfRule>
    <cfRule type="expression" dxfId="2273" priority="225">
      <formula>AND(AA$9&gt;=14/24,AA$9&lt;20/24)</formula>
    </cfRule>
    <cfRule type="expression" dxfId="2272" priority="226">
      <formula>AND(AA$9&gt;=8/24,AA$9&lt;14/24)</formula>
    </cfRule>
    <cfRule type="expression" dxfId="2271" priority="227">
      <formula>AA$9&lt;8/24</formula>
    </cfRule>
  </conditionalFormatting>
  <conditionalFormatting sqref="U96:Z96">
    <cfRule type="expression" dxfId="2270" priority="220">
      <formula>U$9&gt;=20/24</formula>
    </cfRule>
    <cfRule type="expression" dxfId="2269" priority="221">
      <formula>AND(U$9&gt;=14/24,U$9&lt;20/24)</formula>
    </cfRule>
    <cfRule type="expression" dxfId="2268" priority="222">
      <formula>AND(U$9&gt;=8/24,U$9&lt;14/24)</formula>
    </cfRule>
    <cfRule type="expression" dxfId="2267" priority="223">
      <formula>U$9&lt;8/24</formula>
    </cfRule>
  </conditionalFormatting>
  <conditionalFormatting sqref="A96">
    <cfRule type="expression" dxfId="2266" priority="219">
      <formula>$AH96=0</formula>
    </cfRule>
  </conditionalFormatting>
  <conditionalFormatting sqref="Q34:AF34">
    <cfRule type="expression" dxfId="2265" priority="215">
      <formula>Q$9&gt;=20/24</formula>
    </cfRule>
    <cfRule type="expression" dxfId="2264" priority="216">
      <formula>AND(Q$9&gt;=14/24,Q$9&lt;20/24)</formula>
    </cfRule>
    <cfRule type="expression" dxfId="2263" priority="217">
      <formula>AND(Q$9&gt;=8/24,Q$9&lt;14/24)</formula>
    </cfRule>
    <cfRule type="expression" dxfId="2262" priority="218">
      <formula>Q$9&lt;8/24</formula>
    </cfRule>
  </conditionalFormatting>
  <conditionalFormatting sqref="R34:AF34">
    <cfRule type="expression" dxfId="2261" priority="211">
      <formula>R$9&gt;=20/24</formula>
    </cfRule>
    <cfRule type="expression" dxfId="2260" priority="212">
      <formula>AND(R$9&gt;=14/24,R$9&lt;20/24)</formula>
    </cfRule>
    <cfRule type="expression" dxfId="2259" priority="213">
      <formula>AND(R$9&gt;=8/24,R$9&lt;14/24)</formula>
    </cfRule>
    <cfRule type="expression" dxfId="2258" priority="214">
      <formula>R$9&lt;8/24</formula>
    </cfRule>
  </conditionalFormatting>
  <conditionalFormatting sqref="B34:K34">
    <cfRule type="expression" dxfId="2257" priority="207">
      <formula>B$9&gt;=20/24</formula>
    </cfRule>
    <cfRule type="expression" dxfId="2256" priority="208">
      <formula>AND(B$9&gt;=14/24,B$9&lt;20/24)</formula>
    </cfRule>
    <cfRule type="expression" dxfId="2255" priority="209">
      <formula>AND(B$9&gt;=8/24,B$9&lt;14/24)</formula>
    </cfRule>
    <cfRule type="expression" dxfId="2254" priority="210">
      <formula>B$9&lt;8/24</formula>
    </cfRule>
  </conditionalFormatting>
  <conditionalFormatting sqref="D61:G61 G62 D63:G65">
    <cfRule type="expression" dxfId="2253" priority="203">
      <formula>D$9&gt;=20/24</formula>
    </cfRule>
    <cfRule type="expression" dxfId="2252" priority="204">
      <formula>AND(D$9&gt;=14/24,D$9&lt;20/24)</formula>
    </cfRule>
    <cfRule type="expression" dxfId="2251" priority="205">
      <formula>AND(D$9&gt;=8/24,D$9&lt;14/24)</formula>
    </cfRule>
    <cfRule type="expression" dxfId="2250" priority="206">
      <formula>D$9&lt;8/24</formula>
    </cfRule>
  </conditionalFormatting>
  <conditionalFormatting sqref="L60:L65">
    <cfRule type="expression" dxfId="2249" priority="199">
      <formula>L$9&gt;=20/24</formula>
    </cfRule>
    <cfRule type="expression" dxfId="2248" priority="200">
      <formula>AND(L$9&gt;=14/24,L$9&lt;20/24)</formula>
    </cfRule>
    <cfRule type="expression" dxfId="2247" priority="201">
      <formula>AND(L$9&gt;=8/24,L$9&lt;14/24)</formula>
    </cfRule>
    <cfRule type="expression" dxfId="2246" priority="202">
      <formula>L$9&lt;8/24</formula>
    </cfRule>
  </conditionalFormatting>
  <conditionalFormatting sqref="AL3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Q32">
    <cfRule type="expression" dxfId="2245" priority="190">
      <formula>Q$9&gt;=20/24</formula>
    </cfRule>
    <cfRule type="expression" dxfId="2244" priority="191">
      <formula>AND(Q$9&gt;=14/24,Q$9&lt;20/24)</formula>
    </cfRule>
    <cfRule type="expression" dxfId="2243" priority="192">
      <formula>AND(Q$9&gt;=8/24,Q$9&lt;14/24)</formula>
    </cfRule>
    <cfRule type="expression" dxfId="2242" priority="193">
      <formula>Q$9&lt;8/24</formula>
    </cfRule>
  </conditionalFormatting>
  <conditionalFormatting sqref="R32:AF32">
    <cfRule type="expression" dxfId="2241" priority="186">
      <formula>R$9&gt;=20/24</formula>
    </cfRule>
    <cfRule type="expression" dxfId="2240" priority="187">
      <formula>AND(R$9&gt;=14/24,R$9&lt;20/24)</formula>
    </cfRule>
    <cfRule type="expression" dxfId="2239" priority="188">
      <formula>AND(R$9&gt;=8/24,R$9&lt;14/24)</formula>
    </cfRule>
    <cfRule type="expression" dxfId="2238" priority="189">
      <formula>R$9&lt;8/24</formula>
    </cfRule>
  </conditionalFormatting>
  <conditionalFormatting sqref="B32:K32 Q32:AF32">
    <cfRule type="expression" dxfId="2237" priority="185">
      <formula>B32&gt;$AG32</formula>
    </cfRule>
  </conditionalFormatting>
  <conditionalFormatting sqref="A32">
    <cfRule type="expression" dxfId="2236" priority="184">
      <formula>$AH32=0</formula>
    </cfRule>
  </conditionalFormatting>
  <conditionalFormatting sqref="B81:AF81">
    <cfRule type="expression" dxfId="2235" priority="180">
      <formula>B$9&gt;=20/24</formula>
    </cfRule>
    <cfRule type="expression" dxfId="2234" priority="181">
      <formula>AND(B$9&gt;=14/24,B$9&lt;20/24)</formula>
    </cfRule>
    <cfRule type="expression" dxfId="2233" priority="182">
      <formula>AND(B$9&gt;=8/24,B$9&lt;14/24)</formula>
    </cfRule>
    <cfRule type="expression" dxfId="2232" priority="183">
      <formula>B$9&lt;8/24</formula>
    </cfRule>
  </conditionalFormatting>
  <conditionalFormatting sqref="A81">
    <cfRule type="expression" dxfId="2231" priority="179">
      <formula>$AH81=0</formula>
    </cfRule>
  </conditionalFormatting>
  <conditionalFormatting sqref="Q14">
    <cfRule type="expression" dxfId="2230" priority="171">
      <formula>Q$9&gt;=20/24</formula>
    </cfRule>
    <cfRule type="expression" dxfId="2229" priority="172">
      <formula>AND(Q$9&gt;=14/24,Q$9&lt;20/24)</formula>
    </cfRule>
    <cfRule type="expression" dxfId="2228" priority="173">
      <formula>AND(Q$9&gt;=8/24,Q$9&lt;14/24)</formula>
    </cfRule>
    <cfRule type="expression" dxfId="2227" priority="174">
      <formula>Q$9&lt;8/24</formula>
    </cfRule>
  </conditionalFormatting>
  <conditionalFormatting sqref="B14:K14 Q14">
    <cfRule type="expression" dxfId="2226" priority="170">
      <formula>B14&gt;$AG14</formula>
    </cfRule>
  </conditionalFormatting>
  <conditionalFormatting sqref="A14">
    <cfRule type="expression" dxfId="2225" priority="169">
      <formula>$AH14=0</formula>
    </cfRule>
  </conditionalFormatting>
  <conditionalFormatting sqref="A161:A166">
    <cfRule type="expression" dxfId="2224" priority="168">
      <formula>$AH161=0</formula>
    </cfRule>
  </conditionalFormatting>
  <conditionalFormatting sqref="A155:A160">
    <cfRule type="expression" dxfId="2223" priority="167">
      <formula>$AH155=0</formula>
    </cfRule>
  </conditionalFormatting>
  <conditionalFormatting sqref="N42:Q42">
    <cfRule type="expression" dxfId="2222" priority="159">
      <formula>N$9&gt;=20/24</formula>
    </cfRule>
    <cfRule type="expression" dxfId="2221" priority="160">
      <formula>AND(N$9&gt;=14/24,N$9&lt;20/24)</formula>
    </cfRule>
    <cfRule type="expression" dxfId="2220" priority="161">
      <formula>AND(N$9&gt;=8/24,N$9&lt;14/24)</formula>
    </cfRule>
    <cfRule type="expression" dxfId="2219" priority="162">
      <formula>N$9&lt;8/24</formula>
    </cfRule>
  </conditionalFormatting>
  <conditionalFormatting sqref="R42:AF42">
    <cfRule type="expression" dxfId="2218" priority="155">
      <formula>R$9&gt;=20/24</formula>
    </cfRule>
    <cfRule type="expression" dxfId="2217" priority="156">
      <formula>AND(R$9&gt;=14/24,R$9&lt;20/24)</formula>
    </cfRule>
    <cfRule type="expression" dxfId="2216" priority="157">
      <formula>AND(R$9&gt;=8/24,R$9&lt;14/24)</formula>
    </cfRule>
    <cfRule type="expression" dxfId="2215" priority="158">
      <formula>R$9&lt;8/24</formula>
    </cfRule>
  </conditionalFormatting>
  <conditionalFormatting sqref="B42:K42 N42:AF42">
    <cfRule type="expression" dxfId="2214" priority="154">
      <formula>B42&gt;$AG42</formula>
    </cfRule>
  </conditionalFormatting>
  <conditionalFormatting sqref="A42">
    <cfRule type="expression" dxfId="2213" priority="153">
      <formula>$AH42=0</formula>
    </cfRule>
  </conditionalFormatting>
  <conditionalFormatting sqref="B77:AF77">
    <cfRule type="expression" dxfId="2212" priority="149">
      <formula>B$9&gt;=20/24</formula>
    </cfRule>
    <cfRule type="expression" dxfId="2211" priority="150">
      <formula>AND(B$9&gt;=14/24,B$9&lt;20/24)</formula>
    </cfRule>
    <cfRule type="expression" dxfId="2210" priority="151">
      <formula>AND(B$9&gt;=8/24,B$9&lt;14/24)</formula>
    </cfRule>
    <cfRule type="expression" dxfId="2209" priority="152">
      <formula>B$9&lt;8/24</formula>
    </cfRule>
  </conditionalFormatting>
  <conditionalFormatting sqref="A77">
    <cfRule type="expression" dxfId="2208" priority="148">
      <formula>$AH77=0</formula>
    </cfRule>
  </conditionalFormatting>
  <conditionalFormatting sqref="B71:AG71">
    <cfRule type="expression" dxfId="2207" priority="144">
      <formula>B$9&gt;=20/24</formula>
    </cfRule>
    <cfRule type="expression" dxfId="2206" priority="145">
      <formula>AND(B$9&gt;=14/24,B$9&lt;20/24)</formula>
    </cfRule>
    <cfRule type="expression" dxfId="2205" priority="146">
      <formula>AND(B$9&gt;=8/24,B$9&lt;14/24)</formula>
    </cfRule>
    <cfRule type="expression" dxfId="2204" priority="147">
      <formula>B$9&lt;8/24</formula>
    </cfRule>
  </conditionalFormatting>
  <conditionalFormatting sqref="A71">
    <cfRule type="expression" dxfId="2203" priority="143">
      <formula>$AH71=0</formula>
    </cfRule>
  </conditionalFormatting>
  <conditionalFormatting sqref="AL32:AL33 AL7:AL30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U58:V59 V60:V65">
    <cfRule type="expression" dxfId="2202" priority="139">
      <formula>U$9&gt;=20/24</formula>
    </cfRule>
    <cfRule type="expression" dxfId="2201" priority="140">
      <formula>AND(U$9&gt;=14/24,U$9&lt;20/24)</formula>
    </cfRule>
    <cfRule type="expression" dxfId="2200" priority="141">
      <formula>AND(U$9&gt;=8/24,U$9&lt;14/24)</formula>
    </cfRule>
    <cfRule type="expression" dxfId="2199" priority="142">
      <formula>U$9&lt;8/24</formula>
    </cfRule>
  </conditionalFormatting>
  <conditionalFormatting sqref="U83:V89">
    <cfRule type="expression" dxfId="2198" priority="135">
      <formula>U$9&gt;=20/24</formula>
    </cfRule>
    <cfRule type="expression" dxfId="2197" priority="136">
      <formula>AND(U$9&gt;=14/24,U$9&lt;20/24)</formula>
    </cfRule>
    <cfRule type="expression" dxfId="2196" priority="137">
      <formula>AND(U$9&gt;=8/24,U$9&lt;14/24)</formula>
    </cfRule>
    <cfRule type="expression" dxfId="2195" priority="138">
      <formula>U$9&lt;8/24</formula>
    </cfRule>
  </conditionalFormatting>
  <conditionalFormatting sqref="B82:Q89 R83:T89">
    <cfRule type="expression" dxfId="2194" priority="131">
      <formula>B$9&gt;=20/24</formula>
    </cfRule>
    <cfRule type="expression" dxfId="2193" priority="132">
      <formula>AND(B$9&gt;=14/24,B$9&lt;20/24)</formula>
    </cfRule>
    <cfRule type="expression" dxfId="2192" priority="133">
      <formula>AND(B$9&gt;=8/24,B$9&lt;14/24)</formula>
    </cfRule>
    <cfRule type="expression" dxfId="2191" priority="134">
      <formula>B$9&lt;8/24</formula>
    </cfRule>
  </conditionalFormatting>
  <conditionalFormatting sqref="R82:T82">
    <cfRule type="expression" dxfId="2190" priority="127">
      <formula>R$9&gt;=20/24</formula>
    </cfRule>
    <cfRule type="expression" dxfId="2189" priority="128">
      <formula>AND(R$9&gt;=14/24,R$9&lt;20/24)</formula>
    </cfRule>
    <cfRule type="expression" dxfId="2188" priority="129">
      <formula>AND(R$9&gt;=8/24,R$9&lt;14/24)</formula>
    </cfRule>
    <cfRule type="expression" dxfId="2187" priority="130">
      <formula>R$9&lt;8/24</formula>
    </cfRule>
  </conditionalFormatting>
  <conditionalFormatting sqref="D92:E92 B92:C95 D93:L95">
    <cfRule type="expression" dxfId="2186" priority="123">
      <formula>B$9&gt;=20/24</formula>
    </cfRule>
    <cfRule type="expression" dxfId="2185" priority="124">
      <formula>AND(B$9&gt;=14/24,B$9&lt;20/24)</formula>
    </cfRule>
    <cfRule type="expression" dxfId="2184" priority="125">
      <formula>AND(B$9&gt;=8/24,B$9&lt;14/24)</formula>
    </cfRule>
    <cfRule type="expression" dxfId="2183" priority="126">
      <formula>B$9&lt;8/24</formula>
    </cfRule>
  </conditionalFormatting>
  <conditionalFormatting sqref="M93:Q95 N92:Q92">
    <cfRule type="expression" dxfId="2182" priority="119">
      <formula>M$9&gt;=20/24</formula>
    </cfRule>
    <cfRule type="expression" dxfId="2181" priority="120">
      <formula>AND(M$9&gt;=14/24,M$9&lt;20/24)</formula>
    </cfRule>
    <cfRule type="expression" dxfId="2180" priority="121">
      <formula>AND(M$9&gt;=8/24,M$9&lt;14/24)</formula>
    </cfRule>
    <cfRule type="expression" dxfId="2179" priority="122">
      <formula>M$9&lt;8/24</formula>
    </cfRule>
  </conditionalFormatting>
  <conditionalFormatting sqref="R92:T95">
    <cfRule type="expression" dxfId="2178" priority="115">
      <formula>R$9&gt;=20/24</formula>
    </cfRule>
    <cfRule type="expression" dxfId="2177" priority="116">
      <formula>AND(R$9&gt;=14/24,R$9&lt;20/24)</formula>
    </cfRule>
    <cfRule type="expression" dxfId="2176" priority="117">
      <formula>AND(R$9&gt;=8/24,R$9&lt;14/24)</formula>
    </cfRule>
    <cfRule type="expression" dxfId="2175" priority="118">
      <formula>R$9&lt;8/24</formula>
    </cfRule>
  </conditionalFormatting>
  <conditionalFormatting sqref="B96:L96">
    <cfRule type="expression" dxfId="2174" priority="111">
      <formula>B$9&gt;=20/24</formula>
    </cfRule>
    <cfRule type="expression" dxfId="2173" priority="112">
      <formula>AND(B$9&gt;=14/24,B$9&lt;20/24)</formula>
    </cfRule>
    <cfRule type="expression" dxfId="2172" priority="113">
      <formula>AND(B$9&gt;=8/24,B$9&lt;14/24)</formula>
    </cfRule>
    <cfRule type="expression" dxfId="2171" priority="114">
      <formula>B$9&lt;8/24</formula>
    </cfRule>
  </conditionalFormatting>
  <conditionalFormatting sqref="M96:Q96">
    <cfRule type="expression" dxfId="2170" priority="107">
      <formula>M$9&gt;=20/24</formula>
    </cfRule>
    <cfRule type="expression" dxfId="2169" priority="108">
      <formula>AND(M$9&gt;=14/24,M$9&lt;20/24)</formula>
    </cfRule>
    <cfRule type="expression" dxfId="2168" priority="109">
      <formula>AND(M$9&gt;=8/24,M$9&lt;14/24)</formula>
    </cfRule>
    <cfRule type="expression" dxfId="2167" priority="110">
      <formula>M$9&lt;8/24</formula>
    </cfRule>
  </conditionalFormatting>
  <conditionalFormatting sqref="R96:T96">
    <cfRule type="expression" dxfId="2166" priority="103">
      <formula>R$9&gt;=20/24</formula>
    </cfRule>
    <cfRule type="expression" dxfId="2165" priority="104">
      <formula>AND(R$9&gt;=14/24,R$9&lt;20/24)</formula>
    </cfRule>
    <cfRule type="expression" dxfId="2164" priority="105">
      <formula>AND(R$9&gt;=8/24,R$9&lt;14/24)</formula>
    </cfRule>
    <cfRule type="expression" dxfId="2163" priority="106">
      <formula>R$9&lt;8/24</formula>
    </cfRule>
  </conditionalFormatting>
  <conditionalFormatting sqref="L92:M92">
    <cfRule type="expression" dxfId="2162" priority="99">
      <formula>L$9&gt;=20/24</formula>
    </cfRule>
    <cfRule type="expression" dxfId="2161" priority="100">
      <formula>AND(L$9&gt;=14/24,L$9&lt;20/24)</formula>
    </cfRule>
    <cfRule type="expression" dxfId="2160" priority="101">
      <formula>AND(L$9&gt;=8/24,L$9&lt;14/24)</formula>
    </cfRule>
    <cfRule type="expression" dxfId="2159" priority="102">
      <formula>L$9&lt;8/24</formula>
    </cfRule>
  </conditionalFormatting>
  <conditionalFormatting sqref="F92:K92">
    <cfRule type="expression" dxfId="2158" priority="95">
      <formula>F$9&gt;=20/24</formula>
    </cfRule>
    <cfRule type="expression" dxfId="2157" priority="96">
      <formula>AND(F$9&gt;=14/24,F$9&lt;20/24)</formula>
    </cfRule>
    <cfRule type="expression" dxfId="2156" priority="97">
      <formula>AND(F$9&gt;=8/24,F$9&lt;14/24)</formula>
    </cfRule>
    <cfRule type="expression" dxfId="2155" priority="98">
      <formula>F$9&lt;8/24</formula>
    </cfRule>
  </conditionalFormatting>
  <conditionalFormatting sqref="U92:V92">
    <cfRule type="expression" dxfId="2154" priority="91">
      <formula>U$9&gt;=20/24</formula>
    </cfRule>
    <cfRule type="expression" dxfId="2153" priority="92">
      <formula>AND(U$9&gt;=14/24,U$9&lt;20/24)</formula>
    </cfRule>
    <cfRule type="expression" dxfId="2152" priority="93">
      <formula>AND(U$9&gt;=8/24,U$9&lt;14/24)</formula>
    </cfRule>
    <cfRule type="expression" dxfId="2151" priority="94">
      <formula>U$9&lt;8/24</formula>
    </cfRule>
  </conditionalFormatting>
  <conditionalFormatting sqref="M92:T92">
    <cfRule type="expression" dxfId="2150" priority="87">
      <formula>M$9&gt;=20/24</formula>
    </cfRule>
    <cfRule type="expression" dxfId="2149" priority="88">
      <formula>AND(M$9&gt;=14/24,M$9&lt;20/24)</formula>
    </cfRule>
    <cfRule type="expression" dxfId="2148" priority="89">
      <formula>AND(M$9&gt;=8/24,M$9&lt;14/24)</formula>
    </cfRule>
    <cfRule type="expression" dxfId="2147" priority="90">
      <formula>M$9&lt;8/24</formula>
    </cfRule>
  </conditionalFormatting>
  <conditionalFormatting sqref="AA97:AF97">
    <cfRule type="expression" dxfId="2146" priority="83">
      <formula>AA$9&gt;=20/24</formula>
    </cfRule>
    <cfRule type="expression" dxfId="2145" priority="84">
      <formula>AND(AA$9&gt;=14/24,AA$9&lt;20/24)</formula>
    </cfRule>
    <cfRule type="expression" dxfId="2144" priority="85">
      <formula>AND(AA$9&gt;=8/24,AA$9&lt;14/24)</formula>
    </cfRule>
    <cfRule type="expression" dxfId="2143" priority="86">
      <formula>AA$9&lt;8/24</formula>
    </cfRule>
  </conditionalFormatting>
  <conditionalFormatting sqref="U97:Z97">
    <cfRule type="expression" dxfId="2142" priority="79">
      <formula>U$9&gt;=20/24</formula>
    </cfRule>
    <cfRule type="expression" dxfId="2141" priority="80">
      <formula>AND(U$9&gt;=14/24,U$9&lt;20/24)</formula>
    </cfRule>
    <cfRule type="expression" dxfId="2140" priority="81">
      <formula>AND(U$9&gt;=8/24,U$9&lt;14/24)</formula>
    </cfRule>
    <cfRule type="expression" dxfId="2139" priority="82">
      <formula>U$9&lt;8/24</formula>
    </cfRule>
  </conditionalFormatting>
  <conditionalFormatting sqref="A97">
    <cfRule type="expression" dxfId="2138" priority="78">
      <formula>$AH97=0</formula>
    </cfRule>
  </conditionalFormatting>
  <conditionalFormatting sqref="B97:L97">
    <cfRule type="expression" dxfId="2137" priority="74">
      <formula>B$9&gt;=20/24</formula>
    </cfRule>
    <cfRule type="expression" dxfId="2136" priority="75">
      <formula>AND(B$9&gt;=14/24,B$9&lt;20/24)</formula>
    </cfRule>
    <cfRule type="expression" dxfId="2135" priority="76">
      <formula>AND(B$9&gt;=8/24,B$9&lt;14/24)</formula>
    </cfRule>
    <cfRule type="expression" dxfId="2134" priority="77">
      <formula>B$9&lt;8/24</formula>
    </cfRule>
  </conditionalFormatting>
  <conditionalFormatting sqref="M97:Q97">
    <cfRule type="expression" dxfId="2133" priority="70">
      <formula>M$9&gt;=20/24</formula>
    </cfRule>
    <cfRule type="expression" dxfId="2132" priority="71">
      <formula>AND(M$9&gt;=14/24,M$9&lt;20/24)</formula>
    </cfRule>
    <cfRule type="expression" dxfId="2131" priority="72">
      <formula>AND(M$9&gt;=8/24,M$9&lt;14/24)</formula>
    </cfRule>
    <cfRule type="expression" dxfId="2130" priority="73">
      <formula>M$9&lt;8/24</formula>
    </cfRule>
  </conditionalFormatting>
  <conditionalFormatting sqref="R97:T97">
    <cfRule type="expression" dxfId="2129" priority="66">
      <formula>R$9&gt;=20/24</formula>
    </cfRule>
    <cfRule type="expression" dxfId="2128" priority="67">
      <formula>AND(R$9&gt;=14/24,R$9&lt;20/24)</formula>
    </cfRule>
    <cfRule type="expression" dxfId="2127" priority="68">
      <formula>AND(R$9&gt;=8/24,R$9&lt;14/24)</formula>
    </cfRule>
    <cfRule type="expression" dxfId="2126" priority="69">
      <formula>R$9&lt;8/24</formula>
    </cfRule>
  </conditionalFormatting>
  <conditionalFormatting sqref="R12:AF15">
    <cfRule type="expression" dxfId="2125" priority="62">
      <formula>R$9&gt;=20/24</formula>
    </cfRule>
    <cfRule type="expression" dxfId="2124" priority="63">
      <formula>AND(R$9&gt;=14/24,R$9&lt;20/24)</formula>
    </cfRule>
    <cfRule type="expression" dxfId="2123" priority="64">
      <formula>AND(R$9&gt;=8/24,R$9&lt;14/24)</formula>
    </cfRule>
    <cfRule type="expression" dxfId="2122" priority="65">
      <formula>R$9&lt;8/24</formula>
    </cfRule>
  </conditionalFormatting>
  <conditionalFormatting sqref="R16:AF16">
    <cfRule type="expression" dxfId="2121" priority="58">
      <formula>R$9&gt;=20/24</formula>
    </cfRule>
    <cfRule type="expression" dxfId="2120" priority="59">
      <formula>AND(R$9&gt;=14/24,R$9&lt;20/24)</formula>
    </cfRule>
    <cfRule type="expression" dxfId="2119" priority="60">
      <formula>AND(R$9&gt;=8/24,R$9&lt;14/24)</formula>
    </cfRule>
    <cfRule type="expression" dxfId="2118" priority="61">
      <formula>R$9&lt;8/24</formula>
    </cfRule>
  </conditionalFormatting>
  <conditionalFormatting sqref="R12:AF12">
    <cfRule type="expression" dxfId="2117" priority="54">
      <formula>R$9&gt;=20/24</formula>
    </cfRule>
    <cfRule type="expression" dxfId="2116" priority="55">
      <formula>AND(R$9&gt;=14/24,R$9&lt;20/24)</formula>
    </cfRule>
    <cfRule type="expression" dxfId="2115" priority="56">
      <formula>AND(R$9&gt;=8/24,R$9&lt;14/24)</formula>
    </cfRule>
    <cfRule type="expression" dxfId="2114" priority="57">
      <formula>R$9&lt;8/24</formula>
    </cfRule>
  </conditionalFormatting>
  <conditionalFormatting sqref="AA56:AD57">
    <cfRule type="expression" dxfId="2113" priority="50">
      <formula>AA$9&gt;=20/24</formula>
    </cfRule>
    <cfRule type="expression" dxfId="2112" priority="51">
      <formula>AND(AA$9&gt;=14/24,AA$9&lt;20/24)</formula>
    </cfRule>
    <cfRule type="expression" dxfId="2111" priority="52">
      <formula>AND(AA$9&gt;=8/24,AA$9&lt;14/24)</formula>
    </cfRule>
    <cfRule type="expression" dxfId="2110" priority="53">
      <formula>AA$9&lt;8/24</formula>
    </cfRule>
  </conditionalFormatting>
  <conditionalFormatting sqref="L35:O35 L12:P13 L15:P31">
    <cfRule type="expression" dxfId="2109" priority="46">
      <formula>L$9&gt;=20/24</formula>
    </cfRule>
    <cfRule type="expression" dxfId="2108" priority="47">
      <formula>AND(L$9&gt;=14/24,L$9&lt;20/24)</formula>
    </cfRule>
    <cfRule type="expression" dxfId="2107" priority="48">
      <formula>AND(L$9&gt;=8/24,L$9&lt;14/24)</formula>
    </cfRule>
    <cfRule type="expression" dxfId="2106" priority="49">
      <formula>L$9&lt;8/24</formula>
    </cfRule>
  </conditionalFormatting>
  <conditionalFormatting sqref="L33:P33">
    <cfRule type="expression" dxfId="2105" priority="42">
      <formula>L$9&gt;=20/24</formula>
    </cfRule>
    <cfRule type="expression" dxfId="2104" priority="43">
      <formula>AND(L$9&gt;=14/24,L$9&lt;20/24)</formula>
    </cfRule>
    <cfRule type="expression" dxfId="2103" priority="44">
      <formula>AND(L$9&gt;=8/24,L$9&lt;14/24)</formula>
    </cfRule>
    <cfRule type="expression" dxfId="2102" priority="45">
      <formula>L$9&lt;8/24</formula>
    </cfRule>
  </conditionalFormatting>
  <conditionalFormatting sqref="L33:O35 L15:P31 L12:P13 P33:P34">
    <cfRule type="expression" dxfId="2101" priority="41">
      <formula>L12&gt;$AG12</formula>
    </cfRule>
  </conditionalFormatting>
  <conditionalFormatting sqref="L34:P34">
    <cfRule type="expression" dxfId="2100" priority="37">
      <formula>L$9&gt;=20/24</formula>
    </cfRule>
    <cfRule type="expression" dxfId="2099" priority="38">
      <formula>AND(L$9&gt;=14/24,L$9&lt;20/24)</formula>
    </cfRule>
    <cfRule type="expression" dxfId="2098" priority="39">
      <formula>AND(L$9&gt;=8/24,L$9&lt;14/24)</formula>
    </cfRule>
    <cfRule type="expression" dxfId="2097" priority="40">
      <formula>L$9&lt;8/24</formula>
    </cfRule>
  </conditionalFormatting>
  <conditionalFormatting sqref="L32:P32">
    <cfRule type="expression" dxfId="2096" priority="33">
      <formula>L$9&gt;=20/24</formula>
    </cfRule>
    <cfRule type="expression" dxfId="2095" priority="34">
      <formula>AND(L$9&gt;=14/24,L$9&lt;20/24)</formula>
    </cfRule>
    <cfRule type="expression" dxfId="2094" priority="35">
      <formula>AND(L$9&gt;=8/24,L$9&lt;14/24)</formula>
    </cfRule>
    <cfRule type="expression" dxfId="2093" priority="36">
      <formula>L$9&lt;8/24</formula>
    </cfRule>
  </conditionalFormatting>
  <conditionalFormatting sqref="L32:P32">
    <cfRule type="expression" dxfId="2092" priority="32">
      <formula>L32&gt;$AG32</formula>
    </cfRule>
  </conditionalFormatting>
  <conditionalFormatting sqref="L14:P14">
    <cfRule type="expression" dxfId="2091" priority="28">
      <formula>L$9&gt;=20/24</formula>
    </cfRule>
    <cfRule type="expression" dxfId="2090" priority="29">
      <formula>AND(L$9&gt;=14/24,L$9&lt;20/24)</formula>
    </cfRule>
    <cfRule type="expression" dxfId="2089" priority="30">
      <formula>AND(L$9&gt;=8/24,L$9&lt;14/24)</formula>
    </cfRule>
    <cfRule type="expression" dxfId="2088" priority="31">
      <formula>L$9&lt;8/24</formula>
    </cfRule>
  </conditionalFormatting>
  <conditionalFormatting sqref="L14:P14">
    <cfRule type="expression" dxfId="2087" priority="27">
      <formula>L14&gt;$AG14</formula>
    </cfRule>
  </conditionalFormatting>
  <conditionalFormatting sqref="L37:M40 L43:M46">
    <cfRule type="expression" dxfId="2086" priority="23">
      <formula>L$9&gt;=20/24</formula>
    </cfRule>
    <cfRule type="expression" dxfId="2085" priority="24">
      <formula>AND(L$9&gt;=14/24,L$9&lt;20/24)</formula>
    </cfRule>
    <cfRule type="expression" dxfId="2084" priority="25">
      <formula>AND(L$9&gt;=8/24,L$9&lt;14/24)</formula>
    </cfRule>
    <cfRule type="expression" dxfId="2083" priority="26">
      <formula>L$9&lt;8/24</formula>
    </cfRule>
  </conditionalFormatting>
  <conditionalFormatting sqref="L41:M41">
    <cfRule type="expression" dxfId="2082" priority="19">
      <formula>L$9&gt;=20/24</formula>
    </cfRule>
    <cfRule type="expression" dxfId="2081" priority="20">
      <formula>AND(L$9&gt;=14/24,L$9&lt;20/24)</formula>
    </cfRule>
    <cfRule type="expression" dxfId="2080" priority="21">
      <formula>AND(L$9&gt;=8/24,L$9&lt;14/24)</formula>
    </cfRule>
    <cfRule type="expression" dxfId="2079" priority="22">
      <formula>L$9&lt;8/24</formula>
    </cfRule>
  </conditionalFormatting>
  <conditionalFormatting sqref="L47:M47">
    <cfRule type="expression" dxfId="2078" priority="15">
      <formula>L$9&gt;=20/24</formula>
    </cfRule>
    <cfRule type="expression" dxfId="2077" priority="16">
      <formula>AND(L$9&gt;=14/24,L$9&lt;20/24)</formula>
    </cfRule>
    <cfRule type="expression" dxfId="2076" priority="17">
      <formula>AND(L$9&gt;=8/24,L$9&lt;14/24)</formula>
    </cfRule>
    <cfRule type="expression" dxfId="2075" priority="18">
      <formula>L$9&lt;8/24</formula>
    </cfRule>
  </conditionalFormatting>
  <conditionalFormatting sqref="L48:M48">
    <cfRule type="expression" dxfId="2074" priority="11">
      <formula>L$9&gt;=20/24</formula>
    </cfRule>
    <cfRule type="expression" dxfId="2073" priority="12">
      <formula>AND(L$9&gt;=14/24,L$9&lt;20/24)</formula>
    </cfRule>
    <cfRule type="expression" dxfId="2072" priority="13">
      <formula>AND(L$9&gt;=8/24,L$9&lt;14/24)</formula>
    </cfRule>
    <cfRule type="expression" dxfId="2071" priority="14">
      <formula>L$9&lt;8/24</formula>
    </cfRule>
  </conditionalFormatting>
  <conditionalFormatting sqref="L43:M46">
    <cfRule type="expression" dxfId="2070" priority="7">
      <formula>L$9&gt;=20/24</formula>
    </cfRule>
    <cfRule type="expression" dxfId="2069" priority="8">
      <formula>AND(L$9&gt;=14/24,L$9&lt;20/24)</formula>
    </cfRule>
    <cfRule type="expression" dxfId="2068" priority="9">
      <formula>AND(L$9&gt;=8/24,L$9&lt;14/24)</formula>
    </cfRule>
    <cfRule type="expression" dxfId="2067" priority="10">
      <formula>L$9&lt;8/24</formula>
    </cfRule>
  </conditionalFormatting>
  <conditionalFormatting sqref="L43:M48 L37:M41">
    <cfRule type="expression" dxfId="2066" priority="6">
      <formula>L37&gt;$AG37</formula>
    </cfRule>
  </conditionalFormatting>
  <conditionalFormatting sqref="L42:M42">
    <cfRule type="expression" dxfId="2065" priority="2">
      <formula>L$9&gt;=20/24</formula>
    </cfRule>
    <cfRule type="expression" dxfId="2064" priority="3">
      <formula>AND(L$9&gt;=14/24,L$9&lt;20/24)</formula>
    </cfRule>
    <cfRule type="expression" dxfId="2063" priority="4">
      <formula>AND(L$9&gt;=8/24,L$9&lt;14/24)</formula>
    </cfRule>
    <cfRule type="expression" dxfId="2062" priority="5">
      <formula>L$9&lt;8/24</formula>
    </cfRule>
  </conditionalFormatting>
  <conditionalFormatting sqref="L42:M42">
    <cfRule type="expression" dxfId="2061" priority="1">
      <formula>L42&gt;$AG42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AJ1" sqref="AJ1:AL1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38" width="21.7109375" customWidth="1"/>
    <col min="39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K1" t="s">
        <v>232</v>
      </c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227</v>
      </c>
      <c r="AL2" s="194">
        <f>(440-AJ50)*24</f>
        <v>901.82709677419325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7</v>
      </c>
      <c r="AL3" s="195">
        <f>(1050-AJ36)*24-AL4</f>
        <v>723.52258064516627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2078/04/27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233</v>
      </c>
      <c r="AL4" s="196">
        <f>(456-AJ11)*24</f>
        <v>824.5161290322585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-404</v>
      </c>
      <c r="C5" s="32">
        <f t="shared" ref="C5:AF5" si="0">C66</f>
        <v>-386</v>
      </c>
      <c r="D5" s="32">
        <f t="shared" si="0"/>
        <v>-397</v>
      </c>
      <c r="E5" s="32">
        <f t="shared" si="0"/>
        <v>-387.40000000000003</v>
      </c>
      <c r="F5" s="32">
        <f t="shared" si="0"/>
        <v>-388.3</v>
      </c>
      <c r="G5" s="32">
        <f t="shared" si="0"/>
        <v>-392</v>
      </c>
      <c r="H5" s="32">
        <f t="shared" si="0"/>
        <v>-407.1</v>
      </c>
      <c r="I5" s="32">
        <f t="shared" si="0"/>
        <v>-385.2</v>
      </c>
      <c r="J5" s="32">
        <f t="shared" si="0"/>
        <v>-381.09999999999997</v>
      </c>
      <c r="K5" s="32">
        <f t="shared" si="0"/>
        <v>-371.1</v>
      </c>
      <c r="L5" s="32">
        <f t="shared" si="0"/>
        <v>-354.5</v>
      </c>
      <c r="M5" s="32">
        <f t="shared" si="0"/>
        <v>-348.00000000000006</v>
      </c>
      <c r="N5" s="32">
        <f t="shared" si="0"/>
        <v>-334.2</v>
      </c>
      <c r="O5" s="32">
        <f t="shared" si="0"/>
        <v>-330.3</v>
      </c>
      <c r="P5" s="32">
        <f t="shared" si="0"/>
        <v>-349.70000000000005</v>
      </c>
      <c r="Q5" s="32">
        <f t="shared" si="0"/>
        <v>-84.1</v>
      </c>
      <c r="R5" s="32">
        <f t="shared" si="0"/>
        <v>-398.9</v>
      </c>
      <c r="S5" s="32">
        <f t="shared" si="0"/>
        <v>-367</v>
      </c>
      <c r="T5" s="32">
        <f t="shared" si="0"/>
        <v>-348.8</v>
      </c>
      <c r="U5" s="32">
        <f t="shared" si="0"/>
        <v>-387.2</v>
      </c>
      <c r="V5" s="32">
        <f t="shared" si="0"/>
        <v>-336</v>
      </c>
      <c r="W5" s="32">
        <f t="shared" si="0"/>
        <v>-257.89999999999998</v>
      </c>
      <c r="X5" s="32">
        <f t="shared" si="0"/>
        <v>-171.3</v>
      </c>
      <c r="Y5" s="32">
        <f t="shared" si="0"/>
        <v>-247.60000000000002</v>
      </c>
      <c r="Z5" s="32">
        <f t="shared" si="0"/>
        <v>-259.7</v>
      </c>
      <c r="AA5" s="32">
        <f t="shared" si="0"/>
        <v>-246.9</v>
      </c>
      <c r="AB5" s="32">
        <f t="shared" si="0"/>
        <v>-265</v>
      </c>
      <c r="AC5" s="32">
        <f t="shared" si="0"/>
        <v>-296.5</v>
      </c>
      <c r="AD5" s="32">
        <f t="shared" si="0"/>
        <v>-265</v>
      </c>
      <c r="AE5" s="32">
        <f t="shared" si="0"/>
        <v>-325</v>
      </c>
      <c r="AF5" s="32">
        <f t="shared" si="0"/>
        <v>-377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1005MW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Load=967</v>
      </c>
      <c r="B7" s="37">
        <f t="shared" ref="B7:AF7" si="1">B73</f>
        <v>1063.04</v>
      </c>
      <c r="C7" s="37">
        <f t="shared" si="1"/>
        <v>1006.74</v>
      </c>
      <c r="D7" s="37">
        <f t="shared" si="1"/>
        <v>999.1400000000001</v>
      </c>
      <c r="E7" s="37">
        <f t="shared" si="1"/>
        <v>984.64</v>
      </c>
      <c r="F7" s="37">
        <f t="shared" si="1"/>
        <v>987.54</v>
      </c>
      <c r="G7" s="37">
        <f t="shared" si="1"/>
        <v>1005.24</v>
      </c>
      <c r="H7" s="37">
        <f t="shared" si="1"/>
        <v>985.74</v>
      </c>
      <c r="I7" s="37">
        <f t="shared" si="1"/>
        <v>967.24</v>
      </c>
      <c r="J7" s="37">
        <f t="shared" si="1"/>
        <v>969.6400000000001</v>
      </c>
      <c r="K7" s="37">
        <f t="shared" si="1"/>
        <v>972.04</v>
      </c>
      <c r="L7" s="37">
        <f>L73</f>
        <v>989.44</v>
      </c>
      <c r="M7" s="37">
        <f t="shared" si="1"/>
        <v>998.64</v>
      </c>
      <c r="N7" s="37">
        <f t="shared" si="1"/>
        <v>1003.54</v>
      </c>
      <c r="O7" s="37">
        <f t="shared" si="1"/>
        <v>1052.8399999999999</v>
      </c>
      <c r="P7" s="37">
        <f t="shared" si="1"/>
        <v>1031.24</v>
      </c>
      <c r="Q7" s="37">
        <f t="shared" si="1"/>
        <v>1002.24</v>
      </c>
      <c r="R7" s="37">
        <f t="shared" si="1"/>
        <v>1013.99</v>
      </c>
      <c r="S7" s="37">
        <f t="shared" si="1"/>
        <v>971.09</v>
      </c>
      <c r="T7" s="37">
        <f t="shared" si="1"/>
        <v>989.29</v>
      </c>
      <c r="U7" s="37">
        <f t="shared" si="1"/>
        <v>996.19</v>
      </c>
      <c r="V7" s="37">
        <f t="shared" si="1"/>
        <v>1068.29</v>
      </c>
      <c r="W7" s="37">
        <f t="shared" si="1"/>
        <v>1200.8399999999999</v>
      </c>
      <c r="X7" s="37">
        <f t="shared" si="1"/>
        <v>1298.04</v>
      </c>
      <c r="Y7" s="37">
        <f t="shared" si="1"/>
        <v>1293.04</v>
      </c>
      <c r="Z7" s="37">
        <f t="shared" si="1"/>
        <v>1285.6400000000001</v>
      </c>
      <c r="AA7" s="37">
        <f t="shared" si="1"/>
        <v>1261.3400000000001</v>
      </c>
      <c r="AB7" s="37">
        <f t="shared" si="1"/>
        <v>1275.54</v>
      </c>
      <c r="AC7" s="37">
        <f t="shared" si="1"/>
        <v>1242.04</v>
      </c>
      <c r="AD7" s="37">
        <f t="shared" si="1"/>
        <v>1142.44</v>
      </c>
      <c r="AE7" s="37">
        <f t="shared" si="1"/>
        <v>1059.1400000000001</v>
      </c>
      <c r="AF7" s="37">
        <f t="shared" si="1"/>
        <v>1006.34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456</v>
      </c>
      <c r="C11" s="49">
        <v>420</v>
      </c>
      <c r="D11" s="49">
        <v>440</v>
      </c>
      <c r="E11" s="49">
        <v>440</v>
      </c>
      <c r="F11" s="49">
        <v>440</v>
      </c>
      <c r="G11" s="49">
        <v>440</v>
      </c>
      <c r="H11" s="49">
        <v>440</v>
      </c>
      <c r="I11" s="49">
        <v>400</v>
      </c>
      <c r="J11" s="49">
        <v>400</v>
      </c>
      <c r="K11" s="49">
        <v>400</v>
      </c>
      <c r="L11" s="50">
        <v>400</v>
      </c>
      <c r="M11" s="50">
        <v>400</v>
      </c>
      <c r="N11" s="50">
        <v>400</v>
      </c>
      <c r="O11" s="50">
        <v>456</v>
      </c>
      <c r="P11" s="50">
        <v>456</v>
      </c>
      <c r="Q11" s="51">
        <v>200</v>
      </c>
      <c r="R11" s="51">
        <v>456</v>
      </c>
      <c r="S11" s="51">
        <v>400</v>
      </c>
      <c r="T11" s="51">
        <v>400</v>
      </c>
      <c r="U11" s="51">
        <v>450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115">
        <v>425</v>
      </c>
      <c r="AB11" s="115">
        <v>456</v>
      </c>
      <c r="AC11" s="115">
        <v>456</v>
      </c>
      <c r="AD11" s="115">
        <v>400</v>
      </c>
      <c r="AE11" s="49">
        <v>380</v>
      </c>
      <c r="AF11" s="49">
        <v>380</v>
      </c>
      <c r="AG11" s="54">
        <v>456</v>
      </c>
      <c r="AH11" s="55">
        <f>MAX(B11:AF11)</f>
        <v>456</v>
      </c>
      <c r="AI11" s="56">
        <f>MIN(B11:AF11)</f>
        <v>200</v>
      </c>
      <c r="AJ11" s="176">
        <f>AVERAGE(B11:AF11)</f>
        <v>421.64516129032256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49">
        <v>60</v>
      </c>
      <c r="Z12" s="49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45.6</v>
      </c>
      <c r="C14" s="62">
        <v>38</v>
      </c>
      <c r="D14" s="62">
        <v>37.9</v>
      </c>
      <c r="E14" s="62">
        <v>37.9</v>
      </c>
      <c r="F14" s="62">
        <v>37.9</v>
      </c>
      <c r="G14" s="62">
        <v>37.9</v>
      </c>
      <c r="H14" s="62">
        <v>37.9</v>
      </c>
      <c r="I14" s="62">
        <v>37.9</v>
      </c>
      <c r="J14" s="62">
        <v>37.9</v>
      </c>
      <c r="K14" s="62">
        <v>37.9</v>
      </c>
      <c r="L14" s="50">
        <v>45.9</v>
      </c>
      <c r="M14" s="50">
        <v>45.9</v>
      </c>
      <c r="N14" s="50">
        <v>45.8</v>
      </c>
      <c r="O14" s="50">
        <v>45.8</v>
      </c>
      <c r="P14" s="50">
        <v>45.8</v>
      </c>
      <c r="Q14" s="50">
        <v>45.8</v>
      </c>
      <c r="R14" s="50">
        <v>45.9</v>
      </c>
      <c r="S14" s="50">
        <v>45.3</v>
      </c>
      <c r="T14" s="50">
        <v>45.3</v>
      </c>
      <c r="U14" s="50">
        <v>45.3</v>
      </c>
      <c r="V14" s="50">
        <v>45.3</v>
      </c>
      <c r="W14" s="50">
        <v>45.3</v>
      </c>
      <c r="X14" s="50">
        <v>25</v>
      </c>
      <c r="Y14" s="50">
        <v>46</v>
      </c>
      <c r="Z14" s="50">
        <v>46</v>
      </c>
      <c r="AA14" s="50">
        <v>46</v>
      </c>
      <c r="AB14" s="50">
        <v>46</v>
      </c>
      <c r="AC14" s="50">
        <v>46</v>
      </c>
      <c r="AD14" s="50">
        <v>46</v>
      </c>
      <c r="AE14" s="50">
        <v>46</v>
      </c>
      <c r="AF14" s="50">
        <v>46</v>
      </c>
      <c r="AG14" s="63">
        <v>45</v>
      </c>
      <c r="AH14" s="55">
        <f t="shared" si="2"/>
        <v>46</v>
      </c>
      <c r="AI14" s="56">
        <f t="shared" si="3"/>
        <v>25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20</v>
      </c>
      <c r="E15" s="49">
        <v>20</v>
      </c>
      <c r="F15" s="49">
        <v>20</v>
      </c>
      <c r="G15" s="49">
        <v>20</v>
      </c>
      <c r="H15" s="49">
        <v>20</v>
      </c>
      <c r="I15" s="49">
        <v>20</v>
      </c>
      <c r="J15" s="49">
        <v>20</v>
      </c>
      <c r="K15" s="49">
        <v>20</v>
      </c>
      <c r="L15" s="50">
        <v>20</v>
      </c>
      <c r="M15" s="50">
        <v>20</v>
      </c>
      <c r="N15" s="50">
        <v>20</v>
      </c>
      <c r="O15" s="50">
        <v>20</v>
      </c>
      <c r="P15" s="50">
        <v>20</v>
      </c>
      <c r="Q15" s="50">
        <v>20</v>
      </c>
      <c r="R15" s="50">
        <v>20</v>
      </c>
      <c r="S15" s="50">
        <v>20</v>
      </c>
      <c r="T15" s="50">
        <v>20</v>
      </c>
      <c r="U15" s="50">
        <v>20</v>
      </c>
      <c r="V15" s="50">
        <v>20</v>
      </c>
      <c r="W15" s="50">
        <v>22</v>
      </c>
      <c r="X15" s="84">
        <v>26</v>
      </c>
      <c r="Y15" s="84">
        <v>30</v>
      </c>
      <c r="Z15" s="84">
        <v>30</v>
      </c>
      <c r="AA15" s="50">
        <v>30</v>
      </c>
      <c r="AB15" s="50">
        <v>30</v>
      </c>
      <c r="AC15" s="50">
        <v>30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30</v>
      </c>
      <c r="AI15" s="56">
        <f t="shared" si="3"/>
        <v>20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25.9</v>
      </c>
      <c r="C18" s="49">
        <v>20</v>
      </c>
      <c r="D18" s="49">
        <v>20.5</v>
      </c>
      <c r="E18" s="49">
        <v>20.5</v>
      </c>
      <c r="F18" s="49">
        <v>20.5</v>
      </c>
      <c r="G18" s="49">
        <v>20.5</v>
      </c>
      <c r="H18" s="49">
        <v>20.5</v>
      </c>
      <c r="I18" s="49">
        <v>20.5</v>
      </c>
      <c r="J18" s="49">
        <v>20.5</v>
      </c>
      <c r="K18" s="49">
        <v>20.5</v>
      </c>
      <c r="L18" s="50">
        <v>20.5</v>
      </c>
      <c r="M18" s="50">
        <v>20.5</v>
      </c>
      <c r="N18" s="50">
        <v>20.5</v>
      </c>
      <c r="O18" s="50">
        <v>20.5</v>
      </c>
      <c r="P18" s="50">
        <v>20.5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25.9</v>
      </c>
      <c r="AB18" s="50">
        <v>25.9</v>
      </c>
      <c r="AC18" s="50">
        <v>25.9</v>
      </c>
      <c r="AD18" s="50">
        <v>25.9</v>
      </c>
      <c r="AE18" s="50">
        <v>25.9</v>
      </c>
      <c r="AF18" s="50">
        <v>25.9</v>
      </c>
      <c r="AG18" s="60">
        <v>30</v>
      </c>
      <c r="AH18" s="55">
        <f t="shared" si="2"/>
        <v>25.9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0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18.25</v>
      </c>
      <c r="S23" s="50">
        <v>18.25</v>
      </c>
      <c r="T23" s="50">
        <v>18.25</v>
      </c>
      <c r="U23" s="50">
        <v>18.25</v>
      </c>
      <c r="V23" s="50">
        <v>18.25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0">
        <v>25</v>
      </c>
      <c r="AH23" s="55">
        <f t="shared" si="2"/>
        <v>22</v>
      </c>
      <c r="AI23" s="56">
        <f t="shared" si="3"/>
        <v>18.25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20</v>
      </c>
      <c r="C25" s="49">
        <v>10</v>
      </c>
      <c r="D25" s="49">
        <v>10</v>
      </c>
      <c r="E25" s="49">
        <v>5</v>
      </c>
      <c r="F25" s="49">
        <v>5</v>
      </c>
      <c r="G25" s="49">
        <v>5</v>
      </c>
      <c r="H25" s="49">
        <v>5</v>
      </c>
      <c r="I25" s="49">
        <v>5</v>
      </c>
      <c r="J25" s="49">
        <v>5</v>
      </c>
      <c r="K25" s="49">
        <v>5</v>
      </c>
      <c r="L25" s="50">
        <v>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19</v>
      </c>
      <c r="Z25" s="50">
        <v>19</v>
      </c>
      <c r="AA25" s="50">
        <v>19</v>
      </c>
      <c r="AB25" s="50">
        <v>19</v>
      </c>
      <c r="AC25" s="50">
        <v>17</v>
      </c>
      <c r="AD25" s="50">
        <v>10</v>
      </c>
      <c r="AE25" s="50">
        <v>10</v>
      </c>
      <c r="AF25" s="50">
        <v>10</v>
      </c>
      <c r="AG25" s="60">
        <v>20</v>
      </c>
      <c r="AH25" s="55">
        <f t="shared" si="2"/>
        <v>20</v>
      </c>
      <c r="AI25" s="56">
        <f t="shared" si="3"/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8</v>
      </c>
      <c r="C26" s="49">
        <v>8</v>
      </c>
      <c r="D26" s="49">
        <v>8</v>
      </c>
      <c r="E26" s="49">
        <v>8</v>
      </c>
      <c r="F26" s="49">
        <v>8</v>
      </c>
      <c r="G26" s="49">
        <v>8</v>
      </c>
      <c r="H26" s="49">
        <v>8</v>
      </c>
      <c r="I26" s="49">
        <v>8</v>
      </c>
      <c r="J26" s="49">
        <v>8</v>
      </c>
      <c r="K26" s="49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49">
        <v>8</v>
      </c>
      <c r="AB26" s="49">
        <v>8</v>
      </c>
      <c r="AC26" s="49">
        <v>8</v>
      </c>
      <c r="AD26" s="49">
        <v>8</v>
      </c>
      <c r="AE26" s="49">
        <v>8</v>
      </c>
      <c r="AF26" s="49">
        <v>8</v>
      </c>
      <c r="AG26" s="60">
        <v>23.5</v>
      </c>
      <c r="AH26" s="55">
        <f t="shared" si="2"/>
        <v>8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11</v>
      </c>
      <c r="C28" s="49">
        <v>11</v>
      </c>
      <c r="D28" s="49">
        <v>11</v>
      </c>
      <c r="E28" s="49">
        <v>11</v>
      </c>
      <c r="F28" s="49">
        <v>11</v>
      </c>
      <c r="G28" s="49">
        <v>11</v>
      </c>
      <c r="H28" s="49">
        <v>11</v>
      </c>
      <c r="I28" s="49">
        <v>11</v>
      </c>
      <c r="J28" s="49">
        <v>11</v>
      </c>
      <c r="K28" s="49">
        <v>11</v>
      </c>
      <c r="L28" s="50">
        <v>11</v>
      </c>
      <c r="M28" s="50">
        <v>11</v>
      </c>
      <c r="N28" s="50">
        <v>11</v>
      </c>
      <c r="O28" s="50">
        <v>11</v>
      </c>
      <c r="P28" s="50">
        <v>11</v>
      </c>
      <c r="Q28" s="50">
        <v>11</v>
      </c>
      <c r="R28" s="50">
        <v>11</v>
      </c>
      <c r="S28" s="50">
        <v>11</v>
      </c>
      <c r="T28" s="50">
        <v>11</v>
      </c>
      <c r="U28" s="50">
        <v>11</v>
      </c>
      <c r="V28" s="50">
        <v>11</v>
      </c>
      <c r="W28" s="50">
        <v>11</v>
      </c>
      <c r="X28" s="50">
        <v>11</v>
      </c>
      <c r="Y28" s="50">
        <v>11</v>
      </c>
      <c r="Z28" s="50">
        <v>11</v>
      </c>
      <c r="AA28" s="50">
        <v>11</v>
      </c>
      <c r="AB28" s="50">
        <v>11</v>
      </c>
      <c r="AC28" s="50">
        <v>11</v>
      </c>
      <c r="AD28" s="50">
        <v>11</v>
      </c>
      <c r="AE28" s="50">
        <v>11</v>
      </c>
      <c r="AF28" s="50">
        <v>11</v>
      </c>
      <c r="AG28" s="60">
        <v>22.1</v>
      </c>
      <c r="AH28" s="55">
        <f t="shared" si="2"/>
        <v>11</v>
      </c>
      <c r="AI28" s="56">
        <f t="shared" si="3"/>
        <v>11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8</v>
      </c>
      <c r="F29" s="49">
        <v>8</v>
      </c>
      <c r="G29" s="49">
        <v>8</v>
      </c>
      <c r="H29" s="49">
        <v>8</v>
      </c>
      <c r="I29" s="49">
        <v>8</v>
      </c>
      <c r="J29" s="49">
        <v>8</v>
      </c>
      <c r="K29" s="49">
        <v>8</v>
      </c>
      <c r="L29" s="50">
        <v>8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8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62">
        <v>150</v>
      </c>
      <c r="C35" s="62">
        <v>150</v>
      </c>
      <c r="D35" s="62">
        <f>85.5+64.7</f>
        <v>150.19999999999999</v>
      </c>
      <c r="E35" s="62">
        <v>150</v>
      </c>
      <c r="F35" s="62">
        <f>85+65.4</f>
        <v>150.4</v>
      </c>
      <c r="G35" s="62">
        <f>85+65.3</f>
        <v>150.30000000000001</v>
      </c>
      <c r="H35" s="62">
        <f>84.6+65.2</f>
        <v>149.80000000000001</v>
      </c>
      <c r="I35" s="62">
        <f>84+64.9</f>
        <v>148.9</v>
      </c>
      <c r="J35" s="62">
        <f>84.6+65</f>
        <v>149.6</v>
      </c>
      <c r="K35" s="62">
        <f>84.2+65.1</f>
        <v>149.30000000000001</v>
      </c>
      <c r="L35" s="70">
        <f>65.3+83.8</f>
        <v>149.1</v>
      </c>
      <c r="M35" s="70">
        <f>65.4+85.7</f>
        <v>151.10000000000002</v>
      </c>
      <c r="N35" s="70">
        <f>65.4+85.7</f>
        <v>151.10000000000002</v>
      </c>
      <c r="O35" s="70">
        <v>150.69999999999999</v>
      </c>
      <c r="P35" s="70">
        <v>150.69999999999999</v>
      </c>
      <c r="Q35" s="70">
        <v>150.69999999999999</v>
      </c>
      <c r="R35" s="70">
        <v>139.30000000000001</v>
      </c>
      <c r="S35" s="70">
        <v>139.30000000000001</v>
      </c>
      <c r="T35" s="70">
        <v>148.9</v>
      </c>
      <c r="U35" s="70">
        <v>149.1</v>
      </c>
      <c r="V35" s="70">
        <v>148</v>
      </c>
      <c r="W35" s="70">
        <v>145</v>
      </c>
      <c r="X35" s="70">
        <v>143</v>
      </c>
      <c r="Y35" s="70">
        <v>143</v>
      </c>
      <c r="Z35" s="70">
        <v>142</v>
      </c>
      <c r="AA35" s="70">
        <f>59.2+81.2</f>
        <v>140.4</v>
      </c>
      <c r="AB35" s="70">
        <f>59.2+81.2</f>
        <v>140.4</v>
      </c>
      <c r="AC35" s="70">
        <v>142</v>
      </c>
      <c r="AD35" s="70">
        <v>142</v>
      </c>
      <c r="AE35" s="70">
        <v>142</v>
      </c>
      <c r="AF35" s="70">
        <v>142</v>
      </c>
      <c r="AG35" s="67">
        <v>240</v>
      </c>
      <c r="AH35" s="55">
        <f t="shared" si="2"/>
        <v>151.10000000000002</v>
      </c>
      <c r="AI35" s="56">
        <f t="shared" si="3"/>
        <v>139.30000000000001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1041.7</v>
      </c>
      <c r="C36" s="72">
        <f t="shared" si="4"/>
        <v>982.2</v>
      </c>
      <c r="D36" s="72">
        <f t="shared" si="4"/>
        <v>996.6</v>
      </c>
      <c r="E36" s="72">
        <f t="shared" si="4"/>
        <v>987.6</v>
      </c>
      <c r="F36" s="72">
        <f t="shared" si="4"/>
        <v>987.6</v>
      </c>
      <c r="G36" s="72">
        <f t="shared" si="4"/>
        <v>987.6</v>
      </c>
      <c r="H36" s="72">
        <f t="shared" si="4"/>
        <v>987.6</v>
      </c>
      <c r="I36" s="72">
        <f t="shared" si="4"/>
        <v>947.6</v>
      </c>
      <c r="J36" s="72">
        <f t="shared" si="4"/>
        <v>947.6</v>
      </c>
      <c r="K36" s="72">
        <f t="shared" si="4"/>
        <v>947.6</v>
      </c>
      <c r="L36" s="72">
        <f t="shared" si="4"/>
        <v>955.6</v>
      </c>
      <c r="M36" s="72">
        <f t="shared" si="4"/>
        <v>959.6</v>
      </c>
      <c r="N36" s="72">
        <f t="shared" si="4"/>
        <v>959.5</v>
      </c>
      <c r="O36" s="72">
        <f t="shared" si="4"/>
        <v>1015.5</v>
      </c>
      <c r="P36" s="72">
        <f t="shared" si="4"/>
        <v>1015.5</v>
      </c>
      <c r="Q36" s="72">
        <f t="shared" si="4"/>
        <v>764</v>
      </c>
      <c r="R36" s="72">
        <f t="shared" si="4"/>
        <v>1016.35</v>
      </c>
      <c r="S36" s="72">
        <f t="shared" si="4"/>
        <v>959.75</v>
      </c>
      <c r="T36" s="72">
        <f t="shared" si="4"/>
        <v>959.75</v>
      </c>
      <c r="U36" s="72">
        <f t="shared" si="4"/>
        <v>1009.75</v>
      </c>
      <c r="V36" s="72">
        <f t="shared" si="4"/>
        <v>1015.75</v>
      </c>
      <c r="W36" s="72">
        <f t="shared" si="4"/>
        <v>1021.5</v>
      </c>
      <c r="X36" s="72">
        <f t="shared" si="4"/>
        <v>1005.2</v>
      </c>
      <c r="Y36" s="72">
        <f t="shared" si="4"/>
        <v>1044.2</v>
      </c>
      <c r="Z36" s="72">
        <f t="shared" si="4"/>
        <v>1044.2</v>
      </c>
      <c r="AA36" s="72">
        <f t="shared" si="4"/>
        <v>1014.1</v>
      </c>
      <c r="AB36" s="72">
        <f t="shared" si="4"/>
        <v>1045.0999999999999</v>
      </c>
      <c r="AC36" s="72">
        <f t="shared" si="4"/>
        <v>1043.0999999999999</v>
      </c>
      <c r="AD36" s="72">
        <f t="shared" si="4"/>
        <v>976.1</v>
      </c>
      <c r="AE36" s="72">
        <f t="shared" si="4"/>
        <v>956.1</v>
      </c>
      <c r="AF36" s="72">
        <f t="shared" si="4"/>
        <v>956.1</v>
      </c>
      <c r="AG36" s="67">
        <f>SUM(AG11:AG35)</f>
        <v>1431.83</v>
      </c>
      <c r="AH36" s="55">
        <f t="shared" si="2"/>
        <v>1045.0999999999999</v>
      </c>
      <c r="AI36" s="56">
        <f t="shared" si="3"/>
        <v>764</v>
      </c>
      <c r="AJ36" s="1">
        <f>AVERAGE(B36:AF36)</f>
        <v>985.49838709677397</v>
      </c>
      <c r="AK36" s="57"/>
      <c r="AL36" s="176">
        <f>(AB36+AB50+AB54)</f>
        <v>1540.54</v>
      </c>
    </row>
    <row r="37" spans="1:88" x14ac:dyDescent="0.25">
      <c r="A37" s="58" t="s">
        <v>44</v>
      </c>
      <c r="B37" s="62">
        <v>145</v>
      </c>
      <c r="C37" s="62">
        <v>126</v>
      </c>
      <c r="D37" s="62">
        <v>126.4</v>
      </c>
      <c r="E37" s="62">
        <v>121.4</v>
      </c>
      <c r="F37" s="62">
        <v>121.4</v>
      </c>
      <c r="G37" s="62">
        <v>131</v>
      </c>
      <c r="H37" s="62">
        <v>131.19999999999999</v>
      </c>
      <c r="I37" s="62">
        <v>131.4</v>
      </c>
      <c r="J37" s="62">
        <v>131.1</v>
      </c>
      <c r="K37" s="62">
        <v>128.1</v>
      </c>
      <c r="L37" s="50">
        <v>126.2</v>
      </c>
      <c r="M37" s="50">
        <v>126.4</v>
      </c>
      <c r="N37" s="50">
        <v>121.5</v>
      </c>
      <c r="O37" s="50">
        <v>125</v>
      </c>
      <c r="P37" s="50">
        <v>121.3</v>
      </c>
      <c r="Q37" s="50">
        <v>103.1</v>
      </c>
      <c r="R37" s="50">
        <v>121.4</v>
      </c>
      <c r="S37" s="50">
        <v>121.4</v>
      </c>
      <c r="T37" s="50">
        <v>121.4</v>
      </c>
      <c r="U37" s="50">
        <v>121.4</v>
      </c>
      <c r="V37" s="50">
        <v>131</v>
      </c>
      <c r="W37" s="50">
        <v>145</v>
      </c>
      <c r="X37" s="50">
        <v>145.5</v>
      </c>
      <c r="Y37" s="50">
        <v>145.5</v>
      </c>
      <c r="Z37" s="50">
        <v>145.6</v>
      </c>
      <c r="AA37" s="50">
        <v>145.69999999999999</v>
      </c>
      <c r="AB37" s="50">
        <v>145.4</v>
      </c>
      <c r="AC37" s="50">
        <v>145.4</v>
      </c>
      <c r="AD37" s="50">
        <v>145.4</v>
      </c>
      <c r="AE37" s="50">
        <v>145.4</v>
      </c>
      <c r="AF37" s="50">
        <v>145.4</v>
      </c>
      <c r="AG37" s="63">
        <v>144</v>
      </c>
      <c r="AH37" s="55">
        <f t="shared" si="2"/>
        <v>145.69999999999999</v>
      </c>
      <c r="AI37" s="56">
        <f t="shared" si="3"/>
        <v>103.1</v>
      </c>
      <c r="AJ37" s="1">
        <f>AVERAGE(B37:AF37)</f>
        <v>131.8516129032258</v>
      </c>
      <c r="AK37" s="57"/>
      <c r="AL37" s="176">
        <f>AL36+AB66</f>
        <v>1275.54</v>
      </c>
    </row>
    <row r="38" spans="1:88" x14ac:dyDescent="0.25">
      <c r="A38" s="66" t="s">
        <v>45</v>
      </c>
      <c r="B38" s="62">
        <v>70</v>
      </c>
      <c r="C38" s="62">
        <v>71</v>
      </c>
      <c r="D38" s="62">
        <v>61</v>
      </c>
      <c r="E38" s="62">
        <v>61.3</v>
      </c>
      <c r="F38" s="62">
        <v>63.1</v>
      </c>
      <c r="G38" s="62">
        <v>63.3</v>
      </c>
      <c r="H38" s="62">
        <v>61.5</v>
      </c>
      <c r="I38" s="62">
        <v>61.8</v>
      </c>
      <c r="J38" s="62">
        <v>61</v>
      </c>
      <c r="K38" s="62">
        <v>61</v>
      </c>
      <c r="L38" s="52">
        <v>60.7</v>
      </c>
      <c r="M38" s="52">
        <v>59.7</v>
      </c>
      <c r="N38" s="52">
        <v>55.6</v>
      </c>
      <c r="O38" s="52">
        <v>60</v>
      </c>
      <c r="P38" s="52">
        <v>60</v>
      </c>
      <c r="Q38" s="52">
        <v>55</v>
      </c>
      <c r="R38" s="52">
        <v>60.2</v>
      </c>
      <c r="S38" s="52">
        <v>52</v>
      </c>
      <c r="T38" s="52">
        <v>52</v>
      </c>
      <c r="U38" s="52">
        <v>50.4</v>
      </c>
      <c r="V38" s="52">
        <v>52</v>
      </c>
      <c r="W38" s="52">
        <v>67.400000000000006</v>
      </c>
      <c r="X38" s="52">
        <v>67.8</v>
      </c>
      <c r="Y38" s="52">
        <v>67.8</v>
      </c>
      <c r="Z38" s="52">
        <v>69.599999999999994</v>
      </c>
      <c r="AA38" s="52">
        <v>67.599999999999994</v>
      </c>
      <c r="AB38" s="52">
        <v>69.8</v>
      </c>
      <c r="AC38" s="52">
        <v>69.8</v>
      </c>
      <c r="AD38" s="52">
        <v>69.8</v>
      </c>
      <c r="AE38" s="52">
        <v>69.8</v>
      </c>
      <c r="AF38" s="52">
        <v>69.8</v>
      </c>
      <c r="AG38" s="67">
        <v>70</v>
      </c>
      <c r="AH38" s="55">
        <f t="shared" si="2"/>
        <v>71</v>
      </c>
      <c r="AI38" s="56">
        <f t="shared" si="3"/>
        <v>50.4</v>
      </c>
      <c r="AJ38" s="1">
        <f>AVERAGE(B38:AF38)</f>
        <v>62.638709677419349</v>
      </c>
      <c r="AK38" s="57"/>
    </row>
    <row r="39" spans="1:88" x14ac:dyDescent="0.25">
      <c r="A39" s="66" t="s">
        <v>46</v>
      </c>
      <c r="B39" s="62">
        <v>55.3</v>
      </c>
      <c r="C39" s="62">
        <v>57</v>
      </c>
      <c r="D39" s="62">
        <v>56.2</v>
      </c>
      <c r="E39" s="62">
        <v>57</v>
      </c>
      <c r="F39" s="62">
        <v>59</v>
      </c>
      <c r="G39" s="62">
        <v>59.4</v>
      </c>
      <c r="H39" s="62">
        <v>56.8</v>
      </c>
      <c r="I39" s="62">
        <v>55.8</v>
      </c>
      <c r="J39" s="62">
        <v>55.8</v>
      </c>
      <c r="K39" s="62">
        <v>51.7</v>
      </c>
      <c r="L39" s="52">
        <v>51.8</v>
      </c>
      <c r="M39" s="52">
        <v>50.9</v>
      </c>
      <c r="N39" s="52">
        <v>52.5</v>
      </c>
      <c r="O39" s="52">
        <v>61</v>
      </c>
      <c r="P39" s="52">
        <v>62.5</v>
      </c>
      <c r="Q39" s="52">
        <v>51.7</v>
      </c>
      <c r="R39" s="52">
        <v>62.3</v>
      </c>
      <c r="S39" s="52">
        <v>54</v>
      </c>
      <c r="T39" s="52">
        <v>54</v>
      </c>
      <c r="U39" s="52">
        <v>53.4</v>
      </c>
      <c r="V39" s="52">
        <v>54.7</v>
      </c>
      <c r="W39" s="52">
        <v>70</v>
      </c>
      <c r="X39" s="52">
        <v>67</v>
      </c>
      <c r="Y39" s="52">
        <v>67</v>
      </c>
      <c r="Z39" s="52">
        <v>66</v>
      </c>
      <c r="AA39" s="52">
        <v>62.2</v>
      </c>
      <c r="AB39" s="52">
        <v>60.6</v>
      </c>
      <c r="AC39" s="52">
        <v>60.6</v>
      </c>
      <c r="AD39" s="52">
        <v>60.6</v>
      </c>
      <c r="AE39" s="52">
        <v>57.3</v>
      </c>
      <c r="AF39" s="52">
        <v>56.5</v>
      </c>
      <c r="AG39" s="67">
        <v>69</v>
      </c>
      <c r="AH39" s="55">
        <f t="shared" si="2"/>
        <v>70</v>
      </c>
      <c r="AI39" s="56">
        <f t="shared" si="3"/>
        <v>50.9</v>
      </c>
      <c r="AJ39" s="1">
        <f>AVERAGE(B39:AF39)</f>
        <v>58.083870967741923</v>
      </c>
      <c r="AK39" s="57"/>
    </row>
    <row r="40" spans="1:88" x14ac:dyDescent="0.25">
      <c r="A40" s="66" t="s">
        <v>47</v>
      </c>
      <c r="B40" s="62">
        <v>60.5</v>
      </c>
      <c r="C40" s="62">
        <v>62</v>
      </c>
      <c r="D40" s="62">
        <v>61.4</v>
      </c>
      <c r="E40" s="62">
        <v>50.2</v>
      </c>
      <c r="F40" s="62">
        <v>50.2</v>
      </c>
      <c r="G40" s="62">
        <v>61.4</v>
      </c>
      <c r="H40" s="62">
        <v>61.2</v>
      </c>
      <c r="I40" s="62">
        <v>61.4</v>
      </c>
      <c r="J40" s="62">
        <v>60.9</v>
      </c>
      <c r="K40" s="62">
        <v>60.9</v>
      </c>
      <c r="L40" s="52">
        <v>60.9</v>
      </c>
      <c r="M40" s="52">
        <v>60.9</v>
      </c>
      <c r="N40" s="52">
        <v>59.2</v>
      </c>
      <c r="O40" s="52">
        <v>31</v>
      </c>
      <c r="P40" s="52">
        <v>31</v>
      </c>
      <c r="Q40" s="52">
        <v>21.9</v>
      </c>
      <c r="R40" s="52">
        <v>60.4</v>
      </c>
      <c r="S40" s="52">
        <v>58.7</v>
      </c>
      <c r="T40" s="52">
        <v>58.7</v>
      </c>
      <c r="U40" s="52">
        <v>56.2</v>
      </c>
      <c r="V40" s="52">
        <v>56.4</v>
      </c>
      <c r="W40" s="52">
        <v>60.4</v>
      </c>
      <c r="X40" s="52">
        <v>60.4</v>
      </c>
      <c r="Y40" s="52">
        <v>60.4</v>
      </c>
      <c r="Z40" s="52">
        <v>60.4</v>
      </c>
      <c r="AA40" s="52">
        <v>60.7</v>
      </c>
      <c r="AB40" s="52">
        <v>60.4</v>
      </c>
      <c r="AC40" s="52">
        <v>60.4</v>
      </c>
      <c r="AD40" s="52">
        <v>60.4</v>
      </c>
      <c r="AE40" s="52">
        <v>60.4</v>
      </c>
      <c r="AF40" s="52">
        <v>60.4</v>
      </c>
      <c r="AG40" s="67">
        <v>60</v>
      </c>
      <c r="AH40" s="55">
        <f t="shared" si="2"/>
        <v>62</v>
      </c>
      <c r="AI40" s="56">
        <f t="shared" si="3"/>
        <v>21.9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29.7</v>
      </c>
      <c r="E41" s="62">
        <v>29.7</v>
      </c>
      <c r="F41" s="62">
        <v>29.7</v>
      </c>
      <c r="G41" s="62">
        <v>29.7</v>
      </c>
      <c r="H41" s="62">
        <v>29.7</v>
      </c>
      <c r="I41" s="62">
        <v>29.6</v>
      </c>
      <c r="J41" s="62">
        <v>29.5</v>
      </c>
      <c r="K41" s="62">
        <v>29</v>
      </c>
      <c r="L41" s="50">
        <v>24.1</v>
      </c>
      <c r="M41" s="50">
        <v>24.5</v>
      </c>
      <c r="N41" s="50">
        <v>24.8</v>
      </c>
      <c r="O41" s="50">
        <v>26</v>
      </c>
      <c r="P41" s="50">
        <v>26</v>
      </c>
      <c r="Q41" s="50">
        <v>26</v>
      </c>
      <c r="R41" s="50">
        <v>27.6</v>
      </c>
      <c r="S41" s="50">
        <v>27.6</v>
      </c>
      <c r="T41" s="50">
        <v>27.6</v>
      </c>
      <c r="U41" s="50">
        <v>27.6</v>
      </c>
      <c r="V41" s="50">
        <v>29.8</v>
      </c>
      <c r="W41" s="50">
        <v>29.8</v>
      </c>
      <c r="X41" s="50">
        <v>29.8</v>
      </c>
      <c r="Y41" s="50">
        <v>29.8</v>
      </c>
      <c r="Z41" s="50">
        <v>29.8</v>
      </c>
      <c r="AA41" s="52">
        <v>29.7</v>
      </c>
      <c r="AB41" s="52">
        <v>29.7</v>
      </c>
      <c r="AC41" s="52">
        <v>29.7</v>
      </c>
      <c r="AD41" s="52">
        <v>29.7</v>
      </c>
      <c r="AE41" s="52">
        <v>29.7</v>
      </c>
      <c r="AF41" s="52">
        <v>29.7</v>
      </c>
      <c r="AG41" s="67">
        <v>30</v>
      </c>
      <c r="AH41" s="55">
        <f t="shared" si="2"/>
        <v>29.8</v>
      </c>
      <c r="AI41" s="56">
        <f t="shared" si="3"/>
        <v>24.1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15</v>
      </c>
      <c r="C43" s="73">
        <v>15</v>
      </c>
      <c r="D43" s="73">
        <v>15.1</v>
      </c>
      <c r="E43" s="73">
        <v>15.1</v>
      </c>
      <c r="F43" s="73">
        <v>15.1</v>
      </c>
      <c r="G43" s="73">
        <v>15.1</v>
      </c>
      <c r="H43" s="73">
        <v>15.1</v>
      </c>
      <c r="I43" s="73">
        <v>15.1</v>
      </c>
      <c r="J43" s="73">
        <v>15.1</v>
      </c>
      <c r="K43" s="73">
        <v>15.1</v>
      </c>
      <c r="L43" s="50">
        <v>15</v>
      </c>
      <c r="M43" s="50">
        <v>15</v>
      </c>
      <c r="N43" s="50">
        <v>15</v>
      </c>
      <c r="O43" s="50">
        <v>15</v>
      </c>
      <c r="P43" s="50">
        <v>15</v>
      </c>
      <c r="Q43" s="50">
        <v>15</v>
      </c>
      <c r="R43" s="50">
        <v>15</v>
      </c>
      <c r="S43" s="50">
        <v>15</v>
      </c>
      <c r="T43" s="50">
        <v>15</v>
      </c>
      <c r="U43" s="50">
        <v>15</v>
      </c>
      <c r="V43" s="50">
        <v>15</v>
      </c>
      <c r="W43" s="50">
        <v>15</v>
      </c>
      <c r="X43" s="50">
        <v>15</v>
      </c>
      <c r="Y43" s="50">
        <v>15</v>
      </c>
      <c r="Z43" s="50">
        <v>15</v>
      </c>
      <c r="AA43" s="50">
        <v>15.1</v>
      </c>
      <c r="AB43" s="50">
        <v>15.1</v>
      </c>
      <c r="AC43" s="50">
        <v>15.1</v>
      </c>
      <c r="AD43" s="50">
        <v>15.1</v>
      </c>
      <c r="AE43" s="50">
        <v>15.1</v>
      </c>
      <c r="AF43" s="50">
        <v>15.1</v>
      </c>
      <c r="AG43" s="67">
        <v>24</v>
      </c>
      <c r="AH43" s="55">
        <f t="shared" si="2"/>
        <v>15.1</v>
      </c>
      <c r="AI43" s="56">
        <f t="shared" si="3"/>
        <v>15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3.2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13.1</v>
      </c>
      <c r="C45" s="62">
        <v>13.1</v>
      </c>
      <c r="D45" s="62">
        <v>13.1</v>
      </c>
      <c r="E45" s="62">
        <v>13.1</v>
      </c>
      <c r="F45" s="62">
        <v>13.1</v>
      </c>
      <c r="G45" s="62">
        <v>13.1</v>
      </c>
      <c r="H45" s="62">
        <v>13.1</v>
      </c>
      <c r="I45" s="62">
        <v>13.1</v>
      </c>
      <c r="J45" s="62">
        <v>13.1</v>
      </c>
      <c r="K45" s="62">
        <v>13.1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14</v>
      </c>
      <c r="AB45" s="50">
        <v>14</v>
      </c>
      <c r="AC45" s="50">
        <v>14</v>
      </c>
      <c r="AD45" s="50">
        <v>14</v>
      </c>
      <c r="AE45" s="50">
        <v>14</v>
      </c>
      <c r="AF45" s="50">
        <v>14</v>
      </c>
      <c r="AG45" s="67">
        <v>14.1</v>
      </c>
      <c r="AH45" s="55">
        <f t="shared" si="2"/>
        <v>14</v>
      </c>
      <c r="AI45" s="56">
        <f t="shared" si="3"/>
        <v>13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62">
        <v>9.9</v>
      </c>
      <c r="C47" s="62">
        <v>9.9</v>
      </c>
      <c r="D47" s="62">
        <v>9.9</v>
      </c>
      <c r="E47" s="62">
        <v>9.9</v>
      </c>
      <c r="F47" s="62">
        <v>9.9</v>
      </c>
      <c r="G47" s="62">
        <v>9.9</v>
      </c>
      <c r="H47" s="62">
        <v>9.9</v>
      </c>
      <c r="I47" s="62">
        <v>9.9</v>
      </c>
      <c r="J47" s="62">
        <v>9.9</v>
      </c>
      <c r="K47" s="62">
        <v>9.9</v>
      </c>
      <c r="L47" s="50">
        <v>9.9</v>
      </c>
      <c r="M47" s="50">
        <v>9.9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9.9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425.34000000000003</v>
      </c>
      <c r="C50" s="72">
        <f t="shared" si="6"/>
        <v>410.54</v>
      </c>
      <c r="D50" s="72">
        <f t="shared" si="6"/>
        <v>399.54</v>
      </c>
      <c r="E50" s="72">
        <f t="shared" si="6"/>
        <v>384.44</v>
      </c>
      <c r="F50" s="72">
        <f t="shared" si="6"/>
        <v>388.24</v>
      </c>
      <c r="G50" s="72">
        <f t="shared" si="6"/>
        <v>409.64000000000004</v>
      </c>
      <c r="H50" s="72">
        <f t="shared" si="6"/>
        <v>405.24</v>
      </c>
      <c r="I50" s="72">
        <f t="shared" si="6"/>
        <v>404.84000000000003</v>
      </c>
      <c r="J50" s="72">
        <f t="shared" si="6"/>
        <v>403.14</v>
      </c>
      <c r="K50" s="72">
        <f t="shared" si="6"/>
        <v>395.54</v>
      </c>
      <c r="L50" s="72">
        <f t="shared" si="6"/>
        <v>388.34</v>
      </c>
      <c r="M50" s="72">
        <f t="shared" si="6"/>
        <v>387.04</v>
      </c>
      <c r="N50" s="72">
        <f t="shared" si="6"/>
        <v>378.24</v>
      </c>
      <c r="O50" s="72">
        <f t="shared" si="6"/>
        <v>367.64</v>
      </c>
      <c r="P50" s="72">
        <f t="shared" si="6"/>
        <v>365.44</v>
      </c>
      <c r="Q50" s="72">
        <f t="shared" si="6"/>
        <v>322.34000000000003</v>
      </c>
      <c r="R50" s="72">
        <f t="shared" si="6"/>
        <v>396.54</v>
      </c>
      <c r="S50" s="72">
        <f t="shared" si="6"/>
        <v>378.34000000000003</v>
      </c>
      <c r="T50" s="72">
        <f t="shared" si="6"/>
        <v>378.34000000000003</v>
      </c>
      <c r="U50" s="72">
        <f t="shared" si="6"/>
        <v>373.64000000000004</v>
      </c>
      <c r="V50" s="72">
        <f t="shared" si="6"/>
        <v>388.53999999999996</v>
      </c>
      <c r="W50" s="72">
        <f t="shared" si="6"/>
        <v>437.23999999999995</v>
      </c>
      <c r="X50" s="72">
        <f t="shared" si="6"/>
        <v>435.14</v>
      </c>
      <c r="Y50" s="72">
        <f t="shared" si="6"/>
        <v>435.14</v>
      </c>
      <c r="Z50" s="72">
        <f t="shared" si="6"/>
        <v>436.03999999999996</v>
      </c>
      <c r="AA50" s="72">
        <f t="shared" si="6"/>
        <v>431.34000000000003</v>
      </c>
      <c r="AB50" s="72">
        <f t="shared" si="6"/>
        <v>431.34000000000003</v>
      </c>
      <c r="AC50" s="72">
        <f t="shared" si="6"/>
        <v>431.34000000000003</v>
      </c>
      <c r="AD50" s="72">
        <f t="shared" si="6"/>
        <v>431.34000000000003</v>
      </c>
      <c r="AE50" s="72">
        <f t="shared" si="6"/>
        <v>428.04</v>
      </c>
      <c r="AF50" s="72">
        <f t="shared" si="6"/>
        <v>427.24</v>
      </c>
      <c r="AG50" s="77">
        <f>SUM(AG37:AG49)</f>
        <v>489.91</v>
      </c>
      <c r="AH50" s="55">
        <f t="shared" si="2"/>
        <v>437.23999999999995</v>
      </c>
      <c r="AI50" s="56">
        <f t="shared" si="3"/>
        <v>322.34000000000003</v>
      </c>
      <c r="AJ50" s="1">
        <f>AVERAGE(B50:AF50)</f>
        <v>402.42387096774195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174">
        <v>0</v>
      </c>
      <c r="R51" s="174">
        <v>0</v>
      </c>
      <c r="S51" s="174">
        <v>0</v>
      </c>
      <c r="T51" s="50">
        <v>0</v>
      </c>
      <c r="U51" s="50">
        <v>0</v>
      </c>
      <c r="V51" s="50">
        <v>0</v>
      </c>
      <c r="W51" s="50">
        <v>0</v>
      </c>
      <c r="X51" s="50">
        <v>20</v>
      </c>
      <c r="Y51" s="50">
        <v>40</v>
      </c>
      <c r="Z51" s="50">
        <v>40</v>
      </c>
      <c r="AA51" s="50">
        <v>40.5</v>
      </c>
      <c r="AB51" s="50">
        <v>40.5</v>
      </c>
      <c r="AC51" s="50">
        <v>40.5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40.5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174">
        <v>0</v>
      </c>
      <c r="R52" s="174">
        <v>0</v>
      </c>
      <c r="S52" s="174">
        <v>0</v>
      </c>
      <c r="T52" s="50">
        <v>0</v>
      </c>
      <c r="U52" s="52">
        <v>0</v>
      </c>
      <c r="V52" s="52">
        <v>0</v>
      </c>
      <c r="W52" s="52">
        <v>0</v>
      </c>
      <c r="X52" s="52">
        <v>6</v>
      </c>
      <c r="Y52" s="52">
        <v>15.6</v>
      </c>
      <c r="Z52" s="52">
        <v>18.399999999999999</v>
      </c>
      <c r="AA52" s="52">
        <v>16.3</v>
      </c>
      <c r="AB52" s="52">
        <v>17.3</v>
      </c>
      <c r="AC52" s="52">
        <v>17.3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18.399999999999999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175">
        <v>0</v>
      </c>
      <c r="Q53" s="175">
        <v>0</v>
      </c>
      <c r="R53" s="175">
        <v>0</v>
      </c>
      <c r="S53" s="175">
        <v>0</v>
      </c>
      <c r="T53" s="50">
        <v>0</v>
      </c>
      <c r="U53" s="78">
        <v>0</v>
      </c>
      <c r="V53" s="78">
        <v>0</v>
      </c>
      <c r="W53" s="78">
        <v>0</v>
      </c>
      <c r="X53" s="78">
        <v>3</v>
      </c>
      <c r="Y53" s="78">
        <v>5.7</v>
      </c>
      <c r="Z53" s="78">
        <v>6.7</v>
      </c>
      <c r="AA53" s="78">
        <v>6</v>
      </c>
      <c r="AB53" s="78">
        <v>6.3</v>
      </c>
      <c r="AC53" s="78">
        <v>6.3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6.7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29</v>
      </c>
      <c r="Y54" s="72">
        <f t="shared" si="7"/>
        <v>61.300000000000004</v>
      </c>
      <c r="Z54" s="72">
        <f t="shared" si="7"/>
        <v>65.099999999999994</v>
      </c>
      <c r="AA54" s="72">
        <f t="shared" si="7"/>
        <v>62.8</v>
      </c>
      <c r="AB54" s="72">
        <f t="shared" si="7"/>
        <v>64.099999999999994</v>
      </c>
      <c r="AC54" s="72">
        <f t="shared" si="7"/>
        <v>64.099999999999994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65.099999999999994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46.6</v>
      </c>
      <c r="Y55" s="50">
        <v>24.3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46.6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-77</v>
      </c>
      <c r="C56" s="52">
        <v>-79</v>
      </c>
      <c r="D56" s="52">
        <v>-77.2</v>
      </c>
      <c r="E56" s="52">
        <v>-75.099999999999994</v>
      </c>
      <c r="F56" s="52">
        <v>-72.3</v>
      </c>
      <c r="G56" s="52">
        <v>-68.2</v>
      </c>
      <c r="H56" s="52">
        <v>-54.5</v>
      </c>
      <c r="I56" s="52">
        <v>-40.9</v>
      </c>
      <c r="J56" s="52">
        <v>-40.9</v>
      </c>
      <c r="K56" s="52">
        <v>-40</v>
      </c>
      <c r="L56" s="50">
        <v>-37.1</v>
      </c>
      <c r="M56" s="50">
        <v>-41.6</v>
      </c>
      <c r="N56" s="50">
        <v>-35.9</v>
      </c>
      <c r="O56" s="50">
        <v>-29</v>
      </c>
      <c r="P56" s="50">
        <v>-7.8</v>
      </c>
      <c r="Q56" s="50">
        <v>-9.1</v>
      </c>
      <c r="R56" s="50">
        <v>-9.6999999999999993</v>
      </c>
      <c r="S56" s="50">
        <v>-9</v>
      </c>
      <c r="T56" s="50">
        <v>-8.6999999999999993</v>
      </c>
      <c r="U56" s="50">
        <v>-39.799999999999997</v>
      </c>
      <c r="V56" s="50">
        <v>-54.7</v>
      </c>
      <c r="W56" s="80">
        <v>-66.900000000000006</v>
      </c>
      <c r="X56" s="80">
        <v>-65.900000000000006</v>
      </c>
      <c r="Y56" s="80">
        <v>-71.900000000000006</v>
      </c>
      <c r="Z56" s="80">
        <v>-74.7</v>
      </c>
      <c r="AA56" s="52">
        <v>-78.2</v>
      </c>
      <c r="AB56" s="52">
        <v>-76</v>
      </c>
      <c r="AC56" s="52">
        <v>-74</v>
      </c>
      <c r="AD56" s="52">
        <v>-75</v>
      </c>
      <c r="AE56" s="52">
        <v>-54</v>
      </c>
      <c r="AF56" s="52">
        <v>-74</v>
      </c>
      <c r="AG56" s="67"/>
      <c r="AH56" s="55">
        <f t="shared" si="2"/>
        <v>-7.8</v>
      </c>
      <c r="AI56" s="56">
        <f t="shared" si="3"/>
        <v>-79</v>
      </c>
      <c r="AJ56" s="1">
        <f>AVERAGE(B56:AF56)*24</f>
        <v>-1252.7225806451615</v>
      </c>
      <c r="AK56" s="57"/>
    </row>
    <row r="57" spans="1:37" x14ac:dyDescent="0.25">
      <c r="A57" s="66" t="s">
        <v>64</v>
      </c>
      <c r="B57" s="52">
        <v>-200</v>
      </c>
      <c r="C57" s="52">
        <v>-170</v>
      </c>
      <c r="D57" s="52">
        <v>-182.4</v>
      </c>
      <c r="E57" s="52">
        <v>-175</v>
      </c>
      <c r="F57" s="52">
        <v>-185</v>
      </c>
      <c r="G57" s="50">
        <v>-194</v>
      </c>
      <c r="H57" s="50">
        <v>-234</v>
      </c>
      <c r="I57" s="50">
        <v>-241</v>
      </c>
      <c r="J57" s="50">
        <v>-248</v>
      </c>
      <c r="K57" s="50">
        <v>-251</v>
      </c>
      <c r="L57" s="52">
        <v>-235</v>
      </c>
      <c r="M57" s="52">
        <v>-224.8</v>
      </c>
      <c r="N57" s="52">
        <v>-217.5</v>
      </c>
      <c r="O57" s="52">
        <v>-200</v>
      </c>
      <c r="P57" s="52">
        <v>-270</v>
      </c>
      <c r="Q57" s="52">
        <v>0</v>
      </c>
      <c r="R57" s="52">
        <v>-310</v>
      </c>
      <c r="S57" s="52">
        <v>-270</v>
      </c>
      <c r="T57" s="52">
        <v>-270</v>
      </c>
      <c r="U57" s="52">
        <v>-264.7</v>
      </c>
      <c r="V57" s="52">
        <v>-186.2</v>
      </c>
      <c r="W57" s="81">
        <v>-81</v>
      </c>
      <c r="X57" s="81">
        <v>-35</v>
      </c>
      <c r="Y57" s="81">
        <v>-75</v>
      </c>
      <c r="Z57" s="81">
        <v>-61</v>
      </c>
      <c r="AA57" s="52">
        <v>-43.6</v>
      </c>
      <c r="AB57" s="52">
        <v>-68</v>
      </c>
      <c r="AC57" s="52">
        <v>-100</v>
      </c>
      <c r="AD57" s="52">
        <v>-132</v>
      </c>
      <c r="AE57" s="52">
        <v>-140</v>
      </c>
      <c r="AF57" s="52">
        <v>-183</v>
      </c>
      <c r="AG57" s="82"/>
      <c r="AH57" s="55">
        <f t="shared" si="2"/>
        <v>0</v>
      </c>
      <c r="AI57" s="56">
        <f t="shared" si="3"/>
        <v>-310</v>
      </c>
      <c r="AJ57" s="1">
        <f>AVERAGE(B57:AF57)*24</f>
        <v>-4217.1870967741943</v>
      </c>
      <c r="AK57" s="57"/>
    </row>
    <row r="58" spans="1:37" x14ac:dyDescent="0.25">
      <c r="A58" s="66" t="s">
        <v>65</v>
      </c>
      <c r="B58" s="59">
        <v>-57</v>
      </c>
      <c r="C58" s="59">
        <v>-60</v>
      </c>
      <c r="D58" s="59">
        <v>-60</v>
      </c>
      <c r="E58" s="59">
        <v>-60</v>
      </c>
      <c r="F58" s="59">
        <v>-55</v>
      </c>
      <c r="G58" s="59">
        <v>-55</v>
      </c>
      <c r="H58" s="59">
        <v>-50</v>
      </c>
      <c r="I58" s="59">
        <v>-45</v>
      </c>
      <c r="J58" s="59">
        <v>-40</v>
      </c>
      <c r="K58" s="59">
        <v>-32</v>
      </c>
      <c r="L58" s="52">
        <v>-32</v>
      </c>
      <c r="M58" s="52">
        <v>-31</v>
      </c>
      <c r="N58" s="52">
        <v>-30</v>
      </c>
      <c r="O58" s="52">
        <v>-40</v>
      </c>
      <c r="P58" s="52">
        <v>-40.1</v>
      </c>
      <c r="Q58" s="52">
        <v>-40</v>
      </c>
      <c r="R58" s="52">
        <v>-48.7</v>
      </c>
      <c r="S58" s="52">
        <v>-53.8</v>
      </c>
      <c r="T58" s="52">
        <v>-38</v>
      </c>
      <c r="U58" s="52">
        <v>-38</v>
      </c>
      <c r="V58" s="52">
        <v>-47.8</v>
      </c>
      <c r="W58" s="52">
        <v>-55</v>
      </c>
      <c r="X58" s="52">
        <v>-56</v>
      </c>
      <c r="Y58" s="52">
        <v>-62</v>
      </c>
      <c r="Z58" s="52">
        <v>-61</v>
      </c>
      <c r="AA58" s="52">
        <v>-60</v>
      </c>
      <c r="AB58" s="52">
        <v>-62</v>
      </c>
      <c r="AC58" s="52">
        <v>-63</v>
      </c>
      <c r="AD58" s="52">
        <v>0</v>
      </c>
      <c r="AE58" s="59">
        <v>-70</v>
      </c>
      <c r="AF58" s="59">
        <v>-63</v>
      </c>
      <c r="AG58" s="82"/>
      <c r="AH58" s="55">
        <f t="shared" si="2"/>
        <v>0</v>
      </c>
      <c r="AI58" s="56">
        <f t="shared" si="3"/>
        <v>-70</v>
      </c>
      <c r="AJ58" s="1">
        <f>AVERAGE(B58:AF58)*24</f>
        <v>-1165.4709677419355</v>
      </c>
      <c r="AK58" s="57"/>
    </row>
    <row r="59" spans="1:37" x14ac:dyDescent="0.25">
      <c r="A59" s="66" t="s">
        <v>66</v>
      </c>
      <c r="B59" s="59">
        <v>-78</v>
      </c>
      <c r="C59" s="59">
        <v>-77</v>
      </c>
      <c r="D59" s="59">
        <v>-77.400000000000006</v>
      </c>
      <c r="E59" s="59">
        <v>-77.3</v>
      </c>
      <c r="F59" s="59">
        <v>-76</v>
      </c>
      <c r="G59" s="59">
        <v>-74.8</v>
      </c>
      <c r="H59" s="59">
        <v>-68.599999999999994</v>
      </c>
      <c r="I59" s="59">
        <v>-58.3</v>
      </c>
      <c r="J59" s="59">
        <v>-52.2</v>
      </c>
      <c r="K59" s="59">
        <v>-48.1</v>
      </c>
      <c r="L59" s="50">
        <v>-50.4</v>
      </c>
      <c r="M59" s="50">
        <v>-50.6</v>
      </c>
      <c r="N59" s="50">
        <v>-50.8</v>
      </c>
      <c r="O59" s="50">
        <v>-61.3</v>
      </c>
      <c r="P59" s="50">
        <v>-31.8</v>
      </c>
      <c r="Q59" s="50">
        <v>-35</v>
      </c>
      <c r="R59" s="50">
        <v>-30.5</v>
      </c>
      <c r="S59" s="50">
        <v>-34.200000000000003</v>
      </c>
      <c r="T59" s="50">
        <v>-32.1</v>
      </c>
      <c r="U59" s="50">
        <v>-44.7</v>
      </c>
      <c r="V59" s="50">
        <v>-47.3</v>
      </c>
      <c r="W59" s="50">
        <v>-55</v>
      </c>
      <c r="X59" s="50">
        <v>-61</v>
      </c>
      <c r="Y59" s="50">
        <v>-63</v>
      </c>
      <c r="Z59" s="50">
        <v>-63</v>
      </c>
      <c r="AA59" s="50">
        <v>-65.099999999999994</v>
      </c>
      <c r="AB59" s="50">
        <v>-66</v>
      </c>
      <c r="AC59" s="50">
        <v>-66.5</v>
      </c>
      <c r="AD59" s="50">
        <v>-65</v>
      </c>
      <c r="AE59" s="50">
        <v>-68</v>
      </c>
      <c r="AF59" s="50">
        <v>-64</v>
      </c>
      <c r="AG59" s="82"/>
      <c r="AH59" s="55">
        <f t="shared" si="2"/>
        <v>-30.5</v>
      </c>
      <c r="AI59" s="56">
        <f t="shared" si="3"/>
        <v>-78</v>
      </c>
      <c r="AJ59" s="1">
        <f>AVERAGE(B59:AF59)*24</f>
        <v>-1388.1290322580644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J60" s="1">
        <f>AVERAGE(B60:AF60)*24</f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8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59">
        <v>0</v>
      </c>
      <c r="AB62" s="59">
        <v>7</v>
      </c>
      <c r="AC62" s="59">
        <v>7</v>
      </c>
      <c r="AD62" s="59">
        <v>7</v>
      </c>
      <c r="AE62" s="59">
        <v>7</v>
      </c>
      <c r="AF62" s="59">
        <v>7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-404</v>
      </c>
      <c r="C66" s="72">
        <f t="shared" ref="C66:AF66" si="8">SUM(C55:C65)</f>
        <v>-386</v>
      </c>
      <c r="D66" s="72">
        <f t="shared" si="8"/>
        <v>-397</v>
      </c>
      <c r="E66" s="72">
        <f t="shared" si="8"/>
        <v>-387.40000000000003</v>
      </c>
      <c r="F66" s="72">
        <f t="shared" si="8"/>
        <v>-388.3</v>
      </c>
      <c r="G66" s="72">
        <f t="shared" si="8"/>
        <v>-392</v>
      </c>
      <c r="H66" s="72">
        <f t="shared" si="8"/>
        <v>-407.1</v>
      </c>
      <c r="I66" s="72">
        <f t="shared" si="8"/>
        <v>-385.2</v>
      </c>
      <c r="J66" s="72">
        <f t="shared" si="8"/>
        <v>-381.09999999999997</v>
      </c>
      <c r="K66" s="72">
        <f t="shared" si="8"/>
        <v>-371.1</v>
      </c>
      <c r="L66" s="72">
        <f t="shared" si="8"/>
        <v>-354.5</v>
      </c>
      <c r="M66" s="72">
        <f t="shared" si="8"/>
        <v>-348.00000000000006</v>
      </c>
      <c r="N66" s="72">
        <f t="shared" si="8"/>
        <v>-334.2</v>
      </c>
      <c r="O66" s="72">
        <f t="shared" si="8"/>
        <v>-330.3</v>
      </c>
      <c r="P66" s="72">
        <f t="shared" si="8"/>
        <v>-349.70000000000005</v>
      </c>
      <c r="Q66" s="72">
        <f t="shared" si="8"/>
        <v>-84.1</v>
      </c>
      <c r="R66" s="72">
        <f t="shared" si="8"/>
        <v>-398.9</v>
      </c>
      <c r="S66" s="72">
        <f t="shared" si="8"/>
        <v>-367</v>
      </c>
      <c r="T66" s="72">
        <f t="shared" si="8"/>
        <v>-348.8</v>
      </c>
      <c r="U66" s="72">
        <f t="shared" si="8"/>
        <v>-387.2</v>
      </c>
      <c r="V66" s="72">
        <f t="shared" si="8"/>
        <v>-336</v>
      </c>
      <c r="W66" s="72">
        <f t="shared" si="8"/>
        <v>-257.89999999999998</v>
      </c>
      <c r="X66" s="72">
        <f t="shared" si="8"/>
        <v>-171.3</v>
      </c>
      <c r="Y66" s="72">
        <f t="shared" si="8"/>
        <v>-247.60000000000002</v>
      </c>
      <c r="Z66" s="72">
        <f t="shared" si="8"/>
        <v>-259.7</v>
      </c>
      <c r="AA66" s="72">
        <f t="shared" si="8"/>
        <v>-246.9</v>
      </c>
      <c r="AB66" s="72">
        <f t="shared" si="8"/>
        <v>-265</v>
      </c>
      <c r="AC66" s="72">
        <f t="shared" si="8"/>
        <v>-296.5</v>
      </c>
      <c r="AD66" s="72">
        <f t="shared" si="8"/>
        <v>-265</v>
      </c>
      <c r="AE66" s="72">
        <f t="shared" si="8"/>
        <v>-325</v>
      </c>
      <c r="AF66" s="72">
        <f t="shared" si="8"/>
        <v>-377</v>
      </c>
      <c r="AG66" s="77">
        <f>SUM(AG55:AG65)</f>
        <v>0</v>
      </c>
      <c r="AH66" s="55">
        <f t="shared" si="2"/>
        <v>-84.1</v>
      </c>
      <c r="AI66" s="56">
        <f t="shared" si="3"/>
        <v>-407.1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1063.04</v>
      </c>
      <c r="C71" s="87">
        <f t="shared" ref="C71:AG71" si="10">C66+C54+C50+C36+C70</f>
        <v>1006.74</v>
      </c>
      <c r="D71" s="87">
        <f t="shared" si="10"/>
        <v>999.1400000000001</v>
      </c>
      <c r="E71" s="87">
        <f t="shared" si="10"/>
        <v>984.64</v>
      </c>
      <c r="F71" s="87">
        <f t="shared" si="10"/>
        <v>987.54</v>
      </c>
      <c r="G71" s="87">
        <f t="shared" si="10"/>
        <v>1005.24</v>
      </c>
      <c r="H71" s="87">
        <f t="shared" si="10"/>
        <v>985.74</v>
      </c>
      <c r="I71" s="87">
        <f t="shared" si="10"/>
        <v>967.24</v>
      </c>
      <c r="J71" s="87">
        <f t="shared" si="10"/>
        <v>969.6400000000001</v>
      </c>
      <c r="K71" s="87">
        <f t="shared" si="10"/>
        <v>972.04</v>
      </c>
      <c r="L71" s="87">
        <f t="shared" si="10"/>
        <v>989.44</v>
      </c>
      <c r="M71" s="87">
        <f t="shared" si="10"/>
        <v>998.64</v>
      </c>
      <c r="N71" s="87">
        <f t="shared" si="10"/>
        <v>1003.54</v>
      </c>
      <c r="O71" s="87">
        <f t="shared" si="10"/>
        <v>1052.8399999999999</v>
      </c>
      <c r="P71" s="87">
        <f t="shared" si="10"/>
        <v>1031.24</v>
      </c>
      <c r="Q71" s="87">
        <f t="shared" si="10"/>
        <v>1002.24</v>
      </c>
      <c r="R71" s="87">
        <f t="shared" si="10"/>
        <v>1013.99</v>
      </c>
      <c r="S71" s="87">
        <f t="shared" si="10"/>
        <v>971.09</v>
      </c>
      <c r="T71" s="87">
        <f t="shared" si="10"/>
        <v>989.29</v>
      </c>
      <c r="U71" s="87">
        <f t="shared" si="10"/>
        <v>996.19</v>
      </c>
      <c r="V71" s="87">
        <f t="shared" si="10"/>
        <v>1068.29</v>
      </c>
      <c r="W71" s="87">
        <f t="shared" si="10"/>
        <v>1200.8399999999999</v>
      </c>
      <c r="X71" s="87">
        <f t="shared" si="10"/>
        <v>1298.04</v>
      </c>
      <c r="Y71" s="87">
        <f t="shared" si="10"/>
        <v>1293.04</v>
      </c>
      <c r="Z71" s="87">
        <f t="shared" si="10"/>
        <v>1285.6400000000001</v>
      </c>
      <c r="AA71" s="87">
        <f t="shared" si="10"/>
        <v>1261.3400000000001</v>
      </c>
      <c r="AB71" s="87">
        <f t="shared" si="10"/>
        <v>1275.54</v>
      </c>
      <c r="AC71" s="87">
        <f t="shared" si="10"/>
        <v>1242.04</v>
      </c>
      <c r="AD71" s="87">
        <f t="shared" si="10"/>
        <v>1142.44</v>
      </c>
      <c r="AE71" s="87">
        <f t="shared" si="10"/>
        <v>1059.1400000000001</v>
      </c>
      <c r="AF71" s="87">
        <f t="shared" si="10"/>
        <v>1006.34</v>
      </c>
      <c r="AG71" s="87">
        <f t="shared" si="10"/>
        <v>2083.14</v>
      </c>
      <c r="AH71" s="55">
        <f t="shared" si="2"/>
        <v>1298.04</v>
      </c>
      <c r="AI71" s="56">
        <f t="shared" si="3"/>
        <v>967.24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1063.04</v>
      </c>
      <c r="C73" s="87">
        <f t="shared" ref="C73:AF73" si="11">C70+C66+C54+C50+C36+C72</f>
        <v>1006.74</v>
      </c>
      <c r="D73" s="87">
        <f t="shared" si="11"/>
        <v>999.1400000000001</v>
      </c>
      <c r="E73" s="87">
        <f t="shared" si="11"/>
        <v>984.64</v>
      </c>
      <c r="F73" s="87">
        <f t="shared" si="11"/>
        <v>987.54</v>
      </c>
      <c r="G73" s="87">
        <f t="shared" si="11"/>
        <v>1005.24</v>
      </c>
      <c r="H73" s="87">
        <f t="shared" si="11"/>
        <v>985.74</v>
      </c>
      <c r="I73" s="87">
        <f t="shared" si="11"/>
        <v>967.24</v>
      </c>
      <c r="J73" s="87">
        <f t="shared" si="11"/>
        <v>969.6400000000001</v>
      </c>
      <c r="K73" s="87">
        <f t="shared" si="11"/>
        <v>972.04</v>
      </c>
      <c r="L73" s="87">
        <f t="shared" si="11"/>
        <v>989.44</v>
      </c>
      <c r="M73" s="87">
        <f t="shared" si="11"/>
        <v>998.64</v>
      </c>
      <c r="N73" s="87">
        <f t="shared" si="11"/>
        <v>1003.54</v>
      </c>
      <c r="O73" s="87">
        <f t="shared" si="11"/>
        <v>1052.8399999999999</v>
      </c>
      <c r="P73" s="87">
        <f t="shared" si="11"/>
        <v>1031.24</v>
      </c>
      <c r="Q73" s="87">
        <f t="shared" si="11"/>
        <v>1002.24</v>
      </c>
      <c r="R73" s="87">
        <f t="shared" si="11"/>
        <v>1013.99</v>
      </c>
      <c r="S73" s="87">
        <f t="shared" si="11"/>
        <v>971.09</v>
      </c>
      <c r="T73" s="87">
        <f t="shared" si="11"/>
        <v>989.29</v>
      </c>
      <c r="U73" s="87">
        <f t="shared" si="11"/>
        <v>996.19</v>
      </c>
      <c r="V73" s="87">
        <f t="shared" si="11"/>
        <v>1068.29</v>
      </c>
      <c r="W73" s="87">
        <f t="shared" si="11"/>
        <v>1200.8399999999999</v>
      </c>
      <c r="X73" s="87">
        <f t="shared" si="11"/>
        <v>1298.04</v>
      </c>
      <c r="Y73" s="87">
        <f t="shared" si="11"/>
        <v>1293.04</v>
      </c>
      <c r="Z73" s="87">
        <f t="shared" si="11"/>
        <v>1285.6400000000001</v>
      </c>
      <c r="AA73" s="87">
        <f t="shared" si="11"/>
        <v>1261.3400000000001</v>
      </c>
      <c r="AB73" s="87">
        <f t="shared" si="11"/>
        <v>1275.54</v>
      </c>
      <c r="AC73" s="87">
        <f t="shared" si="11"/>
        <v>1242.04</v>
      </c>
      <c r="AD73" s="87">
        <f t="shared" si="11"/>
        <v>1142.44</v>
      </c>
      <c r="AE73" s="87">
        <f t="shared" si="11"/>
        <v>1059.1400000000001</v>
      </c>
      <c r="AF73" s="87">
        <f t="shared" si="11"/>
        <v>1006.34</v>
      </c>
      <c r="AG73" s="77">
        <f>AG70+AG66+AG54+AG50+AG36+AG72</f>
        <v>2083.14</v>
      </c>
      <c r="AH73" s="55">
        <f t="shared" si="2"/>
        <v>1298.04</v>
      </c>
      <c r="AI73" s="56">
        <f t="shared" si="3"/>
        <v>967.24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57</v>
      </c>
      <c r="C74" s="59">
        <f t="shared" ref="C74:AF74" si="12">IF(C58&lt;0,C58*-1,0)</f>
        <v>60</v>
      </c>
      <c r="D74" s="59">
        <f t="shared" si="12"/>
        <v>60</v>
      </c>
      <c r="E74" s="59">
        <f t="shared" si="12"/>
        <v>60</v>
      </c>
      <c r="F74" s="59">
        <f t="shared" si="12"/>
        <v>55</v>
      </c>
      <c r="G74" s="59">
        <f t="shared" si="12"/>
        <v>55</v>
      </c>
      <c r="H74" s="59">
        <f t="shared" si="12"/>
        <v>50</v>
      </c>
      <c r="I74" s="59">
        <f t="shared" si="12"/>
        <v>45</v>
      </c>
      <c r="J74" s="59">
        <f t="shared" si="12"/>
        <v>40</v>
      </c>
      <c r="K74" s="59">
        <f t="shared" si="12"/>
        <v>32</v>
      </c>
      <c r="L74" s="59">
        <f t="shared" si="12"/>
        <v>32</v>
      </c>
      <c r="M74" s="59">
        <f t="shared" si="12"/>
        <v>31</v>
      </c>
      <c r="N74" s="59">
        <f t="shared" si="12"/>
        <v>30</v>
      </c>
      <c r="O74" s="59">
        <f t="shared" si="12"/>
        <v>40</v>
      </c>
      <c r="P74" s="59">
        <f t="shared" si="12"/>
        <v>40.1</v>
      </c>
      <c r="Q74" s="59">
        <f t="shared" si="12"/>
        <v>40</v>
      </c>
      <c r="R74" s="59">
        <f t="shared" si="12"/>
        <v>48.7</v>
      </c>
      <c r="S74" s="59">
        <f t="shared" si="12"/>
        <v>53.8</v>
      </c>
      <c r="T74" s="59">
        <f t="shared" si="12"/>
        <v>38</v>
      </c>
      <c r="U74" s="59">
        <f t="shared" si="12"/>
        <v>38</v>
      </c>
      <c r="V74" s="59">
        <f t="shared" si="12"/>
        <v>47.8</v>
      </c>
      <c r="W74" s="59">
        <f t="shared" si="12"/>
        <v>55</v>
      </c>
      <c r="X74" s="59">
        <f t="shared" si="12"/>
        <v>56</v>
      </c>
      <c r="Y74" s="59">
        <f t="shared" si="12"/>
        <v>62</v>
      </c>
      <c r="Z74" s="59">
        <f t="shared" si="12"/>
        <v>61</v>
      </c>
      <c r="AA74" s="59">
        <f t="shared" si="12"/>
        <v>60</v>
      </c>
      <c r="AB74" s="59">
        <f t="shared" si="12"/>
        <v>62</v>
      </c>
      <c r="AC74" s="59">
        <f t="shared" si="12"/>
        <v>63</v>
      </c>
      <c r="AD74" s="59">
        <f t="shared" si="12"/>
        <v>0</v>
      </c>
      <c r="AE74" s="59">
        <f t="shared" si="12"/>
        <v>70</v>
      </c>
      <c r="AF74" s="59">
        <f t="shared" si="12"/>
        <v>63</v>
      </c>
      <c r="AG74" s="63"/>
      <c r="AH74" s="55">
        <f t="shared" si="2"/>
        <v>70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77</v>
      </c>
      <c r="C75" s="59">
        <f t="shared" ref="C75:AF75" si="13">IF(C56&lt;0,C56*-1,0)</f>
        <v>79</v>
      </c>
      <c r="D75" s="59">
        <f t="shared" si="13"/>
        <v>77.2</v>
      </c>
      <c r="E75" s="59">
        <f t="shared" si="13"/>
        <v>75.099999999999994</v>
      </c>
      <c r="F75" s="59">
        <f t="shared" si="13"/>
        <v>72.3</v>
      </c>
      <c r="G75" s="59">
        <f t="shared" si="13"/>
        <v>68.2</v>
      </c>
      <c r="H75" s="59">
        <f t="shared" si="13"/>
        <v>54.5</v>
      </c>
      <c r="I75" s="59">
        <f t="shared" si="13"/>
        <v>40.9</v>
      </c>
      <c r="J75" s="59">
        <f t="shared" si="13"/>
        <v>40.9</v>
      </c>
      <c r="K75" s="59">
        <f t="shared" si="13"/>
        <v>40</v>
      </c>
      <c r="L75" s="59">
        <f t="shared" si="13"/>
        <v>37.1</v>
      </c>
      <c r="M75" s="59">
        <f t="shared" si="13"/>
        <v>41.6</v>
      </c>
      <c r="N75" s="59">
        <f t="shared" si="13"/>
        <v>35.9</v>
      </c>
      <c r="O75" s="59">
        <f t="shared" si="13"/>
        <v>29</v>
      </c>
      <c r="P75" s="59">
        <f t="shared" si="13"/>
        <v>7.8</v>
      </c>
      <c r="Q75" s="59">
        <f t="shared" si="13"/>
        <v>9.1</v>
      </c>
      <c r="R75" s="59">
        <f t="shared" si="13"/>
        <v>9.6999999999999993</v>
      </c>
      <c r="S75" s="59">
        <f t="shared" si="13"/>
        <v>9</v>
      </c>
      <c r="T75" s="59">
        <f t="shared" si="13"/>
        <v>8.6999999999999993</v>
      </c>
      <c r="U75" s="59">
        <f t="shared" si="13"/>
        <v>39.799999999999997</v>
      </c>
      <c r="V75" s="59">
        <f t="shared" si="13"/>
        <v>54.7</v>
      </c>
      <c r="W75" s="59">
        <f t="shared" si="13"/>
        <v>66.900000000000006</v>
      </c>
      <c r="X75" s="59">
        <f t="shared" si="13"/>
        <v>65.900000000000006</v>
      </c>
      <c r="Y75" s="59">
        <f t="shared" si="13"/>
        <v>71.900000000000006</v>
      </c>
      <c r="Z75" s="59">
        <f t="shared" si="13"/>
        <v>74.7</v>
      </c>
      <c r="AA75" s="59">
        <f t="shared" si="13"/>
        <v>78.2</v>
      </c>
      <c r="AB75" s="59">
        <f t="shared" si="13"/>
        <v>76</v>
      </c>
      <c r="AC75" s="59">
        <f t="shared" si="13"/>
        <v>74</v>
      </c>
      <c r="AD75" s="59">
        <f t="shared" si="13"/>
        <v>75</v>
      </c>
      <c r="AE75" s="59">
        <f t="shared" si="13"/>
        <v>54</v>
      </c>
      <c r="AF75" s="59">
        <f t="shared" si="13"/>
        <v>74</v>
      </c>
      <c r="AG75" s="67"/>
      <c r="AH75" s="55">
        <f t="shared" si="2"/>
        <v>79</v>
      </c>
      <c r="AI75" s="56">
        <f t="shared" si="3"/>
        <v>7.8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78</v>
      </c>
      <c r="C76" s="59">
        <f t="shared" ref="C76:AF76" si="14">IF(C59&lt;0,C59*-1,0)</f>
        <v>77</v>
      </c>
      <c r="D76" s="59">
        <f t="shared" si="14"/>
        <v>77.400000000000006</v>
      </c>
      <c r="E76" s="59">
        <f t="shared" si="14"/>
        <v>77.3</v>
      </c>
      <c r="F76" s="59">
        <f t="shared" si="14"/>
        <v>76</v>
      </c>
      <c r="G76" s="59">
        <f t="shared" si="14"/>
        <v>74.8</v>
      </c>
      <c r="H76" s="59">
        <f t="shared" si="14"/>
        <v>68.599999999999994</v>
      </c>
      <c r="I76" s="59">
        <f t="shared" si="14"/>
        <v>58.3</v>
      </c>
      <c r="J76" s="59">
        <f t="shared" si="14"/>
        <v>52.2</v>
      </c>
      <c r="K76" s="59">
        <f t="shared" si="14"/>
        <v>48.1</v>
      </c>
      <c r="L76" s="59">
        <f t="shared" si="14"/>
        <v>50.4</v>
      </c>
      <c r="M76" s="59">
        <f t="shared" si="14"/>
        <v>50.6</v>
      </c>
      <c r="N76" s="59">
        <f t="shared" si="14"/>
        <v>50.8</v>
      </c>
      <c r="O76" s="59">
        <f t="shared" si="14"/>
        <v>61.3</v>
      </c>
      <c r="P76" s="59">
        <f t="shared" si="14"/>
        <v>31.8</v>
      </c>
      <c r="Q76" s="59">
        <f t="shared" si="14"/>
        <v>35</v>
      </c>
      <c r="R76" s="59">
        <f t="shared" si="14"/>
        <v>30.5</v>
      </c>
      <c r="S76" s="59">
        <f t="shared" si="14"/>
        <v>34.200000000000003</v>
      </c>
      <c r="T76" s="59">
        <f t="shared" si="14"/>
        <v>32.1</v>
      </c>
      <c r="U76" s="59">
        <f t="shared" si="14"/>
        <v>44.7</v>
      </c>
      <c r="V76" s="59">
        <f t="shared" si="14"/>
        <v>47.3</v>
      </c>
      <c r="W76" s="59">
        <f t="shared" si="14"/>
        <v>55</v>
      </c>
      <c r="X76" s="59">
        <f t="shared" si="14"/>
        <v>61</v>
      </c>
      <c r="Y76" s="59">
        <f t="shared" si="14"/>
        <v>63</v>
      </c>
      <c r="Z76" s="59">
        <f t="shared" si="14"/>
        <v>63</v>
      </c>
      <c r="AA76" s="59">
        <f t="shared" si="14"/>
        <v>65.099999999999994</v>
      </c>
      <c r="AB76" s="59">
        <f t="shared" si="14"/>
        <v>66</v>
      </c>
      <c r="AC76" s="59">
        <f t="shared" si="14"/>
        <v>66.5</v>
      </c>
      <c r="AD76" s="59">
        <f t="shared" si="14"/>
        <v>65</v>
      </c>
      <c r="AE76" s="59">
        <f t="shared" si="14"/>
        <v>68</v>
      </c>
      <c r="AF76" s="59">
        <f t="shared" si="14"/>
        <v>64</v>
      </c>
      <c r="AG76" s="90"/>
      <c r="AH76" s="55">
        <f t="shared" si="2"/>
        <v>78</v>
      </c>
      <c r="AI76" s="56">
        <f t="shared" si="3"/>
        <v>30.5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200</v>
      </c>
      <c r="C77" s="59">
        <f t="shared" ref="C77:AF77" si="15">IF(C57&lt;0,C57*-1,0)</f>
        <v>170</v>
      </c>
      <c r="D77" s="59">
        <f t="shared" si="15"/>
        <v>182.4</v>
      </c>
      <c r="E77" s="59">
        <f t="shared" si="15"/>
        <v>175</v>
      </c>
      <c r="F77" s="59">
        <f t="shared" si="15"/>
        <v>185</v>
      </c>
      <c r="G77" s="59">
        <f t="shared" si="15"/>
        <v>194</v>
      </c>
      <c r="H77" s="59">
        <f t="shared" si="15"/>
        <v>234</v>
      </c>
      <c r="I77" s="59">
        <f t="shared" si="15"/>
        <v>241</v>
      </c>
      <c r="J77" s="59">
        <f t="shared" si="15"/>
        <v>248</v>
      </c>
      <c r="K77" s="59">
        <f t="shared" si="15"/>
        <v>251</v>
      </c>
      <c r="L77" s="59">
        <f t="shared" si="15"/>
        <v>235</v>
      </c>
      <c r="M77" s="59">
        <f t="shared" si="15"/>
        <v>224.8</v>
      </c>
      <c r="N77" s="59">
        <f t="shared" si="15"/>
        <v>217.5</v>
      </c>
      <c r="O77" s="59">
        <f t="shared" si="15"/>
        <v>200</v>
      </c>
      <c r="P77" s="59">
        <f t="shared" si="15"/>
        <v>270</v>
      </c>
      <c r="Q77" s="59">
        <f t="shared" si="15"/>
        <v>0</v>
      </c>
      <c r="R77" s="59">
        <f t="shared" si="15"/>
        <v>310</v>
      </c>
      <c r="S77" s="59">
        <f t="shared" si="15"/>
        <v>270</v>
      </c>
      <c r="T77" s="59">
        <f t="shared" si="15"/>
        <v>270</v>
      </c>
      <c r="U77" s="59">
        <f t="shared" si="15"/>
        <v>264.7</v>
      </c>
      <c r="V77" s="59">
        <f t="shared" si="15"/>
        <v>186.2</v>
      </c>
      <c r="W77" s="59">
        <f t="shared" si="15"/>
        <v>81</v>
      </c>
      <c r="X77" s="59">
        <f t="shared" si="15"/>
        <v>35</v>
      </c>
      <c r="Y77" s="59">
        <f t="shared" si="15"/>
        <v>75</v>
      </c>
      <c r="Z77" s="59">
        <f t="shared" si="15"/>
        <v>61</v>
      </c>
      <c r="AA77" s="59">
        <f t="shared" si="15"/>
        <v>43.6</v>
      </c>
      <c r="AB77" s="59">
        <f t="shared" si="15"/>
        <v>68</v>
      </c>
      <c r="AC77" s="59">
        <f t="shared" si="15"/>
        <v>100</v>
      </c>
      <c r="AD77" s="59">
        <f t="shared" si="15"/>
        <v>132</v>
      </c>
      <c r="AE77" s="59">
        <f t="shared" si="15"/>
        <v>140</v>
      </c>
      <c r="AF77" s="59">
        <f t="shared" si="15"/>
        <v>183</v>
      </c>
      <c r="AG77" s="90"/>
      <c r="AH77" s="55">
        <f t="shared" ref="AH77:AH89" si="16">MAX(B77:AF77)</f>
        <v>310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412</v>
      </c>
      <c r="C80" s="72">
        <f t="shared" si="19"/>
        <v>386</v>
      </c>
      <c r="D80" s="72">
        <f t="shared" si="19"/>
        <v>397</v>
      </c>
      <c r="E80" s="72">
        <f t="shared" si="19"/>
        <v>387.4</v>
      </c>
      <c r="F80" s="72">
        <f t="shared" si="19"/>
        <v>388.3</v>
      </c>
      <c r="G80" s="72">
        <f t="shared" si="19"/>
        <v>392</v>
      </c>
      <c r="H80" s="72">
        <f t="shared" si="19"/>
        <v>407.1</v>
      </c>
      <c r="I80" s="72">
        <f t="shared" si="19"/>
        <v>385.2</v>
      </c>
      <c r="J80" s="72">
        <f t="shared" si="19"/>
        <v>381.1</v>
      </c>
      <c r="K80" s="72">
        <f t="shared" si="19"/>
        <v>371.1</v>
      </c>
      <c r="L80" s="72">
        <f t="shared" si="19"/>
        <v>354.5</v>
      </c>
      <c r="M80" s="72">
        <f t="shared" si="19"/>
        <v>348</v>
      </c>
      <c r="N80" s="72">
        <f t="shared" si="19"/>
        <v>334.2</v>
      </c>
      <c r="O80" s="72">
        <f t="shared" si="19"/>
        <v>330.3</v>
      </c>
      <c r="P80" s="72">
        <f t="shared" si="19"/>
        <v>349.7</v>
      </c>
      <c r="Q80" s="72">
        <f t="shared" si="19"/>
        <v>84.1</v>
      </c>
      <c r="R80" s="72">
        <f t="shared" si="19"/>
        <v>398.9</v>
      </c>
      <c r="S80" s="72">
        <f t="shared" si="19"/>
        <v>367</v>
      </c>
      <c r="T80" s="72">
        <f t="shared" si="19"/>
        <v>348.8</v>
      </c>
      <c r="U80" s="72">
        <f t="shared" si="19"/>
        <v>387.2</v>
      </c>
      <c r="V80" s="72">
        <f t="shared" si="19"/>
        <v>336</v>
      </c>
      <c r="W80" s="72">
        <f t="shared" si="19"/>
        <v>257.89999999999998</v>
      </c>
      <c r="X80" s="72">
        <f t="shared" si="19"/>
        <v>217.9</v>
      </c>
      <c r="Y80" s="72">
        <f t="shared" si="19"/>
        <v>271.89999999999998</v>
      </c>
      <c r="Z80" s="72">
        <f t="shared" si="19"/>
        <v>259.7</v>
      </c>
      <c r="AA80" s="72">
        <f t="shared" si="19"/>
        <v>246.89999999999998</v>
      </c>
      <c r="AB80" s="72">
        <f t="shared" si="19"/>
        <v>272</v>
      </c>
      <c r="AC80" s="72">
        <f t="shared" si="19"/>
        <v>303.5</v>
      </c>
      <c r="AD80" s="72">
        <f t="shared" si="19"/>
        <v>272</v>
      </c>
      <c r="AE80" s="72">
        <f t="shared" si="19"/>
        <v>332</v>
      </c>
      <c r="AF80" s="72">
        <f t="shared" si="19"/>
        <v>384</v>
      </c>
      <c r="AG80" s="77">
        <f t="shared" si="19"/>
        <v>0</v>
      </c>
      <c r="AH80" s="55">
        <f t="shared" si="16"/>
        <v>412</v>
      </c>
      <c r="AI80" s="56">
        <f t="shared" si="17"/>
        <v>84.1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2950.08</v>
      </c>
      <c r="C81" s="72">
        <f t="shared" si="20"/>
        <v>2785.48</v>
      </c>
      <c r="D81" s="72">
        <f t="shared" si="20"/>
        <v>2792.28</v>
      </c>
      <c r="E81" s="72">
        <f t="shared" si="20"/>
        <v>2744.0800000000004</v>
      </c>
      <c r="F81" s="72">
        <f t="shared" si="20"/>
        <v>2751.6800000000003</v>
      </c>
      <c r="G81" s="72">
        <f t="shared" si="20"/>
        <v>2794.48</v>
      </c>
      <c r="H81" s="72">
        <f t="shared" si="20"/>
        <v>2785.68</v>
      </c>
      <c r="I81" s="72">
        <f t="shared" si="20"/>
        <v>2704.88</v>
      </c>
      <c r="J81" s="72">
        <f t="shared" si="20"/>
        <v>2701.48</v>
      </c>
      <c r="K81" s="72">
        <f t="shared" si="20"/>
        <v>2686.2799999999997</v>
      </c>
      <c r="L81" s="72">
        <f t="shared" si="20"/>
        <v>2687.88</v>
      </c>
      <c r="M81" s="72">
        <f t="shared" si="20"/>
        <v>2693.28</v>
      </c>
      <c r="N81" s="72">
        <f t="shared" si="20"/>
        <v>2675.48</v>
      </c>
      <c r="O81" s="72">
        <f t="shared" si="20"/>
        <v>2766.28</v>
      </c>
      <c r="P81" s="72">
        <f t="shared" si="20"/>
        <v>2761.88</v>
      </c>
      <c r="Q81" s="72">
        <f t="shared" si="20"/>
        <v>2172.6799999999998</v>
      </c>
      <c r="R81" s="72">
        <f t="shared" si="20"/>
        <v>2825.7799999999997</v>
      </c>
      <c r="S81" s="72">
        <f t="shared" si="20"/>
        <v>2676.1800000000003</v>
      </c>
      <c r="T81" s="72">
        <f t="shared" si="20"/>
        <v>2676.1800000000003</v>
      </c>
      <c r="U81" s="72">
        <f t="shared" si="20"/>
        <v>2766.7799999999997</v>
      </c>
      <c r="V81" s="72">
        <f t="shared" si="20"/>
        <v>2808.58</v>
      </c>
      <c r="W81" s="72">
        <f t="shared" si="20"/>
        <v>2917.48</v>
      </c>
      <c r="X81" s="72">
        <f t="shared" si="20"/>
        <v>3031.88</v>
      </c>
      <c r="Y81" s="72">
        <f t="shared" si="20"/>
        <v>3129.88</v>
      </c>
      <c r="Z81" s="72">
        <f t="shared" si="20"/>
        <v>3090.68</v>
      </c>
      <c r="AA81" s="72">
        <f t="shared" si="20"/>
        <v>3016.48</v>
      </c>
      <c r="AB81" s="72">
        <f t="shared" si="20"/>
        <v>3095.08</v>
      </c>
      <c r="AC81" s="72">
        <f t="shared" si="20"/>
        <v>3091.08</v>
      </c>
      <c r="AD81" s="72">
        <f t="shared" si="20"/>
        <v>2828.88</v>
      </c>
      <c r="AE81" s="72">
        <f t="shared" si="20"/>
        <v>2782.28</v>
      </c>
      <c r="AF81" s="72">
        <f t="shared" si="20"/>
        <v>2780.6800000000003</v>
      </c>
      <c r="AG81" s="77">
        <f t="shared" si="20"/>
        <v>4238.08</v>
      </c>
      <c r="AH81" s="55">
        <f t="shared" si="16"/>
        <v>3129.88</v>
      </c>
      <c r="AI81" s="56">
        <f t="shared" si="17"/>
        <v>2172.6799999999998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</v>
      </c>
      <c r="C82" s="93">
        <v>49.73</v>
      </c>
      <c r="D82" s="93">
        <v>49.95</v>
      </c>
      <c r="E82" s="93">
        <v>50.02</v>
      </c>
      <c r="F82" s="93">
        <v>49.825000000000003</v>
      </c>
      <c r="G82" s="93">
        <v>49.786000000000001</v>
      </c>
      <c r="H82" s="93">
        <v>50.012</v>
      </c>
      <c r="I82" s="93">
        <v>49.875999999999998</v>
      </c>
      <c r="J82" s="93">
        <v>50.012999999999998</v>
      </c>
      <c r="K82" s="93">
        <v>50.003999999999998</v>
      </c>
      <c r="L82" s="93">
        <v>49.99</v>
      </c>
      <c r="M82" s="93">
        <v>50.08</v>
      </c>
      <c r="N82" s="93">
        <v>50.06</v>
      </c>
      <c r="O82" s="93">
        <v>50.002000000000002</v>
      </c>
      <c r="P82" s="93">
        <v>49.904000000000003</v>
      </c>
      <c r="Q82" s="93">
        <v>50.015000000000001</v>
      </c>
      <c r="R82" s="93">
        <v>49.96</v>
      </c>
      <c r="S82" s="93">
        <v>49.98</v>
      </c>
      <c r="T82" s="93">
        <v>49.970999999999997</v>
      </c>
      <c r="U82" s="93">
        <v>49.933999999999997</v>
      </c>
      <c r="V82" s="93">
        <v>49.972999999999999</v>
      </c>
      <c r="W82" s="93">
        <v>49.774000000000001</v>
      </c>
      <c r="X82" s="93">
        <v>49.732999999999997</v>
      </c>
      <c r="Y82" s="93">
        <v>49.9</v>
      </c>
      <c r="Z82" s="93">
        <v>50</v>
      </c>
      <c r="AA82" s="93">
        <v>50</v>
      </c>
      <c r="AB82" s="93">
        <v>50</v>
      </c>
      <c r="AC82" s="93">
        <v>50.01</v>
      </c>
      <c r="AD82" s="93">
        <v>50.03</v>
      </c>
      <c r="AE82" s="93">
        <v>49.962000000000003</v>
      </c>
      <c r="AF82" s="94">
        <v>49.96</v>
      </c>
      <c r="AG82" s="95"/>
      <c r="AH82" s="55">
        <f t="shared" si="16"/>
        <v>50.08</v>
      </c>
      <c r="AI82" s="56">
        <f t="shared" si="17"/>
        <v>49.73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123</v>
      </c>
      <c r="C83" s="52">
        <v>123</v>
      </c>
      <c r="D83" s="52">
        <v>123.6</v>
      </c>
      <c r="E83" s="52">
        <v>124.3</v>
      </c>
      <c r="F83" s="52">
        <v>124.2</v>
      </c>
      <c r="G83" s="52">
        <v>124.8</v>
      </c>
      <c r="H83" s="52">
        <v>126.2</v>
      </c>
      <c r="I83" s="52">
        <v>125.7</v>
      </c>
      <c r="J83" s="52">
        <v>124.9</v>
      </c>
      <c r="K83" s="52">
        <v>125.4</v>
      </c>
      <c r="L83" s="52">
        <v>125.5</v>
      </c>
      <c r="M83" s="52">
        <v>125.2</v>
      </c>
      <c r="N83" s="52">
        <v>124.5</v>
      </c>
      <c r="O83" s="52">
        <v>124.5</v>
      </c>
      <c r="P83" s="52">
        <v>124.3</v>
      </c>
      <c r="Q83" s="52">
        <v>125.5</v>
      </c>
      <c r="R83" s="52">
        <v>126.6</v>
      </c>
      <c r="S83" s="52">
        <v>126.8</v>
      </c>
      <c r="T83" s="97">
        <v>125.8</v>
      </c>
      <c r="U83" s="97">
        <v>125.1</v>
      </c>
      <c r="V83" s="97">
        <v>125</v>
      </c>
      <c r="W83" s="97">
        <v>122.8</v>
      </c>
      <c r="X83" s="97">
        <v>124</v>
      </c>
      <c r="Y83" s="97">
        <v>126</v>
      </c>
      <c r="Z83" s="97">
        <v>126</v>
      </c>
      <c r="AA83" s="52">
        <v>125</v>
      </c>
      <c r="AB83" s="52">
        <v>125</v>
      </c>
      <c r="AC83" s="52">
        <v>125</v>
      </c>
      <c r="AD83" s="52">
        <v>124</v>
      </c>
      <c r="AE83" s="52">
        <v>125</v>
      </c>
      <c r="AF83" s="98">
        <v>124</v>
      </c>
      <c r="AG83" s="99"/>
      <c r="AH83" s="55">
        <f t="shared" si="16"/>
        <v>126.8</v>
      </c>
      <c r="AI83" s="56">
        <f t="shared" si="17"/>
        <v>122.8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128.5</v>
      </c>
      <c r="C84" s="52">
        <v>128.5</v>
      </c>
      <c r="D84" s="52">
        <v>129</v>
      </c>
      <c r="E84" s="52">
        <v>129.5</v>
      </c>
      <c r="F84" s="52">
        <v>129.19999999999999</v>
      </c>
      <c r="G84" s="52">
        <v>129.4</v>
      </c>
      <c r="H84" s="52">
        <v>130.19999999999999</v>
      </c>
      <c r="I84" s="52">
        <v>129.30000000000001</v>
      </c>
      <c r="J84" s="52">
        <v>128.4</v>
      </c>
      <c r="K84" s="52">
        <v>128.80000000000001</v>
      </c>
      <c r="L84" s="52">
        <v>129</v>
      </c>
      <c r="M84" s="52">
        <v>128.69999999999999</v>
      </c>
      <c r="N84" s="52">
        <v>128.19999999999999</v>
      </c>
      <c r="O84" s="52">
        <v>128.1</v>
      </c>
      <c r="P84" s="52">
        <v>127.9</v>
      </c>
      <c r="Q84" s="52">
        <v>129.19999999999999</v>
      </c>
      <c r="R84" s="52">
        <v>130</v>
      </c>
      <c r="S84" s="52">
        <v>130.19999999999999</v>
      </c>
      <c r="T84" s="97">
        <v>129.19999999999999</v>
      </c>
      <c r="U84" s="97">
        <v>129</v>
      </c>
      <c r="V84" s="97">
        <v>129</v>
      </c>
      <c r="W84" s="97">
        <v>126.8</v>
      </c>
      <c r="X84" s="97">
        <v>126.8</v>
      </c>
      <c r="Y84" s="97">
        <v>130</v>
      </c>
      <c r="Z84" s="97">
        <v>130</v>
      </c>
      <c r="AA84" s="52">
        <v>129</v>
      </c>
      <c r="AB84" s="52">
        <v>129</v>
      </c>
      <c r="AC84" s="52">
        <v>129</v>
      </c>
      <c r="AD84" s="52">
        <v>128.5</v>
      </c>
      <c r="AE84" s="52">
        <v>130</v>
      </c>
      <c r="AF84" s="98">
        <v>129</v>
      </c>
      <c r="AG84" s="99"/>
      <c r="AH84" s="55">
        <f t="shared" si="16"/>
        <v>130.19999999999999</v>
      </c>
      <c r="AI84" s="56">
        <f t="shared" si="17"/>
        <v>126.8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129</v>
      </c>
      <c r="C85" s="52">
        <v>129</v>
      </c>
      <c r="D85" s="52">
        <v>126.6</v>
      </c>
      <c r="E85" s="52">
        <v>129</v>
      </c>
      <c r="F85" s="52">
        <v>128.30000000000001</v>
      </c>
      <c r="G85" s="52">
        <v>129</v>
      </c>
      <c r="H85" s="52">
        <v>132.19999999999999</v>
      </c>
      <c r="I85" s="52">
        <v>129.80000000000001</v>
      </c>
      <c r="J85" s="52">
        <v>128.19999999999999</v>
      </c>
      <c r="K85" s="52">
        <v>129</v>
      </c>
      <c r="L85" s="52">
        <v>127.7</v>
      </c>
      <c r="M85" s="52">
        <v>130</v>
      </c>
      <c r="N85" s="52">
        <v>129.9</v>
      </c>
      <c r="O85" s="52">
        <v>129.4</v>
      </c>
      <c r="P85" s="52">
        <v>129.4</v>
      </c>
      <c r="Q85" s="52">
        <v>129.4</v>
      </c>
      <c r="R85" s="52">
        <v>130</v>
      </c>
      <c r="S85" s="52">
        <v>130.9</v>
      </c>
      <c r="T85" s="52">
        <v>130.1</v>
      </c>
      <c r="U85" s="52">
        <v>128.30000000000001</v>
      </c>
      <c r="V85" s="52">
        <v>127</v>
      </c>
      <c r="W85" s="97">
        <v>128</v>
      </c>
      <c r="X85" s="97">
        <v>128</v>
      </c>
      <c r="Y85" s="97">
        <v>128</v>
      </c>
      <c r="Z85" s="97">
        <v>128</v>
      </c>
      <c r="AA85" s="52">
        <v>129</v>
      </c>
      <c r="AB85" s="52">
        <v>129</v>
      </c>
      <c r="AC85" s="52">
        <v>127</v>
      </c>
      <c r="AD85" s="52">
        <v>129.5</v>
      </c>
      <c r="AE85" s="52">
        <v>128</v>
      </c>
      <c r="AF85" s="98">
        <v>130</v>
      </c>
      <c r="AG85" s="99"/>
      <c r="AH85" s="55">
        <f t="shared" si="16"/>
        <v>132.19999999999999</v>
      </c>
      <c r="AI85" s="56">
        <f t="shared" si="17"/>
        <v>126.6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134.5</v>
      </c>
      <c r="C86" s="52">
        <v>134</v>
      </c>
      <c r="D86" s="52">
        <v>131.5</v>
      </c>
      <c r="E86" s="52">
        <v>133.30000000000001</v>
      </c>
      <c r="F86" s="52">
        <v>132.6</v>
      </c>
      <c r="G86" s="52">
        <v>133.1</v>
      </c>
      <c r="H86" s="52">
        <v>134.69999999999999</v>
      </c>
      <c r="I86" s="52">
        <v>133.1</v>
      </c>
      <c r="J86" s="52">
        <v>132.5</v>
      </c>
      <c r="K86" s="52">
        <v>131.80000000000001</v>
      </c>
      <c r="L86" s="52">
        <v>130.30000000000001</v>
      </c>
      <c r="M86" s="52">
        <v>131.9</v>
      </c>
      <c r="N86" s="52">
        <v>132.80000000000001</v>
      </c>
      <c r="O86" s="52">
        <v>133.1</v>
      </c>
      <c r="P86" s="52">
        <v>132.5</v>
      </c>
      <c r="Q86" s="52">
        <v>133.1</v>
      </c>
      <c r="R86" s="52">
        <v>132.9</v>
      </c>
      <c r="S86" s="52">
        <v>133.9</v>
      </c>
      <c r="T86" s="52">
        <v>132.9</v>
      </c>
      <c r="U86" s="52">
        <v>132.19999999999999</v>
      </c>
      <c r="V86" s="52">
        <v>130</v>
      </c>
      <c r="W86" s="97">
        <v>133</v>
      </c>
      <c r="X86" s="97">
        <v>133</v>
      </c>
      <c r="Y86" s="97">
        <v>132</v>
      </c>
      <c r="Z86" s="97">
        <v>132</v>
      </c>
      <c r="AA86" s="52">
        <v>131</v>
      </c>
      <c r="AB86" s="52">
        <v>131</v>
      </c>
      <c r="AC86" s="52">
        <v>130</v>
      </c>
      <c r="AD86" s="52">
        <v>133</v>
      </c>
      <c r="AE86" s="52">
        <v>132</v>
      </c>
      <c r="AF86" s="98">
        <v>133</v>
      </c>
      <c r="AG86" s="99"/>
      <c r="AH86" s="55">
        <f t="shared" si="16"/>
        <v>134.69999999999999</v>
      </c>
      <c r="AI86" s="56">
        <f t="shared" si="17"/>
        <v>130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</v>
      </c>
      <c r="C87" s="101">
        <v>130</v>
      </c>
      <c r="D87" s="101">
        <v>131.19999999999999</v>
      </c>
      <c r="E87" s="101">
        <v>131.69999999999999</v>
      </c>
      <c r="F87" s="101">
        <v>131.5</v>
      </c>
      <c r="G87" s="101">
        <v>132.1</v>
      </c>
      <c r="H87" s="101">
        <v>132.9</v>
      </c>
      <c r="I87" s="101">
        <v>132.6</v>
      </c>
      <c r="J87" s="101">
        <v>132.9</v>
      </c>
      <c r="K87" s="101">
        <v>134</v>
      </c>
      <c r="L87" s="101">
        <v>132.9</v>
      </c>
      <c r="M87" s="101">
        <v>132.9</v>
      </c>
      <c r="N87" s="101">
        <v>132.30000000000001</v>
      </c>
      <c r="O87" s="101">
        <v>134.4</v>
      </c>
      <c r="P87" s="101">
        <v>133.69999999999999</v>
      </c>
      <c r="Q87" s="101">
        <v>132.19999999999999</v>
      </c>
      <c r="R87" s="101">
        <v>133.30000000000001</v>
      </c>
      <c r="S87" s="101">
        <v>133.19999999999999</v>
      </c>
      <c r="T87" s="101">
        <v>134.6</v>
      </c>
      <c r="U87" s="101">
        <v>132.69999999999999</v>
      </c>
      <c r="V87" s="101">
        <v>133</v>
      </c>
      <c r="W87" s="97">
        <v>130</v>
      </c>
      <c r="X87" s="97">
        <v>130</v>
      </c>
      <c r="Y87" s="97">
        <v>135</v>
      </c>
      <c r="Z87" s="97">
        <v>135</v>
      </c>
      <c r="AA87" s="101">
        <v>130</v>
      </c>
      <c r="AB87" s="101">
        <v>130</v>
      </c>
      <c r="AC87" s="101">
        <v>132</v>
      </c>
      <c r="AD87" s="101">
        <v>135</v>
      </c>
      <c r="AE87" s="101">
        <v>134</v>
      </c>
      <c r="AF87" s="102">
        <v>130</v>
      </c>
      <c r="AG87" s="103"/>
      <c r="AH87" s="55">
        <f t="shared" si="16"/>
        <v>135</v>
      </c>
      <c r="AI87" s="56">
        <f t="shared" si="17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130</v>
      </c>
      <c r="C88" s="52">
        <v>130</v>
      </c>
      <c r="D88" s="52">
        <v>131.4</v>
      </c>
      <c r="E88" s="52">
        <v>132.69999999999999</v>
      </c>
      <c r="F88" s="52">
        <v>132.19999999999999</v>
      </c>
      <c r="G88" s="52">
        <v>131.80000000000001</v>
      </c>
      <c r="H88" s="52">
        <v>132.5</v>
      </c>
      <c r="I88" s="52">
        <v>130.9</v>
      </c>
      <c r="J88" s="52">
        <v>130.80000000000001</v>
      </c>
      <c r="K88" s="52">
        <v>131.1</v>
      </c>
      <c r="L88" s="52">
        <v>128.9</v>
      </c>
      <c r="M88" s="52">
        <v>131.80000000000001</v>
      </c>
      <c r="N88" s="52">
        <v>130.6</v>
      </c>
      <c r="O88" s="52">
        <v>131.80000000000001</v>
      </c>
      <c r="P88" s="52">
        <v>130</v>
      </c>
      <c r="Q88" s="52">
        <v>130.19999999999999</v>
      </c>
      <c r="R88" s="52">
        <v>131.69999999999999</v>
      </c>
      <c r="S88" s="52">
        <v>133.19999999999999</v>
      </c>
      <c r="T88" s="52">
        <v>133.69999999999999</v>
      </c>
      <c r="U88" s="52">
        <v>131.30000000000001</v>
      </c>
      <c r="V88" s="52">
        <v>132</v>
      </c>
      <c r="W88" s="97">
        <v>128</v>
      </c>
      <c r="X88" s="97">
        <v>128</v>
      </c>
      <c r="Y88" s="97">
        <v>134</v>
      </c>
      <c r="Z88" s="97">
        <v>134</v>
      </c>
      <c r="AA88" s="52">
        <v>128</v>
      </c>
      <c r="AB88" s="52">
        <v>128</v>
      </c>
      <c r="AC88" s="52">
        <v>130</v>
      </c>
      <c r="AD88" s="52">
        <v>135.5</v>
      </c>
      <c r="AE88" s="52">
        <v>134</v>
      </c>
      <c r="AF88" s="98">
        <v>130</v>
      </c>
      <c r="AG88" s="99"/>
      <c r="AH88" s="55">
        <f t="shared" si="16"/>
        <v>135.5</v>
      </c>
      <c r="AI88" s="56">
        <f t="shared" si="17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65.7</v>
      </c>
      <c r="C89" s="104">
        <v>65.7</v>
      </c>
      <c r="D89" s="104">
        <v>65.900000000000006</v>
      </c>
      <c r="E89" s="104">
        <v>66.2</v>
      </c>
      <c r="F89" s="104">
        <v>66</v>
      </c>
      <c r="G89" s="104">
        <v>66.2</v>
      </c>
      <c r="H89" s="104">
        <v>66.5</v>
      </c>
      <c r="I89" s="104">
        <v>66</v>
      </c>
      <c r="J89" s="104">
        <v>65.3</v>
      </c>
      <c r="K89" s="104">
        <v>65.7</v>
      </c>
      <c r="L89" s="104">
        <v>65.7</v>
      </c>
      <c r="M89" s="104">
        <v>65.7</v>
      </c>
      <c r="N89" s="104">
        <v>65.3</v>
      </c>
      <c r="O89" s="104">
        <v>65.3</v>
      </c>
      <c r="P89" s="104">
        <v>65.2</v>
      </c>
      <c r="Q89" s="104">
        <v>65.7</v>
      </c>
      <c r="R89" s="104">
        <v>66.7</v>
      </c>
      <c r="S89" s="104">
        <v>66.599999999999994</v>
      </c>
      <c r="T89" s="104">
        <v>65.900000000000006</v>
      </c>
      <c r="U89" s="104">
        <v>65.8</v>
      </c>
      <c r="V89" s="104">
        <v>65.7</v>
      </c>
      <c r="W89" s="104">
        <v>64.900000000000006</v>
      </c>
      <c r="X89" s="104">
        <v>65</v>
      </c>
      <c r="Y89" s="104">
        <v>66</v>
      </c>
      <c r="Z89" s="104">
        <v>66</v>
      </c>
      <c r="AA89" s="104">
        <v>65.7</v>
      </c>
      <c r="AB89" s="104">
        <v>65.7</v>
      </c>
      <c r="AC89" s="104">
        <v>65.3</v>
      </c>
      <c r="AD89" s="104">
        <v>65.7</v>
      </c>
      <c r="AE89" s="104">
        <v>66.599999999999994</v>
      </c>
      <c r="AF89" s="105">
        <v>66</v>
      </c>
      <c r="AG89" s="106"/>
      <c r="AH89" s="55">
        <f t="shared" si="16"/>
        <v>66.7</v>
      </c>
      <c r="AI89" s="56">
        <f t="shared" si="17"/>
        <v>64.900000000000006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122.93999999999998</v>
      </c>
      <c r="C91" s="178">
        <f t="shared" ref="C91:AF91" si="21">SUM(C14,C17,C20:C21,C40,C42:C43,C45,C47,C92:C95,C100,C106,C112,C121,C123,C135,C142,C145:C146,C153,C155,C157,C161:C163,C165:C167,C172,C178:C179,C181:C183,C191,C196)</f>
        <v>121.83999999999999</v>
      </c>
      <c r="D91" s="178">
        <f t="shared" si="21"/>
        <v>121.04</v>
      </c>
      <c r="E91" s="178">
        <f t="shared" si="21"/>
        <v>124.54</v>
      </c>
      <c r="F91" s="111">
        <f t="shared" si="21"/>
        <v>142.54</v>
      </c>
      <c r="G91" s="111">
        <f t="shared" si="21"/>
        <v>162.33999999999997</v>
      </c>
      <c r="H91" s="111">
        <f t="shared" si="21"/>
        <v>175.04</v>
      </c>
      <c r="I91" s="111">
        <f t="shared" si="21"/>
        <v>188.73999999999998</v>
      </c>
      <c r="J91" s="111">
        <f t="shared" si="21"/>
        <v>187.23999999999998</v>
      </c>
      <c r="K91" s="111">
        <f t="shared" si="21"/>
        <v>197.43999999999997</v>
      </c>
      <c r="L91" s="111">
        <f t="shared" si="21"/>
        <v>175.04000000000002</v>
      </c>
      <c r="M91" s="111">
        <f t="shared" si="21"/>
        <v>213.34</v>
      </c>
      <c r="N91" s="111">
        <f t="shared" si="21"/>
        <v>206.76999999999998</v>
      </c>
      <c r="O91" s="111">
        <f t="shared" si="21"/>
        <v>202.04</v>
      </c>
      <c r="P91" s="111">
        <f t="shared" si="21"/>
        <v>188.64</v>
      </c>
      <c r="Q91" s="111">
        <f t="shared" si="21"/>
        <v>185.03999999999996</v>
      </c>
      <c r="R91" s="111">
        <f t="shared" si="21"/>
        <v>184.94</v>
      </c>
      <c r="S91" s="111">
        <f t="shared" si="21"/>
        <v>183.24</v>
      </c>
      <c r="T91" s="111">
        <f t="shared" si="21"/>
        <v>180.43999999999997</v>
      </c>
      <c r="U91" s="111">
        <f t="shared" si="21"/>
        <v>197.83999999999997</v>
      </c>
      <c r="V91" s="111">
        <f t="shared" si="21"/>
        <v>228.64</v>
      </c>
      <c r="W91" s="111">
        <f t="shared" si="21"/>
        <v>274.94</v>
      </c>
      <c r="X91" s="111">
        <f t="shared" si="21"/>
        <v>284.84000000000003</v>
      </c>
      <c r="Y91" s="111">
        <f t="shared" si="21"/>
        <v>271.83999999999997</v>
      </c>
      <c r="Z91" s="111">
        <f t="shared" si="21"/>
        <v>259.04000000000008</v>
      </c>
      <c r="AA91" s="111">
        <f t="shared" si="21"/>
        <v>232.23999999999995</v>
      </c>
      <c r="AB91" s="111">
        <f t="shared" si="21"/>
        <v>226.93999999999997</v>
      </c>
      <c r="AC91" s="111">
        <f t="shared" si="21"/>
        <v>213.93999999999997</v>
      </c>
      <c r="AD91" s="111">
        <f t="shared" si="21"/>
        <v>166.63999999999996</v>
      </c>
      <c r="AE91" s="111">
        <f t="shared" si="21"/>
        <v>146.93999999999997</v>
      </c>
      <c r="AF91" s="111">
        <f t="shared" si="21"/>
        <v>130.93999999999997</v>
      </c>
      <c r="AG91" s="112"/>
      <c r="AH91" s="55">
        <f>MAX(B91:AF91)</f>
        <v>284.84000000000003</v>
      </c>
      <c r="AI91" s="56">
        <f>MIN(B91:AF91)</f>
        <v>121.04</v>
      </c>
    </row>
    <row r="92" spans="1:88" x14ac:dyDescent="0.25">
      <c r="A92" s="113" t="s">
        <v>95</v>
      </c>
      <c r="B92" s="59">
        <v>0</v>
      </c>
      <c r="C92" s="59">
        <v>0</v>
      </c>
      <c r="D92" s="59">
        <v>0</v>
      </c>
      <c r="E92" s="59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v>0</v>
      </c>
      <c r="K92" s="114">
        <v>0</v>
      </c>
      <c r="L92" s="115">
        <v>0</v>
      </c>
      <c r="M92" s="114">
        <v>0</v>
      </c>
      <c r="N92" s="114">
        <v>0</v>
      </c>
      <c r="O92" s="114">
        <v>0</v>
      </c>
      <c r="P92" s="114">
        <v>0</v>
      </c>
      <c r="Q92" s="114">
        <v>0</v>
      </c>
      <c r="R92" s="114">
        <v>0</v>
      </c>
      <c r="S92" s="114">
        <v>0</v>
      </c>
      <c r="T92" s="115">
        <v>0</v>
      </c>
      <c r="U92" s="115">
        <v>0</v>
      </c>
      <c r="V92" s="115">
        <v>0</v>
      </c>
      <c r="W92" s="114">
        <v>0</v>
      </c>
      <c r="X92" s="114">
        <v>0</v>
      </c>
      <c r="Y92" s="114">
        <v>0</v>
      </c>
      <c r="Z92" s="114">
        <v>0</v>
      </c>
      <c r="AA92" s="115">
        <v>0</v>
      </c>
      <c r="AB92" s="115">
        <v>0</v>
      </c>
      <c r="AC92" s="115">
        <v>0</v>
      </c>
      <c r="AD92" s="115">
        <v>0</v>
      </c>
      <c r="AE92" s="115">
        <v>0</v>
      </c>
      <c r="AF92" s="116">
        <v>0</v>
      </c>
      <c r="AG92" s="117">
        <v>75</v>
      </c>
      <c r="AH92" s="55">
        <f t="shared" ref="AH92:AH97" si="22">IF(ABS(MAX(B92:AF92))&gt;ABS(MIN(B92:AF92)),MAX(B92:AF92),MIN(B92:AF92))</f>
        <v>0</v>
      </c>
      <c r="AI92" s="118">
        <f t="shared" ref="AI92:AI97" si="23">INDEX($B$9:$AF$9,1,MATCH(AH92,B92:AF92,0))</f>
        <v>4.1666666666666664E-2</v>
      </c>
    </row>
    <row r="93" spans="1:88" x14ac:dyDescent="0.25">
      <c r="A93" s="119" t="s">
        <v>96</v>
      </c>
      <c r="B93" s="61">
        <v>-107</v>
      </c>
      <c r="C93" s="61">
        <v>-100</v>
      </c>
      <c r="D93" s="61">
        <v>-98</v>
      </c>
      <c r="E93" s="61">
        <v>-86.5</v>
      </c>
      <c r="F93" s="61">
        <v>-73</v>
      </c>
      <c r="G93" s="61">
        <v>-66</v>
      </c>
      <c r="H93" s="61">
        <v>-55</v>
      </c>
      <c r="I93" s="61">
        <v>-44</v>
      </c>
      <c r="J93" s="61">
        <v>-47</v>
      </c>
      <c r="K93" s="61">
        <v>-40</v>
      </c>
      <c r="L93" s="61">
        <f>-29.8-35</f>
        <v>-64.8</v>
      </c>
      <c r="M93" s="61">
        <f>-29.3-35.2</f>
        <v>-64.5</v>
      </c>
      <c r="N93" s="61">
        <f>-30.7-36.37</f>
        <v>-67.069999999999993</v>
      </c>
      <c r="O93" s="61">
        <v>-54</v>
      </c>
      <c r="P93" s="61">
        <v>-62.3</v>
      </c>
      <c r="Q93" s="61">
        <v>-56</v>
      </c>
      <c r="R93" s="61">
        <f>-36.2-43.9</f>
        <v>-80.099999999999994</v>
      </c>
      <c r="S93" s="61">
        <f>-36.9-44.7</f>
        <v>-81.599999999999994</v>
      </c>
      <c r="T93" s="61">
        <v>-80.7</v>
      </c>
      <c r="U93" s="61">
        <v>-74.599999999999994</v>
      </c>
      <c r="V93" s="61">
        <v>-69</v>
      </c>
      <c r="W93" s="61">
        <v>-57</v>
      </c>
      <c r="X93" s="61">
        <v>-48</v>
      </c>
      <c r="Y93" s="61">
        <v>-62</v>
      </c>
      <c r="Z93" s="61">
        <v>-72</v>
      </c>
      <c r="AA93" s="52">
        <v>-90</v>
      </c>
      <c r="AB93" s="52">
        <v>-90</v>
      </c>
      <c r="AC93" s="52">
        <v>-94</v>
      </c>
      <c r="AD93" s="52">
        <v>-74</v>
      </c>
      <c r="AE93" s="52">
        <v>-90</v>
      </c>
      <c r="AF93" s="120">
        <v>-100</v>
      </c>
      <c r="AG93" s="117">
        <v>240</v>
      </c>
      <c r="AH93" s="55">
        <f t="shared" si="22"/>
        <v>-107</v>
      </c>
      <c r="AI93" s="118">
        <f t="shared" si="23"/>
        <v>4.1666666666666664E-2</v>
      </c>
    </row>
    <row r="94" spans="1:88" x14ac:dyDescent="0.25">
      <c r="A94" s="119" t="s">
        <v>97</v>
      </c>
      <c r="B94" s="61">
        <v>-7</v>
      </c>
      <c r="C94" s="61">
        <v>-9</v>
      </c>
      <c r="D94" s="61">
        <v>-11.2</v>
      </c>
      <c r="E94" s="61">
        <v>-8</v>
      </c>
      <c r="F94" s="61">
        <v>-3.5</v>
      </c>
      <c r="G94" s="61">
        <v>-1.9</v>
      </c>
      <c r="H94" s="61">
        <v>0</v>
      </c>
      <c r="I94" s="61">
        <v>2.5</v>
      </c>
      <c r="J94" s="61">
        <v>4.5</v>
      </c>
      <c r="K94" s="61">
        <v>7.7</v>
      </c>
      <c r="L94" s="61">
        <v>2.2999999999999998</v>
      </c>
      <c r="M94" s="61">
        <v>5.3</v>
      </c>
      <c r="N94" s="61">
        <v>0.9</v>
      </c>
      <c r="O94" s="61">
        <v>6.3</v>
      </c>
      <c r="P94" s="61">
        <v>3.6</v>
      </c>
      <c r="Q94" s="61">
        <v>0</v>
      </c>
      <c r="R94" s="61">
        <v>-1.8</v>
      </c>
      <c r="S94" s="61">
        <v>-2.6</v>
      </c>
      <c r="T94" s="61">
        <v>-3</v>
      </c>
      <c r="U94" s="61">
        <v>-1.9</v>
      </c>
      <c r="V94" s="61">
        <v>0.8</v>
      </c>
      <c r="W94" s="61">
        <v>6.6</v>
      </c>
      <c r="X94" s="61">
        <v>25.7</v>
      </c>
      <c r="Y94" s="61">
        <v>23.9</v>
      </c>
      <c r="Z94" s="61">
        <v>20.399999999999999</v>
      </c>
      <c r="AA94" s="52">
        <v>15</v>
      </c>
      <c r="AB94" s="52">
        <v>19</v>
      </c>
      <c r="AC94" s="52">
        <v>17</v>
      </c>
      <c r="AD94" s="52">
        <v>2.7</v>
      </c>
      <c r="AE94" s="52">
        <v>-1</v>
      </c>
      <c r="AF94" s="120">
        <v>-7</v>
      </c>
      <c r="AG94" s="117">
        <v>60</v>
      </c>
      <c r="AH94" s="55">
        <f t="shared" si="22"/>
        <v>25.7</v>
      </c>
      <c r="AI94" s="118">
        <f t="shared" si="23"/>
        <v>0.77083333333333337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35</v>
      </c>
      <c r="N95" s="84">
        <v>37.200000000000003</v>
      </c>
      <c r="O95" s="84">
        <v>42.2</v>
      </c>
      <c r="P95" s="84">
        <v>39.799999999999997</v>
      </c>
      <c r="Q95" s="84">
        <v>42.6</v>
      </c>
      <c r="R95" s="84">
        <v>29.8</v>
      </c>
      <c r="S95" s="84">
        <v>32.700000000000003</v>
      </c>
      <c r="T95" s="84">
        <v>29.4</v>
      </c>
      <c r="U95" s="84">
        <v>42.1</v>
      </c>
      <c r="V95" s="84">
        <v>64.400000000000006</v>
      </c>
      <c r="W95" s="84">
        <v>88.9</v>
      </c>
      <c r="X95" s="84">
        <v>91</v>
      </c>
      <c r="Y95" s="84">
        <v>72.8</v>
      </c>
      <c r="Z95" s="84">
        <v>73.5</v>
      </c>
      <c r="AA95" s="122">
        <v>69</v>
      </c>
      <c r="AB95" s="122">
        <v>60</v>
      </c>
      <c r="AC95" s="122">
        <v>53</v>
      </c>
      <c r="AD95" s="122">
        <v>0</v>
      </c>
      <c r="AE95" s="122">
        <v>0</v>
      </c>
      <c r="AF95" s="123">
        <v>0</v>
      </c>
      <c r="AG95" s="124">
        <v>120</v>
      </c>
      <c r="AH95" s="55">
        <f t="shared" si="22"/>
        <v>91</v>
      </c>
      <c r="AI95" s="118">
        <f t="shared" si="23"/>
        <v>0.77083333333333337</v>
      </c>
    </row>
    <row r="96" spans="1:88" x14ac:dyDescent="0.25">
      <c r="A96" s="121" t="s">
        <v>99</v>
      </c>
      <c r="B96" s="84">
        <v>48</v>
      </c>
      <c r="C96" s="84">
        <v>46</v>
      </c>
      <c r="D96" s="84">
        <v>50.5</v>
      </c>
      <c r="E96" s="84">
        <v>61.2</v>
      </c>
      <c r="F96" s="84">
        <v>58.8</v>
      </c>
      <c r="G96" s="84">
        <v>60</v>
      </c>
      <c r="H96" s="84">
        <v>58.4</v>
      </c>
      <c r="I96" s="84">
        <v>47.1</v>
      </c>
      <c r="J96" s="84">
        <v>45.8</v>
      </c>
      <c r="K96" s="84">
        <v>43.3</v>
      </c>
      <c r="L96" s="84">
        <v>42</v>
      </c>
      <c r="M96" s="84">
        <v>37.1</v>
      </c>
      <c r="N96" s="84">
        <v>41.8</v>
      </c>
      <c r="O96" s="84">
        <v>58</v>
      </c>
      <c r="P96" s="84">
        <v>38.4</v>
      </c>
      <c r="Q96" s="84">
        <v>58.2</v>
      </c>
      <c r="R96" s="84">
        <v>33.200000000000003</v>
      </c>
      <c r="S96" s="84">
        <v>35.6</v>
      </c>
      <c r="T96" s="84">
        <v>32.9</v>
      </c>
      <c r="U96" s="84">
        <v>39.5</v>
      </c>
      <c r="V96" s="84">
        <v>55.5</v>
      </c>
      <c r="W96" s="84">
        <v>77.7</v>
      </c>
      <c r="X96" s="84">
        <v>68.900000000000006</v>
      </c>
      <c r="Y96" s="84">
        <v>63</v>
      </c>
      <c r="Z96" s="84">
        <v>66.7</v>
      </c>
      <c r="AA96" s="122">
        <v>68</v>
      </c>
      <c r="AB96" s="122">
        <v>61</v>
      </c>
      <c r="AC96" s="122">
        <v>54</v>
      </c>
      <c r="AD96" s="122">
        <v>40</v>
      </c>
      <c r="AE96" s="122">
        <v>56</v>
      </c>
      <c r="AF96" s="123">
        <v>30</v>
      </c>
      <c r="AG96" s="124"/>
      <c r="AH96" s="55">
        <f t="shared" si="22"/>
        <v>77.7</v>
      </c>
      <c r="AI96" s="118">
        <f t="shared" si="23"/>
        <v>0.75</v>
      </c>
    </row>
    <row r="97" spans="1:37" ht="15.75" thickBot="1" x14ac:dyDescent="0.3">
      <c r="A97" s="121" t="s">
        <v>100</v>
      </c>
      <c r="B97" s="84">
        <v>47</v>
      </c>
      <c r="C97" s="84">
        <v>27</v>
      </c>
      <c r="D97" s="84">
        <v>23.2</v>
      </c>
      <c r="E97" s="84">
        <v>29.9</v>
      </c>
      <c r="F97" s="84">
        <v>30.2</v>
      </c>
      <c r="G97" s="84">
        <v>22.9</v>
      </c>
      <c r="H97" s="84">
        <v>20.6</v>
      </c>
      <c r="I97" s="84">
        <v>12.6</v>
      </c>
      <c r="J97" s="84">
        <v>8.8000000000000007</v>
      </c>
      <c r="K97" s="84">
        <v>8.5</v>
      </c>
      <c r="L97" s="84">
        <v>12.5</v>
      </c>
      <c r="M97" s="84">
        <v>8.3000000000000007</v>
      </c>
      <c r="N97" s="84">
        <v>12.4</v>
      </c>
      <c r="O97" s="84">
        <v>28.3</v>
      </c>
      <c r="P97" s="84">
        <v>32</v>
      </c>
      <c r="Q97" s="84">
        <v>46.1</v>
      </c>
      <c r="R97" s="84">
        <v>64.2</v>
      </c>
      <c r="S97" s="84">
        <v>65.599999999999994</v>
      </c>
      <c r="T97" s="84">
        <v>53.5</v>
      </c>
      <c r="U97" s="84">
        <v>55.6</v>
      </c>
      <c r="V97" s="84">
        <v>64.400000000000006</v>
      </c>
      <c r="W97" s="84">
        <v>56.7</v>
      </c>
      <c r="X97" s="84">
        <v>49.4</v>
      </c>
      <c r="Y97" s="84">
        <v>69.900000000000006</v>
      </c>
      <c r="Z97" s="84">
        <v>71.400000000000006</v>
      </c>
      <c r="AA97" s="122">
        <v>86</v>
      </c>
      <c r="AB97" s="122">
        <v>86</v>
      </c>
      <c r="AC97" s="122">
        <v>82</v>
      </c>
      <c r="AD97" s="122">
        <v>5</v>
      </c>
      <c r="AE97" s="122">
        <v>66</v>
      </c>
      <c r="AF97" s="123">
        <v>26</v>
      </c>
      <c r="AG97" s="125"/>
      <c r="AH97" s="55">
        <f t="shared" si="22"/>
        <v>86</v>
      </c>
      <c r="AI97" s="118">
        <f t="shared" si="23"/>
        <v>0.83333333333333337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4">B99</f>
        <v>9.9</v>
      </c>
      <c r="D99" s="131">
        <f t="shared" si="24"/>
        <v>9.9</v>
      </c>
      <c r="E99" s="131">
        <f t="shared" si="24"/>
        <v>9.9</v>
      </c>
      <c r="F99" s="131">
        <f t="shared" si="24"/>
        <v>9.9</v>
      </c>
      <c r="G99" s="131">
        <f t="shared" si="24"/>
        <v>9.9</v>
      </c>
      <c r="H99" s="131">
        <f t="shared" si="24"/>
        <v>9.9</v>
      </c>
      <c r="I99" s="131">
        <f t="shared" si="24"/>
        <v>9.9</v>
      </c>
      <c r="J99" s="131">
        <f t="shared" si="24"/>
        <v>9.9</v>
      </c>
      <c r="K99" s="131">
        <f t="shared" si="24"/>
        <v>9.9</v>
      </c>
      <c r="L99" s="131">
        <f t="shared" si="24"/>
        <v>9.9</v>
      </c>
      <c r="M99" s="131">
        <f t="shared" si="24"/>
        <v>9.9</v>
      </c>
      <c r="N99" s="131">
        <f t="shared" si="24"/>
        <v>9.9</v>
      </c>
      <c r="O99" s="131">
        <f t="shared" si="24"/>
        <v>9.9</v>
      </c>
      <c r="P99" s="131">
        <f t="shared" si="24"/>
        <v>9.9</v>
      </c>
      <c r="Q99" s="131">
        <f t="shared" si="24"/>
        <v>9.9</v>
      </c>
      <c r="R99" s="131">
        <f t="shared" si="24"/>
        <v>9.9</v>
      </c>
      <c r="S99" s="131">
        <f t="shared" ref="S99:AF104" si="25">R99</f>
        <v>9.9</v>
      </c>
      <c r="T99" s="131">
        <f t="shared" si="25"/>
        <v>9.9</v>
      </c>
      <c r="U99" s="131">
        <f t="shared" si="25"/>
        <v>9.9</v>
      </c>
      <c r="V99" s="131">
        <f t="shared" si="25"/>
        <v>9.9</v>
      </c>
      <c r="W99" s="131">
        <f t="shared" si="25"/>
        <v>9.9</v>
      </c>
      <c r="X99" s="131">
        <f t="shared" si="25"/>
        <v>9.9</v>
      </c>
      <c r="Y99" s="131">
        <f t="shared" si="25"/>
        <v>9.9</v>
      </c>
      <c r="Z99" s="131">
        <f t="shared" si="25"/>
        <v>9.9</v>
      </c>
      <c r="AA99" s="131">
        <f t="shared" si="25"/>
        <v>9.9</v>
      </c>
      <c r="AB99" s="131">
        <f t="shared" si="25"/>
        <v>9.9</v>
      </c>
      <c r="AC99" s="131">
        <f t="shared" si="25"/>
        <v>9.9</v>
      </c>
      <c r="AD99" s="131">
        <f t="shared" si="25"/>
        <v>9.9</v>
      </c>
      <c r="AE99" s="131">
        <f t="shared" si="25"/>
        <v>9.9</v>
      </c>
      <c r="AF99" s="131">
        <f t="shared" si="25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4"/>
        <v>9.6</v>
      </c>
      <c r="D100" s="134">
        <f t="shared" si="24"/>
        <v>9.6</v>
      </c>
      <c r="E100" s="134">
        <f t="shared" si="24"/>
        <v>9.6</v>
      </c>
      <c r="F100" s="134">
        <f t="shared" si="24"/>
        <v>9.6</v>
      </c>
      <c r="G100" s="134">
        <f t="shared" si="24"/>
        <v>9.6</v>
      </c>
      <c r="H100" s="134">
        <f t="shared" si="24"/>
        <v>9.6</v>
      </c>
      <c r="I100" s="134">
        <f t="shared" si="24"/>
        <v>9.6</v>
      </c>
      <c r="J100" s="134">
        <f t="shared" si="24"/>
        <v>9.6</v>
      </c>
      <c r="K100" s="134">
        <f t="shared" si="24"/>
        <v>9.6</v>
      </c>
      <c r="L100" s="134">
        <f t="shared" si="24"/>
        <v>9.6</v>
      </c>
      <c r="M100" s="134">
        <f t="shared" si="24"/>
        <v>9.6</v>
      </c>
      <c r="N100" s="134">
        <f t="shared" si="24"/>
        <v>9.6</v>
      </c>
      <c r="O100" s="134">
        <f t="shared" si="24"/>
        <v>9.6</v>
      </c>
      <c r="P100" s="134">
        <f t="shared" si="24"/>
        <v>9.6</v>
      </c>
      <c r="Q100" s="134">
        <f t="shared" si="24"/>
        <v>9.6</v>
      </c>
      <c r="R100" s="134">
        <f t="shared" si="24"/>
        <v>9.6</v>
      </c>
      <c r="S100" s="134">
        <f t="shared" si="25"/>
        <v>9.6</v>
      </c>
      <c r="T100" s="134">
        <f t="shared" si="25"/>
        <v>9.6</v>
      </c>
      <c r="U100" s="134">
        <f t="shared" si="25"/>
        <v>9.6</v>
      </c>
      <c r="V100" s="134">
        <f t="shared" si="25"/>
        <v>9.6</v>
      </c>
      <c r="W100" s="134">
        <f t="shared" si="25"/>
        <v>9.6</v>
      </c>
      <c r="X100" s="134">
        <f t="shared" si="25"/>
        <v>9.6</v>
      </c>
      <c r="Y100" s="134">
        <f t="shared" si="25"/>
        <v>9.6</v>
      </c>
      <c r="Z100" s="134">
        <f t="shared" si="25"/>
        <v>9.6</v>
      </c>
      <c r="AA100" s="134">
        <f t="shared" si="25"/>
        <v>9.6</v>
      </c>
      <c r="AB100" s="134">
        <f t="shared" si="25"/>
        <v>9.6</v>
      </c>
      <c r="AC100" s="134">
        <f t="shared" si="25"/>
        <v>9.6</v>
      </c>
      <c r="AD100" s="134">
        <f t="shared" si="25"/>
        <v>9.6</v>
      </c>
      <c r="AE100" s="134">
        <f t="shared" si="25"/>
        <v>9.6</v>
      </c>
      <c r="AF100" s="134">
        <f t="shared" si="25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4"/>
        <v>9.98</v>
      </c>
      <c r="D101" s="134">
        <f t="shared" si="24"/>
        <v>9.98</v>
      </c>
      <c r="E101" s="134">
        <f t="shared" si="24"/>
        <v>9.98</v>
      </c>
      <c r="F101" s="134">
        <f t="shared" si="24"/>
        <v>9.98</v>
      </c>
      <c r="G101" s="134">
        <f t="shared" si="24"/>
        <v>9.98</v>
      </c>
      <c r="H101" s="134">
        <f t="shared" si="24"/>
        <v>9.98</v>
      </c>
      <c r="I101" s="134">
        <f t="shared" si="24"/>
        <v>9.98</v>
      </c>
      <c r="J101" s="134">
        <f t="shared" si="24"/>
        <v>9.98</v>
      </c>
      <c r="K101" s="134">
        <f t="shared" si="24"/>
        <v>9.98</v>
      </c>
      <c r="L101" s="134">
        <f t="shared" si="24"/>
        <v>9.98</v>
      </c>
      <c r="M101" s="134">
        <f t="shared" si="24"/>
        <v>9.98</v>
      </c>
      <c r="N101" s="134">
        <f t="shared" si="24"/>
        <v>9.98</v>
      </c>
      <c r="O101" s="134">
        <f t="shared" si="24"/>
        <v>9.98</v>
      </c>
      <c r="P101" s="134">
        <f t="shared" si="24"/>
        <v>9.98</v>
      </c>
      <c r="Q101" s="134">
        <f t="shared" si="24"/>
        <v>9.98</v>
      </c>
      <c r="R101" s="134">
        <f t="shared" si="24"/>
        <v>9.98</v>
      </c>
      <c r="S101" s="134">
        <f t="shared" si="25"/>
        <v>9.98</v>
      </c>
      <c r="T101" s="134">
        <f t="shared" si="25"/>
        <v>9.98</v>
      </c>
      <c r="U101" s="134">
        <f t="shared" si="25"/>
        <v>9.98</v>
      </c>
      <c r="V101" s="134">
        <f t="shared" si="25"/>
        <v>9.98</v>
      </c>
      <c r="W101" s="134">
        <f t="shared" si="25"/>
        <v>9.98</v>
      </c>
      <c r="X101" s="134">
        <f t="shared" si="25"/>
        <v>9.98</v>
      </c>
      <c r="Y101" s="134">
        <f t="shared" si="25"/>
        <v>9.98</v>
      </c>
      <c r="Z101" s="134">
        <f t="shared" si="25"/>
        <v>9.98</v>
      </c>
      <c r="AA101" s="134">
        <f t="shared" si="25"/>
        <v>9.98</v>
      </c>
      <c r="AB101" s="134">
        <f t="shared" si="25"/>
        <v>9.98</v>
      </c>
      <c r="AC101" s="134">
        <f t="shared" si="25"/>
        <v>9.98</v>
      </c>
      <c r="AD101" s="134">
        <f t="shared" si="25"/>
        <v>9.98</v>
      </c>
      <c r="AE101" s="134">
        <f t="shared" si="25"/>
        <v>9.98</v>
      </c>
      <c r="AF101" s="134">
        <f t="shared" si="25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4"/>
        <v>9.1</v>
      </c>
      <c r="D102" s="134">
        <f t="shared" si="24"/>
        <v>9.1</v>
      </c>
      <c r="E102" s="134">
        <f t="shared" si="24"/>
        <v>9.1</v>
      </c>
      <c r="F102" s="134">
        <f t="shared" si="24"/>
        <v>9.1</v>
      </c>
      <c r="G102" s="134">
        <f t="shared" si="24"/>
        <v>9.1</v>
      </c>
      <c r="H102" s="134">
        <f t="shared" si="24"/>
        <v>9.1</v>
      </c>
      <c r="I102" s="134">
        <f t="shared" si="24"/>
        <v>9.1</v>
      </c>
      <c r="J102" s="134">
        <f t="shared" si="24"/>
        <v>9.1</v>
      </c>
      <c r="K102" s="134">
        <f t="shared" si="24"/>
        <v>9.1</v>
      </c>
      <c r="L102" s="134">
        <f t="shared" si="24"/>
        <v>9.1</v>
      </c>
      <c r="M102" s="134">
        <f t="shared" si="24"/>
        <v>9.1</v>
      </c>
      <c r="N102" s="134">
        <f t="shared" si="24"/>
        <v>9.1</v>
      </c>
      <c r="O102" s="134">
        <f t="shared" si="24"/>
        <v>9.1</v>
      </c>
      <c r="P102" s="134">
        <f t="shared" si="24"/>
        <v>9.1</v>
      </c>
      <c r="Q102" s="134">
        <f t="shared" si="24"/>
        <v>9.1</v>
      </c>
      <c r="R102" s="134">
        <f t="shared" si="24"/>
        <v>9.1</v>
      </c>
      <c r="S102" s="134">
        <f t="shared" si="25"/>
        <v>9.1</v>
      </c>
      <c r="T102" s="134">
        <f t="shared" si="25"/>
        <v>9.1</v>
      </c>
      <c r="U102" s="134">
        <f t="shared" si="25"/>
        <v>9.1</v>
      </c>
      <c r="V102" s="134">
        <f t="shared" si="25"/>
        <v>9.1</v>
      </c>
      <c r="W102" s="134">
        <f t="shared" si="25"/>
        <v>9.1</v>
      </c>
      <c r="X102" s="134">
        <f t="shared" si="25"/>
        <v>9.1</v>
      </c>
      <c r="Y102" s="134">
        <f t="shared" si="25"/>
        <v>9.1</v>
      </c>
      <c r="Z102" s="134">
        <f t="shared" si="25"/>
        <v>9.1</v>
      </c>
      <c r="AA102" s="134">
        <f t="shared" si="25"/>
        <v>9.1</v>
      </c>
      <c r="AB102" s="134">
        <f t="shared" si="25"/>
        <v>9.1</v>
      </c>
      <c r="AC102" s="134">
        <f t="shared" si="25"/>
        <v>9.1</v>
      </c>
      <c r="AD102" s="134">
        <f t="shared" si="25"/>
        <v>9.1</v>
      </c>
      <c r="AE102" s="134">
        <f t="shared" si="25"/>
        <v>9.1</v>
      </c>
      <c r="AF102" s="134">
        <f t="shared" si="25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4"/>
        <v>9.18</v>
      </c>
      <c r="D103" s="134">
        <f t="shared" si="24"/>
        <v>9.18</v>
      </c>
      <c r="E103" s="134">
        <f t="shared" si="24"/>
        <v>9.18</v>
      </c>
      <c r="F103" s="134">
        <f t="shared" si="24"/>
        <v>9.18</v>
      </c>
      <c r="G103" s="134">
        <f t="shared" si="24"/>
        <v>9.18</v>
      </c>
      <c r="H103" s="134">
        <f t="shared" si="24"/>
        <v>9.18</v>
      </c>
      <c r="I103" s="134">
        <f t="shared" si="24"/>
        <v>9.18</v>
      </c>
      <c r="J103" s="134">
        <f t="shared" si="24"/>
        <v>9.18</v>
      </c>
      <c r="K103" s="134">
        <f t="shared" si="24"/>
        <v>9.18</v>
      </c>
      <c r="L103" s="134">
        <f t="shared" si="24"/>
        <v>9.18</v>
      </c>
      <c r="M103" s="134">
        <f t="shared" si="24"/>
        <v>9.18</v>
      </c>
      <c r="N103" s="134">
        <f t="shared" si="24"/>
        <v>9.18</v>
      </c>
      <c r="O103" s="134">
        <f t="shared" si="24"/>
        <v>9.18</v>
      </c>
      <c r="P103" s="134">
        <f t="shared" si="24"/>
        <v>9.18</v>
      </c>
      <c r="Q103" s="134">
        <f t="shared" si="24"/>
        <v>9.18</v>
      </c>
      <c r="R103" s="134">
        <f t="shared" si="24"/>
        <v>9.18</v>
      </c>
      <c r="S103" s="134">
        <f t="shared" si="25"/>
        <v>9.18</v>
      </c>
      <c r="T103" s="134">
        <f t="shared" si="25"/>
        <v>9.18</v>
      </c>
      <c r="U103" s="134">
        <f t="shared" si="25"/>
        <v>9.18</v>
      </c>
      <c r="V103" s="134">
        <f t="shared" si="25"/>
        <v>9.18</v>
      </c>
      <c r="W103" s="134">
        <f t="shared" si="25"/>
        <v>9.18</v>
      </c>
      <c r="X103" s="134">
        <f t="shared" si="25"/>
        <v>9.18</v>
      </c>
      <c r="Y103" s="134">
        <f t="shared" si="25"/>
        <v>9.18</v>
      </c>
      <c r="Z103" s="134">
        <f t="shared" si="25"/>
        <v>9.18</v>
      </c>
      <c r="AA103" s="134">
        <f t="shared" si="25"/>
        <v>9.18</v>
      </c>
      <c r="AB103" s="134">
        <f t="shared" si="25"/>
        <v>9.18</v>
      </c>
      <c r="AC103" s="134">
        <f t="shared" si="25"/>
        <v>9.18</v>
      </c>
      <c r="AD103" s="134">
        <f t="shared" si="25"/>
        <v>9.18</v>
      </c>
      <c r="AE103" s="134">
        <f t="shared" si="25"/>
        <v>9.18</v>
      </c>
      <c r="AF103" s="134">
        <f t="shared" si="25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4"/>
        <v>7</v>
      </c>
      <c r="D104" s="134">
        <f t="shared" si="24"/>
        <v>7</v>
      </c>
      <c r="E104" s="134">
        <f t="shared" si="24"/>
        <v>7</v>
      </c>
      <c r="F104" s="134">
        <f t="shared" si="24"/>
        <v>7</v>
      </c>
      <c r="G104" s="134">
        <f t="shared" si="24"/>
        <v>7</v>
      </c>
      <c r="H104" s="134">
        <f t="shared" si="24"/>
        <v>7</v>
      </c>
      <c r="I104" s="134">
        <f t="shared" si="24"/>
        <v>7</v>
      </c>
      <c r="J104" s="134">
        <f t="shared" si="24"/>
        <v>7</v>
      </c>
      <c r="K104" s="134">
        <f t="shared" si="24"/>
        <v>7</v>
      </c>
      <c r="L104" s="134">
        <f t="shared" si="24"/>
        <v>7</v>
      </c>
      <c r="M104" s="134">
        <f t="shared" si="24"/>
        <v>7</v>
      </c>
      <c r="N104" s="134">
        <f t="shared" si="24"/>
        <v>7</v>
      </c>
      <c r="O104" s="134">
        <f t="shared" si="24"/>
        <v>7</v>
      </c>
      <c r="P104" s="134">
        <f t="shared" si="24"/>
        <v>7</v>
      </c>
      <c r="Q104" s="134">
        <f t="shared" si="24"/>
        <v>7</v>
      </c>
      <c r="R104" s="134">
        <f t="shared" si="24"/>
        <v>7</v>
      </c>
      <c r="S104" s="134">
        <f t="shared" si="25"/>
        <v>7</v>
      </c>
      <c r="T104" s="134">
        <f t="shared" si="25"/>
        <v>7</v>
      </c>
      <c r="U104" s="134">
        <f t="shared" si="25"/>
        <v>7</v>
      </c>
      <c r="V104" s="134">
        <f t="shared" si="25"/>
        <v>7</v>
      </c>
      <c r="W104" s="134">
        <f t="shared" si="25"/>
        <v>7</v>
      </c>
      <c r="X104" s="134">
        <f t="shared" si="25"/>
        <v>7</v>
      </c>
      <c r="Y104" s="134">
        <f t="shared" si="25"/>
        <v>7</v>
      </c>
      <c r="Z104" s="134">
        <f t="shared" si="25"/>
        <v>7</v>
      </c>
      <c r="AA104" s="134">
        <f t="shared" si="25"/>
        <v>7</v>
      </c>
      <c r="AB104" s="134">
        <f t="shared" si="25"/>
        <v>7</v>
      </c>
      <c r="AC104" s="134">
        <f t="shared" si="25"/>
        <v>7</v>
      </c>
      <c r="AD104" s="134">
        <f t="shared" si="25"/>
        <v>7</v>
      </c>
      <c r="AE104" s="134">
        <f t="shared" si="25"/>
        <v>7</v>
      </c>
      <c r="AF104" s="134">
        <f t="shared" si="25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6">B106</f>
        <v>2.25</v>
      </c>
      <c r="D106" s="134">
        <f t="shared" si="26"/>
        <v>2.25</v>
      </c>
      <c r="E106" s="134">
        <f t="shared" si="26"/>
        <v>2.25</v>
      </c>
      <c r="F106" s="134">
        <f t="shared" si="26"/>
        <v>2.25</v>
      </c>
      <c r="G106" s="134">
        <f t="shared" si="26"/>
        <v>2.25</v>
      </c>
      <c r="H106" s="134">
        <f t="shared" si="26"/>
        <v>2.25</v>
      </c>
      <c r="I106" s="134">
        <f t="shared" si="26"/>
        <v>2.25</v>
      </c>
      <c r="J106" s="134">
        <f t="shared" si="26"/>
        <v>2.25</v>
      </c>
      <c r="K106" s="134">
        <f t="shared" si="26"/>
        <v>2.25</v>
      </c>
      <c r="L106" s="134">
        <f t="shared" si="26"/>
        <v>2.25</v>
      </c>
      <c r="M106" s="134">
        <f t="shared" si="26"/>
        <v>2.25</v>
      </c>
      <c r="N106" s="134">
        <f t="shared" si="26"/>
        <v>2.25</v>
      </c>
      <c r="O106" s="134">
        <f t="shared" si="26"/>
        <v>2.25</v>
      </c>
      <c r="P106" s="134">
        <f t="shared" si="26"/>
        <v>2.25</v>
      </c>
      <c r="Q106" s="134">
        <f t="shared" si="26"/>
        <v>2.25</v>
      </c>
      <c r="R106" s="134">
        <f t="shared" si="26"/>
        <v>2.25</v>
      </c>
      <c r="S106" s="134">
        <f t="shared" ref="S106:AF107" si="27">R106</f>
        <v>2.25</v>
      </c>
      <c r="T106" s="134">
        <f t="shared" si="27"/>
        <v>2.25</v>
      </c>
      <c r="U106" s="134">
        <f t="shared" si="27"/>
        <v>2.25</v>
      </c>
      <c r="V106" s="134">
        <f t="shared" si="27"/>
        <v>2.25</v>
      </c>
      <c r="W106" s="134">
        <f t="shared" si="27"/>
        <v>2.25</v>
      </c>
      <c r="X106" s="134">
        <f t="shared" si="27"/>
        <v>2.25</v>
      </c>
      <c r="Y106" s="134">
        <f t="shared" si="27"/>
        <v>2.25</v>
      </c>
      <c r="Z106" s="134">
        <f t="shared" si="27"/>
        <v>2.25</v>
      </c>
      <c r="AA106" s="134">
        <f t="shared" si="27"/>
        <v>2.25</v>
      </c>
      <c r="AB106" s="134">
        <f t="shared" si="27"/>
        <v>2.25</v>
      </c>
      <c r="AC106" s="134">
        <f t="shared" si="27"/>
        <v>2.25</v>
      </c>
      <c r="AD106" s="134">
        <f t="shared" si="27"/>
        <v>2.25</v>
      </c>
      <c r="AE106" s="134">
        <f t="shared" si="27"/>
        <v>2.25</v>
      </c>
      <c r="AF106" s="134">
        <f t="shared" si="27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6"/>
        <v>1.64</v>
      </c>
      <c r="D107" s="134">
        <f t="shared" si="26"/>
        <v>1.64</v>
      </c>
      <c r="E107" s="134">
        <f t="shared" si="26"/>
        <v>1.64</v>
      </c>
      <c r="F107" s="134">
        <f t="shared" si="26"/>
        <v>1.64</v>
      </c>
      <c r="G107" s="134">
        <f t="shared" si="26"/>
        <v>1.64</v>
      </c>
      <c r="H107" s="134">
        <f t="shared" si="26"/>
        <v>1.64</v>
      </c>
      <c r="I107" s="134">
        <f t="shared" si="26"/>
        <v>1.64</v>
      </c>
      <c r="J107" s="134">
        <f t="shared" si="26"/>
        <v>1.64</v>
      </c>
      <c r="K107" s="134">
        <f t="shared" si="26"/>
        <v>1.64</v>
      </c>
      <c r="L107" s="134">
        <f t="shared" si="26"/>
        <v>1.64</v>
      </c>
      <c r="M107" s="134">
        <f t="shared" si="26"/>
        <v>1.64</v>
      </c>
      <c r="N107" s="134">
        <f t="shared" si="26"/>
        <v>1.64</v>
      </c>
      <c r="O107" s="134">
        <f t="shared" si="26"/>
        <v>1.64</v>
      </c>
      <c r="P107" s="134">
        <f t="shared" si="26"/>
        <v>1.64</v>
      </c>
      <c r="Q107" s="134">
        <f t="shared" si="26"/>
        <v>1.64</v>
      </c>
      <c r="R107" s="134">
        <f t="shared" si="26"/>
        <v>1.64</v>
      </c>
      <c r="S107" s="134">
        <f t="shared" si="27"/>
        <v>1.64</v>
      </c>
      <c r="T107" s="134">
        <f t="shared" si="27"/>
        <v>1.64</v>
      </c>
      <c r="U107" s="134">
        <f t="shared" si="27"/>
        <v>1.64</v>
      </c>
      <c r="V107" s="134">
        <f t="shared" si="27"/>
        <v>1.64</v>
      </c>
      <c r="W107" s="134">
        <f t="shared" si="27"/>
        <v>1.64</v>
      </c>
      <c r="X107" s="134">
        <f t="shared" si="27"/>
        <v>1.64</v>
      </c>
      <c r="Y107" s="134">
        <f t="shared" si="27"/>
        <v>1.64</v>
      </c>
      <c r="Z107" s="134">
        <f t="shared" si="27"/>
        <v>1.64</v>
      </c>
      <c r="AA107" s="134">
        <f t="shared" si="27"/>
        <v>1.64</v>
      </c>
      <c r="AB107" s="134">
        <f t="shared" si="27"/>
        <v>1.64</v>
      </c>
      <c r="AC107" s="134">
        <f t="shared" si="27"/>
        <v>1.64</v>
      </c>
      <c r="AD107" s="134">
        <f t="shared" si="27"/>
        <v>1.64</v>
      </c>
      <c r="AE107" s="134">
        <f t="shared" si="27"/>
        <v>1.64</v>
      </c>
      <c r="AF107" s="134">
        <f t="shared" si="27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8">B109</f>
        <v>1.62</v>
      </c>
      <c r="D109" s="134">
        <f t="shared" si="28"/>
        <v>1.62</v>
      </c>
      <c r="E109" s="134">
        <f t="shared" si="28"/>
        <v>1.62</v>
      </c>
      <c r="F109" s="134">
        <f t="shared" si="28"/>
        <v>1.62</v>
      </c>
      <c r="G109" s="134">
        <f t="shared" si="28"/>
        <v>1.62</v>
      </c>
      <c r="H109" s="134">
        <f t="shared" si="28"/>
        <v>1.62</v>
      </c>
      <c r="I109" s="134">
        <f t="shared" si="28"/>
        <v>1.62</v>
      </c>
      <c r="J109" s="134">
        <f t="shared" si="28"/>
        <v>1.62</v>
      </c>
      <c r="K109" s="134">
        <f t="shared" si="28"/>
        <v>1.62</v>
      </c>
      <c r="L109" s="134">
        <f t="shared" si="28"/>
        <v>1.62</v>
      </c>
      <c r="M109" s="134">
        <f t="shared" si="28"/>
        <v>1.62</v>
      </c>
      <c r="N109" s="134">
        <f t="shared" si="28"/>
        <v>1.62</v>
      </c>
      <c r="O109" s="134">
        <f t="shared" si="28"/>
        <v>1.62</v>
      </c>
      <c r="P109" s="134">
        <f t="shared" si="28"/>
        <v>1.62</v>
      </c>
      <c r="Q109" s="134">
        <f t="shared" si="28"/>
        <v>1.62</v>
      </c>
      <c r="R109" s="134">
        <f t="shared" si="28"/>
        <v>1.62</v>
      </c>
      <c r="S109" s="134">
        <f t="shared" ref="S109:AF124" si="29">R109</f>
        <v>1.62</v>
      </c>
      <c r="T109" s="134">
        <f t="shared" si="29"/>
        <v>1.62</v>
      </c>
      <c r="U109" s="134">
        <f t="shared" si="29"/>
        <v>1.62</v>
      </c>
      <c r="V109" s="134">
        <f t="shared" si="29"/>
        <v>1.62</v>
      </c>
      <c r="W109" s="134">
        <f t="shared" si="29"/>
        <v>1.62</v>
      </c>
      <c r="X109" s="134">
        <f t="shared" si="29"/>
        <v>1.62</v>
      </c>
      <c r="Y109" s="134">
        <f t="shared" si="29"/>
        <v>1.62</v>
      </c>
      <c r="Z109" s="134">
        <f t="shared" si="29"/>
        <v>1.62</v>
      </c>
      <c r="AA109" s="134">
        <f t="shared" si="29"/>
        <v>1.62</v>
      </c>
      <c r="AB109" s="134">
        <f t="shared" si="29"/>
        <v>1.62</v>
      </c>
      <c r="AC109" s="134">
        <f t="shared" si="29"/>
        <v>1.62</v>
      </c>
      <c r="AD109" s="134">
        <f t="shared" si="29"/>
        <v>1.62</v>
      </c>
      <c r="AE109" s="134">
        <f t="shared" si="29"/>
        <v>1.62</v>
      </c>
      <c r="AF109" s="134">
        <f t="shared" si="29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8"/>
        <v>8.36</v>
      </c>
      <c r="D110" s="134">
        <f t="shared" si="28"/>
        <v>8.36</v>
      </c>
      <c r="E110" s="134">
        <f t="shared" si="28"/>
        <v>8.36</v>
      </c>
      <c r="F110" s="134">
        <f t="shared" si="28"/>
        <v>8.36</v>
      </c>
      <c r="G110" s="134">
        <f t="shared" si="28"/>
        <v>8.36</v>
      </c>
      <c r="H110" s="134">
        <f t="shared" si="28"/>
        <v>8.36</v>
      </c>
      <c r="I110" s="134">
        <f t="shared" si="28"/>
        <v>8.36</v>
      </c>
      <c r="J110" s="134">
        <f t="shared" si="28"/>
        <v>8.36</v>
      </c>
      <c r="K110" s="134">
        <f t="shared" si="28"/>
        <v>8.36</v>
      </c>
      <c r="L110" s="134">
        <f t="shared" si="28"/>
        <v>8.36</v>
      </c>
      <c r="M110" s="134">
        <f t="shared" si="28"/>
        <v>8.36</v>
      </c>
      <c r="N110" s="134">
        <f t="shared" si="28"/>
        <v>8.36</v>
      </c>
      <c r="O110" s="134">
        <f t="shared" si="28"/>
        <v>8.36</v>
      </c>
      <c r="P110" s="134">
        <f t="shared" si="28"/>
        <v>8.36</v>
      </c>
      <c r="Q110" s="134">
        <f t="shared" si="28"/>
        <v>8.36</v>
      </c>
      <c r="R110" s="134">
        <f t="shared" si="28"/>
        <v>8.36</v>
      </c>
      <c r="S110" s="134">
        <f t="shared" si="29"/>
        <v>8.36</v>
      </c>
      <c r="T110" s="134">
        <f t="shared" si="29"/>
        <v>8.36</v>
      </c>
      <c r="U110" s="134">
        <f t="shared" si="29"/>
        <v>8.36</v>
      </c>
      <c r="V110" s="134">
        <f t="shared" si="29"/>
        <v>8.36</v>
      </c>
      <c r="W110" s="134">
        <f t="shared" si="29"/>
        <v>8.36</v>
      </c>
      <c r="X110" s="134">
        <f t="shared" si="29"/>
        <v>8.36</v>
      </c>
      <c r="Y110" s="134">
        <f t="shared" si="29"/>
        <v>8.36</v>
      </c>
      <c r="Z110" s="134">
        <f t="shared" si="29"/>
        <v>8.36</v>
      </c>
      <c r="AA110" s="134">
        <f t="shared" si="29"/>
        <v>8.36</v>
      </c>
      <c r="AB110" s="134">
        <f t="shared" si="29"/>
        <v>8.36</v>
      </c>
      <c r="AC110" s="134">
        <f t="shared" si="29"/>
        <v>8.36</v>
      </c>
      <c r="AD110" s="134">
        <f t="shared" si="29"/>
        <v>8.36</v>
      </c>
      <c r="AE110" s="134">
        <f t="shared" si="29"/>
        <v>8.36</v>
      </c>
      <c r="AF110" s="134">
        <f t="shared" si="29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8"/>
        <v>8</v>
      </c>
      <c r="D111" s="134">
        <f t="shared" si="28"/>
        <v>8</v>
      </c>
      <c r="E111" s="134">
        <f t="shared" si="28"/>
        <v>8</v>
      </c>
      <c r="F111" s="134">
        <f t="shared" si="28"/>
        <v>8</v>
      </c>
      <c r="G111" s="134">
        <f t="shared" si="28"/>
        <v>8</v>
      </c>
      <c r="H111" s="134">
        <f t="shared" si="28"/>
        <v>8</v>
      </c>
      <c r="I111" s="134">
        <v>5.4</v>
      </c>
      <c r="J111" s="134">
        <f t="shared" si="28"/>
        <v>5.4</v>
      </c>
      <c r="K111" s="134">
        <f t="shared" si="28"/>
        <v>5.4</v>
      </c>
      <c r="L111" s="134">
        <f t="shared" si="28"/>
        <v>5.4</v>
      </c>
      <c r="M111" s="134">
        <f t="shared" si="28"/>
        <v>5.4</v>
      </c>
      <c r="N111" s="134">
        <f t="shared" si="28"/>
        <v>5.4</v>
      </c>
      <c r="O111" s="134">
        <f t="shared" si="28"/>
        <v>5.4</v>
      </c>
      <c r="P111" s="134">
        <f t="shared" si="28"/>
        <v>5.4</v>
      </c>
      <c r="Q111" s="134">
        <f t="shared" si="28"/>
        <v>5.4</v>
      </c>
      <c r="R111" s="134">
        <f t="shared" si="28"/>
        <v>5.4</v>
      </c>
      <c r="S111" s="134">
        <f t="shared" si="29"/>
        <v>5.4</v>
      </c>
      <c r="T111" s="134">
        <f t="shared" si="29"/>
        <v>5.4</v>
      </c>
      <c r="U111" s="134">
        <f t="shared" si="29"/>
        <v>5.4</v>
      </c>
      <c r="V111" s="134">
        <f t="shared" si="29"/>
        <v>5.4</v>
      </c>
      <c r="W111" s="134">
        <f t="shared" si="29"/>
        <v>5.4</v>
      </c>
      <c r="X111" s="134">
        <f t="shared" si="29"/>
        <v>5.4</v>
      </c>
      <c r="Y111" s="134">
        <f t="shared" si="29"/>
        <v>5.4</v>
      </c>
      <c r="Z111" s="134">
        <f t="shared" si="29"/>
        <v>5.4</v>
      </c>
      <c r="AA111" s="134">
        <f t="shared" si="29"/>
        <v>5.4</v>
      </c>
      <c r="AB111" s="134">
        <f t="shared" si="29"/>
        <v>5.4</v>
      </c>
      <c r="AC111" s="134">
        <f t="shared" si="29"/>
        <v>5.4</v>
      </c>
      <c r="AD111" s="134">
        <f t="shared" si="29"/>
        <v>5.4</v>
      </c>
      <c r="AE111" s="134">
        <f t="shared" si="29"/>
        <v>5.4</v>
      </c>
      <c r="AF111" s="134">
        <f t="shared" si="29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8"/>
        <v>6.57</v>
      </c>
      <c r="D112" s="134">
        <f t="shared" si="28"/>
        <v>6.57</v>
      </c>
      <c r="E112" s="134">
        <f t="shared" si="28"/>
        <v>6.57</v>
      </c>
      <c r="F112" s="134">
        <f t="shared" si="28"/>
        <v>6.57</v>
      </c>
      <c r="G112" s="134">
        <f t="shared" si="28"/>
        <v>6.57</v>
      </c>
      <c r="H112" s="134">
        <f t="shared" si="28"/>
        <v>6.57</v>
      </c>
      <c r="I112" s="134">
        <f t="shared" si="28"/>
        <v>6.57</v>
      </c>
      <c r="J112" s="134">
        <f t="shared" si="28"/>
        <v>6.57</v>
      </c>
      <c r="K112" s="134">
        <f t="shared" si="28"/>
        <v>6.57</v>
      </c>
      <c r="L112" s="134">
        <f t="shared" si="28"/>
        <v>6.57</v>
      </c>
      <c r="M112" s="134">
        <f t="shared" si="28"/>
        <v>6.57</v>
      </c>
      <c r="N112" s="134">
        <f t="shared" si="28"/>
        <v>6.57</v>
      </c>
      <c r="O112" s="134">
        <f t="shared" si="28"/>
        <v>6.57</v>
      </c>
      <c r="P112" s="134">
        <f t="shared" si="28"/>
        <v>6.57</v>
      </c>
      <c r="Q112" s="134">
        <f t="shared" si="28"/>
        <v>6.57</v>
      </c>
      <c r="R112" s="134">
        <f t="shared" si="28"/>
        <v>6.57</v>
      </c>
      <c r="S112" s="134">
        <f t="shared" si="29"/>
        <v>6.57</v>
      </c>
      <c r="T112" s="134">
        <f t="shared" si="29"/>
        <v>6.57</v>
      </c>
      <c r="U112" s="134">
        <f t="shared" si="29"/>
        <v>6.57</v>
      </c>
      <c r="V112" s="134">
        <f t="shared" si="29"/>
        <v>6.57</v>
      </c>
      <c r="W112" s="134">
        <f t="shared" si="29"/>
        <v>6.57</v>
      </c>
      <c r="X112" s="134">
        <f t="shared" si="29"/>
        <v>6.57</v>
      </c>
      <c r="Y112" s="134">
        <f t="shared" si="29"/>
        <v>6.57</v>
      </c>
      <c r="Z112" s="134">
        <f t="shared" si="29"/>
        <v>6.57</v>
      </c>
      <c r="AA112" s="134">
        <f t="shared" si="29"/>
        <v>6.57</v>
      </c>
      <c r="AB112" s="134">
        <f t="shared" si="29"/>
        <v>6.57</v>
      </c>
      <c r="AC112" s="134">
        <f t="shared" si="29"/>
        <v>6.57</v>
      </c>
      <c r="AD112" s="134">
        <f t="shared" si="29"/>
        <v>6.57</v>
      </c>
      <c r="AE112" s="134">
        <f t="shared" si="29"/>
        <v>6.57</v>
      </c>
      <c r="AF112" s="134">
        <f t="shared" si="29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8"/>
        <v>3.43</v>
      </c>
      <c r="D113" s="134">
        <f t="shared" si="28"/>
        <v>3.43</v>
      </c>
      <c r="E113" s="134">
        <f t="shared" si="28"/>
        <v>3.43</v>
      </c>
      <c r="F113" s="134">
        <f t="shared" si="28"/>
        <v>3.43</v>
      </c>
      <c r="G113" s="134">
        <f t="shared" si="28"/>
        <v>3.43</v>
      </c>
      <c r="H113" s="134">
        <f t="shared" si="28"/>
        <v>3.43</v>
      </c>
      <c r="I113" s="134">
        <f t="shared" si="28"/>
        <v>3.43</v>
      </c>
      <c r="J113" s="134">
        <f t="shared" si="28"/>
        <v>3.43</v>
      </c>
      <c r="K113" s="134">
        <f t="shared" si="28"/>
        <v>3.43</v>
      </c>
      <c r="L113" s="134">
        <f t="shared" si="28"/>
        <v>3.43</v>
      </c>
      <c r="M113" s="134">
        <f t="shared" si="28"/>
        <v>3.43</v>
      </c>
      <c r="N113" s="134">
        <f t="shared" si="28"/>
        <v>3.43</v>
      </c>
      <c r="O113" s="134">
        <f t="shared" si="28"/>
        <v>3.43</v>
      </c>
      <c r="P113" s="134">
        <f t="shared" si="28"/>
        <v>3.43</v>
      </c>
      <c r="Q113" s="134">
        <f t="shared" si="28"/>
        <v>3.43</v>
      </c>
      <c r="R113" s="134">
        <f t="shared" si="28"/>
        <v>3.43</v>
      </c>
      <c r="S113" s="134">
        <f t="shared" si="29"/>
        <v>3.43</v>
      </c>
      <c r="T113" s="134">
        <f t="shared" si="29"/>
        <v>3.43</v>
      </c>
      <c r="U113" s="134">
        <f t="shared" si="29"/>
        <v>3.43</v>
      </c>
      <c r="V113" s="134">
        <f t="shared" si="29"/>
        <v>3.43</v>
      </c>
      <c r="W113" s="134">
        <f t="shared" si="29"/>
        <v>3.43</v>
      </c>
      <c r="X113" s="134">
        <f t="shared" si="29"/>
        <v>3.43</v>
      </c>
      <c r="Y113" s="134">
        <f t="shared" si="29"/>
        <v>3.43</v>
      </c>
      <c r="Z113" s="134">
        <f t="shared" si="29"/>
        <v>3.43</v>
      </c>
      <c r="AA113" s="134">
        <f t="shared" si="29"/>
        <v>3.43</v>
      </c>
      <c r="AB113" s="134">
        <f t="shared" si="29"/>
        <v>3.43</v>
      </c>
      <c r="AC113" s="134">
        <f t="shared" si="29"/>
        <v>3.43</v>
      </c>
      <c r="AD113" s="134">
        <f t="shared" si="29"/>
        <v>3.43</v>
      </c>
      <c r="AE113" s="134">
        <f t="shared" si="29"/>
        <v>3.43</v>
      </c>
      <c r="AF113" s="134">
        <f t="shared" si="29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8"/>
        <v>2.96</v>
      </c>
      <c r="D114" s="134">
        <f t="shared" si="28"/>
        <v>2.96</v>
      </c>
      <c r="E114" s="134">
        <f t="shared" si="28"/>
        <v>2.96</v>
      </c>
      <c r="F114" s="134">
        <f t="shared" si="28"/>
        <v>2.96</v>
      </c>
      <c r="G114" s="134">
        <f t="shared" si="28"/>
        <v>2.96</v>
      </c>
      <c r="H114" s="134">
        <f t="shared" si="28"/>
        <v>2.96</v>
      </c>
      <c r="I114" s="134">
        <f t="shared" si="28"/>
        <v>2.96</v>
      </c>
      <c r="J114" s="134">
        <f t="shared" si="28"/>
        <v>2.96</v>
      </c>
      <c r="K114" s="134">
        <f t="shared" si="28"/>
        <v>2.96</v>
      </c>
      <c r="L114" s="134">
        <f t="shared" si="28"/>
        <v>2.96</v>
      </c>
      <c r="M114" s="134">
        <f t="shared" si="28"/>
        <v>2.96</v>
      </c>
      <c r="N114" s="134">
        <f t="shared" si="28"/>
        <v>2.96</v>
      </c>
      <c r="O114" s="134">
        <f t="shared" si="28"/>
        <v>2.96</v>
      </c>
      <c r="P114" s="134">
        <f t="shared" si="28"/>
        <v>2.96</v>
      </c>
      <c r="Q114" s="134">
        <f t="shared" si="28"/>
        <v>2.96</v>
      </c>
      <c r="R114" s="134">
        <f t="shared" si="28"/>
        <v>2.96</v>
      </c>
      <c r="S114" s="134">
        <f t="shared" si="29"/>
        <v>2.96</v>
      </c>
      <c r="T114" s="134">
        <f t="shared" si="29"/>
        <v>2.96</v>
      </c>
      <c r="U114" s="134">
        <f t="shared" si="29"/>
        <v>2.96</v>
      </c>
      <c r="V114" s="134">
        <f t="shared" si="29"/>
        <v>2.96</v>
      </c>
      <c r="W114" s="134">
        <f t="shared" si="29"/>
        <v>2.96</v>
      </c>
      <c r="X114" s="134">
        <f t="shared" si="29"/>
        <v>2.96</v>
      </c>
      <c r="Y114" s="134">
        <f t="shared" si="29"/>
        <v>2.96</v>
      </c>
      <c r="Z114" s="134">
        <f t="shared" si="29"/>
        <v>2.96</v>
      </c>
      <c r="AA114" s="134">
        <f t="shared" si="29"/>
        <v>2.96</v>
      </c>
      <c r="AB114" s="134">
        <f t="shared" si="29"/>
        <v>2.96</v>
      </c>
      <c r="AC114" s="134">
        <f t="shared" si="29"/>
        <v>2.96</v>
      </c>
      <c r="AD114" s="134">
        <f t="shared" si="29"/>
        <v>2.96</v>
      </c>
      <c r="AE114" s="134">
        <f t="shared" si="29"/>
        <v>2.96</v>
      </c>
      <c r="AF114" s="134">
        <f t="shared" si="29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8"/>
        <v>8</v>
      </c>
      <c r="D115" s="134">
        <f t="shared" si="28"/>
        <v>8</v>
      </c>
      <c r="E115" s="134">
        <f t="shared" si="28"/>
        <v>8</v>
      </c>
      <c r="F115" s="134">
        <f t="shared" si="28"/>
        <v>8</v>
      </c>
      <c r="G115" s="134">
        <f t="shared" si="28"/>
        <v>8</v>
      </c>
      <c r="H115" s="134">
        <f t="shared" si="28"/>
        <v>8</v>
      </c>
      <c r="I115" s="134">
        <f t="shared" si="28"/>
        <v>8</v>
      </c>
      <c r="J115" s="134">
        <f t="shared" si="28"/>
        <v>8</v>
      </c>
      <c r="K115" s="134">
        <f t="shared" si="28"/>
        <v>8</v>
      </c>
      <c r="L115" s="134">
        <f t="shared" si="28"/>
        <v>8</v>
      </c>
      <c r="M115" s="134">
        <f t="shared" si="28"/>
        <v>8</v>
      </c>
      <c r="N115" s="134">
        <f t="shared" si="28"/>
        <v>8</v>
      </c>
      <c r="O115" s="134">
        <f t="shared" si="28"/>
        <v>8</v>
      </c>
      <c r="P115" s="134">
        <f t="shared" si="28"/>
        <v>8</v>
      </c>
      <c r="Q115" s="134">
        <f t="shared" si="28"/>
        <v>8</v>
      </c>
      <c r="R115" s="134">
        <f t="shared" si="28"/>
        <v>8</v>
      </c>
      <c r="S115" s="134">
        <f t="shared" si="29"/>
        <v>8</v>
      </c>
      <c r="T115" s="134">
        <f t="shared" si="29"/>
        <v>8</v>
      </c>
      <c r="U115" s="134">
        <f t="shared" si="29"/>
        <v>8</v>
      </c>
      <c r="V115" s="134">
        <f t="shared" si="29"/>
        <v>8</v>
      </c>
      <c r="W115" s="134">
        <f t="shared" si="29"/>
        <v>8</v>
      </c>
      <c r="X115" s="134">
        <f t="shared" si="29"/>
        <v>8</v>
      </c>
      <c r="Y115" s="134">
        <f t="shared" si="29"/>
        <v>8</v>
      </c>
      <c r="Z115" s="134">
        <f t="shared" si="29"/>
        <v>8</v>
      </c>
      <c r="AA115" s="134">
        <f t="shared" si="29"/>
        <v>8</v>
      </c>
      <c r="AB115" s="134">
        <f t="shared" si="29"/>
        <v>8</v>
      </c>
      <c r="AC115" s="134">
        <f t="shared" si="29"/>
        <v>8</v>
      </c>
      <c r="AD115" s="134">
        <f t="shared" si="29"/>
        <v>8</v>
      </c>
      <c r="AE115" s="134">
        <f t="shared" si="29"/>
        <v>8</v>
      </c>
      <c r="AF115" s="134">
        <f t="shared" si="29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8"/>
        <v>7</v>
      </c>
      <c r="E116" s="134">
        <f t="shared" si="28"/>
        <v>7</v>
      </c>
      <c r="F116" s="134">
        <f t="shared" si="28"/>
        <v>7</v>
      </c>
      <c r="G116" s="134">
        <f t="shared" si="28"/>
        <v>7</v>
      </c>
      <c r="H116" s="134">
        <f t="shared" si="28"/>
        <v>7</v>
      </c>
      <c r="I116" s="134">
        <f t="shared" si="28"/>
        <v>7</v>
      </c>
      <c r="J116" s="134">
        <f t="shared" si="28"/>
        <v>7</v>
      </c>
      <c r="K116" s="134">
        <f t="shared" si="28"/>
        <v>7</v>
      </c>
      <c r="L116" s="134">
        <f t="shared" si="28"/>
        <v>7</v>
      </c>
      <c r="M116" s="134">
        <f t="shared" si="28"/>
        <v>7</v>
      </c>
      <c r="N116" s="134">
        <f t="shared" si="28"/>
        <v>7</v>
      </c>
      <c r="O116" s="134">
        <f t="shared" si="28"/>
        <v>7</v>
      </c>
      <c r="P116" s="134">
        <f t="shared" si="28"/>
        <v>7</v>
      </c>
      <c r="Q116" s="134">
        <f t="shared" si="28"/>
        <v>7</v>
      </c>
      <c r="R116" s="134">
        <f t="shared" si="28"/>
        <v>7</v>
      </c>
      <c r="S116" s="134">
        <f t="shared" si="29"/>
        <v>7</v>
      </c>
      <c r="T116" s="134">
        <f t="shared" si="29"/>
        <v>7</v>
      </c>
      <c r="U116" s="134">
        <f t="shared" si="29"/>
        <v>7</v>
      </c>
      <c r="V116" s="134">
        <f t="shared" si="29"/>
        <v>7</v>
      </c>
      <c r="W116" s="134">
        <f t="shared" si="29"/>
        <v>7</v>
      </c>
      <c r="X116" s="134">
        <f t="shared" si="29"/>
        <v>7</v>
      </c>
      <c r="Y116" s="134">
        <f t="shared" si="29"/>
        <v>7</v>
      </c>
      <c r="Z116" s="134">
        <f t="shared" si="29"/>
        <v>7</v>
      </c>
      <c r="AA116" s="134">
        <f t="shared" si="29"/>
        <v>7</v>
      </c>
      <c r="AB116" s="134">
        <f t="shared" si="29"/>
        <v>7</v>
      </c>
      <c r="AC116" s="134">
        <f t="shared" si="29"/>
        <v>7</v>
      </c>
      <c r="AD116" s="134">
        <f t="shared" si="29"/>
        <v>7</v>
      </c>
      <c r="AE116" s="134">
        <f t="shared" si="29"/>
        <v>7</v>
      </c>
      <c r="AF116" s="134">
        <f t="shared" si="29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0">B117</f>
        <v>3.47</v>
      </c>
      <c r="D117" s="134">
        <f t="shared" si="30"/>
        <v>3.47</v>
      </c>
      <c r="E117" s="134">
        <f t="shared" si="30"/>
        <v>3.47</v>
      </c>
      <c r="F117" s="134">
        <f t="shared" si="30"/>
        <v>3.47</v>
      </c>
      <c r="G117" s="134">
        <f t="shared" si="30"/>
        <v>3.47</v>
      </c>
      <c r="H117" s="134">
        <f t="shared" si="30"/>
        <v>3.47</v>
      </c>
      <c r="I117" s="134">
        <f t="shared" si="30"/>
        <v>3.47</v>
      </c>
      <c r="J117" s="134">
        <f t="shared" si="30"/>
        <v>3.47</v>
      </c>
      <c r="K117" s="134">
        <f t="shared" si="30"/>
        <v>3.47</v>
      </c>
      <c r="L117" s="134">
        <f t="shared" si="30"/>
        <v>3.47</v>
      </c>
      <c r="M117" s="134">
        <f t="shared" si="30"/>
        <v>3.47</v>
      </c>
      <c r="N117" s="134">
        <f t="shared" si="30"/>
        <v>3.47</v>
      </c>
      <c r="O117" s="134">
        <f t="shared" si="30"/>
        <v>3.47</v>
      </c>
      <c r="P117" s="134">
        <f t="shared" si="30"/>
        <v>3.47</v>
      </c>
      <c r="Q117" s="134">
        <f t="shared" si="30"/>
        <v>3.47</v>
      </c>
      <c r="R117" s="134">
        <f t="shared" si="30"/>
        <v>3.47</v>
      </c>
      <c r="S117" s="134">
        <f t="shared" si="29"/>
        <v>3.47</v>
      </c>
      <c r="T117" s="134">
        <f t="shared" si="29"/>
        <v>3.47</v>
      </c>
      <c r="U117" s="134">
        <f t="shared" si="29"/>
        <v>3.47</v>
      </c>
      <c r="V117" s="134">
        <f t="shared" si="29"/>
        <v>3.47</v>
      </c>
      <c r="W117" s="134">
        <f t="shared" si="29"/>
        <v>3.47</v>
      </c>
      <c r="X117" s="134">
        <f t="shared" si="29"/>
        <v>3.47</v>
      </c>
      <c r="Y117" s="134">
        <f t="shared" si="29"/>
        <v>3.47</v>
      </c>
      <c r="Z117" s="134">
        <f t="shared" si="29"/>
        <v>3.47</v>
      </c>
      <c r="AA117" s="134">
        <f t="shared" si="29"/>
        <v>3.47</v>
      </c>
      <c r="AB117" s="134">
        <f t="shared" si="29"/>
        <v>3.47</v>
      </c>
      <c r="AC117" s="134">
        <f t="shared" si="29"/>
        <v>3.47</v>
      </c>
      <c r="AD117" s="134">
        <f t="shared" si="29"/>
        <v>3.47</v>
      </c>
      <c r="AE117" s="134">
        <f t="shared" si="29"/>
        <v>3.47</v>
      </c>
      <c r="AF117" s="134">
        <f t="shared" si="29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0"/>
        <v>2.1</v>
      </c>
      <c r="D118" s="134">
        <f t="shared" si="30"/>
        <v>2.1</v>
      </c>
      <c r="E118" s="134">
        <f t="shared" si="30"/>
        <v>2.1</v>
      </c>
      <c r="F118" s="134">
        <f t="shared" si="30"/>
        <v>2.1</v>
      </c>
      <c r="G118" s="134">
        <f t="shared" si="30"/>
        <v>2.1</v>
      </c>
      <c r="H118" s="134">
        <f t="shared" si="30"/>
        <v>2.1</v>
      </c>
      <c r="I118" s="134">
        <f t="shared" si="30"/>
        <v>2.1</v>
      </c>
      <c r="J118" s="134">
        <f t="shared" si="30"/>
        <v>2.1</v>
      </c>
      <c r="K118" s="134">
        <f t="shared" si="30"/>
        <v>2.1</v>
      </c>
      <c r="L118" s="134">
        <f t="shared" si="30"/>
        <v>2.1</v>
      </c>
      <c r="M118" s="134">
        <f t="shared" si="30"/>
        <v>2.1</v>
      </c>
      <c r="N118" s="134">
        <f t="shared" si="30"/>
        <v>2.1</v>
      </c>
      <c r="O118" s="134">
        <f t="shared" si="30"/>
        <v>2.1</v>
      </c>
      <c r="P118" s="134">
        <f t="shared" si="30"/>
        <v>2.1</v>
      </c>
      <c r="Q118" s="134">
        <f t="shared" si="30"/>
        <v>2.1</v>
      </c>
      <c r="R118" s="134">
        <f t="shared" si="30"/>
        <v>2.1</v>
      </c>
      <c r="S118" s="134">
        <f t="shared" si="29"/>
        <v>2.1</v>
      </c>
      <c r="T118" s="134">
        <f t="shared" si="29"/>
        <v>2.1</v>
      </c>
      <c r="U118" s="134">
        <f t="shared" si="29"/>
        <v>2.1</v>
      </c>
      <c r="V118" s="134">
        <f t="shared" si="29"/>
        <v>2.1</v>
      </c>
      <c r="W118" s="134">
        <f t="shared" si="29"/>
        <v>2.1</v>
      </c>
      <c r="X118" s="134">
        <f t="shared" si="29"/>
        <v>2.1</v>
      </c>
      <c r="Y118" s="134">
        <f t="shared" si="29"/>
        <v>2.1</v>
      </c>
      <c r="Z118" s="134">
        <f t="shared" si="29"/>
        <v>2.1</v>
      </c>
      <c r="AA118" s="134">
        <f t="shared" si="29"/>
        <v>2.1</v>
      </c>
      <c r="AB118" s="134">
        <f t="shared" si="29"/>
        <v>2.1</v>
      </c>
      <c r="AC118" s="134">
        <f t="shared" si="29"/>
        <v>2.1</v>
      </c>
      <c r="AD118" s="134">
        <f t="shared" si="29"/>
        <v>2.1</v>
      </c>
      <c r="AE118" s="134">
        <f t="shared" si="29"/>
        <v>2.1</v>
      </c>
      <c r="AF118" s="134">
        <f t="shared" si="29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0"/>
        <v>9.3000000000000007</v>
      </c>
      <c r="D119" s="134">
        <f t="shared" si="30"/>
        <v>9.3000000000000007</v>
      </c>
      <c r="E119" s="134">
        <f t="shared" si="30"/>
        <v>9.3000000000000007</v>
      </c>
      <c r="F119" s="134">
        <f t="shared" si="30"/>
        <v>9.3000000000000007</v>
      </c>
      <c r="G119" s="134">
        <f t="shared" si="30"/>
        <v>9.3000000000000007</v>
      </c>
      <c r="H119" s="134">
        <f t="shared" si="30"/>
        <v>9.3000000000000007</v>
      </c>
      <c r="I119" s="134">
        <f t="shared" si="30"/>
        <v>9.3000000000000007</v>
      </c>
      <c r="J119" s="134">
        <f t="shared" si="30"/>
        <v>9.3000000000000007</v>
      </c>
      <c r="K119" s="134">
        <f t="shared" si="30"/>
        <v>9.3000000000000007</v>
      </c>
      <c r="L119" s="134">
        <f t="shared" si="30"/>
        <v>9.3000000000000007</v>
      </c>
      <c r="M119" s="134">
        <f t="shared" si="30"/>
        <v>9.3000000000000007</v>
      </c>
      <c r="N119" s="134">
        <f t="shared" si="30"/>
        <v>9.3000000000000007</v>
      </c>
      <c r="O119" s="134">
        <f t="shared" si="30"/>
        <v>9.3000000000000007</v>
      </c>
      <c r="P119" s="134">
        <f t="shared" si="30"/>
        <v>9.3000000000000007</v>
      </c>
      <c r="Q119" s="134">
        <f t="shared" si="30"/>
        <v>9.3000000000000007</v>
      </c>
      <c r="R119" s="134">
        <f t="shared" si="30"/>
        <v>9.3000000000000007</v>
      </c>
      <c r="S119" s="134">
        <f t="shared" si="29"/>
        <v>9.3000000000000007</v>
      </c>
      <c r="T119" s="134">
        <f t="shared" si="29"/>
        <v>9.3000000000000007</v>
      </c>
      <c r="U119" s="134">
        <f t="shared" si="29"/>
        <v>9.3000000000000007</v>
      </c>
      <c r="V119" s="134">
        <f t="shared" si="29"/>
        <v>9.3000000000000007</v>
      </c>
      <c r="W119" s="134">
        <f t="shared" si="29"/>
        <v>9.3000000000000007</v>
      </c>
      <c r="X119" s="134">
        <f t="shared" si="29"/>
        <v>9.3000000000000007</v>
      </c>
      <c r="Y119" s="134">
        <f t="shared" si="29"/>
        <v>9.3000000000000007</v>
      </c>
      <c r="Z119" s="134">
        <f t="shared" si="29"/>
        <v>9.3000000000000007</v>
      </c>
      <c r="AA119" s="134">
        <f t="shared" si="29"/>
        <v>9.3000000000000007</v>
      </c>
      <c r="AB119" s="134">
        <f t="shared" si="29"/>
        <v>9.3000000000000007</v>
      </c>
      <c r="AC119" s="134">
        <f t="shared" si="29"/>
        <v>9.3000000000000007</v>
      </c>
      <c r="AD119" s="134">
        <f t="shared" si="29"/>
        <v>9.3000000000000007</v>
      </c>
      <c r="AE119" s="134">
        <f t="shared" si="29"/>
        <v>9.3000000000000007</v>
      </c>
      <c r="AF119" s="134">
        <f t="shared" si="29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0"/>
        <v>0</v>
      </c>
      <c r="D120" s="134">
        <f t="shared" si="30"/>
        <v>0</v>
      </c>
      <c r="E120" s="134">
        <f t="shared" si="30"/>
        <v>0</v>
      </c>
      <c r="F120" s="134">
        <f t="shared" si="30"/>
        <v>0</v>
      </c>
      <c r="G120" s="134">
        <f t="shared" si="30"/>
        <v>0</v>
      </c>
      <c r="H120" s="134">
        <f t="shared" si="30"/>
        <v>0</v>
      </c>
      <c r="I120" s="134">
        <f t="shared" si="30"/>
        <v>0</v>
      </c>
      <c r="J120" s="134">
        <f t="shared" si="30"/>
        <v>0</v>
      </c>
      <c r="K120" s="134">
        <f t="shared" si="30"/>
        <v>0</v>
      </c>
      <c r="L120" s="134">
        <f t="shared" si="30"/>
        <v>0</v>
      </c>
      <c r="M120" s="134">
        <f t="shared" si="30"/>
        <v>0</v>
      </c>
      <c r="N120" s="134">
        <f t="shared" si="30"/>
        <v>0</v>
      </c>
      <c r="O120" s="134">
        <f t="shared" si="30"/>
        <v>0</v>
      </c>
      <c r="P120" s="134">
        <f t="shared" si="30"/>
        <v>0</v>
      </c>
      <c r="Q120" s="134">
        <f t="shared" si="30"/>
        <v>0</v>
      </c>
      <c r="R120" s="134">
        <f t="shared" si="30"/>
        <v>0</v>
      </c>
      <c r="S120" s="134">
        <f t="shared" si="29"/>
        <v>0</v>
      </c>
      <c r="T120" s="134">
        <f t="shared" si="29"/>
        <v>0</v>
      </c>
      <c r="U120" s="134">
        <f t="shared" si="29"/>
        <v>0</v>
      </c>
      <c r="V120" s="134">
        <f t="shared" si="29"/>
        <v>0</v>
      </c>
      <c r="W120" s="134">
        <f t="shared" si="29"/>
        <v>0</v>
      </c>
      <c r="X120" s="134">
        <f t="shared" si="29"/>
        <v>0</v>
      </c>
      <c r="Y120" s="134">
        <f t="shared" si="29"/>
        <v>0</v>
      </c>
      <c r="Z120" s="134">
        <f t="shared" si="29"/>
        <v>0</v>
      </c>
      <c r="AA120" s="134">
        <f t="shared" si="29"/>
        <v>0</v>
      </c>
      <c r="AB120" s="134">
        <f t="shared" si="29"/>
        <v>0</v>
      </c>
      <c r="AC120" s="134">
        <f t="shared" si="29"/>
        <v>0</v>
      </c>
      <c r="AD120" s="134">
        <f t="shared" si="29"/>
        <v>0</v>
      </c>
      <c r="AE120" s="134">
        <f t="shared" si="29"/>
        <v>0</v>
      </c>
      <c r="AF120" s="134">
        <f t="shared" si="29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0"/>
        <v>0</v>
      </c>
      <c r="D121" s="134">
        <f t="shared" si="30"/>
        <v>0</v>
      </c>
      <c r="E121" s="134">
        <f t="shared" si="30"/>
        <v>0</v>
      </c>
      <c r="F121" s="134">
        <f t="shared" si="30"/>
        <v>0</v>
      </c>
      <c r="G121" s="134">
        <f t="shared" si="30"/>
        <v>0</v>
      </c>
      <c r="H121" s="134">
        <f t="shared" si="30"/>
        <v>0</v>
      </c>
      <c r="I121" s="134">
        <f t="shared" si="30"/>
        <v>0</v>
      </c>
      <c r="J121" s="134">
        <f t="shared" si="30"/>
        <v>0</v>
      </c>
      <c r="K121" s="134">
        <f t="shared" si="30"/>
        <v>0</v>
      </c>
      <c r="L121" s="134">
        <f t="shared" si="30"/>
        <v>0</v>
      </c>
      <c r="M121" s="134">
        <f t="shared" si="30"/>
        <v>0</v>
      </c>
      <c r="N121" s="134">
        <f t="shared" si="30"/>
        <v>0</v>
      </c>
      <c r="O121" s="134">
        <f t="shared" si="30"/>
        <v>0</v>
      </c>
      <c r="P121" s="134">
        <f t="shared" si="30"/>
        <v>0</v>
      </c>
      <c r="Q121" s="134">
        <f t="shared" si="30"/>
        <v>0</v>
      </c>
      <c r="R121" s="134">
        <f t="shared" si="30"/>
        <v>0</v>
      </c>
      <c r="S121" s="134">
        <f t="shared" si="29"/>
        <v>0</v>
      </c>
      <c r="T121" s="134">
        <f t="shared" si="29"/>
        <v>0</v>
      </c>
      <c r="U121" s="134">
        <f t="shared" si="29"/>
        <v>0</v>
      </c>
      <c r="V121" s="134">
        <f t="shared" si="29"/>
        <v>0</v>
      </c>
      <c r="W121" s="134">
        <f t="shared" si="29"/>
        <v>0</v>
      </c>
      <c r="X121" s="134">
        <f t="shared" si="29"/>
        <v>0</v>
      </c>
      <c r="Y121" s="134">
        <f t="shared" si="29"/>
        <v>0</v>
      </c>
      <c r="Z121" s="134">
        <f t="shared" si="29"/>
        <v>0</v>
      </c>
      <c r="AA121" s="134">
        <f t="shared" si="29"/>
        <v>0</v>
      </c>
      <c r="AB121" s="134">
        <f t="shared" si="29"/>
        <v>0</v>
      </c>
      <c r="AC121" s="134">
        <f t="shared" si="29"/>
        <v>0</v>
      </c>
      <c r="AD121" s="134">
        <f t="shared" si="29"/>
        <v>0</v>
      </c>
      <c r="AE121" s="134">
        <f t="shared" si="29"/>
        <v>0</v>
      </c>
      <c r="AF121" s="134">
        <f t="shared" si="29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0"/>
        <v>5</v>
      </c>
      <c r="D122" s="134">
        <f t="shared" si="30"/>
        <v>5</v>
      </c>
      <c r="E122" s="134">
        <f t="shared" si="30"/>
        <v>5</v>
      </c>
      <c r="F122" s="134">
        <f t="shared" si="30"/>
        <v>5</v>
      </c>
      <c r="G122" s="134">
        <f t="shared" si="30"/>
        <v>5</v>
      </c>
      <c r="H122" s="134">
        <f t="shared" si="30"/>
        <v>5</v>
      </c>
      <c r="I122" s="134">
        <f t="shared" si="30"/>
        <v>5</v>
      </c>
      <c r="J122" s="134">
        <f t="shared" si="30"/>
        <v>5</v>
      </c>
      <c r="K122" s="134">
        <f t="shared" si="30"/>
        <v>5</v>
      </c>
      <c r="L122" s="134">
        <f t="shared" si="30"/>
        <v>5</v>
      </c>
      <c r="M122" s="134">
        <f t="shared" si="30"/>
        <v>5</v>
      </c>
      <c r="N122" s="134">
        <f t="shared" si="30"/>
        <v>5</v>
      </c>
      <c r="O122" s="134">
        <f t="shared" si="30"/>
        <v>5</v>
      </c>
      <c r="P122" s="134">
        <f t="shared" si="30"/>
        <v>5</v>
      </c>
      <c r="Q122" s="134">
        <f t="shared" si="30"/>
        <v>5</v>
      </c>
      <c r="R122" s="134">
        <f t="shared" si="30"/>
        <v>5</v>
      </c>
      <c r="S122" s="134">
        <f t="shared" si="29"/>
        <v>5</v>
      </c>
      <c r="T122" s="134">
        <f t="shared" si="29"/>
        <v>5</v>
      </c>
      <c r="U122" s="134">
        <f t="shared" si="29"/>
        <v>5</v>
      </c>
      <c r="V122" s="134">
        <f t="shared" si="29"/>
        <v>5</v>
      </c>
      <c r="W122" s="134">
        <f t="shared" si="29"/>
        <v>5</v>
      </c>
      <c r="X122" s="134">
        <f t="shared" si="29"/>
        <v>5</v>
      </c>
      <c r="Y122" s="134">
        <f t="shared" si="29"/>
        <v>5</v>
      </c>
      <c r="Z122" s="134">
        <f t="shared" si="29"/>
        <v>5</v>
      </c>
      <c r="AA122" s="134">
        <f t="shared" si="29"/>
        <v>5</v>
      </c>
      <c r="AB122" s="134">
        <f t="shared" si="29"/>
        <v>5</v>
      </c>
      <c r="AC122" s="134">
        <f t="shared" si="29"/>
        <v>5</v>
      </c>
      <c r="AD122" s="134">
        <f t="shared" si="29"/>
        <v>5</v>
      </c>
      <c r="AE122" s="134">
        <f t="shared" si="29"/>
        <v>5</v>
      </c>
      <c r="AF122" s="134">
        <f t="shared" si="29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0"/>
        <v>1</v>
      </c>
      <c r="D123" s="134">
        <f t="shared" si="30"/>
        <v>1</v>
      </c>
      <c r="E123" s="134">
        <f t="shared" si="30"/>
        <v>1</v>
      </c>
      <c r="F123" s="134">
        <f t="shared" si="30"/>
        <v>1</v>
      </c>
      <c r="G123" s="134">
        <f t="shared" si="30"/>
        <v>1</v>
      </c>
      <c r="H123" s="134">
        <f t="shared" si="30"/>
        <v>1</v>
      </c>
      <c r="I123" s="134">
        <f t="shared" si="30"/>
        <v>1</v>
      </c>
      <c r="J123" s="134">
        <f t="shared" si="30"/>
        <v>1</v>
      </c>
      <c r="K123" s="134">
        <f t="shared" si="30"/>
        <v>1</v>
      </c>
      <c r="L123" s="134">
        <f t="shared" si="30"/>
        <v>1</v>
      </c>
      <c r="M123" s="134">
        <f t="shared" si="30"/>
        <v>1</v>
      </c>
      <c r="N123" s="134">
        <f t="shared" si="30"/>
        <v>1</v>
      </c>
      <c r="O123" s="134">
        <f t="shared" si="30"/>
        <v>1</v>
      </c>
      <c r="P123" s="134">
        <f t="shared" si="30"/>
        <v>1</v>
      </c>
      <c r="Q123" s="134">
        <f t="shared" si="30"/>
        <v>1</v>
      </c>
      <c r="R123" s="134">
        <f t="shared" si="30"/>
        <v>1</v>
      </c>
      <c r="S123" s="134">
        <f t="shared" si="29"/>
        <v>1</v>
      </c>
      <c r="T123" s="134">
        <f t="shared" si="29"/>
        <v>1</v>
      </c>
      <c r="U123" s="134">
        <f t="shared" si="29"/>
        <v>1</v>
      </c>
      <c r="V123" s="134">
        <f t="shared" si="29"/>
        <v>1</v>
      </c>
      <c r="W123" s="134">
        <f t="shared" si="29"/>
        <v>1</v>
      </c>
      <c r="X123" s="134">
        <f t="shared" si="29"/>
        <v>1</v>
      </c>
      <c r="Y123" s="134">
        <f t="shared" si="29"/>
        <v>1</v>
      </c>
      <c r="Z123" s="134">
        <f t="shared" si="29"/>
        <v>1</v>
      </c>
      <c r="AA123" s="134">
        <f t="shared" si="29"/>
        <v>1</v>
      </c>
      <c r="AB123" s="134">
        <f t="shared" si="29"/>
        <v>1</v>
      </c>
      <c r="AC123" s="134">
        <f t="shared" si="29"/>
        <v>1</v>
      </c>
      <c r="AD123" s="134">
        <f t="shared" si="29"/>
        <v>1</v>
      </c>
      <c r="AE123" s="134">
        <f t="shared" si="29"/>
        <v>1</v>
      </c>
      <c r="AF123" s="134">
        <f t="shared" si="29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0"/>
        <v>1.58</v>
      </c>
      <c r="D124" s="134">
        <f t="shared" si="30"/>
        <v>1.58</v>
      </c>
      <c r="E124" s="134">
        <f t="shared" si="30"/>
        <v>1.58</v>
      </c>
      <c r="F124" s="134">
        <f t="shared" si="30"/>
        <v>1.58</v>
      </c>
      <c r="G124" s="134">
        <f t="shared" si="30"/>
        <v>1.58</v>
      </c>
      <c r="H124" s="134">
        <f t="shared" si="30"/>
        <v>1.58</v>
      </c>
      <c r="I124" s="134">
        <f t="shared" si="30"/>
        <v>1.58</v>
      </c>
      <c r="J124" s="134">
        <f t="shared" si="30"/>
        <v>1.58</v>
      </c>
      <c r="K124" s="134">
        <f t="shared" si="30"/>
        <v>1.58</v>
      </c>
      <c r="L124" s="134">
        <f t="shared" si="30"/>
        <v>1.58</v>
      </c>
      <c r="M124" s="134">
        <f t="shared" si="30"/>
        <v>1.58</v>
      </c>
      <c r="N124" s="134">
        <f t="shared" si="30"/>
        <v>1.58</v>
      </c>
      <c r="O124" s="134">
        <f t="shared" si="30"/>
        <v>1.58</v>
      </c>
      <c r="P124" s="134">
        <f t="shared" si="30"/>
        <v>1.58</v>
      </c>
      <c r="Q124" s="134">
        <f t="shared" si="30"/>
        <v>1.58</v>
      </c>
      <c r="R124" s="134">
        <f t="shared" si="30"/>
        <v>1.58</v>
      </c>
      <c r="S124" s="134">
        <f t="shared" si="29"/>
        <v>1.58</v>
      </c>
      <c r="T124" s="134">
        <f t="shared" si="29"/>
        <v>1.58</v>
      </c>
      <c r="U124" s="134">
        <f t="shared" si="29"/>
        <v>1.58</v>
      </c>
      <c r="V124" s="134">
        <f t="shared" si="29"/>
        <v>1.58</v>
      </c>
      <c r="W124" s="134">
        <f t="shared" si="29"/>
        <v>1.58</v>
      </c>
      <c r="X124" s="134">
        <f t="shared" si="29"/>
        <v>1.58</v>
      </c>
      <c r="Y124" s="134">
        <f t="shared" si="29"/>
        <v>1.58</v>
      </c>
      <c r="Z124" s="134">
        <f t="shared" si="29"/>
        <v>1.58</v>
      </c>
      <c r="AA124" s="134">
        <f t="shared" si="29"/>
        <v>1.58</v>
      </c>
      <c r="AB124" s="134">
        <f t="shared" si="29"/>
        <v>1.58</v>
      </c>
      <c r="AC124" s="134">
        <f t="shared" si="29"/>
        <v>1.58</v>
      </c>
      <c r="AD124" s="134">
        <f t="shared" si="29"/>
        <v>1.58</v>
      </c>
      <c r="AE124" s="134">
        <f t="shared" si="29"/>
        <v>1.58</v>
      </c>
      <c r="AF124" s="134">
        <f t="shared" si="29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0"/>
        <v>1.46</v>
      </c>
      <c r="D125" s="134">
        <f t="shared" si="30"/>
        <v>1.46</v>
      </c>
      <c r="E125" s="134">
        <f t="shared" si="30"/>
        <v>1.46</v>
      </c>
      <c r="F125" s="134">
        <f t="shared" si="30"/>
        <v>1.46</v>
      </c>
      <c r="G125" s="134">
        <f t="shared" si="30"/>
        <v>1.46</v>
      </c>
      <c r="H125" s="134">
        <f t="shared" si="30"/>
        <v>1.46</v>
      </c>
      <c r="I125" s="134">
        <f t="shared" si="30"/>
        <v>1.46</v>
      </c>
      <c r="J125" s="134">
        <f t="shared" si="30"/>
        <v>1.46</v>
      </c>
      <c r="K125" s="134">
        <f t="shared" si="30"/>
        <v>1.46</v>
      </c>
      <c r="L125" s="134">
        <f t="shared" si="30"/>
        <v>1.46</v>
      </c>
      <c r="M125" s="134">
        <f t="shared" si="30"/>
        <v>1.46</v>
      </c>
      <c r="N125" s="134">
        <f t="shared" si="30"/>
        <v>1.46</v>
      </c>
      <c r="O125" s="134">
        <f t="shared" si="30"/>
        <v>1.46</v>
      </c>
      <c r="P125" s="134">
        <f t="shared" si="30"/>
        <v>1.46</v>
      </c>
      <c r="Q125" s="134">
        <f t="shared" si="30"/>
        <v>1.46</v>
      </c>
      <c r="R125" s="134">
        <f t="shared" si="30"/>
        <v>1.46</v>
      </c>
      <c r="S125" s="134">
        <f t="shared" ref="S125:AF126" si="31">R125</f>
        <v>1.46</v>
      </c>
      <c r="T125" s="134">
        <f t="shared" si="31"/>
        <v>1.46</v>
      </c>
      <c r="U125" s="134">
        <f t="shared" si="31"/>
        <v>1.46</v>
      </c>
      <c r="V125" s="134">
        <f t="shared" si="31"/>
        <v>1.46</v>
      </c>
      <c r="W125" s="134">
        <f t="shared" si="31"/>
        <v>1.46</v>
      </c>
      <c r="X125" s="134">
        <f t="shared" si="31"/>
        <v>1.46</v>
      </c>
      <c r="Y125" s="134">
        <f t="shared" si="31"/>
        <v>1.46</v>
      </c>
      <c r="Z125" s="134">
        <f t="shared" si="31"/>
        <v>1.46</v>
      </c>
      <c r="AA125" s="134">
        <f t="shared" si="31"/>
        <v>1.46</v>
      </c>
      <c r="AB125" s="134">
        <f t="shared" si="31"/>
        <v>1.46</v>
      </c>
      <c r="AC125" s="134">
        <f t="shared" si="31"/>
        <v>1.46</v>
      </c>
      <c r="AD125" s="134">
        <f t="shared" si="31"/>
        <v>1.46</v>
      </c>
      <c r="AE125" s="134">
        <f t="shared" si="31"/>
        <v>1.46</v>
      </c>
      <c r="AF125" s="134">
        <f t="shared" si="31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0"/>
        <v>1.48</v>
      </c>
      <c r="D126" s="134">
        <f t="shared" si="30"/>
        <v>1.48</v>
      </c>
      <c r="E126" s="134">
        <f t="shared" si="30"/>
        <v>1.48</v>
      </c>
      <c r="F126" s="134">
        <f t="shared" si="30"/>
        <v>1.48</v>
      </c>
      <c r="G126" s="134">
        <f t="shared" si="30"/>
        <v>1.48</v>
      </c>
      <c r="H126" s="134">
        <f t="shared" si="30"/>
        <v>1.48</v>
      </c>
      <c r="I126" s="134">
        <f t="shared" si="30"/>
        <v>1.48</v>
      </c>
      <c r="J126" s="134">
        <f t="shared" si="30"/>
        <v>1.48</v>
      </c>
      <c r="K126" s="134">
        <f t="shared" si="30"/>
        <v>1.48</v>
      </c>
      <c r="L126" s="134">
        <f t="shared" si="30"/>
        <v>1.48</v>
      </c>
      <c r="M126" s="134">
        <f t="shared" si="30"/>
        <v>1.48</v>
      </c>
      <c r="N126" s="134">
        <f t="shared" si="30"/>
        <v>1.48</v>
      </c>
      <c r="O126" s="134">
        <f t="shared" si="30"/>
        <v>1.48</v>
      </c>
      <c r="P126" s="134">
        <f t="shared" si="30"/>
        <v>1.48</v>
      </c>
      <c r="Q126" s="134">
        <f t="shared" si="30"/>
        <v>1.48</v>
      </c>
      <c r="R126" s="134">
        <f t="shared" si="30"/>
        <v>1.48</v>
      </c>
      <c r="S126" s="134">
        <f t="shared" si="31"/>
        <v>1.48</v>
      </c>
      <c r="T126" s="134">
        <f t="shared" si="31"/>
        <v>1.48</v>
      </c>
      <c r="U126" s="134">
        <f t="shared" si="31"/>
        <v>1.48</v>
      </c>
      <c r="V126" s="134">
        <f t="shared" si="31"/>
        <v>1.48</v>
      </c>
      <c r="W126" s="134">
        <f t="shared" si="31"/>
        <v>1.48</v>
      </c>
      <c r="X126" s="134">
        <f t="shared" si="31"/>
        <v>1.48</v>
      </c>
      <c r="Y126" s="134">
        <f t="shared" si="31"/>
        <v>1.48</v>
      </c>
      <c r="Z126" s="134">
        <f t="shared" si="31"/>
        <v>1.48</v>
      </c>
      <c r="AA126" s="134">
        <f t="shared" si="31"/>
        <v>1.48</v>
      </c>
      <c r="AB126" s="134">
        <f t="shared" si="31"/>
        <v>1.48</v>
      </c>
      <c r="AC126" s="134">
        <f t="shared" si="31"/>
        <v>1.48</v>
      </c>
      <c r="AD126" s="134">
        <f t="shared" si="31"/>
        <v>1.48</v>
      </c>
      <c r="AE126" s="134">
        <f t="shared" si="31"/>
        <v>1.48</v>
      </c>
      <c r="AF126" s="134">
        <f t="shared" si="31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2">B128</f>
        <v>2.2000000000000002</v>
      </c>
      <c r="D128" s="134">
        <f t="shared" si="32"/>
        <v>2.2000000000000002</v>
      </c>
      <c r="E128" s="134">
        <f t="shared" si="32"/>
        <v>2.2000000000000002</v>
      </c>
      <c r="F128" s="134">
        <f t="shared" si="32"/>
        <v>2.2000000000000002</v>
      </c>
      <c r="G128" s="134">
        <f t="shared" si="32"/>
        <v>2.2000000000000002</v>
      </c>
      <c r="H128" s="134">
        <f t="shared" si="32"/>
        <v>2.2000000000000002</v>
      </c>
      <c r="I128" s="134">
        <f t="shared" si="32"/>
        <v>2.2000000000000002</v>
      </c>
      <c r="J128" s="134">
        <f t="shared" si="32"/>
        <v>2.2000000000000002</v>
      </c>
      <c r="K128" s="134">
        <f t="shared" si="32"/>
        <v>2.2000000000000002</v>
      </c>
      <c r="L128" s="134">
        <f t="shared" si="32"/>
        <v>2.2000000000000002</v>
      </c>
      <c r="M128" s="134">
        <f t="shared" si="32"/>
        <v>2.2000000000000002</v>
      </c>
      <c r="N128" s="134">
        <f t="shared" si="32"/>
        <v>2.2000000000000002</v>
      </c>
      <c r="O128" s="134">
        <f t="shared" si="32"/>
        <v>2.2000000000000002</v>
      </c>
      <c r="P128" s="134">
        <f t="shared" si="32"/>
        <v>2.2000000000000002</v>
      </c>
      <c r="Q128" s="134">
        <f t="shared" si="32"/>
        <v>2.2000000000000002</v>
      </c>
      <c r="R128" s="134">
        <f t="shared" si="32"/>
        <v>2.2000000000000002</v>
      </c>
      <c r="S128" s="134">
        <f t="shared" ref="S128:AF135" si="33">R128</f>
        <v>2.2000000000000002</v>
      </c>
      <c r="T128" s="134">
        <f t="shared" si="33"/>
        <v>2.2000000000000002</v>
      </c>
      <c r="U128" s="134">
        <f t="shared" si="33"/>
        <v>2.2000000000000002</v>
      </c>
      <c r="V128" s="134">
        <f t="shared" si="33"/>
        <v>2.2000000000000002</v>
      </c>
      <c r="W128" s="134">
        <f t="shared" si="33"/>
        <v>2.2000000000000002</v>
      </c>
      <c r="X128" s="134">
        <f t="shared" si="33"/>
        <v>2.2000000000000002</v>
      </c>
      <c r="Y128" s="134">
        <f t="shared" si="33"/>
        <v>2.2000000000000002</v>
      </c>
      <c r="Z128" s="134">
        <f t="shared" si="33"/>
        <v>2.2000000000000002</v>
      </c>
      <c r="AA128" s="134">
        <f t="shared" si="33"/>
        <v>2.2000000000000002</v>
      </c>
      <c r="AB128" s="134">
        <f t="shared" si="33"/>
        <v>2.2000000000000002</v>
      </c>
      <c r="AC128" s="134">
        <f t="shared" si="33"/>
        <v>2.2000000000000002</v>
      </c>
      <c r="AD128" s="134">
        <f t="shared" si="33"/>
        <v>2.2000000000000002</v>
      </c>
      <c r="AE128" s="134">
        <f t="shared" si="33"/>
        <v>2.2000000000000002</v>
      </c>
      <c r="AF128" s="134">
        <f t="shared" si="33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2"/>
        <v>2</v>
      </c>
      <c r="D129" s="134">
        <f t="shared" si="32"/>
        <v>2</v>
      </c>
      <c r="E129" s="134">
        <f t="shared" si="32"/>
        <v>2</v>
      </c>
      <c r="F129" s="134">
        <f t="shared" si="32"/>
        <v>2</v>
      </c>
      <c r="G129" s="134">
        <f t="shared" si="32"/>
        <v>2</v>
      </c>
      <c r="H129" s="134">
        <f t="shared" si="32"/>
        <v>2</v>
      </c>
      <c r="I129" s="134">
        <f t="shared" si="32"/>
        <v>2</v>
      </c>
      <c r="J129" s="134">
        <f t="shared" si="32"/>
        <v>2</v>
      </c>
      <c r="K129" s="134">
        <f t="shared" si="32"/>
        <v>2</v>
      </c>
      <c r="L129" s="134">
        <f t="shared" si="32"/>
        <v>2</v>
      </c>
      <c r="M129" s="134">
        <f t="shared" si="32"/>
        <v>2</v>
      </c>
      <c r="N129" s="134">
        <f t="shared" si="32"/>
        <v>2</v>
      </c>
      <c r="O129" s="134">
        <f t="shared" si="32"/>
        <v>2</v>
      </c>
      <c r="P129" s="134">
        <f t="shared" si="32"/>
        <v>2</v>
      </c>
      <c r="Q129" s="134">
        <f t="shared" si="32"/>
        <v>2</v>
      </c>
      <c r="R129" s="134">
        <f t="shared" si="32"/>
        <v>2</v>
      </c>
      <c r="S129" s="134">
        <f t="shared" si="33"/>
        <v>2</v>
      </c>
      <c r="T129" s="134">
        <f t="shared" si="33"/>
        <v>2</v>
      </c>
      <c r="U129" s="134">
        <f t="shared" si="33"/>
        <v>2</v>
      </c>
      <c r="V129" s="134">
        <f t="shared" si="33"/>
        <v>2</v>
      </c>
      <c r="W129" s="134">
        <f t="shared" si="33"/>
        <v>2</v>
      </c>
      <c r="X129" s="134">
        <f t="shared" si="33"/>
        <v>2</v>
      </c>
      <c r="Y129" s="134">
        <f t="shared" si="33"/>
        <v>2</v>
      </c>
      <c r="Z129" s="134">
        <f t="shared" si="33"/>
        <v>2</v>
      </c>
      <c r="AA129" s="134">
        <f t="shared" si="33"/>
        <v>2</v>
      </c>
      <c r="AB129" s="134">
        <f t="shared" si="33"/>
        <v>2</v>
      </c>
      <c r="AC129" s="134">
        <f t="shared" si="33"/>
        <v>2</v>
      </c>
      <c r="AD129" s="134">
        <f t="shared" si="33"/>
        <v>2</v>
      </c>
      <c r="AE129" s="134">
        <f t="shared" si="33"/>
        <v>2</v>
      </c>
      <c r="AF129" s="134">
        <f t="shared" si="33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2"/>
        <v>1.25</v>
      </c>
      <c r="D130" s="134">
        <f t="shared" si="32"/>
        <v>1.25</v>
      </c>
      <c r="E130" s="134">
        <f t="shared" si="32"/>
        <v>1.25</v>
      </c>
      <c r="F130" s="134">
        <f t="shared" si="32"/>
        <v>1.25</v>
      </c>
      <c r="G130" s="134">
        <f t="shared" si="32"/>
        <v>1.25</v>
      </c>
      <c r="H130" s="134">
        <f t="shared" si="32"/>
        <v>1.25</v>
      </c>
      <c r="I130" s="134">
        <f t="shared" si="32"/>
        <v>1.25</v>
      </c>
      <c r="J130" s="134">
        <f t="shared" si="32"/>
        <v>1.25</v>
      </c>
      <c r="K130" s="134">
        <f t="shared" si="32"/>
        <v>1.25</v>
      </c>
      <c r="L130" s="134">
        <f t="shared" si="32"/>
        <v>1.25</v>
      </c>
      <c r="M130" s="134">
        <f t="shared" si="32"/>
        <v>1.25</v>
      </c>
      <c r="N130" s="134">
        <f t="shared" si="32"/>
        <v>1.25</v>
      </c>
      <c r="O130" s="134">
        <f t="shared" si="32"/>
        <v>1.25</v>
      </c>
      <c r="P130" s="134">
        <f t="shared" si="32"/>
        <v>1.25</v>
      </c>
      <c r="Q130" s="134">
        <f t="shared" si="32"/>
        <v>1.25</v>
      </c>
      <c r="R130" s="134">
        <f t="shared" si="32"/>
        <v>1.25</v>
      </c>
      <c r="S130" s="134">
        <f t="shared" si="33"/>
        <v>1.25</v>
      </c>
      <c r="T130" s="134">
        <f t="shared" si="33"/>
        <v>1.25</v>
      </c>
      <c r="U130" s="134">
        <f t="shared" si="33"/>
        <v>1.25</v>
      </c>
      <c r="V130" s="134">
        <f t="shared" si="33"/>
        <v>1.25</v>
      </c>
      <c r="W130" s="134">
        <f t="shared" si="33"/>
        <v>1.25</v>
      </c>
      <c r="X130" s="134">
        <f t="shared" si="33"/>
        <v>1.25</v>
      </c>
      <c r="Y130" s="134">
        <f t="shared" si="33"/>
        <v>1.25</v>
      </c>
      <c r="Z130" s="134">
        <f t="shared" si="33"/>
        <v>1.25</v>
      </c>
      <c r="AA130" s="134">
        <f t="shared" si="33"/>
        <v>1.25</v>
      </c>
      <c r="AB130" s="134">
        <f t="shared" si="33"/>
        <v>1.25</v>
      </c>
      <c r="AC130" s="134">
        <f t="shared" si="33"/>
        <v>1.25</v>
      </c>
      <c r="AD130" s="134">
        <f t="shared" si="33"/>
        <v>1.25</v>
      </c>
      <c r="AE130" s="134">
        <f t="shared" si="33"/>
        <v>1.25</v>
      </c>
      <c r="AF130" s="134">
        <f t="shared" si="33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2"/>
        <v>1.1499999999999999</v>
      </c>
      <c r="D131" s="134">
        <f t="shared" si="32"/>
        <v>1.1499999999999999</v>
      </c>
      <c r="E131" s="134">
        <f t="shared" si="32"/>
        <v>1.1499999999999999</v>
      </c>
      <c r="F131" s="134">
        <f t="shared" si="32"/>
        <v>1.1499999999999999</v>
      </c>
      <c r="G131" s="134">
        <f t="shared" si="32"/>
        <v>1.1499999999999999</v>
      </c>
      <c r="H131" s="134">
        <f t="shared" si="32"/>
        <v>1.1499999999999999</v>
      </c>
      <c r="I131" s="134">
        <f t="shared" si="32"/>
        <v>1.1499999999999999</v>
      </c>
      <c r="J131" s="134">
        <f t="shared" si="32"/>
        <v>1.1499999999999999</v>
      </c>
      <c r="K131" s="134">
        <f t="shared" si="32"/>
        <v>1.1499999999999999</v>
      </c>
      <c r="L131" s="134">
        <f t="shared" si="32"/>
        <v>1.1499999999999999</v>
      </c>
      <c r="M131" s="134">
        <f t="shared" si="32"/>
        <v>1.1499999999999999</v>
      </c>
      <c r="N131" s="134">
        <f t="shared" si="32"/>
        <v>1.1499999999999999</v>
      </c>
      <c r="O131" s="134">
        <f t="shared" si="32"/>
        <v>1.1499999999999999</v>
      </c>
      <c r="P131" s="134">
        <f t="shared" si="32"/>
        <v>1.1499999999999999</v>
      </c>
      <c r="Q131" s="134">
        <f t="shared" si="32"/>
        <v>1.1499999999999999</v>
      </c>
      <c r="R131" s="134">
        <f t="shared" si="32"/>
        <v>1.1499999999999999</v>
      </c>
      <c r="S131" s="134">
        <f t="shared" si="33"/>
        <v>1.1499999999999999</v>
      </c>
      <c r="T131" s="134">
        <f t="shared" si="33"/>
        <v>1.1499999999999999</v>
      </c>
      <c r="U131" s="134">
        <f t="shared" si="33"/>
        <v>1.1499999999999999</v>
      </c>
      <c r="V131" s="134">
        <f t="shared" si="33"/>
        <v>1.1499999999999999</v>
      </c>
      <c r="W131" s="134">
        <f t="shared" si="33"/>
        <v>1.1499999999999999</v>
      </c>
      <c r="X131" s="134">
        <f t="shared" si="33"/>
        <v>1.1499999999999999</v>
      </c>
      <c r="Y131" s="134">
        <f t="shared" si="33"/>
        <v>1.1499999999999999</v>
      </c>
      <c r="Z131" s="134">
        <f t="shared" si="33"/>
        <v>1.1499999999999999</v>
      </c>
      <c r="AA131" s="134">
        <f t="shared" si="33"/>
        <v>1.1499999999999999</v>
      </c>
      <c r="AB131" s="134">
        <f t="shared" si="33"/>
        <v>1.1499999999999999</v>
      </c>
      <c r="AC131" s="134">
        <f t="shared" si="33"/>
        <v>1.1499999999999999</v>
      </c>
      <c r="AD131" s="134">
        <f t="shared" si="33"/>
        <v>1.1499999999999999</v>
      </c>
      <c r="AE131" s="134">
        <f t="shared" si="33"/>
        <v>1.1499999999999999</v>
      </c>
      <c r="AF131" s="134">
        <f t="shared" si="33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2"/>
        <v>2.133</v>
      </c>
      <c r="D132" s="134">
        <f t="shared" si="32"/>
        <v>2.133</v>
      </c>
      <c r="E132" s="134">
        <f t="shared" si="32"/>
        <v>2.133</v>
      </c>
      <c r="F132" s="134">
        <f t="shared" si="32"/>
        <v>2.133</v>
      </c>
      <c r="G132" s="134">
        <f t="shared" si="32"/>
        <v>2.133</v>
      </c>
      <c r="H132" s="134">
        <f t="shared" si="32"/>
        <v>2.133</v>
      </c>
      <c r="I132" s="134">
        <f t="shared" si="32"/>
        <v>2.133</v>
      </c>
      <c r="J132" s="134">
        <f t="shared" si="32"/>
        <v>2.133</v>
      </c>
      <c r="K132" s="134">
        <f t="shared" si="32"/>
        <v>2.133</v>
      </c>
      <c r="L132" s="134">
        <f t="shared" si="32"/>
        <v>2.133</v>
      </c>
      <c r="M132" s="134">
        <f t="shared" si="32"/>
        <v>2.133</v>
      </c>
      <c r="N132" s="134">
        <f t="shared" si="32"/>
        <v>2.133</v>
      </c>
      <c r="O132" s="134">
        <f t="shared" si="32"/>
        <v>2.133</v>
      </c>
      <c r="P132" s="134">
        <f t="shared" si="32"/>
        <v>2.133</v>
      </c>
      <c r="Q132" s="134">
        <f t="shared" si="32"/>
        <v>2.133</v>
      </c>
      <c r="R132" s="134">
        <f t="shared" si="32"/>
        <v>2.133</v>
      </c>
      <c r="S132" s="134">
        <f t="shared" si="33"/>
        <v>2.133</v>
      </c>
      <c r="T132" s="134">
        <f t="shared" si="33"/>
        <v>2.133</v>
      </c>
      <c r="U132" s="134">
        <f t="shared" si="33"/>
        <v>2.133</v>
      </c>
      <c r="V132" s="134">
        <f t="shared" si="33"/>
        <v>2.133</v>
      </c>
      <c r="W132" s="134">
        <f t="shared" si="33"/>
        <v>2.133</v>
      </c>
      <c r="X132" s="134">
        <f t="shared" si="33"/>
        <v>2.133</v>
      </c>
      <c r="Y132" s="134">
        <f t="shared" si="33"/>
        <v>2.133</v>
      </c>
      <c r="Z132" s="134">
        <f t="shared" si="33"/>
        <v>2.133</v>
      </c>
      <c r="AA132" s="134">
        <f t="shared" si="33"/>
        <v>2.133</v>
      </c>
      <c r="AB132" s="134">
        <f t="shared" si="33"/>
        <v>2.133</v>
      </c>
      <c r="AC132" s="134">
        <f t="shared" si="33"/>
        <v>2.133</v>
      </c>
      <c r="AD132" s="134">
        <f t="shared" si="33"/>
        <v>2.133</v>
      </c>
      <c r="AE132" s="134">
        <f t="shared" si="33"/>
        <v>2.133</v>
      </c>
      <c r="AF132" s="134">
        <f t="shared" si="33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2"/>
        <v>2.09</v>
      </c>
      <c r="D133" s="134">
        <f t="shared" si="32"/>
        <v>2.09</v>
      </c>
      <c r="E133" s="134">
        <f t="shared" si="32"/>
        <v>2.09</v>
      </c>
      <c r="F133" s="134">
        <f t="shared" si="32"/>
        <v>2.09</v>
      </c>
      <c r="G133" s="134">
        <f t="shared" si="32"/>
        <v>2.09</v>
      </c>
      <c r="H133" s="134">
        <f t="shared" si="32"/>
        <v>2.09</v>
      </c>
      <c r="I133" s="134">
        <f t="shared" si="32"/>
        <v>2.09</v>
      </c>
      <c r="J133" s="134">
        <f t="shared" si="32"/>
        <v>2.09</v>
      </c>
      <c r="K133" s="134">
        <f t="shared" si="32"/>
        <v>2.09</v>
      </c>
      <c r="L133" s="134">
        <f t="shared" si="32"/>
        <v>2.09</v>
      </c>
      <c r="M133" s="134">
        <f t="shared" si="32"/>
        <v>2.09</v>
      </c>
      <c r="N133" s="134">
        <f t="shared" si="32"/>
        <v>2.09</v>
      </c>
      <c r="O133" s="134">
        <f t="shared" si="32"/>
        <v>2.09</v>
      </c>
      <c r="P133" s="134">
        <f t="shared" si="32"/>
        <v>2.09</v>
      </c>
      <c r="Q133" s="134">
        <f t="shared" si="32"/>
        <v>2.09</v>
      </c>
      <c r="R133" s="134">
        <f t="shared" si="32"/>
        <v>2.09</v>
      </c>
      <c r="S133" s="134">
        <f t="shared" si="33"/>
        <v>2.09</v>
      </c>
      <c r="T133" s="134">
        <f t="shared" si="33"/>
        <v>2.09</v>
      </c>
      <c r="U133" s="134">
        <f t="shared" si="33"/>
        <v>2.09</v>
      </c>
      <c r="V133" s="134">
        <f t="shared" si="33"/>
        <v>2.09</v>
      </c>
      <c r="W133" s="134">
        <f t="shared" si="33"/>
        <v>2.09</v>
      </c>
      <c r="X133" s="134">
        <f t="shared" si="33"/>
        <v>2.09</v>
      </c>
      <c r="Y133" s="134">
        <f t="shared" si="33"/>
        <v>2.09</v>
      </c>
      <c r="Z133" s="134">
        <f t="shared" si="33"/>
        <v>2.09</v>
      </c>
      <c r="AA133" s="134">
        <f t="shared" si="33"/>
        <v>2.09</v>
      </c>
      <c r="AB133" s="134">
        <f t="shared" si="33"/>
        <v>2.09</v>
      </c>
      <c r="AC133" s="134">
        <f t="shared" si="33"/>
        <v>2.09</v>
      </c>
      <c r="AD133" s="134">
        <f t="shared" si="33"/>
        <v>2.09</v>
      </c>
      <c r="AE133" s="134">
        <f t="shared" si="33"/>
        <v>2.09</v>
      </c>
      <c r="AF133" s="134">
        <f t="shared" si="33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2"/>
        <v>1.1399999999999999</v>
      </c>
      <c r="D134" s="134">
        <f t="shared" si="32"/>
        <v>1.1399999999999999</v>
      </c>
      <c r="E134" s="134">
        <f t="shared" si="32"/>
        <v>1.1399999999999999</v>
      </c>
      <c r="F134" s="134">
        <f t="shared" si="32"/>
        <v>1.1399999999999999</v>
      </c>
      <c r="G134" s="134">
        <f t="shared" si="32"/>
        <v>1.1399999999999999</v>
      </c>
      <c r="H134" s="134">
        <f t="shared" si="32"/>
        <v>1.1399999999999999</v>
      </c>
      <c r="I134" s="134">
        <f t="shared" si="32"/>
        <v>1.1399999999999999</v>
      </c>
      <c r="J134" s="134">
        <f t="shared" si="32"/>
        <v>1.1399999999999999</v>
      </c>
      <c r="K134" s="134">
        <f t="shared" si="32"/>
        <v>1.1399999999999999</v>
      </c>
      <c r="L134" s="134">
        <f t="shared" si="32"/>
        <v>1.1399999999999999</v>
      </c>
      <c r="M134" s="134">
        <f t="shared" si="32"/>
        <v>1.1399999999999999</v>
      </c>
      <c r="N134" s="134">
        <f t="shared" si="32"/>
        <v>1.1399999999999999</v>
      </c>
      <c r="O134" s="134">
        <f t="shared" si="32"/>
        <v>1.1399999999999999</v>
      </c>
      <c r="P134" s="134">
        <f t="shared" si="32"/>
        <v>1.1399999999999999</v>
      </c>
      <c r="Q134" s="134">
        <f t="shared" si="32"/>
        <v>1.1399999999999999</v>
      </c>
      <c r="R134" s="134">
        <f t="shared" si="32"/>
        <v>1.1399999999999999</v>
      </c>
      <c r="S134" s="134">
        <f t="shared" si="33"/>
        <v>1.1399999999999999</v>
      </c>
      <c r="T134" s="134">
        <f t="shared" si="33"/>
        <v>1.1399999999999999</v>
      </c>
      <c r="U134" s="134">
        <f t="shared" si="33"/>
        <v>1.1399999999999999</v>
      </c>
      <c r="V134" s="134">
        <f t="shared" si="33"/>
        <v>1.1399999999999999</v>
      </c>
      <c r="W134" s="134">
        <f t="shared" si="33"/>
        <v>1.1399999999999999</v>
      </c>
      <c r="X134" s="134">
        <f t="shared" si="33"/>
        <v>1.1399999999999999</v>
      </c>
      <c r="Y134" s="134">
        <f t="shared" si="33"/>
        <v>1.1399999999999999</v>
      </c>
      <c r="Z134" s="134">
        <f t="shared" si="33"/>
        <v>1.1399999999999999</v>
      </c>
      <c r="AA134" s="134">
        <f t="shared" si="33"/>
        <v>1.1399999999999999</v>
      </c>
      <c r="AB134" s="134">
        <f t="shared" si="33"/>
        <v>1.1399999999999999</v>
      </c>
      <c r="AC134" s="134">
        <f t="shared" si="33"/>
        <v>1.1399999999999999</v>
      </c>
      <c r="AD134" s="134">
        <f t="shared" si="33"/>
        <v>1.1399999999999999</v>
      </c>
      <c r="AE134" s="134">
        <f t="shared" si="33"/>
        <v>1.1399999999999999</v>
      </c>
      <c r="AF134" s="134">
        <f t="shared" si="33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2"/>
        <v>0.82</v>
      </c>
      <c r="D135" s="134">
        <f t="shared" si="32"/>
        <v>0.82</v>
      </c>
      <c r="E135" s="134">
        <f t="shared" si="32"/>
        <v>0.82</v>
      </c>
      <c r="F135" s="134">
        <f t="shared" si="32"/>
        <v>0.82</v>
      </c>
      <c r="G135" s="134">
        <f t="shared" si="32"/>
        <v>0.82</v>
      </c>
      <c r="H135" s="134">
        <f t="shared" si="32"/>
        <v>0.82</v>
      </c>
      <c r="I135" s="134">
        <f t="shared" si="32"/>
        <v>0.82</v>
      </c>
      <c r="J135" s="134">
        <f t="shared" si="32"/>
        <v>0.82</v>
      </c>
      <c r="K135" s="134">
        <f t="shared" si="32"/>
        <v>0.82</v>
      </c>
      <c r="L135" s="134">
        <f t="shared" si="32"/>
        <v>0.82</v>
      </c>
      <c r="M135" s="134">
        <f t="shared" si="32"/>
        <v>0.82</v>
      </c>
      <c r="N135" s="134">
        <f t="shared" si="32"/>
        <v>0.82</v>
      </c>
      <c r="O135" s="134">
        <f t="shared" si="32"/>
        <v>0.82</v>
      </c>
      <c r="P135" s="134">
        <f t="shared" si="32"/>
        <v>0.82</v>
      </c>
      <c r="Q135" s="134">
        <f t="shared" si="32"/>
        <v>0.82</v>
      </c>
      <c r="R135" s="134">
        <f t="shared" si="32"/>
        <v>0.82</v>
      </c>
      <c r="S135" s="134">
        <f t="shared" si="33"/>
        <v>0.82</v>
      </c>
      <c r="T135" s="134">
        <f t="shared" si="33"/>
        <v>0.82</v>
      </c>
      <c r="U135" s="134">
        <f t="shared" si="33"/>
        <v>0.82</v>
      </c>
      <c r="V135" s="134">
        <f t="shared" si="33"/>
        <v>0.82</v>
      </c>
      <c r="W135" s="134">
        <f t="shared" si="33"/>
        <v>0.82</v>
      </c>
      <c r="X135" s="134">
        <f t="shared" si="33"/>
        <v>0.82</v>
      </c>
      <c r="Y135" s="134">
        <f t="shared" si="33"/>
        <v>0.82</v>
      </c>
      <c r="Z135" s="134">
        <f t="shared" si="33"/>
        <v>0.82</v>
      </c>
      <c r="AA135" s="134">
        <f t="shared" si="33"/>
        <v>0.82</v>
      </c>
      <c r="AB135" s="134">
        <f t="shared" si="33"/>
        <v>0.82</v>
      </c>
      <c r="AC135" s="134">
        <f t="shared" si="33"/>
        <v>0.82</v>
      </c>
      <c r="AD135" s="134">
        <f t="shared" si="33"/>
        <v>0.82</v>
      </c>
      <c r="AE135" s="134">
        <f t="shared" si="33"/>
        <v>0.82</v>
      </c>
      <c r="AF135" s="134">
        <f t="shared" si="33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4">B137</f>
        <v>2</v>
      </c>
      <c r="D137" s="134">
        <f t="shared" si="34"/>
        <v>2</v>
      </c>
      <c r="E137" s="134">
        <f t="shared" si="34"/>
        <v>2</v>
      </c>
      <c r="F137" s="134">
        <f t="shared" si="34"/>
        <v>2</v>
      </c>
      <c r="G137" s="134">
        <f t="shared" si="34"/>
        <v>2</v>
      </c>
      <c r="H137" s="134">
        <f t="shared" si="34"/>
        <v>2</v>
      </c>
      <c r="I137" s="134">
        <f t="shared" si="34"/>
        <v>2</v>
      </c>
      <c r="J137" s="134">
        <f t="shared" si="34"/>
        <v>2</v>
      </c>
      <c r="K137" s="134">
        <f t="shared" si="34"/>
        <v>2</v>
      </c>
      <c r="L137" s="134">
        <f t="shared" si="34"/>
        <v>2</v>
      </c>
      <c r="M137" s="134">
        <f t="shared" si="34"/>
        <v>2</v>
      </c>
      <c r="N137" s="134">
        <f t="shared" si="34"/>
        <v>2</v>
      </c>
      <c r="O137" s="134">
        <f t="shared" si="34"/>
        <v>2</v>
      </c>
      <c r="P137" s="134">
        <f t="shared" si="34"/>
        <v>2</v>
      </c>
      <c r="Q137" s="134">
        <f t="shared" si="34"/>
        <v>2</v>
      </c>
      <c r="R137" s="134">
        <f t="shared" si="34"/>
        <v>2</v>
      </c>
      <c r="S137" s="134">
        <f t="shared" ref="S137:AF143" si="35">R137</f>
        <v>2</v>
      </c>
      <c r="T137" s="134">
        <f t="shared" si="35"/>
        <v>2</v>
      </c>
      <c r="U137" s="134">
        <f t="shared" si="35"/>
        <v>2</v>
      </c>
      <c r="V137" s="134">
        <f t="shared" si="35"/>
        <v>2</v>
      </c>
      <c r="W137" s="134">
        <f t="shared" si="35"/>
        <v>2</v>
      </c>
      <c r="X137" s="134">
        <f t="shared" si="35"/>
        <v>2</v>
      </c>
      <c r="Y137" s="134">
        <f t="shared" si="35"/>
        <v>2</v>
      </c>
      <c r="Z137" s="134">
        <f t="shared" si="35"/>
        <v>2</v>
      </c>
      <c r="AA137" s="134">
        <f t="shared" si="35"/>
        <v>2</v>
      </c>
      <c r="AB137" s="134">
        <f t="shared" si="35"/>
        <v>2</v>
      </c>
      <c r="AC137" s="134">
        <f t="shared" si="35"/>
        <v>2</v>
      </c>
      <c r="AD137" s="134">
        <f t="shared" si="35"/>
        <v>2</v>
      </c>
      <c r="AE137" s="134">
        <f t="shared" si="35"/>
        <v>2</v>
      </c>
      <c r="AF137" s="134">
        <f t="shared" si="35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4"/>
        <v>5.61</v>
      </c>
      <c r="D138" s="134">
        <f t="shared" si="34"/>
        <v>5.61</v>
      </c>
      <c r="E138" s="134">
        <f t="shared" si="34"/>
        <v>5.61</v>
      </c>
      <c r="F138" s="134">
        <f t="shared" si="34"/>
        <v>5.61</v>
      </c>
      <c r="G138" s="134">
        <f t="shared" si="34"/>
        <v>5.61</v>
      </c>
      <c r="H138" s="134">
        <f t="shared" si="34"/>
        <v>5.61</v>
      </c>
      <c r="I138" s="134">
        <f t="shared" si="34"/>
        <v>5.61</v>
      </c>
      <c r="J138" s="134">
        <f t="shared" si="34"/>
        <v>5.61</v>
      </c>
      <c r="K138" s="134">
        <f t="shared" si="34"/>
        <v>5.61</v>
      </c>
      <c r="L138" s="134">
        <f t="shared" si="34"/>
        <v>5.61</v>
      </c>
      <c r="M138" s="134">
        <f t="shared" si="34"/>
        <v>5.61</v>
      </c>
      <c r="N138" s="134">
        <f t="shared" si="34"/>
        <v>5.61</v>
      </c>
      <c r="O138" s="134">
        <f t="shared" si="34"/>
        <v>5.61</v>
      </c>
      <c r="P138" s="134">
        <f t="shared" si="34"/>
        <v>5.61</v>
      </c>
      <c r="Q138" s="134">
        <f t="shared" si="34"/>
        <v>5.61</v>
      </c>
      <c r="R138" s="134">
        <f t="shared" si="34"/>
        <v>5.61</v>
      </c>
      <c r="S138" s="134">
        <f t="shared" si="35"/>
        <v>5.61</v>
      </c>
      <c r="T138" s="134">
        <f t="shared" si="35"/>
        <v>5.61</v>
      </c>
      <c r="U138" s="134">
        <f t="shared" si="35"/>
        <v>5.61</v>
      </c>
      <c r="V138" s="134">
        <f t="shared" si="35"/>
        <v>5.61</v>
      </c>
      <c r="W138" s="134">
        <f t="shared" si="35"/>
        <v>5.61</v>
      </c>
      <c r="X138" s="134">
        <f t="shared" si="35"/>
        <v>5.61</v>
      </c>
      <c r="Y138" s="134">
        <f t="shared" si="35"/>
        <v>5.61</v>
      </c>
      <c r="Z138" s="134">
        <f t="shared" si="35"/>
        <v>5.61</v>
      </c>
      <c r="AA138" s="134">
        <f t="shared" si="35"/>
        <v>5.61</v>
      </c>
      <c r="AB138" s="134">
        <f t="shared" si="35"/>
        <v>5.61</v>
      </c>
      <c r="AC138" s="134">
        <f t="shared" si="35"/>
        <v>5.61</v>
      </c>
      <c r="AD138" s="134">
        <f t="shared" si="35"/>
        <v>5.61</v>
      </c>
      <c r="AE138" s="134">
        <f t="shared" si="35"/>
        <v>5.61</v>
      </c>
      <c r="AF138" s="134">
        <f t="shared" si="35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4"/>
        <v>1.25</v>
      </c>
      <c r="D139" s="134">
        <f t="shared" si="34"/>
        <v>1.25</v>
      </c>
      <c r="E139" s="134">
        <f t="shared" si="34"/>
        <v>1.25</v>
      </c>
      <c r="F139" s="134">
        <f t="shared" si="34"/>
        <v>1.25</v>
      </c>
      <c r="G139" s="134">
        <f t="shared" si="34"/>
        <v>1.25</v>
      </c>
      <c r="H139" s="134">
        <f t="shared" si="34"/>
        <v>1.25</v>
      </c>
      <c r="I139" s="134">
        <f t="shared" si="34"/>
        <v>1.25</v>
      </c>
      <c r="J139" s="134">
        <f t="shared" si="34"/>
        <v>1.25</v>
      </c>
      <c r="K139" s="134">
        <f t="shared" si="34"/>
        <v>1.25</v>
      </c>
      <c r="L139" s="134">
        <f t="shared" si="34"/>
        <v>1.25</v>
      </c>
      <c r="M139" s="134">
        <f t="shared" si="34"/>
        <v>1.25</v>
      </c>
      <c r="N139" s="134">
        <f t="shared" si="34"/>
        <v>1.25</v>
      </c>
      <c r="O139" s="134">
        <f t="shared" si="34"/>
        <v>1.25</v>
      </c>
      <c r="P139" s="134">
        <f t="shared" si="34"/>
        <v>1.25</v>
      </c>
      <c r="Q139" s="134">
        <f t="shared" si="34"/>
        <v>1.25</v>
      </c>
      <c r="R139" s="134">
        <f t="shared" si="34"/>
        <v>1.25</v>
      </c>
      <c r="S139" s="134">
        <f t="shared" si="35"/>
        <v>1.25</v>
      </c>
      <c r="T139" s="134">
        <f t="shared" si="35"/>
        <v>1.25</v>
      </c>
      <c r="U139" s="134">
        <f t="shared" si="35"/>
        <v>1.25</v>
      </c>
      <c r="V139" s="134">
        <f t="shared" si="35"/>
        <v>1.25</v>
      </c>
      <c r="W139" s="134">
        <f t="shared" si="35"/>
        <v>1.25</v>
      </c>
      <c r="X139" s="134">
        <f t="shared" si="35"/>
        <v>1.25</v>
      </c>
      <c r="Y139" s="134">
        <f t="shared" si="35"/>
        <v>1.25</v>
      </c>
      <c r="Z139" s="134">
        <f t="shared" si="35"/>
        <v>1.25</v>
      </c>
      <c r="AA139" s="134">
        <f t="shared" si="35"/>
        <v>1.25</v>
      </c>
      <c r="AB139" s="134">
        <f t="shared" si="35"/>
        <v>1.25</v>
      </c>
      <c r="AC139" s="134">
        <f t="shared" si="35"/>
        <v>1.25</v>
      </c>
      <c r="AD139" s="134">
        <f t="shared" si="35"/>
        <v>1.25</v>
      </c>
      <c r="AE139" s="134">
        <f t="shared" si="35"/>
        <v>1.25</v>
      </c>
      <c r="AF139" s="134">
        <f t="shared" si="35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4"/>
        <v>1.25</v>
      </c>
      <c r="D140" s="134">
        <f t="shared" si="34"/>
        <v>1.25</v>
      </c>
      <c r="E140" s="134">
        <f t="shared" si="34"/>
        <v>1.25</v>
      </c>
      <c r="F140" s="134">
        <f t="shared" si="34"/>
        <v>1.25</v>
      </c>
      <c r="G140" s="134">
        <f t="shared" si="34"/>
        <v>1.25</v>
      </c>
      <c r="H140" s="134">
        <f t="shared" si="34"/>
        <v>1.25</v>
      </c>
      <c r="I140" s="134">
        <f t="shared" si="34"/>
        <v>1.25</v>
      </c>
      <c r="J140" s="134">
        <f t="shared" si="34"/>
        <v>1.25</v>
      </c>
      <c r="K140" s="134">
        <f t="shared" si="34"/>
        <v>1.25</v>
      </c>
      <c r="L140" s="134">
        <f t="shared" si="34"/>
        <v>1.25</v>
      </c>
      <c r="M140" s="134">
        <f t="shared" si="34"/>
        <v>1.25</v>
      </c>
      <c r="N140" s="134">
        <f t="shared" si="34"/>
        <v>1.25</v>
      </c>
      <c r="O140" s="134">
        <f t="shared" si="34"/>
        <v>1.25</v>
      </c>
      <c r="P140" s="134">
        <f t="shared" si="34"/>
        <v>1.25</v>
      </c>
      <c r="Q140" s="134">
        <f t="shared" si="34"/>
        <v>1.25</v>
      </c>
      <c r="R140" s="134">
        <f t="shared" si="34"/>
        <v>1.25</v>
      </c>
      <c r="S140" s="134">
        <f t="shared" si="35"/>
        <v>1.25</v>
      </c>
      <c r="T140" s="134">
        <f t="shared" si="35"/>
        <v>1.25</v>
      </c>
      <c r="U140" s="134">
        <f t="shared" si="35"/>
        <v>1.25</v>
      </c>
      <c r="V140" s="134">
        <f t="shared" si="35"/>
        <v>1.25</v>
      </c>
      <c r="W140" s="134">
        <f t="shared" si="35"/>
        <v>1.25</v>
      </c>
      <c r="X140" s="134">
        <f t="shared" si="35"/>
        <v>1.25</v>
      </c>
      <c r="Y140" s="134">
        <f t="shared" si="35"/>
        <v>1.25</v>
      </c>
      <c r="Z140" s="134">
        <f t="shared" si="35"/>
        <v>1.25</v>
      </c>
      <c r="AA140" s="134">
        <f t="shared" si="35"/>
        <v>1.25</v>
      </c>
      <c r="AB140" s="134">
        <f t="shared" si="35"/>
        <v>1.25</v>
      </c>
      <c r="AC140" s="134">
        <f t="shared" si="35"/>
        <v>1.25</v>
      </c>
      <c r="AD140" s="134">
        <f t="shared" si="35"/>
        <v>1.25</v>
      </c>
      <c r="AE140" s="134">
        <f t="shared" si="35"/>
        <v>1.25</v>
      </c>
      <c r="AF140" s="134">
        <f t="shared" si="35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4"/>
        <v>1.46</v>
      </c>
      <c r="D141" s="134">
        <f t="shared" si="34"/>
        <v>1.46</v>
      </c>
      <c r="E141" s="134">
        <f t="shared" si="34"/>
        <v>1.46</v>
      </c>
      <c r="F141" s="134">
        <f t="shared" si="34"/>
        <v>1.46</v>
      </c>
      <c r="G141" s="134">
        <f t="shared" si="34"/>
        <v>1.46</v>
      </c>
      <c r="H141" s="134">
        <f t="shared" si="34"/>
        <v>1.46</v>
      </c>
      <c r="I141" s="134">
        <f t="shared" si="34"/>
        <v>1.46</v>
      </c>
      <c r="J141" s="134">
        <f t="shared" si="34"/>
        <v>1.46</v>
      </c>
      <c r="K141" s="134">
        <f t="shared" si="34"/>
        <v>1.46</v>
      </c>
      <c r="L141" s="134">
        <f t="shared" si="34"/>
        <v>1.46</v>
      </c>
      <c r="M141" s="134">
        <f t="shared" si="34"/>
        <v>1.46</v>
      </c>
      <c r="N141" s="134">
        <f t="shared" si="34"/>
        <v>1.46</v>
      </c>
      <c r="O141" s="134">
        <f t="shared" si="34"/>
        <v>1.46</v>
      </c>
      <c r="P141" s="134">
        <f t="shared" si="34"/>
        <v>1.46</v>
      </c>
      <c r="Q141" s="134">
        <f t="shared" si="34"/>
        <v>1.46</v>
      </c>
      <c r="R141" s="134">
        <f t="shared" si="34"/>
        <v>1.46</v>
      </c>
      <c r="S141" s="134">
        <f t="shared" si="35"/>
        <v>1.46</v>
      </c>
      <c r="T141" s="134">
        <f t="shared" si="35"/>
        <v>1.46</v>
      </c>
      <c r="U141" s="134">
        <f t="shared" si="35"/>
        <v>1.46</v>
      </c>
      <c r="V141" s="134">
        <f t="shared" si="35"/>
        <v>1.46</v>
      </c>
      <c r="W141" s="134">
        <f t="shared" si="35"/>
        <v>1.46</v>
      </c>
      <c r="X141" s="134">
        <f t="shared" si="35"/>
        <v>1.46</v>
      </c>
      <c r="Y141" s="134">
        <f t="shared" si="35"/>
        <v>1.46</v>
      </c>
      <c r="Z141" s="134">
        <f t="shared" si="35"/>
        <v>1.46</v>
      </c>
      <c r="AA141" s="134">
        <f t="shared" si="35"/>
        <v>1.46</v>
      </c>
      <c r="AB141" s="134">
        <f t="shared" si="35"/>
        <v>1.46</v>
      </c>
      <c r="AC141" s="134">
        <f t="shared" si="35"/>
        <v>1.46</v>
      </c>
      <c r="AD141" s="134">
        <f t="shared" si="35"/>
        <v>1.46</v>
      </c>
      <c r="AE141" s="134">
        <f t="shared" si="35"/>
        <v>1.46</v>
      </c>
      <c r="AF141" s="134">
        <f t="shared" si="35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4"/>
        <v>3</v>
      </c>
      <c r="D142" s="134">
        <f t="shared" si="34"/>
        <v>3</v>
      </c>
      <c r="E142" s="134">
        <f t="shared" si="34"/>
        <v>3</v>
      </c>
      <c r="F142" s="134">
        <f t="shared" si="34"/>
        <v>3</v>
      </c>
      <c r="G142" s="134">
        <f t="shared" si="34"/>
        <v>3</v>
      </c>
      <c r="H142" s="134">
        <f t="shared" si="34"/>
        <v>3</v>
      </c>
      <c r="I142" s="134">
        <f t="shared" si="34"/>
        <v>3</v>
      </c>
      <c r="J142" s="134">
        <f t="shared" si="34"/>
        <v>3</v>
      </c>
      <c r="K142" s="134">
        <f t="shared" si="34"/>
        <v>3</v>
      </c>
      <c r="L142" s="134">
        <f t="shared" si="34"/>
        <v>3</v>
      </c>
      <c r="M142" s="134">
        <f t="shared" si="34"/>
        <v>3</v>
      </c>
      <c r="N142" s="134">
        <f t="shared" si="34"/>
        <v>3</v>
      </c>
      <c r="O142" s="134">
        <f t="shared" si="34"/>
        <v>3</v>
      </c>
      <c r="P142" s="134">
        <f t="shared" si="34"/>
        <v>3</v>
      </c>
      <c r="Q142" s="134">
        <f t="shared" si="34"/>
        <v>3</v>
      </c>
      <c r="R142" s="134">
        <f t="shared" si="34"/>
        <v>3</v>
      </c>
      <c r="S142" s="134">
        <f t="shared" si="35"/>
        <v>3</v>
      </c>
      <c r="T142" s="134">
        <f t="shared" si="35"/>
        <v>3</v>
      </c>
      <c r="U142" s="134">
        <f t="shared" si="35"/>
        <v>3</v>
      </c>
      <c r="V142" s="134">
        <f t="shared" si="35"/>
        <v>3</v>
      </c>
      <c r="W142" s="134">
        <f t="shared" si="35"/>
        <v>3</v>
      </c>
      <c r="X142" s="134">
        <f t="shared" si="35"/>
        <v>3</v>
      </c>
      <c r="Y142" s="134">
        <f t="shared" si="35"/>
        <v>3</v>
      </c>
      <c r="Z142" s="134">
        <f t="shared" si="35"/>
        <v>3</v>
      </c>
      <c r="AA142" s="134">
        <f t="shared" si="35"/>
        <v>3</v>
      </c>
      <c r="AB142" s="134">
        <f t="shared" si="35"/>
        <v>3</v>
      </c>
      <c r="AC142" s="134">
        <f t="shared" si="35"/>
        <v>3</v>
      </c>
      <c r="AD142" s="134">
        <f t="shared" si="35"/>
        <v>3</v>
      </c>
      <c r="AE142" s="134">
        <f t="shared" si="35"/>
        <v>3</v>
      </c>
      <c r="AF142" s="134">
        <f t="shared" si="35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4"/>
        <v>3.3</v>
      </c>
      <c r="D143" s="134">
        <f t="shared" si="34"/>
        <v>3.3</v>
      </c>
      <c r="E143" s="134">
        <f t="shared" si="34"/>
        <v>3.3</v>
      </c>
      <c r="F143" s="134">
        <f t="shared" si="34"/>
        <v>3.3</v>
      </c>
      <c r="G143" s="134">
        <f t="shared" si="34"/>
        <v>3.3</v>
      </c>
      <c r="H143" s="134">
        <f t="shared" si="34"/>
        <v>3.3</v>
      </c>
      <c r="I143" s="134">
        <f t="shared" si="34"/>
        <v>3.3</v>
      </c>
      <c r="J143" s="134">
        <f t="shared" si="34"/>
        <v>3.3</v>
      </c>
      <c r="K143" s="134">
        <f t="shared" si="34"/>
        <v>3.3</v>
      </c>
      <c r="L143" s="134">
        <f t="shared" si="34"/>
        <v>3.3</v>
      </c>
      <c r="M143" s="134">
        <f t="shared" si="34"/>
        <v>3.3</v>
      </c>
      <c r="N143" s="134">
        <f t="shared" si="34"/>
        <v>3.3</v>
      </c>
      <c r="O143" s="134">
        <f t="shared" si="34"/>
        <v>3.3</v>
      </c>
      <c r="P143" s="134">
        <f t="shared" si="34"/>
        <v>3.3</v>
      </c>
      <c r="Q143" s="134">
        <f t="shared" si="34"/>
        <v>3.3</v>
      </c>
      <c r="R143" s="134">
        <f t="shared" si="34"/>
        <v>3.3</v>
      </c>
      <c r="S143" s="134">
        <f t="shared" si="35"/>
        <v>3.3</v>
      </c>
      <c r="T143" s="134">
        <f t="shared" si="35"/>
        <v>3.3</v>
      </c>
      <c r="U143" s="134">
        <f t="shared" si="35"/>
        <v>3.3</v>
      </c>
      <c r="V143" s="134">
        <f t="shared" si="35"/>
        <v>3.3</v>
      </c>
      <c r="W143" s="134">
        <f t="shared" si="35"/>
        <v>3.3</v>
      </c>
      <c r="X143" s="134">
        <f t="shared" si="35"/>
        <v>3.3</v>
      </c>
      <c r="Y143" s="134">
        <f t="shared" si="35"/>
        <v>3.3</v>
      </c>
      <c r="Z143" s="134">
        <f t="shared" si="35"/>
        <v>3.3</v>
      </c>
      <c r="AA143" s="134">
        <f t="shared" si="35"/>
        <v>3.3</v>
      </c>
      <c r="AB143" s="134">
        <f t="shared" si="35"/>
        <v>3.3</v>
      </c>
      <c r="AC143" s="134">
        <f t="shared" si="35"/>
        <v>3.3</v>
      </c>
      <c r="AD143" s="134">
        <f t="shared" si="35"/>
        <v>3.3</v>
      </c>
      <c r="AE143" s="134">
        <f t="shared" si="35"/>
        <v>3.3</v>
      </c>
      <c r="AF143" s="134">
        <f t="shared" si="35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6">B145</f>
        <v>1.76</v>
      </c>
      <c r="D145" s="134">
        <f t="shared" si="36"/>
        <v>1.76</v>
      </c>
      <c r="E145" s="134">
        <f t="shared" si="36"/>
        <v>1.76</v>
      </c>
      <c r="F145" s="134">
        <f t="shared" si="36"/>
        <v>1.76</v>
      </c>
      <c r="G145" s="134">
        <f t="shared" si="36"/>
        <v>1.76</v>
      </c>
      <c r="H145" s="134">
        <f t="shared" si="36"/>
        <v>1.76</v>
      </c>
      <c r="I145" s="134">
        <f t="shared" si="36"/>
        <v>1.76</v>
      </c>
      <c r="J145" s="134">
        <f t="shared" si="36"/>
        <v>1.76</v>
      </c>
      <c r="K145" s="134">
        <f t="shared" si="36"/>
        <v>1.76</v>
      </c>
      <c r="L145" s="134">
        <f t="shared" si="36"/>
        <v>1.76</v>
      </c>
      <c r="M145" s="134">
        <f t="shared" si="36"/>
        <v>1.76</v>
      </c>
      <c r="N145" s="134">
        <f t="shared" si="36"/>
        <v>1.76</v>
      </c>
      <c r="O145" s="134">
        <f t="shared" si="36"/>
        <v>1.76</v>
      </c>
      <c r="P145" s="134">
        <f t="shared" si="36"/>
        <v>1.76</v>
      </c>
      <c r="Q145" s="134">
        <f t="shared" si="36"/>
        <v>1.76</v>
      </c>
      <c r="R145" s="134">
        <f t="shared" si="36"/>
        <v>1.76</v>
      </c>
      <c r="S145" s="134">
        <f t="shared" ref="S145:AF146" si="37">R145</f>
        <v>1.76</v>
      </c>
      <c r="T145" s="134">
        <f t="shared" si="37"/>
        <v>1.76</v>
      </c>
      <c r="U145" s="134">
        <f t="shared" si="37"/>
        <v>1.76</v>
      </c>
      <c r="V145" s="134">
        <f t="shared" si="37"/>
        <v>1.76</v>
      </c>
      <c r="W145" s="134">
        <f t="shared" si="37"/>
        <v>1.76</v>
      </c>
      <c r="X145" s="134">
        <f t="shared" si="37"/>
        <v>1.76</v>
      </c>
      <c r="Y145" s="134">
        <f t="shared" si="37"/>
        <v>1.76</v>
      </c>
      <c r="Z145" s="134">
        <f t="shared" si="37"/>
        <v>1.76</v>
      </c>
      <c r="AA145" s="134">
        <f t="shared" si="37"/>
        <v>1.76</v>
      </c>
      <c r="AB145" s="134">
        <f t="shared" si="37"/>
        <v>1.76</v>
      </c>
      <c r="AC145" s="134">
        <f t="shared" si="37"/>
        <v>1.76</v>
      </c>
      <c r="AD145" s="134">
        <f t="shared" si="37"/>
        <v>1.76</v>
      </c>
      <c r="AE145" s="134">
        <f t="shared" si="37"/>
        <v>1.76</v>
      </c>
      <c r="AF145" s="134">
        <f t="shared" si="37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6"/>
        <v>0</v>
      </c>
      <c r="D146" s="134">
        <f t="shared" si="36"/>
        <v>0</v>
      </c>
      <c r="E146" s="134">
        <f t="shared" si="36"/>
        <v>0</v>
      </c>
      <c r="F146" s="134">
        <f t="shared" si="36"/>
        <v>0</v>
      </c>
      <c r="G146" s="134">
        <f t="shared" si="36"/>
        <v>0</v>
      </c>
      <c r="H146" s="134">
        <f t="shared" si="36"/>
        <v>0</v>
      </c>
      <c r="I146" s="134">
        <f t="shared" si="36"/>
        <v>0</v>
      </c>
      <c r="J146" s="134">
        <f t="shared" si="36"/>
        <v>0</v>
      </c>
      <c r="K146" s="134">
        <f t="shared" si="36"/>
        <v>0</v>
      </c>
      <c r="L146" s="134">
        <f t="shared" si="36"/>
        <v>0</v>
      </c>
      <c r="M146" s="134">
        <f t="shared" si="36"/>
        <v>0</v>
      </c>
      <c r="N146" s="134">
        <f t="shared" si="36"/>
        <v>0</v>
      </c>
      <c r="O146" s="134">
        <f t="shared" si="36"/>
        <v>0</v>
      </c>
      <c r="P146" s="134">
        <f t="shared" si="36"/>
        <v>0</v>
      </c>
      <c r="Q146" s="134">
        <f t="shared" si="36"/>
        <v>0</v>
      </c>
      <c r="R146" s="134">
        <f t="shared" si="36"/>
        <v>0</v>
      </c>
      <c r="S146" s="134">
        <f t="shared" si="37"/>
        <v>0</v>
      </c>
      <c r="T146" s="134">
        <f t="shared" si="37"/>
        <v>0</v>
      </c>
      <c r="U146" s="134">
        <f t="shared" si="37"/>
        <v>0</v>
      </c>
      <c r="V146" s="134">
        <f t="shared" si="37"/>
        <v>0</v>
      </c>
      <c r="W146" s="134">
        <f t="shared" si="37"/>
        <v>0</v>
      </c>
      <c r="X146" s="134">
        <f t="shared" si="37"/>
        <v>0</v>
      </c>
      <c r="Y146" s="134">
        <f t="shared" si="37"/>
        <v>0</v>
      </c>
      <c r="Z146" s="134">
        <f t="shared" si="37"/>
        <v>0</v>
      </c>
      <c r="AA146" s="134">
        <f t="shared" si="37"/>
        <v>0</v>
      </c>
      <c r="AB146" s="134">
        <f t="shared" si="37"/>
        <v>0</v>
      </c>
      <c r="AC146" s="134">
        <f t="shared" si="37"/>
        <v>0</v>
      </c>
      <c r="AD146" s="134">
        <f t="shared" si="37"/>
        <v>0</v>
      </c>
      <c r="AE146" s="134">
        <f t="shared" si="37"/>
        <v>0</v>
      </c>
      <c r="AF146" s="134">
        <f t="shared" si="37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8">B148</f>
        <v>0.1</v>
      </c>
      <c r="D148" s="134">
        <f t="shared" si="38"/>
        <v>0.1</v>
      </c>
      <c r="E148" s="134">
        <f t="shared" si="38"/>
        <v>0.1</v>
      </c>
      <c r="F148" s="134">
        <f t="shared" si="38"/>
        <v>0.1</v>
      </c>
      <c r="G148" s="134">
        <f t="shared" si="38"/>
        <v>0.1</v>
      </c>
      <c r="H148" s="134">
        <f t="shared" si="38"/>
        <v>0.1</v>
      </c>
      <c r="I148" s="134">
        <f t="shared" si="38"/>
        <v>0.1</v>
      </c>
      <c r="J148" s="134">
        <f t="shared" si="38"/>
        <v>0.1</v>
      </c>
      <c r="K148" s="134">
        <f t="shared" si="38"/>
        <v>0.1</v>
      </c>
      <c r="L148" s="134">
        <f t="shared" si="38"/>
        <v>0.1</v>
      </c>
      <c r="M148" s="134">
        <f t="shared" si="38"/>
        <v>0.1</v>
      </c>
      <c r="N148" s="134">
        <f t="shared" si="38"/>
        <v>0.1</v>
      </c>
      <c r="O148" s="134">
        <f t="shared" si="38"/>
        <v>0.1</v>
      </c>
      <c r="P148" s="134">
        <f t="shared" si="38"/>
        <v>0.1</v>
      </c>
      <c r="Q148" s="134">
        <f t="shared" si="38"/>
        <v>0.1</v>
      </c>
      <c r="R148" s="134">
        <f t="shared" si="38"/>
        <v>0.1</v>
      </c>
      <c r="S148" s="134">
        <f t="shared" ref="S148:AF151" si="39">R148</f>
        <v>0.1</v>
      </c>
      <c r="T148" s="134">
        <f t="shared" si="39"/>
        <v>0.1</v>
      </c>
      <c r="U148" s="134">
        <f t="shared" si="39"/>
        <v>0.1</v>
      </c>
      <c r="V148" s="134">
        <f t="shared" si="39"/>
        <v>0.1</v>
      </c>
      <c r="W148" s="134">
        <f t="shared" si="39"/>
        <v>0.1</v>
      </c>
      <c r="X148" s="134">
        <f t="shared" si="39"/>
        <v>0.1</v>
      </c>
      <c r="Y148" s="134">
        <f t="shared" si="39"/>
        <v>0.1</v>
      </c>
      <c r="Z148" s="134">
        <f t="shared" si="39"/>
        <v>0.1</v>
      </c>
      <c r="AA148" s="134">
        <f t="shared" si="39"/>
        <v>0.1</v>
      </c>
      <c r="AB148" s="134">
        <f t="shared" si="39"/>
        <v>0.1</v>
      </c>
      <c r="AC148" s="134">
        <f t="shared" si="39"/>
        <v>0.1</v>
      </c>
      <c r="AD148" s="134">
        <f t="shared" si="39"/>
        <v>0.1</v>
      </c>
      <c r="AE148" s="134">
        <f t="shared" si="39"/>
        <v>0.1</v>
      </c>
      <c r="AF148" s="134">
        <f t="shared" si="39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8"/>
        <v>2.0499999999999998</v>
      </c>
      <c r="D149" s="134">
        <f t="shared" si="38"/>
        <v>2.0499999999999998</v>
      </c>
      <c r="E149" s="134">
        <f t="shared" si="38"/>
        <v>2.0499999999999998</v>
      </c>
      <c r="F149" s="134">
        <f t="shared" si="38"/>
        <v>2.0499999999999998</v>
      </c>
      <c r="G149" s="134">
        <f t="shared" si="38"/>
        <v>2.0499999999999998</v>
      </c>
      <c r="H149" s="134">
        <f t="shared" si="38"/>
        <v>2.0499999999999998</v>
      </c>
      <c r="I149" s="134">
        <f t="shared" si="38"/>
        <v>2.0499999999999998</v>
      </c>
      <c r="J149" s="134">
        <f t="shared" si="38"/>
        <v>2.0499999999999998</v>
      </c>
      <c r="K149" s="134">
        <f t="shared" si="38"/>
        <v>2.0499999999999998</v>
      </c>
      <c r="L149" s="134">
        <f t="shared" si="38"/>
        <v>2.0499999999999998</v>
      </c>
      <c r="M149" s="134">
        <f t="shared" si="38"/>
        <v>2.0499999999999998</v>
      </c>
      <c r="N149" s="134">
        <f t="shared" si="38"/>
        <v>2.0499999999999998</v>
      </c>
      <c r="O149" s="134">
        <f t="shared" si="38"/>
        <v>2.0499999999999998</v>
      </c>
      <c r="P149" s="134">
        <f t="shared" si="38"/>
        <v>2.0499999999999998</v>
      </c>
      <c r="Q149" s="134">
        <f t="shared" si="38"/>
        <v>2.0499999999999998</v>
      </c>
      <c r="R149" s="134">
        <f t="shared" si="38"/>
        <v>2.0499999999999998</v>
      </c>
      <c r="S149" s="134">
        <f t="shared" si="39"/>
        <v>2.0499999999999998</v>
      </c>
      <c r="T149" s="134">
        <f t="shared" si="39"/>
        <v>2.0499999999999998</v>
      </c>
      <c r="U149" s="134">
        <f t="shared" si="39"/>
        <v>2.0499999999999998</v>
      </c>
      <c r="V149" s="134">
        <f t="shared" si="39"/>
        <v>2.0499999999999998</v>
      </c>
      <c r="W149" s="134">
        <f t="shared" si="39"/>
        <v>2.0499999999999998</v>
      </c>
      <c r="X149" s="134">
        <f t="shared" si="39"/>
        <v>2.0499999999999998</v>
      </c>
      <c r="Y149" s="134">
        <f t="shared" si="39"/>
        <v>2.0499999999999998</v>
      </c>
      <c r="Z149" s="134">
        <f t="shared" si="39"/>
        <v>2.0499999999999998</v>
      </c>
      <c r="AA149" s="134">
        <f t="shared" si="39"/>
        <v>2.0499999999999998</v>
      </c>
      <c r="AB149" s="134">
        <f t="shared" si="39"/>
        <v>2.0499999999999998</v>
      </c>
      <c r="AC149" s="134">
        <f t="shared" si="39"/>
        <v>2.0499999999999998</v>
      </c>
      <c r="AD149" s="134">
        <f t="shared" si="39"/>
        <v>2.0499999999999998</v>
      </c>
      <c r="AE149" s="134">
        <f t="shared" si="39"/>
        <v>2.0499999999999998</v>
      </c>
      <c r="AF149" s="134">
        <f t="shared" si="39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8"/>
        <v>2.7</v>
      </c>
      <c r="D150" s="134">
        <f t="shared" si="38"/>
        <v>2.7</v>
      </c>
      <c r="E150" s="134">
        <f t="shared" si="38"/>
        <v>2.7</v>
      </c>
      <c r="F150" s="134">
        <f t="shared" si="38"/>
        <v>2.7</v>
      </c>
      <c r="G150" s="134">
        <f t="shared" si="38"/>
        <v>2.7</v>
      </c>
      <c r="H150" s="134">
        <f t="shared" si="38"/>
        <v>2.7</v>
      </c>
      <c r="I150" s="134">
        <f t="shared" si="38"/>
        <v>2.7</v>
      </c>
      <c r="J150" s="134">
        <f t="shared" si="38"/>
        <v>2.7</v>
      </c>
      <c r="K150" s="134">
        <f t="shared" si="38"/>
        <v>2.7</v>
      </c>
      <c r="L150" s="134">
        <f t="shared" si="38"/>
        <v>2.7</v>
      </c>
      <c r="M150" s="134">
        <f t="shared" si="38"/>
        <v>2.7</v>
      </c>
      <c r="N150" s="134">
        <f t="shared" si="38"/>
        <v>2.7</v>
      </c>
      <c r="O150" s="134">
        <f t="shared" si="38"/>
        <v>2.7</v>
      </c>
      <c r="P150" s="134">
        <f t="shared" si="38"/>
        <v>2.7</v>
      </c>
      <c r="Q150" s="134">
        <f t="shared" si="38"/>
        <v>2.7</v>
      </c>
      <c r="R150" s="134">
        <f t="shared" si="38"/>
        <v>2.7</v>
      </c>
      <c r="S150" s="134">
        <f t="shared" si="39"/>
        <v>2.7</v>
      </c>
      <c r="T150" s="134">
        <f t="shared" si="39"/>
        <v>2.7</v>
      </c>
      <c r="U150" s="134">
        <f t="shared" si="39"/>
        <v>2.7</v>
      </c>
      <c r="V150" s="134">
        <f t="shared" si="39"/>
        <v>2.7</v>
      </c>
      <c r="W150" s="134">
        <f t="shared" si="39"/>
        <v>2.7</v>
      </c>
      <c r="X150" s="134">
        <f t="shared" si="39"/>
        <v>2.7</v>
      </c>
      <c r="Y150" s="134">
        <f t="shared" si="39"/>
        <v>2.7</v>
      </c>
      <c r="Z150" s="134">
        <f t="shared" si="39"/>
        <v>2.7</v>
      </c>
      <c r="AA150" s="134">
        <f t="shared" si="39"/>
        <v>2.7</v>
      </c>
      <c r="AB150" s="134">
        <f t="shared" si="39"/>
        <v>2.7</v>
      </c>
      <c r="AC150" s="134">
        <f t="shared" si="39"/>
        <v>2.7</v>
      </c>
      <c r="AD150" s="134">
        <f t="shared" si="39"/>
        <v>2.7</v>
      </c>
      <c r="AE150" s="134">
        <f t="shared" si="39"/>
        <v>2.7</v>
      </c>
      <c r="AF150" s="134">
        <f t="shared" si="39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8"/>
        <v>2.15</v>
      </c>
      <c r="D151" s="134">
        <f t="shared" si="38"/>
        <v>2.15</v>
      </c>
      <c r="E151" s="134">
        <f t="shared" si="38"/>
        <v>2.15</v>
      </c>
      <c r="F151" s="134">
        <f t="shared" si="38"/>
        <v>2.15</v>
      </c>
      <c r="G151" s="134">
        <f t="shared" si="38"/>
        <v>2.15</v>
      </c>
      <c r="H151" s="134">
        <f t="shared" si="38"/>
        <v>2.15</v>
      </c>
      <c r="I151" s="134">
        <f t="shared" si="38"/>
        <v>2.15</v>
      </c>
      <c r="J151" s="134">
        <f t="shared" si="38"/>
        <v>2.15</v>
      </c>
      <c r="K151" s="134">
        <f t="shared" si="38"/>
        <v>2.15</v>
      </c>
      <c r="L151" s="134">
        <f t="shared" si="38"/>
        <v>2.15</v>
      </c>
      <c r="M151" s="134">
        <f t="shared" si="38"/>
        <v>2.15</v>
      </c>
      <c r="N151" s="134">
        <f t="shared" si="38"/>
        <v>2.15</v>
      </c>
      <c r="O151" s="134">
        <f t="shared" si="38"/>
        <v>2.15</v>
      </c>
      <c r="P151" s="134">
        <f t="shared" si="38"/>
        <v>2.15</v>
      </c>
      <c r="Q151" s="134">
        <f t="shared" si="38"/>
        <v>2.15</v>
      </c>
      <c r="R151" s="134">
        <f t="shared" si="38"/>
        <v>2.15</v>
      </c>
      <c r="S151" s="134">
        <f t="shared" si="39"/>
        <v>2.15</v>
      </c>
      <c r="T151" s="134">
        <f t="shared" si="39"/>
        <v>2.15</v>
      </c>
      <c r="U151" s="134">
        <f t="shared" si="39"/>
        <v>2.15</v>
      </c>
      <c r="V151" s="134">
        <f t="shared" si="39"/>
        <v>2.15</v>
      </c>
      <c r="W151" s="134">
        <f t="shared" si="39"/>
        <v>2.15</v>
      </c>
      <c r="X151" s="134">
        <f t="shared" si="39"/>
        <v>2.15</v>
      </c>
      <c r="Y151" s="134">
        <f t="shared" si="39"/>
        <v>2.15</v>
      </c>
      <c r="Z151" s="134">
        <f t="shared" si="39"/>
        <v>2.15</v>
      </c>
      <c r="AA151" s="134">
        <f t="shared" si="39"/>
        <v>2.15</v>
      </c>
      <c r="AB151" s="134">
        <f t="shared" si="39"/>
        <v>2.15</v>
      </c>
      <c r="AC151" s="134">
        <f t="shared" si="39"/>
        <v>2.15</v>
      </c>
      <c r="AD151" s="134">
        <f t="shared" si="39"/>
        <v>2.15</v>
      </c>
      <c r="AE151" s="134">
        <f t="shared" si="39"/>
        <v>2.15</v>
      </c>
      <c r="AF151" s="134">
        <f t="shared" si="39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0">B153</f>
        <v>0.9</v>
      </c>
      <c r="D153" s="134">
        <f t="shared" si="40"/>
        <v>0.9</v>
      </c>
      <c r="E153" s="134">
        <f t="shared" si="40"/>
        <v>0.9</v>
      </c>
      <c r="F153" s="134">
        <f t="shared" si="40"/>
        <v>0.9</v>
      </c>
      <c r="G153" s="134">
        <f t="shared" si="40"/>
        <v>0.9</v>
      </c>
      <c r="H153" s="134">
        <f t="shared" si="40"/>
        <v>0.9</v>
      </c>
      <c r="I153" s="134">
        <f t="shared" si="40"/>
        <v>0.9</v>
      </c>
      <c r="J153" s="134">
        <f t="shared" si="40"/>
        <v>0.9</v>
      </c>
      <c r="K153" s="134">
        <f t="shared" si="40"/>
        <v>0.9</v>
      </c>
      <c r="L153" s="134">
        <f t="shared" si="40"/>
        <v>0.9</v>
      </c>
      <c r="M153" s="134">
        <f t="shared" si="40"/>
        <v>0.9</v>
      </c>
      <c r="N153" s="134">
        <f t="shared" si="40"/>
        <v>0.9</v>
      </c>
      <c r="O153" s="134">
        <f t="shared" si="40"/>
        <v>0.9</v>
      </c>
      <c r="P153" s="134">
        <f t="shared" si="40"/>
        <v>0.9</v>
      </c>
      <c r="Q153" s="134">
        <f t="shared" si="40"/>
        <v>0.9</v>
      </c>
      <c r="R153" s="134">
        <f t="shared" si="40"/>
        <v>0.9</v>
      </c>
      <c r="S153" s="134">
        <f t="shared" ref="R153:AF165" si="41">R153</f>
        <v>0.9</v>
      </c>
      <c r="T153" s="134">
        <f t="shared" si="41"/>
        <v>0.9</v>
      </c>
      <c r="U153" s="134">
        <f t="shared" si="41"/>
        <v>0.9</v>
      </c>
      <c r="V153" s="134">
        <f t="shared" si="41"/>
        <v>0.9</v>
      </c>
      <c r="W153" s="134">
        <f t="shared" si="41"/>
        <v>0.9</v>
      </c>
      <c r="X153" s="134">
        <f t="shared" si="41"/>
        <v>0.9</v>
      </c>
      <c r="Y153" s="134">
        <f t="shared" si="41"/>
        <v>0.9</v>
      </c>
      <c r="Z153" s="134">
        <f t="shared" si="41"/>
        <v>0.9</v>
      </c>
      <c r="AA153" s="134">
        <f t="shared" si="41"/>
        <v>0.9</v>
      </c>
      <c r="AB153" s="134">
        <f t="shared" si="41"/>
        <v>0.9</v>
      </c>
      <c r="AC153" s="134">
        <f t="shared" si="41"/>
        <v>0.9</v>
      </c>
      <c r="AD153" s="134">
        <f t="shared" si="41"/>
        <v>0.9</v>
      </c>
      <c r="AE153" s="134">
        <f t="shared" si="41"/>
        <v>0.9</v>
      </c>
      <c r="AF153" s="134">
        <f t="shared" si="41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0"/>
        <v>1.08</v>
      </c>
      <c r="D154" s="134">
        <f t="shared" si="40"/>
        <v>1.08</v>
      </c>
      <c r="E154" s="134">
        <f t="shared" si="40"/>
        <v>1.08</v>
      </c>
      <c r="F154" s="134">
        <f t="shared" si="40"/>
        <v>1.08</v>
      </c>
      <c r="G154" s="134">
        <f t="shared" si="40"/>
        <v>1.08</v>
      </c>
      <c r="H154" s="134">
        <f t="shared" si="40"/>
        <v>1.08</v>
      </c>
      <c r="I154" s="134">
        <f t="shared" si="40"/>
        <v>1.08</v>
      </c>
      <c r="J154" s="134">
        <f t="shared" si="40"/>
        <v>1.08</v>
      </c>
      <c r="K154" s="134">
        <f t="shared" si="40"/>
        <v>1.08</v>
      </c>
      <c r="L154" s="134">
        <f t="shared" si="40"/>
        <v>1.08</v>
      </c>
      <c r="M154" s="134">
        <f t="shared" si="40"/>
        <v>1.08</v>
      </c>
      <c r="N154" s="134">
        <f t="shared" si="40"/>
        <v>1.08</v>
      </c>
      <c r="O154" s="134">
        <f t="shared" si="40"/>
        <v>1.08</v>
      </c>
      <c r="P154" s="134">
        <f t="shared" si="40"/>
        <v>1.08</v>
      </c>
      <c r="Q154" s="134">
        <f t="shared" si="40"/>
        <v>1.08</v>
      </c>
      <c r="R154" s="134">
        <f t="shared" si="40"/>
        <v>1.08</v>
      </c>
      <c r="S154" s="134">
        <f t="shared" si="41"/>
        <v>1.08</v>
      </c>
      <c r="T154" s="134">
        <f t="shared" si="41"/>
        <v>1.08</v>
      </c>
      <c r="U154" s="134">
        <f t="shared" si="41"/>
        <v>1.08</v>
      </c>
      <c r="V154" s="134">
        <f t="shared" si="41"/>
        <v>1.08</v>
      </c>
      <c r="W154" s="134">
        <f t="shared" si="41"/>
        <v>1.08</v>
      </c>
      <c r="X154" s="134">
        <f t="shared" si="41"/>
        <v>1.08</v>
      </c>
      <c r="Y154" s="134">
        <f t="shared" si="41"/>
        <v>1.08</v>
      </c>
      <c r="Z154" s="134">
        <f t="shared" si="41"/>
        <v>1.08</v>
      </c>
      <c r="AA154" s="134">
        <f t="shared" si="41"/>
        <v>1.08</v>
      </c>
      <c r="AB154" s="134">
        <f t="shared" si="41"/>
        <v>1.08</v>
      </c>
      <c r="AC154" s="134">
        <f t="shared" si="41"/>
        <v>1.08</v>
      </c>
      <c r="AD154" s="134">
        <f t="shared" si="41"/>
        <v>1.08</v>
      </c>
      <c r="AE154" s="134">
        <f t="shared" si="41"/>
        <v>1.08</v>
      </c>
      <c r="AF154" s="134">
        <f t="shared" si="41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0"/>
        <v>2.37</v>
      </c>
      <c r="D155" s="134">
        <f t="shared" si="40"/>
        <v>2.37</v>
      </c>
      <c r="E155" s="134">
        <f t="shared" si="40"/>
        <v>2.37</v>
      </c>
      <c r="F155" s="134">
        <f t="shared" si="40"/>
        <v>2.37</v>
      </c>
      <c r="G155" s="134">
        <f t="shared" si="40"/>
        <v>2.37</v>
      </c>
      <c r="H155" s="134">
        <f t="shared" si="40"/>
        <v>2.37</v>
      </c>
      <c r="I155" s="134">
        <f t="shared" si="40"/>
        <v>2.37</v>
      </c>
      <c r="J155" s="134">
        <f t="shared" si="40"/>
        <v>2.37</v>
      </c>
      <c r="K155" s="134">
        <f t="shared" si="40"/>
        <v>2.37</v>
      </c>
      <c r="L155" s="134">
        <f t="shared" si="40"/>
        <v>2.37</v>
      </c>
      <c r="M155" s="134">
        <f t="shared" si="40"/>
        <v>2.37</v>
      </c>
      <c r="N155" s="134">
        <f t="shared" si="40"/>
        <v>2.37</v>
      </c>
      <c r="O155" s="134">
        <f t="shared" si="40"/>
        <v>2.37</v>
      </c>
      <c r="P155" s="134">
        <f t="shared" si="40"/>
        <v>2.37</v>
      </c>
      <c r="Q155" s="134">
        <f t="shared" si="40"/>
        <v>2.37</v>
      </c>
      <c r="R155" s="134">
        <f t="shared" si="40"/>
        <v>2.37</v>
      </c>
      <c r="S155" s="134">
        <f t="shared" si="41"/>
        <v>2.37</v>
      </c>
      <c r="T155" s="134">
        <f t="shared" si="41"/>
        <v>2.37</v>
      </c>
      <c r="U155" s="134">
        <f t="shared" si="41"/>
        <v>2.37</v>
      </c>
      <c r="V155" s="134">
        <f t="shared" si="41"/>
        <v>2.37</v>
      </c>
      <c r="W155" s="134">
        <f t="shared" si="41"/>
        <v>2.37</v>
      </c>
      <c r="X155" s="134">
        <f t="shared" si="41"/>
        <v>2.37</v>
      </c>
      <c r="Y155" s="134">
        <f t="shared" si="41"/>
        <v>2.37</v>
      </c>
      <c r="Z155" s="134">
        <f t="shared" si="41"/>
        <v>2.37</v>
      </c>
      <c r="AA155" s="134">
        <f t="shared" si="41"/>
        <v>2.37</v>
      </c>
      <c r="AB155" s="134">
        <f t="shared" si="41"/>
        <v>2.37</v>
      </c>
      <c r="AC155" s="134">
        <f t="shared" si="41"/>
        <v>2.37</v>
      </c>
      <c r="AD155" s="134">
        <f t="shared" si="41"/>
        <v>2.37</v>
      </c>
      <c r="AE155" s="134">
        <f t="shared" si="41"/>
        <v>2.37</v>
      </c>
      <c r="AF155" s="134">
        <f t="shared" si="41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0"/>
        <v>1.81</v>
      </c>
      <c r="D156" s="134">
        <f t="shared" si="40"/>
        <v>1.81</v>
      </c>
      <c r="E156" s="134">
        <f t="shared" si="40"/>
        <v>1.81</v>
      </c>
      <c r="F156" s="134">
        <f t="shared" si="40"/>
        <v>1.81</v>
      </c>
      <c r="G156" s="134">
        <f t="shared" si="40"/>
        <v>1.81</v>
      </c>
      <c r="H156" s="134">
        <f t="shared" si="40"/>
        <v>1.81</v>
      </c>
      <c r="I156" s="134">
        <f t="shared" si="40"/>
        <v>1.81</v>
      </c>
      <c r="J156" s="134">
        <f t="shared" si="40"/>
        <v>1.81</v>
      </c>
      <c r="K156" s="134">
        <f t="shared" si="40"/>
        <v>1.81</v>
      </c>
      <c r="L156" s="134">
        <f t="shared" si="40"/>
        <v>1.81</v>
      </c>
      <c r="M156" s="134">
        <f t="shared" si="40"/>
        <v>1.81</v>
      </c>
      <c r="N156" s="134">
        <f t="shared" si="40"/>
        <v>1.81</v>
      </c>
      <c r="O156" s="134">
        <f t="shared" si="40"/>
        <v>1.81</v>
      </c>
      <c r="P156" s="134">
        <f t="shared" si="40"/>
        <v>1.81</v>
      </c>
      <c r="Q156" s="134">
        <f t="shared" si="40"/>
        <v>1.81</v>
      </c>
      <c r="R156" s="134">
        <f t="shared" si="40"/>
        <v>1.81</v>
      </c>
      <c r="S156" s="134">
        <f t="shared" si="41"/>
        <v>1.81</v>
      </c>
      <c r="T156" s="134">
        <f t="shared" si="41"/>
        <v>1.81</v>
      </c>
      <c r="U156" s="134">
        <f t="shared" si="41"/>
        <v>1.81</v>
      </c>
      <c r="V156" s="134">
        <f t="shared" si="41"/>
        <v>1.81</v>
      </c>
      <c r="W156" s="134">
        <f t="shared" si="41"/>
        <v>1.81</v>
      </c>
      <c r="X156" s="134">
        <f t="shared" si="41"/>
        <v>1.81</v>
      </c>
      <c r="Y156" s="134">
        <f t="shared" si="41"/>
        <v>1.81</v>
      </c>
      <c r="Z156" s="134">
        <f t="shared" si="41"/>
        <v>1.81</v>
      </c>
      <c r="AA156" s="134">
        <f t="shared" si="41"/>
        <v>1.81</v>
      </c>
      <c r="AB156" s="134">
        <f t="shared" si="41"/>
        <v>1.81</v>
      </c>
      <c r="AC156" s="134">
        <f t="shared" si="41"/>
        <v>1.81</v>
      </c>
      <c r="AD156" s="134">
        <f t="shared" si="41"/>
        <v>1.81</v>
      </c>
      <c r="AE156" s="134">
        <f t="shared" si="41"/>
        <v>1.81</v>
      </c>
      <c r="AF156" s="134">
        <f t="shared" si="41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0"/>
        <v>1.0900000000000001</v>
      </c>
      <c r="D157" s="134">
        <f t="shared" si="40"/>
        <v>1.0900000000000001</v>
      </c>
      <c r="E157" s="134">
        <f t="shared" si="40"/>
        <v>1.0900000000000001</v>
      </c>
      <c r="F157" s="134">
        <f t="shared" si="40"/>
        <v>1.0900000000000001</v>
      </c>
      <c r="G157" s="134">
        <f t="shared" si="40"/>
        <v>1.0900000000000001</v>
      </c>
      <c r="H157" s="134">
        <f t="shared" si="40"/>
        <v>1.0900000000000001</v>
      </c>
      <c r="I157" s="134">
        <f t="shared" si="40"/>
        <v>1.0900000000000001</v>
      </c>
      <c r="J157" s="134">
        <f t="shared" si="40"/>
        <v>1.0900000000000001</v>
      </c>
      <c r="K157" s="134">
        <f t="shared" si="40"/>
        <v>1.0900000000000001</v>
      </c>
      <c r="L157" s="134">
        <f t="shared" si="40"/>
        <v>1.0900000000000001</v>
      </c>
      <c r="M157" s="134">
        <f t="shared" si="40"/>
        <v>1.0900000000000001</v>
      </c>
      <c r="N157" s="134">
        <f t="shared" si="40"/>
        <v>1.0900000000000001</v>
      </c>
      <c r="O157" s="134">
        <f t="shared" si="40"/>
        <v>1.0900000000000001</v>
      </c>
      <c r="P157" s="134">
        <f t="shared" si="40"/>
        <v>1.0900000000000001</v>
      </c>
      <c r="Q157" s="134">
        <f t="shared" si="40"/>
        <v>1.0900000000000001</v>
      </c>
      <c r="R157" s="134">
        <f t="shared" si="40"/>
        <v>1.0900000000000001</v>
      </c>
      <c r="S157" s="134">
        <f t="shared" si="41"/>
        <v>1.0900000000000001</v>
      </c>
      <c r="T157" s="134">
        <f t="shared" si="41"/>
        <v>1.0900000000000001</v>
      </c>
      <c r="U157" s="134">
        <f t="shared" si="41"/>
        <v>1.0900000000000001</v>
      </c>
      <c r="V157" s="134">
        <f t="shared" si="41"/>
        <v>1.0900000000000001</v>
      </c>
      <c r="W157" s="134">
        <f t="shared" si="41"/>
        <v>1.0900000000000001</v>
      </c>
      <c r="X157" s="134">
        <f t="shared" si="41"/>
        <v>1.0900000000000001</v>
      </c>
      <c r="Y157" s="134">
        <f t="shared" si="41"/>
        <v>1.0900000000000001</v>
      </c>
      <c r="Z157" s="134">
        <f t="shared" si="41"/>
        <v>1.0900000000000001</v>
      </c>
      <c r="AA157" s="134">
        <f t="shared" si="41"/>
        <v>1.0900000000000001</v>
      </c>
      <c r="AB157" s="134">
        <f t="shared" si="41"/>
        <v>1.0900000000000001</v>
      </c>
      <c r="AC157" s="134">
        <f t="shared" si="41"/>
        <v>1.0900000000000001</v>
      </c>
      <c r="AD157" s="134">
        <f t="shared" si="41"/>
        <v>1.0900000000000001</v>
      </c>
      <c r="AE157" s="134">
        <f t="shared" si="41"/>
        <v>1.0900000000000001</v>
      </c>
      <c r="AF157" s="134">
        <f t="shared" si="41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0"/>
        <v>1.58</v>
      </c>
      <c r="D158" s="134">
        <f t="shared" si="40"/>
        <v>1.58</v>
      </c>
      <c r="E158" s="134">
        <f t="shared" si="40"/>
        <v>1.58</v>
      </c>
      <c r="F158" s="134">
        <f t="shared" si="40"/>
        <v>1.58</v>
      </c>
      <c r="G158" s="134">
        <f t="shared" si="40"/>
        <v>1.58</v>
      </c>
      <c r="H158" s="134">
        <f t="shared" si="40"/>
        <v>1.58</v>
      </c>
      <c r="I158" s="134">
        <f t="shared" si="40"/>
        <v>1.58</v>
      </c>
      <c r="J158" s="134">
        <f t="shared" si="40"/>
        <v>1.58</v>
      </c>
      <c r="K158" s="134">
        <f t="shared" si="40"/>
        <v>1.58</v>
      </c>
      <c r="L158" s="134">
        <f t="shared" si="40"/>
        <v>1.58</v>
      </c>
      <c r="M158" s="134">
        <f t="shared" si="40"/>
        <v>1.58</v>
      </c>
      <c r="N158" s="134">
        <f t="shared" si="40"/>
        <v>1.58</v>
      </c>
      <c r="O158" s="134">
        <f t="shared" si="40"/>
        <v>1.58</v>
      </c>
      <c r="P158" s="134">
        <f t="shared" si="40"/>
        <v>1.58</v>
      </c>
      <c r="Q158" s="134">
        <f t="shared" si="40"/>
        <v>1.58</v>
      </c>
      <c r="R158" s="134">
        <f t="shared" si="40"/>
        <v>1.58</v>
      </c>
      <c r="S158" s="134">
        <f t="shared" si="41"/>
        <v>1.58</v>
      </c>
      <c r="T158" s="134">
        <f t="shared" si="41"/>
        <v>1.58</v>
      </c>
      <c r="U158" s="134">
        <f t="shared" si="41"/>
        <v>1.58</v>
      </c>
      <c r="V158" s="134">
        <f t="shared" si="41"/>
        <v>1.58</v>
      </c>
      <c r="W158" s="134">
        <f t="shared" si="41"/>
        <v>1.58</v>
      </c>
      <c r="X158" s="134">
        <f t="shared" si="41"/>
        <v>1.58</v>
      </c>
      <c r="Y158" s="134">
        <f t="shared" si="41"/>
        <v>1.58</v>
      </c>
      <c r="Z158" s="134">
        <f t="shared" si="41"/>
        <v>1.58</v>
      </c>
      <c r="AA158" s="134">
        <f t="shared" si="41"/>
        <v>1.58</v>
      </c>
      <c r="AB158" s="134">
        <f t="shared" si="41"/>
        <v>1.58</v>
      </c>
      <c r="AC158" s="134">
        <f t="shared" si="41"/>
        <v>1.58</v>
      </c>
      <c r="AD158" s="134">
        <f t="shared" si="41"/>
        <v>1.58</v>
      </c>
      <c r="AE158" s="134">
        <f t="shared" si="41"/>
        <v>1.58</v>
      </c>
      <c r="AF158" s="134">
        <f t="shared" si="41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0"/>
        <v>2</v>
      </c>
      <c r="D159" s="134">
        <f t="shared" si="40"/>
        <v>2</v>
      </c>
      <c r="E159" s="134">
        <f t="shared" si="40"/>
        <v>2</v>
      </c>
      <c r="F159" s="134">
        <f t="shared" si="40"/>
        <v>2</v>
      </c>
      <c r="G159" s="134">
        <f t="shared" si="40"/>
        <v>2</v>
      </c>
      <c r="H159" s="134">
        <f t="shared" si="40"/>
        <v>2</v>
      </c>
      <c r="I159" s="134">
        <f t="shared" si="40"/>
        <v>2</v>
      </c>
      <c r="J159" s="134">
        <f t="shared" si="40"/>
        <v>2</v>
      </c>
      <c r="K159" s="134">
        <f t="shared" si="40"/>
        <v>2</v>
      </c>
      <c r="L159" s="134">
        <f t="shared" si="40"/>
        <v>2</v>
      </c>
      <c r="M159" s="134">
        <f t="shared" si="40"/>
        <v>2</v>
      </c>
      <c r="N159" s="134">
        <f t="shared" si="40"/>
        <v>2</v>
      </c>
      <c r="O159" s="134">
        <f t="shared" si="40"/>
        <v>2</v>
      </c>
      <c r="P159" s="134">
        <f t="shared" si="40"/>
        <v>2</v>
      </c>
      <c r="Q159" s="134">
        <f t="shared" si="40"/>
        <v>2</v>
      </c>
      <c r="R159" s="134">
        <f t="shared" si="40"/>
        <v>2</v>
      </c>
      <c r="S159" s="134">
        <f t="shared" si="41"/>
        <v>2</v>
      </c>
      <c r="T159" s="134">
        <f t="shared" si="41"/>
        <v>2</v>
      </c>
      <c r="U159" s="134">
        <f t="shared" si="41"/>
        <v>2</v>
      </c>
      <c r="V159" s="134">
        <f t="shared" si="41"/>
        <v>2</v>
      </c>
      <c r="W159" s="134">
        <f t="shared" si="41"/>
        <v>2</v>
      </c>
      <c r="X159" s="134">
        <f t="shared" si="41"/>
        <v>2</v>
      </c>
      <c r="Y159" s="134">
        <f t="shared" si="41"/>
        <v>2</v>
      </c>
      <c r="Z159" s="134">
        <f t="shared" si="41"/>
        <v>2</v>
      </c>
      <c r="AA159" s="134">
        <f t="shared" si="41"/>
        <v>2</v>
      </c>
      <c r="AB159" s="134">
        <f t="shared" si="41"/>
        <v>2</v>
      </c>
      <c r="AC159" s="134">
        <f t="shared" si="41"/>
        <v>2</v>
      </c>
      <c r="AD159" s="134">
        <f t="shared" si="41"/>
        <v>2</v>
      </c>
      <c r="AE159" s="134">
        <f t="shared" si="41"/>
        <v>2</v>
      </c>
      <c r="AF159" s="134">
        <f t="shared" si="41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0"/>
        <v>0.47</v>
      </c>
      <c r="D160" s="134">
        <f t="shared" si="40"/>
        <v>0.47</v>
      </c>
      <c r="E160" s="134">
        <f t="shared" si="40"/>
        <v>0.47</v>
      </c>
      <c r="F160" s="134">
        <f t="shared" si="40"/>
        <v>0.47</v>
      </c>
      <c r="G160" s="134">
        <f t="shared" si="40"/>
        <v>0.47</v>
      </c>
      <c r="H160" s="134">
        <f t="shared" si="40"/>
        <v>0.47</v>
      </c>
      <c r="I160" s="134">
        <f t="shared" si="40"/>
        <v>0.47</v>
      </c>
      <c r="J160" s="134">
        <f t="shared" si="40"/>
        <v>0.47</v>
      </c>
      <c r="K160" s="134">
        <f t="shared" si="40"/>
        <v>0.47</v>
      </c>
      <c r="L160" s="134">
        <f t="shared" si="40"/>
        <v>0.47</v>
      </c>
      <c r="M160" s="134">
        <f t="shared" si="40"/>
        <v>0.47</v>
      </c>
      <c r="N160" s="134">
        <f t="shared" si="40"/>
        <v>0.47</v>
      </c>
      <c r="O160" s="134">
        <f t="shared" si="40"/>
        <v>0.47</v>
      </c>
      <c r="P160" s="134">
        <f t="shared" si="40"/>
        <v>0.47</v>
      </c>
      <c r="Q160" s="134">
        <f t="shared" si="40"/>
        <v>0.47</v>
      </c>
      <c r="R160" s="134">
        <f t="shared" si="40"/>
        <v>0.47</v>
      </c>
      <c r="S160" s="134">
        <f t="shared" si="41"/>
        <v>0.47</v>
      </c>
      <c r="T160" s="134">
        <f t="shared" si="41"/>
        <v>0.47</v>
      </c>
      <c r="U160" s="134">
        <f t="shared" si="41"/>
        <v>0.47</v>
      </c>
      <c r="V160" s="134">
        <f t="shared" si="41"/>
        <v>0.47</v>
      </c>
      <c r="W160" s="134">
        <f t="shared" si="41"/>
        <v>0.47</v>
      </c>
      <c r="X160" s="134">
        <f t="shared" si="41"/>
        <v>0.47</v>
      </c>
      <c r="Y160" s="134">
        <f t="shared" si="41"/>
        <v>0.47</v>
      </c>
      <c r="Z160" s="134">
        <f t="shared" si="41"/>
        <v>0.47</v>
      </c>
      <c r="AA160" s="134">
        <f t="shared" si="41"/>
        <v>0.47</v>
      </c>
      <c r="AB160" s="134">
        <f t="shared" si="41"/>
        <v>0.47</v>
      </c>
      <c r="AC160" s="134">
        <f t="shared" si="41"/>
        <v>0.47</v>
      </c>
      <c r="AD160" s="134">
        <f t="shared" si="41"/>
        <v>0.47</v>
      </c>
      <c r="AE160" s="134">
        <f t="shared" si="41"/>
        <v>0.47</v>
      </c>
      <c r="AF160" s="134">
        <f t="shared" si="41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0"/>
        <v>0</v>
      </c>
      <c r="D161" s="134">
        <f t="shared" si="40"/>
        <v>0</v>
      </c>
      <c r="E161" s="134">
        <f t="shared" si="40"/>
        <v>0</v>
      </c>
      <c r="F161" s="134">
        <f t="shared" si="40"/>
        <v>0</v>
      </c>
      <c r="G161" s="134">
        <f t="shared" si="40"/>
        <v>0</v>
      </c>
      <c r="H161" s="134">
        <f t="shared" si="40"/>
        <v>0</v>
      </c>
      <c r="I161" s="134">
        <f t="shared" si="40"/>
        <v>0</v>
      </c>
      <c r="J161" s="134">
        <f t="shared" si="40"/>
        <v>0</v>
      </c>
      <c r="K161" s="134">
        <f t="shared" si="40"/>
        <v>0</v>
      </c>
      <c r="L161" s="134">
        <f t="shared" si="40"/>
        <v>0</v>
      </c>
      <c r="M161" s="134">
        <f t="shared" si="40"/>
        <v>0</v>
      </c>
      <c r="N161" s="134">
        <f t="shared" si="40"/>
        <v>0</v>
      </c>
      <c r="O161" s="134">
        <f t="shared" si="40"/>
        <v>0</v>
      </c>
      <c r="P161" s="134">
        <f t="shared" si="40"/>
        <v>0</v>
      </c>
      <c r="Q161" s="134">
        <f t="shared" si="40"/>
        <v>0</v>
      </c>
      <c r="R161" s="134">
        <f t="shared" si="40"/>
        <v>0</v>
      </c>
      <c r="S161" s="134">
        <f t="shared" si="41"/>
        <v>0</v>
      </c>
      <c r="T161" s="134">
        <f t="shared" si="41"/>
        <v>0</v>
      </c>
      <c r="U161" s="134">
        <f t="shared" si="41"/>
        <v>0</v>
      </c>
      <c r="V161" s="134">
        <f t="shared" si="41"/>
        <v>0</v>
      </c>
      <c r="W161" s="134">
        <f t="shared" si="41"/>
        <v>0</v>
      </c>
      <c r="X161" s="134">
        <f t="shared" si="41"/>
        <v>0</v>
      </c>
      <c r="Y161" s="134">
        <f t="shared" si="41"/>
        <v>0</v>
      </c>
      <c r="Z161" s="134">
        <f t="shared" si="41"/>
        <v>0</v>
      </c>
      <c r="AA161" s="134">
        <f t="shared" si="41"/>
        <v>0</v>
      </c>
      <c r="AB161" s="134">
        <f t="shared" si="41"/>
        <v>0</v>
      </c>
      <c r="AC161" s="134">
        <f t="shared" si="41"/>
        <v>0</v>
      </c>
      <c r="AD161" s="134">
        <f t="shared" si="41"/>
        <v>0</v>
      </c>
      <c r="AE161" s="134">
        <f t="shared" si="41"/>
        <v>0</v>
      </c>
      <c r="AF161" s="134">
        <f t="shared" si="41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0"/>
        <v>0</v>
      </c>
      <c r="D162" s="134">
        <f t="shared" si="40"/>
        <v>0</v>
      </c>
      <c r="E162" s="134">
        <f t="shared" si="40"/>
        <v>0</v>
      </c>
      <c r="F162" s="134">
        <f t="shared" si="40"/>
        <v>0</v>
      </c>
      <c r="G162" s="134">
        <f t="shared" si="40"/>
        <v>0</v>
      </c>
      <c r="H162" s="134">
        <f t="shared" si="40"/>
        <v>0</v>
      </c>
      <c r="I162" s="134">
        <f t="shared" si="40"/>
        <v>0</v>
      </c>
      <c r="J162" s="134">
        <f t="shared" si="40"/>
        <v>0</v>
      </c>
      <c r="K162" s="134">
        <f t="shared" si="40"/>
        <v>0</v>
      </c>
      <c r="L162" s="134">
        <f t="shared" si="40"/>
        <v>0</v>
      </c>
      <c r="M162" s="134">
        <f t="shared" si="40"/>
        <v>0</v>
      </c>
      <c r="N162" s="134">
        <f t="shared" si="40"/>
        <v>0</v>
      </c>
      <c r="O162" s="134">
        <f t="shared" si="40"/>
        <v>0</v>
      </c>
      <c r="P162" s="134">
        <f t="shared" si="40"/>
        <v>0</v>
      </c>
      <c r="Q162" s="134">
        <f t="shared" si="40"/>
        <v>0</v>
      </c>
      <c r="R162" s="134">
        <f t="shared" si="41"/>
        <v>0</v>
      </c>
      <c r="S162" s="134">
        <f t="shared" si="41"/>
        <v>0</v>
      </c>
      <c r="T162" s="134">
        <f t="shared" si="41"/>
        <v>0</v>
      </c>
      <c r="U162" s="134">
        <f t="shared" si="41"/>
        <v>0</v>
      </c>
      <c r="V162" s="134">
        <f t="shared" si="41"/>
        <v>0</v>
      </c>
      <c r="W162" s="134">
        <f t="shared" si="41"/>
        <v>0</v>
      </c>
      <c r="X162" s="134">
        <f t="shared" si="41"/>
        <v>0</v>
      </c>
      <c r="Y162" s="134">
        <f t="shared" si="41"/>
        <v>0</v>
      </c>
      <c r="Z162" s="134">
        <f t="shared" si="41"/>
        <v>0</v>
      </c>
      <c r="AA162" s="134">
        <f t="shared" si="41"/>
        <v>0</v>
      </c>
      <c r="AB162" s="134">
        <f t="shared" si="41"/>
        <v>0</v>
      </c>
      <c r="AC162" s="134">
        <f t="shared" si="41"/>
        <v>0</v>
      </c>
      <c r="AD162" s="134">
        <f t="shared" si="41"/>
        <v>0</v>
      </c>
      <c r="AE162" s="134">
        <f t="shared" si="41"/>
        <v>0</v>
      </c>
      <c r="AF162" s="134">
        <f t="shared" si="41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0"/>
        <v>0.8</v>
      </c>
      <c r="D163" s="134">
        <f t="shared" si="40"/>
        <v>0.8</v>
      </c>
      <c r="E163" s="134">
        <f t="shared" si="40"/>
        <v>0.8</v>
      </c>
      <c r="F163" s="134">
        <f t="shared" si="40"/>
        <v>0.8</v>
      </c>
      <c r="G163" s="134">
        <f t="shared" si="40"/>
        <v>0.8</v>
      </c>
      <c r="H163" s="134">
        <f t="shared" si="40"/>
        <v>0.8</v>
      </c>
      <c r="I163" s="134">
        <f t="shared" si="40"/>
        <v>0.8</v>
      </c>
      <c r="J163" s="134">
        <f t="shared" si="40"/>
        <v>0.8</v>
      </c>
      <c r="K163" s="134">
        <f t="shared" si="40"/>
        <v>0.8</v>
      </c>
      <c r="L163" s="134">
        <f t="shared" si="40"/>
        <v>0.8</v>
      </c>
      <c r="M163" s="134">
        <f t="shared" si="40"/>
        <v>0.8</v>
      </c>
      <c r="N163" s="134">
        <f t="shared" si="40"/>
        <v>0.8</v>
      </c>
      <c r="O163" s="134">
        <f t="shared" si="40"/>
        <v>0.8</v>
      </c>
      <c r="P163" s="134">
        <f t="shared" si="40"/>
        <v>0.8</v>
      </c>
      <c r="Q163" s="134">
        <f t="shared" si="40"/>
        <v>0.8</v>
      </c>
      <c r="R163" s="134">
        <f t="shared" si="41"/>
        <v>0.8</v>
      </c>
      <c r="S163" s="134">
        <f t="shared" si="41"/>
        <v>0.8</v>
      </c>
      <c r="T163" s="134">
        <f t="shared" si="41"/>
        <v>0.8</v>
      </c>
      <c r="U163" s="134">
        <f t="shared" si="41"/>
        <v>0.8</v>
      </c>
      <c r="V163" s="134">
        <f t="shared" si="41"/>
        <v>0.8</v>
      </c>
      <c r="W163" s="134">
        <f t="shared" si="41"/>
        <v>0.8</v>
      </c>
      <c r="X163" s="134">
        <f t="shared" si="41"/>
        <v>0.8</v>
      </c>
      <c r="Y163" s="134">
        <f t="shared" si="41"/>
        <v>0.8</v>
      </c>
      <c r="Z163" s="134">
        <f t="shared" si="41"/>
        <v>0.8</v>
      </c>
      <c r="AA163" s="134">
        <f t="shared" si="41"/>
        <v>0.8</v>
      </c>
      <c r="AB163" s="134">
        <f t="shared" si="41"/>
        <v>0.8</v>
      </c>
      <c r="AC163" s="134">
        <f t="shared" si="41"/>
        <v>0.8</v>
      </c>
      <c r="AD163" s="134">
        <f t="shared" si="41"/>
        <v>0.8</v>
      </c>
      <c r="AE163" s="134">
        <f t="shared" si="41"/>
        <v>0.8</v>
      </c>
      <c r="AF163" s="134">
        <f t="shared" si="41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0"/>
        <v>1.5</v>
      </c>
      <c r="D164" s="134">
        <f t="shared" si="40"/>
        <v>1.5</v>
      </c>
      <c r="E164" s="134">
        <f t="shared" si="40"/>
        <v>1.5</v>
      </c>
      <c r="F164" s="134">
        <f t="shared" si="40"/>
        <v>1.5</v>
      </c>
      <c r="G164" s="134">
        <f t="shared" si="40"/>
        <v>1.5</v>
      </c>
      <c r="H164" s="134">
        <f t="shared" si="40"/>
        <v>1.5</v>
      </c>
      <c r="I164" s="134">
        <f t="shared" si="40"/>
        <v>1.5</v>
      </c>
      <c r="J164" s="134">
        <f t="shared" si="40"/>
        <v>1.5</v>
      </c>
      <c r="K164" s="134">
        <f t="shared" si="40"/>
        <v>1.5</v>
      </c>
      <c r="L164" s="134">
        <f t="shared" si="40"/>
        <v>1.5</v>
      </c>
      <c r="M164" s="134">
        <f t="shared" si="40"/>
        <v>1.5</v>
      </c>
      <c r="N164" s="134">
        <f t="shared" si="40"/>
        <v>1.5</v>
      </c>
      <c r="O164" s="134">
        <f t="shared" si="40"/>
        <v>1.5</v>
      </c>
      <c r="P164" s="134">
        <f t="shared" si="40"/>
        <v>1.5</v>
      </c>
      <c r="Q164" s="134">
        <f t="shared" si="40"/>
        <v>1.5</v>
      </c>
      <c r="R164" s="134">
        <f t="shared" si="41"/>
        <v>1.5</v>
      </c>
      <c r="S164" s="134">
        <f t="shared" si="41"/>
        <v>1.5</v>
      </c>
      <c r="T164" s="134">
        <f t="shared" si="41"/>
        <v>1.5</v>
      </c>
      <c r="U164" s="134">
        <f t="shared" si="41"/>
        <v>1.5</v>
      </c>
      <c r="V164" s="134">
        <f t="shared" si="41"/>
        <v>1.5</v>
      </c>
      <c r="W164" s="134">
        <f t="shared" si="41"/>
        <v>1.5</v>
      </c>
      <c r="X164" s="134">
        <f t="shared" si="41"/>
        <v>1.5</v>
      </c>
      <c r="Y164" s="134">
        <f t="shared" si="41"/>
        <v>1.5</v>
      </c>
      <c r="Z164" s="134">
        <f t="shared" si="41"/>
        <v>1.5</v>
      </c>
      <c r="AA164" s="134">
        <f t="shared" si="41"/>
        <v>1.5</v>
      </c>
      <c r="AB164" s="134">
        <f t="shared" si="41"/>
        <v>1.5</v>
      </c>
      <c r="AC164" s="134">
        <f t="shared" si="41"/>
        <v>1.5</v>
      </c>
      <c r="AD164" s="134">
        <f t="shared" si="41"/>
        <v>1.5</v>
      </c>
      <c r="AE164" s="134">
        <f t="shared" si="41"/>
        <v>1.5</v>
      </c>
      <c r="AF164" s="134">
        <f t="shared" si="41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0"/>
        <v>1</v>
      </c>
      <c r="D165" s="134">
        <f t="shared" si="40"/>
        <v>1</v>
      </c>
      <c r="E165" s="134">
        <f t="shared" si="40"/>
        <v>1</v>
      </c>
      <c r="F165" s="134">
        <f t="shared" si="40"/>
        <v>1</v>
      </c>
      <c r="G165" s="134">
        <f t="shared" si="40"/>
        <v>1</v>
      </c>
      <c r="H165" s="134">
        <f t="shared" si="40"/>
        <v>1</v>
      </c>
      <c r="I165" s="134">
        <f t="shared" si="40"/>
        <v>1</v>
      </c>
      <c r="J165" s="134">
        <f t="shared" si="40"/>
        <v>1</v>
      </c>
      <c r="K165" s="134">
        <f t="shared" si="40"/>
        <v>1</v>
      </c>
      <c r="L165" s="134">
        <f t="shared" si="40"/>
        <v>1</v>
      </c>
      <c r="M165" s="134">
        <f t="shared" si="40"/>
        <v>1</v>
      </c>
      <c r="N165" s="134">
        <f t="shared" si="40"/>
        <v>1</v>
      </c>
      <c r="O165" s="134">
        <f t="shared" si="40"/>
        <v>1</v>
      </c>
      <c r="P165" s="134">
        <f t="shared" si="40"/>
        <v>1</v>
      </c>
      <c r="Q165" s="134">
        <f t="shared" si="40"/>
        <v>1</v>
      </c>
      <c r="R165" s="134">
        <f t="shared" si="41"/>
        <v>1</v>
      </c>
      <c r="S165" s="134">
        <f t="shared" si="41"/>
        <v>1</v>
      </c>
      <c r="T165" s="134">
        <f t="shared" si="41"/>
        <v>1</v>
      </c>
      <c r="U165" s="134">
        <f t="shared" si="41"/>
        <v>1</v>
      </c>
      <c r="V165" s="134">
        <f t="shared" si="41"/>
        <v>1</v>
      </c>
      <c r="W165" s="134">
        <f t="shared" si="41"/>
        <v>1</v>
      </c>
      <c r="X165" s="134">
        <f t="shared" si="41"/>
        <v>1</v>
      </c>
      <c r="Y165" s="134">
        <f t="shared" si="41"/>
        <v>1</v>
      </c>
      <c r="Z165" s="134">
        <f t="shared" si="41"/>
        <v>1</v>
      </c>
      <c r="AA165" s="134">
        <f t="shared" si="41"/>
        <v>1</v>
      </c>
      <c r="AB165" s="134">
        <f t="shared" si="41"/>
        <v>1</v>
      </c>
      <c r="AC165" s="134">
        <f t="shared" si="41"/>
        <v>1</v>
      </c>
      <c r="AD165" s="134">
        <f t="shared" si="41"/>
        <v>1</v>
      </c>
      <c r="AE165" s="134">
        <f t="shared" si="41"/>
        <v>1</v>
      </c>
      <c r="AF165" s="134">
        <f t="shared" si="41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2">B167</f>
        <v>1</v>
      </c>
      <c r="D167" s="134">
        <f t="shared" si="42"/>
        <v>1</v>
      </c>
      <c r="E167" s="134">
        <f t="shared" si="42"/>
        <v>1</v>
      </c>
      <c r="F167" s="134">
        <f t="shared" si="42"/>
        <v>1</v>
      </c>
      <c r="G167" s="134">
        <f t="shared" si="42"/>
        <v>1</v>
      </c>
      <c r="H167" s="134">
        <f t="shared" si="42"/>
        <v>1</v>
      </c>
      <c r="I167" s="134">
        <f t="shared" si="42"/>
        <v>1</v>
      </c>
      <c r="J167" s="134">
        <f t="shared" si="42"/>
        <v>1</v>
      </c>
      <c r="K167" s="134">
        <f t="shared" si="42"/>
        <v>1</v>
      </c>
      <c r="L167" s="134">
        <f t="shared" si="42"/>
        <v>1</v>
      </c>
      <c r="M167" s="134">
        <f t="shared" si="42"/>
        <v>1</v>
      </c>
      <c r="N167" s="134">
        <f t="shared" si="42"/>
        <v>1</v>
      </c>
      <c r="O167" s="134">
        <f t="shared" si="42"/>
        <v>1</v>
      </c>
      <c r="P167" s="134">
        <f t="shared" si="42"/>
        <v>1</v>
      </c>
      <c r="Q167" s="134">
        <f t="shared" si="42"/>
        <v>1</v>
      </c>
      <c r="R167" s="134">
        <f t="shared" si="42"/>
        <v>1</v>
      </c>
      <c r="S167" s="134">
        <f t="shared" ref="R167:AF174" si="43">R167</f>
        <v>1</v>
      </c>
      <c r="T167" s="134">
        <f t="shared" si="43"/>
        <v>1</v>
      </c>
      <c r="U167" s="134">
        <f t="shared" si="43"/>
        <v>1</v>
      </c>
      <c r="V167" s="134">
        <f t="shared" si="43"/>
        <v>1</v>
      </c>
      <c r="W167" s="134">
        <f t="shared" si="43"/>
        <v>1</v>
      </c>
      <c r="X167" s="134">
        <f t="shared" si="43"/>
        <v>1</v>
      </c>
      <c r="Y167" s="134">
        <f t="shared" si="43"/>
        <v>1</v>
      </c>
      <c r="Z167" s="134">
        <f t="shared" si="43"/>
        <v>1</v>
      </c>
      <c r="AA167" s="134">
        <f t="shared" si="43"/>
        <v>1</v>
      </c>
      <c r="AB167" s="134">
        <f t="shared" si="43"/>
        <v>1</v>
      </c>
      <c r="AC167" s="134">
        <f t="shared" si="43"/>
        <v>1</v>
      </c>
      <c r="AD167" s="134">
        <f t="shared" si="43"/>
        <v>1</v>
      </c>
      <c r="AE167" s="134">
        <f t="shared" si="43"/>
        <v>1</v>
      </c>
      <c r="AF167" s="134">
        <f t="shared" si="43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2"/>
        <v>0.42</v>
      </c>
      <c r="D168" s="134">
        <f t="shared" si="42"/>
        <v>0.42</v>
      </c>
      <c r="E168" s="134">
        <f t="shared" si="42"/>
        <v>0.42</v>
      </c>
      <c r="F168" s="134">
        <f t="shared" si="42"/>
        <v>0.42</v>
      </c>
      <c r="G168" s="134">
        <f t="shared" si="42"/>
        <v>0.42</v>
      </c>
      <c r="H168" s="134">
        <f t="shared" si="42"/>
        <v>0.42</v>
      </c>
      <c r="I168" s="134">
        <f t="shared" si="42"/>
        <v>0.42</v>
      </c>
      <c r="J168" s="134">
        <f t="shared" si="42"/>
        <v>0.42</v>
      </c>
      <c r="K168" s="134">
        <f t="shared" si="42"/>
        <v>0.42</v>
      </c>
      <c r="L168" s="134">
        <f t="shared" si="42"/>
        <v>0.42</v>
      </c>
      <c r="M168" s="134">
        <f t="shared" si="42"/>
        <v>0.42</v>
      </c>
      <c r="N168" s="134">
        <f t="shared" si="42"/>
        <v>0.42</v>
      </c>
      <c r="O168" s="134">
        <f t="shared" si="42"/>
        <v>0.42</v>
      </c>
      <c r="P168" s="134">
        <f t="shared" si="42"/>
        <v>0.42</v>
      </c>
      <c r="Q168" s="134">
        <f t="shared" si="42"/>
        <v>0.42</v>
      </c>
      <c r="R168" s="134">
        <f t="shared" si="43"/>
        <v>0.42</v>
      </c>
      <c r="S168" s="134">
        <f t="shared" si="43"/>
        <v>0.42</v>
      </c>
      <c r="T168" s="134">
        <f t="shared" si="43"/>
        <v>0.42</v>
      </c>
      <c r="U168" s="134">
        <f t="shared" si="43"/>
        <v>0.42</v>
      </c>
      <c r="V168" s="134">
        <f t="shared" si="43"/>
        <v>0.42</v>
      </c>
      <c r="W168" s="134">
        <f t="shared" si="43"/>
        <v>0.42</v>
      </c>
      <c r="X168" s="134">
        <f t="shared" si="43"/>
        <v>0.42</v>
      </c>
      <c r="Y168" s="134">
        <f t="shared" si="43"/>
        <v>0.42</v>
      </c>
      <c r="Z168" s="134">
        <f t="shared" si="43"/>
        <v>0.42</v>
      </c>
      <c r="AA168" s="134">
        <f t="shared" si="43"/>
        <v>0.42</v>
      </c>
      <c r="AB168" s="134">
        <f t="shared" si="43"/>
        <v>0.42</v>
      </c>
      <c r="AC168" s="134">
        <f t="shared" si="43"/>
        <v>0.42</v>
      </c>
      <c r="AD168" s="134">
        <f t="shared" si="43"/>
        <v>0.42</v>
      </c>
      <c r="AE168" s="134">
        <f t="shared" si="43"/>
        <v>0.42</v>
      </c>
      <c r="AF168" s="134">
        <f t="shared" si="43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2"/>
        <v>0.46</v>
      </c>
      <c r="D169" s="134">
        <f t="shared" si="42"/>
        <v>0.46</v>
      </c>
      <c r="E169" s="134">
        <f t="shared" si="42"/>
        <v>0.46</v>
      </c>
      <c r="F169" s="134">
        <f t="shared" si="42"/>
        <v>0.46</v>
      </c>
      <c r="G169" s="134">
        <f t="shared" si="42"/>
        <v>0.46</v>
      </c>
      <c r="H169" s="134">
        <f t="shared" si="42"/>
        <v>0.46</v>
      </c>
      <c r="I169" s="134">
        <f t="shared" si="42"/>
        <v>0.46</v>
      </c>
      <c r="J169" s="134">
        <f t="shared" si="42"/>
        <v>0.46</v>
      </c>
      <c r="K169" s="134">
        <f t="shared" si="42"/>
        <v>0.46</v>
      </c>
      <c r="L169" s="134">
        <f t="shared" si="42"/>
        <v>0.46</v>
      </c>
      <c r="M169" s="134">
        <f t="shared" si="42"/>
        <v>0.46</v>
      </c>
      <c r="N169" s="134">
        <f t="shared" si="42"/>
        <v>0.46</v>
      </c>
      <c r="O169" s="134">
        <f t="shared" si="42"/>
        <v>0.46</v>
      </c>
      <c r="P169" s="134">
        <f t="shared" si="42"/>
        <v>0.46</v>
      </c>
      <c r="Q169" s="134">
        <f t="shared" si="42"/>
        <v>0.46</v>
      </c>
      <c r="R169" s="134">
        <f t="shared" si="43"/>
        <v>0.46</v>
      </c>
      <c r="S169" s="134">
        <f t="shared" si="43"/>
        <v>0.46</v>
      </c>
      <c r="T169" s="134">
        <f t="shared" si="43"/>
        <v>0.46</v>
      </c>
      <c r="U169" s="134">
        <f t="shared" si="43"/>
        <v>0.46</v>
      </c>
      <c r="V169" s="134">
        <f t="shared" si="43"/>
        <v>0.46</v>
      </c>
      <c r="W169" s="134">
        <f t="shared" si="43"/>
        <v>0.46</v>
      </c>
      <c r="X169" s="134">
        <f t="shared" si="43"/>
        <v>0.46</v>
      </c>
      <c r="Y169" s="134">
        <f t="shared" si="43"/>
        <v>0.46</v>
      </c>
      <c r="Z169" s="134">
        <f t="shared" si="43"/>
        <v>0.46</v>
      </c>
      <c r="AA169" s="134">
        <f t="shared" si="43"/>
        <v>0.46</v>
      </c>
      <c r="AB169" s="134">
        <f t="shared" si="43"/>
        <v>0.46</v>
      </c>
      <c r="AC169" s="134">
        <f t="shared" si="43"/>
        <v>0.46</v>
      </c>
      <c r="AD169" s="134">
        <f t="shared" si="43"/>
        <v>0.46</v>
      </c>
      <c r="AE169" s="134">
        <f t="shared" si="43"/>
        <v>0.46</v>
      </c>
      <c r="AF169" s="134">
        <f t="shared" si="43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2"/>
        <v>0.85</v>
      </c>
      <c r="D170" s="134">
        <f t="shared" si="42"/>
        <v>0.85</v>
      </c>
      <c r="E170" s="134">
        <f t="shared" si="42"/>
        <v>0.85</v>
      </c>
      <c r="F170" s="134">
        <f t="shared" si="42"/>
        <v>0.85</v>
      </c>
      <c r="G170" s="134">
        <f t="shared" si="42"/>
        <v>0.85</v>
      </c>
      <c r="H170" s="134">
        <f t="shared" si="42"/>
        <v>0.85</v>
      </c>
      <c r="I170" s="134">
        <f t="shared" si="42"/>
        <v>0.85</v>
      </c>
      <c r="J170" s="134">
        <f t="shared" si="42"/>
        <v>0.85</v>
      </c>
      <c r="K170" s="134">
        <f t="shared" si="42"/>
        <v>0.85</v>
      </c>
      <c r="L170" s="134">
        <f t="shared" si="42"/>
        <v>0.85</v>
      </c>
      <c r="M170" s="134">
        <f t="shared" si="42"/>
        <v>0.85</v>
      </c>
      <c r="N170" s="134">
        <f t="shared" si="42"/>
        <v>0.85</v>
      </c>
      <c r="O170" s="134">
        <f t="shared" si="42"/>
        <v>0.85</v>
      </c>
      <c r="P170" s="134">
        <f t="shared" si="42"/>
        <v>0.85</v>
      </c>
      <c r="Q170" s="134">
        <f t="shared" si="42"/>
        <v>0.85</v>
      </c>
      <c r="R170" s="134">
        <f t="shared" si="43"/>
        <v>0.85</v>
      </c>
      <c r="S170" s="134">
        <f t="shared" si="43"/>
        <v>0.85</v>
      </c>
      <c r="T170" s="134">
        <f t="shared" si="43"/>
        <v>0.85</v>
      </c>
      <c r="U170" s="134">
        <f t="shared" si="43"/>
        <v>0.85</v>
      </c>
      <c r="V170" s="134">
        <f t="shared" si="43"/>
        <v>0.85</v>
      </c>
      <c r="W170" s="134">
        <f t="shared" si="43"/>
        <v>0.85</v>
      </c>
      <c r="X170" s="134">
        <f t="shared" si="43"/>
        <v>0.85</v>
      </c>
      <c r="Y170" s="134">
        <f t="shared" si="43"/>
        <v>0.85</v>
      </c>
      <c r="Z170" s="134">
        <f t="shared" si="43"/>
        <v>0.85</v>
      </c>
      <c r="AA170" s="134">
        <f t="shared" si="43"/>
        <v>0.85</v>
      </c>
      <c r="AB170" s="134">
        <f t="shared" si="43"/>
        <v>0.85</v>
      </c>
      <c r="AC170" s="134">
        <f t="shared" si="43"/>
        <v>0.85</v>
      </c>
      <c r="AD170" s="134">
        <f t="shared" si="43"/>
        <v>0.85</v>
      </c>
      <c r="AE170" s="134">
        <f t="shared" si="43"/>
        <v>0.85</v>
      </c>
      <c r="AF170" s="134">
        <f t="shared" si="43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2"/>
        <v>0.9</v>
      </c>
      <c r="D171" s="134">
        <f t="shared" si="42"/>
        <v>0.9</v>
      </c>
      <c r="E171" s="134">
        <f t="shared" si="42"/>
        <v>0.9</v>
      </c>
      <c r="F171" s="134">
        <f t="shared" si="42"/>
        <v>0.9</v>
      </c>
      <c r="G171" s="134">
        <f t="shared" si="42"/>
        <v>0.9</v>
      </c>
      <c r="H171" s="134">
        <f t="shared" si="42"/>
        <v>0.9</v>
      </c>
      <c r="I171" s="134">
        <f t="shared" si="42"/>
        <v>0.9</v>
      </c>
      <c r="J171" s="134">
        <f t="shared" si="42"/>
        <v>0.9</v>
      </c>
      <c r="K171" s="134">
        <f t="shared" si="42"/>
        <v>0.9</v>
      </c>
      <c r="L171" s="134">
        <f t="shared" si="42"/>
        <v>0.9</v>
      </c>
      <c r="M171" s="134">
        <f t="shared" si="42"/>
        <v>0.9</v>
      </c>
      <c r="N171" s="134">
        <f t="shared" si="42"/>
        <v>0.9</v>
      </c>
      <c r="O171" s="134">
        <f t="shared" si="42"/>
        <v>0.9</v>
      </c>
      <c r="P171" s="134">
        <f t="shared" si="42"/>
        <v>0.9</v>
      </c>
      <c r="Q171" s="134">
        <f t="shared" si="42"/>
        <v>0.9</v>
      </c>
      <c r="R171" s="134">
        <f t="shared" si="43"/>
        <v>0.9</v>
      </c>
      <c r="S171" s="134">
        <f t="shared" si="43"/>
        <v>0.9</v>
      </c>
      <c r="T171" s="134">
        <f t="shared" si="43"/>
        <v>0.9</v>
      </c>
      <c r="U171" s="134">
        <f t="shared" si="43"/>
        <v>0.9</v>
      </c>
      <c r="V171" s="134">
        <f t="shared" si="43"/>
        <v>0.9</v>
      </c>
      <c r="W171" s="134">
        <f t="shared" si="43"/>
        <v>0.9</v>
      </c>
      <c r="X171" s="134">
        <f t="shared" si="43"/>
        <v>0.9</v>
      </c>
      <c r="Y171" s="134">
        <f t="shared" si="43"/>
        <v>0.9</v>
      </c>
      <c r="Z171" s="134">
        <f t="shared" si="43"/>
        <v>0.9</v>
      </c>
      <c r="AA171" s="134">
        <f t="shared" si="43"/>
        <v>0.9</v>
      </c>
      <c r="AB171" s="134">
        <f t="shared" si="43"/>
        <v>0.9</v>
      </c>
      <c r="AC171" s="134">
        <f t="shared" si="43"/>
        <v>0.9</v>
      </c>
      <c r="AD171" s="134">
        <f t="shared" si="43"/>
        <v>0.9</v>
      </c>
      <c r="AE171" s="134">
        <f t="shared" si="43"/>
        <v>0.9</v>
      </c>
      <c r="AF171" s="134">
        <f t="shared" si="43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2"/>
        <v>0.44</v>
      </c>
      <c r="D172" s="134">
        <f t="shared" si="42"/>
        <v>0.44</v>
      </c>
      <c r="E172" s="134">
        <f t="shared" si="42"/>
        <v>0.44</v>
      </c>
      <c r="F172" s="134">
        <f t="shared" si="42"/>
        <v>0.44</v>
      </c>
      <c r="G172" s="134">
        <f t="shared" si="42"/>
        <v>0.44</v>
      </c>
      <c r="H172" s="134">
        <f t="shared" si="42"/>
        <v>0.44</v>
      </c>
      <c r="I172" s="134">
        <f t="shared" si="42"/>
        <v>0.44</v>
      </c>
      <c r="J172" s="134">
        <f t="shared" si="42"/>
        <v>0.44</v>
      </c>
      <c r="K172" s="134">
        <f t="shared" si="42"/>
        <v>0.44</v>
      </c>
      <c r="L172" s="134">
        <f t="shared" si="42"/>
        <v>0.44</v>
      </c>
      <c r="M172" s="134">
        <f t="shared" si="42"/>
        <v>0.44</v>
      </c>
      <c r="N172" s="134">
        <f t="shared" si="42"/>
        <v>0.44</v>
      </c>
      <c r="O172" s="134">
        <f t="shared" si="42"/>
        <v>0.44</v>
      </c>
      <c r="P172" s="134">
        <f t="shared" si="42"/>
        <v>0.44</v>
      </c>
      <c r="Q172" s="134">
        <f t="shared" si="42"/>
        <v>0.44</v>
      </c>
      <c r="R172" s="134">
        <f t="shared" si="43"/>
        <v>0.44</v>
      </c>
      <c r="S172" s="134">
        <f t="shared" si="43"/>
        <v>0.44</v>
      </c>
      <c r="T172" s="134">
        <f t="shared" si="43"/>
        <v>0.44</v>
      </c>
      <c r="U172" s="134">
        <f t="shared" si="43"/>
        <v>0.44</v>
      </c>
      <c r="V172" s="134">
        <f t="shared" si="43"/>
        <v>0.44</v>
      </c>
      <c r="W172" s="134">
        <f t="shared" si="43"/>
        <v>0.44</v>
      </c>
      <c r="X172" s="134">
        <f t="shared" si="43"/>
        <v>0.44</v>
      </c>
      <c r="Y172" s="134">
        <f t="shared" si="43"/>
        <v>0.44</v>
      </c>
      <c r="Z172" s="134">
        <f t="shared" si="43"/>
        <v>0.44</v>
      </c>
      <c r="AA172" s="134">
        <f t="shared" si="43"/>
        <v>0.44</v>
      </c>
      <c r="AB172" s="134">
        <f t="shared" si="43"/>
        <v>0.44</v>
      </c>
      <c r="AC172" s="134">
        <f t="shared" si="43"/>
        <v>0.44</v>
      </c>
      <c r="AD172" s="134">
        <f t="shared" si="43"/>
        <v>0.44</v>
      </c>
      <c r="AE172" s="134">
        <f t="shared" si="43"/>
        <v>0.44</v>
      </c>
      <c r="AF172" s="134">
        <f t="shared" si="43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2"/>
        <v>2.1</v>
      </c>
      <c r="D173" s="134">
        <f t="shared" si="42"/>
        <v>2.1</v>
      </c>
      <c r="E173" s="134">
        <f t="shared" si="42"/>
        <v>2.1</v>
      </c>
      <c r="F173" s="134">
        <f t="shared" si="42"/>
        <v>2.1</v>
      </c>
      <c r="G173" s="134">
        <f t="shared" si="42"/>
        <v>2.1</v>
      </c>
      <c r="H173" s="134">
        <f t="shared" si="42"/>
        <v>2.1</v>
      </c>
      <c r="I173" s="134">
        <f t="shared" si="42"/>
        <v>2.1</v>
      </c>
      <c r="J173" s="134">
        <f t="shared" si="42"/>
        <v>2.1</v>
      </c>
      <c r="K173" s="134">
        <f t="shared" si="42"/>
        <v>2.1</v>
      </c>
      <c r="L173" s="134">
        <f t="shared" si="42"/>
        <v>2.1</v>
      </c>
      <c r="M173" s="134">
        <f t="shared" si="42"/>
        <v>2.1</v>
      </c>
      <c r="N173" s="134">
        <f t="shared" si="42"/>
        <v>2.1</v>
      </c>
      <c r="O173" s="134">
        <f t="shared" si="42"/>
        <v>2.1</v>
      </c>
      <c r="P173" s="134">
        <f t="shared" si="42"/>
        <v>2.1</v>
      </c>
      <c r="Q173" s="134">
        <f t="shared" si="42"/>
        <v>2.1</v>
      </c>
      <c r="R173" s="134">
        <f t="shared" si="43"/>
        <v>2.1</v>
      </c>
      <c r="S173" s="134">
        <f t="shared" si="43"/>
        <v>2.1</v>
      </c>
      <c r="T173" s="134">
        <f t="shared" si="43"/>
        <v>2.1</v>
      </c>
      <c r="U173" s="134">
        <f t="shared" si="43"/>
        <v>2.1</v>
      </c>
      <c r="V173" s="134">
        <f t="shared" si="43"/>
        <v>2.1</v>
      </c>
      <c r="W173" s="134">
        <f t="shared" si="43"/>
        <v>2.1</v>
      </c>
      <c r="X173" s="134">
        <f t="shared" si="43"/>
        <v>2.1</v>
      </c>
      <c r="Y173" s="134">
        <f t="shared" si="43"/>
        <v>2.1</v>
      </c>
      <c r="Z173" s="134">
        <f t="shared" si="43"/>
        <v>2.1</v>
      </c>
      <c r="AA173" s="134">
        <f t="shared" si="43"/>
        <v>2.1</v>
      </c>
      <c r="AB173" s="134">
        <f t="shared" si="43"/>
        <v>2.1</v>
      </c>
      <c r="AC173" s="134">
        <f t="shared" si="43"/>
        <v>2.1</v>
      </c>
      <c r="AD173" s="134">
        <f t="shared" si="43"/>
        <v>2.1</v>
      </c>
      <c r="AE173" s="134">
        <f t="shared" si="43"/>
        <v>2.1</v>
      </c>
      <c r="AF173" s="134">
        <f t="shared" si="43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2"/>
        <v>0.9</v>
      </c>
      <c r="D174" s="134">
        <f t="shared" si="42"/>
        <v>0.9</v>
      </c>
      <c r="E174" s="134">
        <f t="shared" si="42"/>
        <v>0.9</v>
      </c>
      <c r="F174" s="134">
        <f t="shared" si="42"/>
        <v>0.9</v>
      </c>
      <c r="G174" s="134">
        <f t="shared" si="42"/>
        <v>0.9</v>
      </c>
      <c r="H174" s="134">
        <f t="shared" si="42"/>
        <v>0.9</v>
      </c>
      <c r="I174" s="134">
        <f t="shared" si="42"/>
        <v>0.9</v>
      </c>
      <c r="J174" s="134">
        <f t="shared" si="42"/>
        <v>0.9</v>
      </c>
      <c r="K174" s="134">
        <f t="shared" si="42"/>
        <v>0.9</v>
      </c>
      <c r="L174" s="134">
        <f t="shared" si="42"/>
        <v>0.9</v>
      </c>
      <c r="M174" s="134">
        <f t="shared" si="42"/>
        <v>0.9</v>
      </c>
      <c r="N174" s="134">
        <f t="shared" si="42"/>
        <v>0.9</v>
      </c>
      <c r="O174" s="134">
        <f t="shared" si="42"/>
        <v>0.9</v>
      </c>
      <c r="P174" s="134">
        <f t="shared" si="42"/>
        <v>0.9</v>
      </c>
      <c r="Q174" s="134">
        <f t="shared" si="42"/>
        <v>0.9</v>
      </c>
      <c r="R174" s="134">
        <f t="shared" si="43"/>
        <v>0.9</v>
      </c>
      <c r="S174" s="134">
        <f t="shared" si="43"/>
        <v>0.9</v>
      </c>
      <c r="T174" s="134">
        <f t="shared" si="43"/>
        <v>0.9</v>
      </c>
      <c r="U174" s="134">
        <f t="shared" si="43"/>
        <v>0.9</v>
      </c>
      <c r="V174" s="134">
        <f t="shared" si="43"/>
        <v>0.9</v>
      </c>
      <c r="W174" s="134">
        <f t="shared" si="43"/>
        <v>0.9</v>
      </c>
      <c r="X174" s="134">
        <f t="shared" si="43"/>
        <v>0.9</v>
      </c>
      <c r="Y174" s="134">
        <f t="shared" si="43"/>
        <v>0.9</v>
      </c>
      <c r="Z174" s="134">
        <f t="shared" si="43"/>
        <v>0.9</v>
      </c>
      <c r="AA174" s="134">
        <f t="shared" si="43"/>
        <v>0.9</v>
      </c>
      <c r="AB174" s="134">
        <f t="shared" si="43"/>
        <v>0.9</v>
      </c>
      <c r="AC174" s="134">
        <f t="shared" si="43"/>
        <v>0.9</v>
      </c>
      <c r="AD174" s="134">
        <f t="shared" si="43"/>
        <v>0.9</v>
      </c>
      <c r="AE174" s="134">
        <f t="shared" si="43"/>
        <v>0.9</v>
      </c>
      <c r="AF174" s="134">
        <f t="shared" si="43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4">B176</f>
        <v>0.57999999999999996</v>
      </c>
      <c r="D176" s="134">
        <f t="shared" si="44"/>
        <v>0.57999999999999996</v>
      </c>
      <c r="E176" s="134">
        <f t="shared" si="44"/>
        <v>0.57999999999999996</v>
      </c>
      <c r="F176" s="134">
        <f t="shared" si="44"/>
        <v>0.57999999999999996</v>
      </c>
      <c r="G176" s="134">
        <f t="shared" si="44"/>
        <v>0.57999999999999996</v>
      </c>
      <c r="H176" s="134">
        <f t="shared" si="44"/>
        <v>0.57999999999999996</v>
      </c>
      <c r="I176" s="134">
        <f t="shared" si="44"/>
        <v>0.57999999999999996</v>
      </c>
      <c r="J176" s="134">
        <f t="shared" si="44"/>
        <v>0.57999999999999996</v>
      </c>
      <c r="K176" s="134">
        <f t="shared" si="44"/>
        <v>0.57999999999999996</v>
      </c>
      <c r="L176" s="134">
        <f t="shared" si="44"/>
        <v>0.57999999999999996</v>
      </c>
      <c r="M176" s="134">
        <f t="shared" si="44"/>
        <v>0.57999999999999996</v>
      </c>
      <c r="N176" s="134">
        <f t="shared" si="44"/>
        <v>0.57999999999999996</v>
      </c>
      <c r="O176" s="134">
        <f t="shared" si="44"/>
        <v>0.57999999999999996</v>
      </c>
      <c r="P176" s="134">
        <f t="shared" si="44"/>
        <v>0.57999999999999996</v>
      </c>
      <c r="Q176" s="134">
        <f t="shared" si="44"/>
        <v>0.57999999999999996</v>
      </c>
      <c r="R176" s="134">
        <f t="shared" si="44"/>
        <v>0.57999999999999996</v>
      </c>
      <c r="S176" s="134">
        <f t="shared" ref="R176:AF188" si="45">R176</f>
        <v>0.57999999999999996</v>
      </c>
      <c r="T176" s="134">
        <f t="shared" si="45"/>
        <v>0.57999999999999996</v>
      </c>
      <c r="U176" s="134">
        <f t="shared" si="45"/>
        <v>0.57999999999999996</v>
      </c>
      <c r="V176" s="134">
        <f t="shared" si="45"/>
        <v>0.57999999999999996</v>
      </c>
      <c r="W176" s="134">
        <f t="shared" si="45"/>
        <v>0.57999999999999996</v>
      </c>
      <c r="X176" s="134">
        <f t="shared" si="45"/>
        <v>0.57999999999999996</v>
      </c>
      <c r="Y176" s="134">
        <f t="shared" si="45"/>
        <v>0.57999999999999996</v>
      </c>
      <c r="Z176" s="134">
        <f t="shared" si="45"/>
        <v>0.57999999999999996</v>
      </c>
      <c r="AA176" s="134">
        <f t="shared" si="45"/>
        <v>0.57999999999999996</v>
      </c>
      <c r="AB176" s="134">
        <f t="shared" si="45"/>
        <v>0.57999999999999996</v>
      </c>
      <c r="AC176" s="134">
        <f t="shared" si="45"/>
        <v>0.57999999999999996</v>
      </c>
      <c r="AD176" s="134">
        <f t="shared" si="45"/>
        <v>0.57999999999999996</v>
      </c>
      <c r="AE176" s="134">
        <f t="shared" si="45"/>
        <v>0.57999999999999996</v>
      </c>
      <c r="AF176" s="134">
        <f t="shared" si="45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4"/>
        <v>0.8</v>
      </c>
      <c r="D177" s="134">
        <f t="shared" si="44"/>
        <v>0.8</v>
      </c>
      <c r="E177" s="134">
        <f t="shared" si="44"/>
        <v>0.8</v>
      </c>
      <c r="F177" s="134">
        <f t="shared" si="44"/>
        <v>0.8</v>
      </c>
      <c r="G177" s="134">
        <f t="shared" si="44"/>
        <v>0.8</v>
      </c>
      <c r="H177" s="134">
        <f t="shared" si="44"/>
        <v>0.8</v>
      </c>
      <c r="I177" s="134">
        <f t="shared" si="44"/>
        <v>0.8</v>
      </c>
      <c r="J177" s="134">
        <f t="shared" si="44"/>
        <v>0.8</v>
      </c>
      <c r="K177" s="134">
        <f t="shared" si="44"/>
        <v>0.8</v>
      </c>
      <c r="L177" s="134">
        <f t="shared" si="44"/>
        <v>0.8</v>
      </c>
      <c r="M177" s="134">
        <f t="shared" si="44"/>
        <v>0.8</v>
      </c>
      <c r="N177" s="134">
        <f t="shared" si="44"/>
        <v>0.8</v>
      </c>
      <c r="O177" s="134">
        <f t="shared" si="44"/>
        <v>0.8</v>
      </c>
      <c r="P177" s="134">
        <f t="shared" si="44"/>
        <v>0.8</v>
      </c>
      <c r="Q177" s="134">
        <f t="shared" si="44"/>
        <v>0.8</v>
      </c>
      <c r="R177" s="134">
        <f t="shared" si="44"/>
        <v>0.8</v>
      </c>
      <c r="S177" s="134">
        <f t="shared" si="45"/>
        <v>0.8</v>
      </c>
      <c r="T177" s="134">
        <f t="shared" si="45"/>
        <v>0.8</v>
      </c>
      <c r="U177" s="134">
        <f t="shared" si="45"/>
        <v>0.8</v>
      </c>
      <c r="V177" s="134">
        <f t="shared" si="45"/>
        <v>0.8</v>
      </c>
      <c r="W177" s="134">
        <f t="shared" si="45"/>
        <v>0.8</v>
      </c>
      <c r="X177" s="134">
        <f t="shared" si="45"/>
        <v>0.8</v>
      </c>
      <c r="Y177" s="134">
        <f t="shared" si="45"/>
        <v>0.8</v>
      </c>
      <c r="Z177" s="134">
        <f t="shared" si="45"/>
        <v>0.8</v>
      </c>
      <c r="AA177" s="134">
        <f t="shared" si="45"/>
        <v>0.8</v>
      </c>
      <c r="AB177" s="134">
        <f t="shared" si="45"/>
        <v>0.8</v>
      </c>
      <c r="AC177" s="134">
        <f t="shared" si="45"/>
        <v>0.8</v>
      </c>
      <c r="AD177" s="134">
        <f t="shared" si="45"/>
        <v>0.8</v>
      </c>
      <c r="AE177" s="134">
        <f t="shared" si="45"/>
        <v>0.8</v>
      </c>
      <c r="AF177" s="134">
        <f t="shared" si="45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4"/>
        <v>0</v>
      </c>
      <c r="D178" s="134">
        <f t="shared" si="44"/>
        <v>0</v>
      </c>
      <c r="E178" s="134">
        <f t="shared" si="44"/>
        <v>0</v>
      </c>
      <c r="F178" s="134">
        <f t="shared" si="44"/>
        <v>0</v>
      </c>
      <c r="G178" s="134">
        <f t="shared" si="44"/>
        <v>0</v>
      </c>
      <c r="H178" s="134">
        <f t="shared" si="44"/>
        <v>0</v>
      </c>
      <c r="I178" s="134">
        <f t="shared" si="44"/>
        <v>0</v>
      </c>
      <c r="J178" s="134">
        <f t="shared" si="44"/>
        <v>0</v>
      </c>
      <c r="K178" s="134">
        <f t="shared" si="44"/>
        <v>0</v>
      </c>
      <c r="L178" s="134">
        <f t="shared" si="44"/>
        <v>0</v>
      </c>
      <c r="M178" s="134">
        <f t="shared" si="44"/>
        <v>0</v>
      </c>
      <c r="N178" s="134">
        <f t="shared" si="44"/>
        <v>0</v>
      </c>
      <c r="O178" s="134">
        <f t="shared" si="44"/>
        <v>0</v>
      </c>
      <c r="P178" s="134">
        <f t="shared" si="44"/>
        <v>0</v>
      </c>
      <c r="Q178" s="134">
        <f t="shared" si="44"/>
        <v>0</v>
      </c>
      <c r="R178" s="134">
        <f t="shared" si="44"/>
        <v>0</v>
      </c>
      <c r="S178" s="134">
        <f t="shared" si="45"/>
        <v>0</v>
      </c>
      <c r="T178" s="134">
        <f t="shared" si="45"/>
        <v>0</v>
      </c>
      <c r="U178" s="134">
        <f t="shared" si="45"/>
        <v>0</v>
      </c>
      <c r="V178" s="134">
        <f t="shared" si="45"/>
        <v>0</v>
      </c>
      <c r="W178" s="134">
        <f t="shared" si="45"/>
        <v>0</v>
      </c>
      <c r="X178" s="134">
        <f t="shared" si="45"/>
        <v>0</v>
      </c>
      <c r="Y178" s="134">
        <f t="shared" si="45"/>
        <v>0</v>
      </c>
      <c r="Z178" s="134">
        <f t="shared" si="45"/>
        <v>0</v>
      </c>
      <c r="AA178" s="134">
        <f t="shared" si="45"/>
        <v>0</v>
      </c>
      <c r="AB178" s="134">
        <f t="shared" si="45"/>
        <v>0</v>
      </c>
      <c r="AC178" s="134">
        <f t="shared" si="45"/>
        <v>0</v>
      </c>
      <c r="AD178" s="134">
        <f t="shared" si="45"/>
        <v>0</v>
      </c>
      <c r="AE178" s="134">
        <f t="shared" si="45"/>
        <v>0</v>
      </c>
      <c r="AF178" s="134">
        <f t="shared" si="45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4"/>
        <v>0.6</v>
      </c>
      <c r="D179" s="134">
        <f t="shared" si="44"/>
        <v>0.6</v>
      </c>
      <c r="E179" s="134">
        <f t="shared" si="44"/>
        <v>0.6</v>
      </c>
      <c r="F179" s="134">
        <f t="shared" si="44"/>
        <v>0.6</v>
      </c>
      <c r="G179" s="134">
        <f t="shared" si="44"/>
        <v>0.6</v>
      </c>
      <c r="H179" s="134">
        <f t="shared" si="44"/>
        <v>0.6</v>
      </c>
      <c r="I179" s="134">
        <f t="shared" si="44"/>
        <v>0.6</v>
      </c>
      <c r="J179" s="134">
        <f t="shared" si="44"/>
        <v>0.6</v>
      </c>
      <c r="K179" s="134">
        <f t="shared" si="44"/>
        <v>0.6</v>
      </c>
      <c r="L179" s="134">
        <f t="shared" si="44"/>
        <v>0.6</v>
      </c>
      <c r="M179" s="134">
        <f t="shared" si="44"/>
        <v>0.6</v>
      </c>
      <c r="N179" s="134">
        <f t="shared" si="44"/>
        <v>0.6</v>
      </c>
      <c r="O179" s="134">
        <f t="shared" si="44"/>
        <v>0.6</v>
      </c>
      <c r="P179" s="134">
        <f t="shared" si="44"/>
        <v>0.6</v>
      </c>
      <c r="Q179" s="134">
        <f t="shared" si="44"/>
        <v>0.6</v>
      </c>
      <c r="R179" s="134">
        <f t="shared" si="44"/>
        <v>0.6</v>
      </c>
      <c r="S179" s="134">
        <f t="shared" si="45"/>
        <v>0.6</v>
      </c>
      <c r="T179" s="134">
        <f t="shared" si="45"/>
        <v>0.6</v>
      </c>
      <c r="U179" s="134">
        <f t="shared" si="45"/>
        <v>0.6</v>
      </c>
      <c r="V179" s="134">
        <f t="shared" si="45"/>
        <v>0.6</v>
      </c>
      <c r="W179" s="134">
        <f t="shared" si="45"/>
        <v>0.6</v>
      </c>
      <c r="X179" s="134">
        <f t="shared" si="45"/>
        <v>0.6</v>
      </c>
      <c r="Y179" s="134">
        <f t="shared" si="45"/>
        <v>0.6</v>
      </c>
      <c r="Z179" s="134">
        <f t="shared" si="45"/>
        <v>0.6</v>
      </c>
      <c r="AA179" s="134">
        <f t="shared" si="45"/>
        <v>0.6</v>
      </c>
      <c r="AB179" s="134">
        <f t="shared" si="45"/>
        <v>0.6</v>
      </c>
      <c r="AC179" s="134">
        <f t="shared" si="45"/>
        <v>0.6</v>
      </c>
      <c r="AD179" s="134">
        <f t="shared" si="45"/>
        <v>0.6</v>
      </c>
      <c r="AE179" s="134">
        <f t="shared" si="45"/>
        <v>0.6</v>
      </c>
      <c r="AF179" s="134">
        <f t="shared" si="45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4"/>
        <v>0.6</v>
      </c>
      <c r="D180" s="134">
        <f t="shared" si="44"/>
        <v>0.6</v>
      </c>
      <c r="E180" s="134">
        <f t="shared" si="44"/>
        <v>0.6</v>
      </c>
      <c r="F180" s="134">
        <f t="shared" si="44"/>
        <v>0.6</v>
      </c>
      <c r="G180" s="134">
        <f t="shared" si="44"/>
        <v>0.6</v>
      </c>
      <c r="H180" s="134">
        <f t="shared" si="44"/>
        <v>0.6</v>
      </c>
      <c r="I180" s="134">
        <f t="shared" si="44"/>
        <v>0.6</v>
      </c>
      <c r="J180" s="134">
        <f t="shared" si="44"/>
        <v>0.6</v>
      </c>
      <c r="K180" s="134">
        <f t="shared" si="44"/>
        <v>0.6</v>
      </c>
      <c r="L180" s="134">
        <f t="shared" si="44"/>
        <v>0.6</v>
      </c>
      <c r="M180" s="134">
        <f t="shared" si="44"/>
        <v>0.6</v>
      </c>
      <c r="N180" s="134">
        <f t="shared" si="44"/>
        <v>0.6</v>
      </c>
      <c r="O180" s="134">
        <f t="shared" si="44"/>
        <v>0.6</v>
      </c>
      <c r="P180" s="134">
        <f t="shared" si="44"/>
        <v>0.6</v>
      </c>
      <c r="Q180" s="134">
        <f t="shared" si="44"/>
        <v>0.6</v>
      </c>
      <c r="R180" s="134">
        <f t="shared" si="44"/>
        <v>0.6</v>
      </c>
      <c r="S180" s="134">
        <f t="shared" si="45"/>
        <v>0.6</v>
      </c>
      <c r="T180" s="134">
        <f t="shared" si="45"/>
        <v>0.6</v>
      </c>
      <c r="U180" s="134">
        <f t="shared" si="45"/>
        <v>0.6</v>
      </c>
      <c r="V180" s="134">
        <f t="shared" si="45"/>
        <v>0.6</v>
      </c>
      <c r="W180" s="134">
        <f t="shared" si="45"/>
        <v>0.6</v>
      </c>
      <c r="X180" s="134">
        <f t="shared" si="45"/>
        <v>0.6</v>
      </c>
      <c r="Y180" s="134">
        <f t="shared" si="45"/>
        <v>0.6</v>
      </c>
      <c r="Z180" s="134">
        <f t="shared" si="45"/>
        <v>0.6</v>
      </c>
      <c r="AA180" s="134">
        <f t="shared" si="45"/>
        <v>0.6</v>
      </c>
      <c r="AB180" s="134">
        <f t="shared" si="45"/>
        <v>0.6</v>
      </c>
      <c r="AC180" s="134">
        <f t="shared" si="45"/>
        <v>0.6</v>
      </c>
      <c r="AD180" s="134">
        <f t="shared" si="45"/>
        <v>0.6</v>
      </c>
      <c r="AE180" s="134">
        <f t="shared" si="45"/>
        <v>0.6</v>
      </c>
      <c r="AF180" s="134">
        <f t="shared" si="45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4"/>
        <v>0.35</v>
      </c>
      <c r="D181" s="134">
        <f t="shared" si="44"/>
        <v>0.35</v>
      </c>
      <c r="E181" s="134">
        <f t="shared" si="44"/>
        <v>0.35</v>
      </c>
      <c r="F181" s="134">
        <f t="shared" si="44"/>
        <v>0.35</v>
      </c>
      <c r="G181" s="134">
        <f t="shared" si="44"/>
        <v>0.35</v>
      </c>
      <c r="H181" s="134">
        <f t="shared" si="44"/>
        <v>0.35</v>
      </c>
      <c r="I181" s="134">
        <f t="shared" si="44"/>
        <v>0.35</v>
      </c>
      <c r="J181" s="134">
        <f t="shared" si="44"/>
        <v>0.35</v>
      </c>
      <c r="K181" s="134">
        <f t="shared" si="44"/>
        <v>0.35</v>
      </c>
      <c r="L181" s="134">
        <f t="shared" si="44"/>
        <v>0.35</v>
      </c>
      <c r="M181" s="134">
        <f t="shared" si="44"/>
        <v>0.35</v>
      </c>
      <c r="N181" s="134">
        <f t="shared" si="44"/>
        <v>0.35</v>
      </c>
      <c r="O181" s="134">
        <f t="shared" si="44"/>
        <v>0.35</v>
      </c>
      <c r="P181" s="134">
        <f t="shared" si="44"/>
        <v>0.35</v>
      </c>
      <c r="Q181" s="134">
        <f t="shared" si="44"/>
        <v>0.35</v>
      </c>
      <c r="R181" s="134">
        <f t="shared" si="44"/>
        <v>0.35</v>
      </c>
      <c r="S181" s="134">
        <f t="shared" si="45"/>
        <v>0.35</v>
      </c>
      <c r="T181" s="134">
        <f t="shared" si="45"/>
        <v>0.35</v>
      </c>
      <c r="U181" s="134">
        <f t="shared" si="45"/>
        <v>0.35</v>
      </c>
      <c r="V181" s="134">
        <f t="shared" si="45"/>
        <v>0.35</v>
      </c>
      <c r="W181" s="134">
        <f t="shared" si="45"/>
        <v>0.35</v>
      </c>
      <c r="X181" s="134">
        <f t="shared" si="45"/>
        <v>0.35</v>
      </c>
      <c r="Y181" s="134">
        <f t="shared" si="45"/>
        <v>0.35</v>
      </c>
      <c r="Z181" s="134">
        <f t="shared" si="45"/>
        <v>0.35</v>
      </c>
      <c r="AA181" s="134">
        <f t="shared" si="45"/>
        <v>0.35</v>
      </c>
      <c r="AB181" s="134">
        <f t="shared" si="45"/>
        <v>0.35</v>
      </c>
      <c r="AC181" s="134">
        <f t="shared" si="45"/>
        <v>0.35</v>
      </c>
      <c r="AD181" s="134">
        <f t="shared" si="45"/>
        <v>0.35</v>
      </c>
      <c r="AE181" s="134">
        <f t="shared" si="45"/>
        <v>0.35</v>
      </c>
      <c r="AF181" s="134">
        <f t="shared" si="45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4"/>
        <v>0.28999999999999998</v>
      </c>
      <c r="D182" s="134">
        <f t="shared" si="44"/>
        <v>0.28999999999999998</v>
      </c>
      <c r="E182" s="134">
        <f t="shared" si="44"/>
        <v>0.28999999999999998</v>
      </c>
      <c r="F182" s="134">
        <f t="shared" si="44"/>
        <v>0.28999999999999998</v>
      </c>
      <c r="G182" s="134">
        <f t="shared" si="44"/>
        <v>0.28999999999999998</v>
      </c>
      <c r="H182" s="134">
        <f t="shared" si="44"/>
        <v>0.28999999999999998</v>
      </c>
      <c r="I182" s="134">
        <f t="shared" si="44"/>
        <v>0.28999999999999998</v>
      </c>
      <c r="J182" s="134">
        <f t="shared" si="44"/>
        <v>0.28999999999999998</v>
      </c>
      <c r="K182" s="134">
        <f t="shared" si="44"/>
        <v>0.28999999999999998</v>
      </c>
      <c r="L182" s="134">
        <f t="shared" si="44"/>
        <v>0.28999999999999998</v>
      </c>
      <c r="M182" s="134">
        <f t="shared" si="44"/>
        <v>0.28999999999999998</v>
      </c>
      <c r="N182" s="134">
        <f t="shared" si="44"/>
        <v>0.28999999999999998</v>
      </c>
      <c r="O182" s="134">
        <f t="shared" si="44"/>
        <v>0.28999999999999998</v>
      </c>
      <c r="P182" s="134">
        <f t="shared" si="44"/>
        <v>0.28999999999999998</v>
      </c>
      <c r="Q182" s="134">
        <f t="shared" si="44"/>
        <v>0.28999999999999998</v>
      </c>
      <c r="R182" s="134">
        <f t="shared" si="44"/>
        <v>0.28999999999999998</v>
      </c>
      <c r="S182" s="134">
        <f t="shared" si="45"/>
        <v>0.28999999999999998</v>
      </c>
      <c r="T182" s="134">
        <f t="shared" si="45"/>
        <v>0.28999999999999998</v>
      </c>
      <c r="U182" s="134">
        <f t="shared" si="45"/>
        <v>0.28999999999999998</v>
      </c>
      <c r="V182" s="134">
        <f t="shared" si="45"/>
        <v>0.28999999999999998</v>
      </c>
      <c r="W182" s="134">
        <f t="shared" si="45"/>
        <v>0.28999999999999998</v>
      </c>
      <c r="X182" s="134">
        <f t="shared" si="45"/>
        <v>0.28999999999999998</v>
      </c>
      <c r="Y182" s="134">
        <f t="shared" si="45"/>
        <v>0.28999999999999998</v>
      </c>
      <c r="Z182" s="134">
        <f t="shared" si="45"/>
        <v>0.28999999999999998</v>
      </c>
      <c r="AA182" s="134">
        <f t="shared" si="45"/>
        <v>0.28999999999999998</v>
      </c>
      <c r="AB182" s="134">
        <f t="shared" si="45"/>
        <v>0.28999999999999998</v>
      </c>
      <c r="AC182" s="134">
        <f t="shared" si="45"/>
        <v>0.28999999999999998</v>
      </c>
      <c r="AD182" s="134">
        <f t="shared" si="45"/>
        <v>0.28999999999999998</v>
      </c>
      <c r="AE182" s="134">
        <f t="shared" si="45"/>
        <v>0.28999999999999998</v>
      </c>
      <c r="AF182" s="134">
        <f t="shared" si="45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4"/>
        <v>0.06</v>
      </c>
      <c r="D183" s="134">
        <f t="shared" si="44"/>
        <v>0.06</v>
      </c>
      <c r="E183" s="134">
        <f t="shared" si="44"/>
        <v>0.06</v>
      </c>
      <c r="F183" s="134">
        <f t="shared" si="44"/>
        <v>0.06</v>
      </c>
      <c r="G183" s="134">
        <f t="shared" si="44"/>
        <v>0.06</v>
      </c>
      <c r="H183" s="134">
        <f t="shared" si="44"/>
        <v>0.06</v>
      </c>
      <c r="I183" s="134">
        <f t="shared" si="44"/>
        <v>0.06</v>
      </c>
      <c r="J183" s="134">
        <f t="shared" si="44"/>
        <v>0.06</v>
      </c>
      <c r="K183" s="134">
        <f t="shared" si="44"/>
        <v>0.06</v>
      </c>
      <c r="L183" s="134">
        <f t="shared" si="44"/>
        <v>0.06</v>
      </c>
      <c r="M183" s="134">
        <f t="shared" si="44"/>
        <v>0.06</v>
      </c>
      <c r="N183" s="134">
        <f t="shared" si="44"/>
        <v>0.06</v>
      </c>
      <c r="O183" s="134">
        <f t="shared" si="44"/>
        <v>0.06</v>
      </c>
      <c r="P183" s="134">
        <f t="shared" si="44"/>
        <v>0.06</v>
      </c>
      <c r="Q183" s="134">
        <f t="shared" si="44"/>
        <v>0.06</v>
      </c>
      <c r="R183" s="134">
        <f t="shared" si="44"/>
        <v>0.06</v>
      </c>
      <c r="S183" s="134">
        <f t="shared" si="45"/>
        <v>0.06</v>
      </c>
      <c r="T183" s="134">
        <f t="shared" si="45"/>
        <v>0.06</v>
      </c>
      <c r="U183" s="134">
        <f t="shared" si="45"/>
        <v>0.06</v>
      </c>
      <c r="V183" s="134">
        <f t="shared" si="45"/>
        <v>0.06</v>
      </c>
      <c r="W183" s="134">
        <f t="shared" si="45"/>
        <v>0.06</v>
      </c>
      <c r="X183" s="134">
        <f t="shared" si="45"/>
        <v>0.06</v>
      </c>
      <c r="Y183" s="134">
        <f t="shared" si="45"/>
        <v>0.06</v>
      </c>
      <c r="Z183" s="134">
        <f t="shared" si="45"/>
        <v>0.06</v>
      </c>
      <c r="AA183" s="134">
        <f t="shared" si="45"/>
        <v>0.06</v>
      </c>
      <c r="AB183" s="134">
        <f t="shared" si="45"/>
        <v>0.06</v>
      </c>
      <c r="AC183" s="134">
        <f t="shared" si="45"/>
        <v>0.06</v>
      </c>
      <c r="AD183" s="134">
        <f t="shared" si="45"/>
        <v>0.06</v>
      </c>
      <c r="AE183" s="134">
        <f t="shared" si="45"/>
        <v>0.06</v>
      </c>
      <c r="AF183" s="134">
        <f t="shared" si="45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4"/>
        <v>0.11</v>
      </c>
      <c r="D184" s="134">
        <f t="shared" si="44"/>
        <v>0.11</v>
      </c>
      <c r="E184" s="134">
        <f t="shared" si="44"/>
        <v>0.11</v>
      </c>
      <c r="F184" s="134">
        <f t="shared" si="44"/>
        <v>0.11</v>
      </c>
      <c r="G184" s="134">
        <f t="shared" si="44"/>
        <v>0.11</v>
      </c>
      <c r="H184" s="134">
        <f t="shared" si="44"/>
        <v>0.11</v>
      </c>
      <c r="I184" s="134">
        <f t="shared" si="44"/>
        <v>0.11</v>
      </c>
      <c r="J184" s="134">
        <f t="shared" si="44"/>
        <v>0.11</v>
      </c>
      <c r="K184" s="134">
        <f t="shared" si="44"/>
        <v>0.11</v>
      </c>
      <c r="L184" s="134">
        <f t="shared" si="44"/>
        <v>0.11</v>
      </c>
      <c r="M184" s="134">
        <f t="shared" si="44"/>
        <v>0.11</v>
      </c>
      <c r="N184" s="134">
        <f t="shared" si="44"/>
        <v>0.11</v>
      </c>
      <c r="O184" s="134">
        <f t="shared" si="44"/>
        <v>0.11</v>
      </c>
      <c r="P184" s="134">
        <f t="shared" si="44"/>
        <v>0.11</v>
      </c>
      <c r="Q184" s="134">
        <f t="shared" si="44"/>
        <v>0.11</v>
      </c>
      <c r="R184" s="134">
        <f t="shared" si="44"/>
        <v>0.11</v>
      </c>
      <c r="S184" s="134">
        <f t="shared" si="45"/>
        <v>0.11</v>
      </c>
      <c r="T184" s="134">
        <f t="shared" si="45"/>
        <v>0.11</v>
      </c>
      <c r="U184" s="134">
        <f t="shared" si="45"/>
        <v>0.11</v>
      </c>
      <c r="V184" s="134">
        <f t="shared" si="45"/>
        <v>0.11</v>
      </c>
      <c r="W184" s="134">
        <f t="shared" si="45"/>
        <v>0.11</v>
      </c>
      <c r="X184" s="134">
        <f t="shared" si="45"/>
        <v>0.11</v>
      </c>
      <c r="Y184" s="134">
        <f t="shared" si="45"/>
        <v>0.11</v>
      </c>
      <c r="Z184" s="134">
        <f t="shared" si="45"/>
        <v>0.11</v>
      </c>
      <c r="AA184" s="134">
        <f t="shared" si="45"/>
        <v>0.11</v>
      </c>
      <c r="AB184" s="134">
        <f t="shared" si="45"/>
        <v>0.11</v>
      </c>
      <c r="AC184" s="134">
        <f t="shared" si="45"/>
        <v>0.11</v>
      </c>
      <c r="AD184" s="134">
        <f t="shared" si="45"/>
        <v>0.11</v>
      </c>
      <c r="AE184" s="134">
        <f t="shared" si="45"/>
        <v>0.11</v>
      </c>
      <c r="AF184" s="134">
        <f t="shared" si="45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4"/>
        <v>0.1</v>
      </c>
      <c r="D185" s="134">
        <f t="shared" si="44"/>
        <v>0.1</v>
      </c>
      <c r="E185" s="134">
        <f t="shared" si="44"/>
        <v>0.1</v>
      </c>
      <c r="F185" s="134">
        <f t="shared" si="44"/>
        <v>0.1</v>
      </c>
      <c r="G185" s="134">
        <f t="shared" si="44"/>
        <v>0.1</v>
      </c>
      <c r="H185" s="134">
        <f t="shared" si="44"/>
        <v>0.1</v>
      </c>
      <c r="I185" s="134">
        <f t="shared" si="44"/>
        <v>0.1</v>
      </c>
      <c r="J185" s="134">
        <f t="shared" si="44"/>
        <v>0.1</v>
      </c>
      <c r="K185" s="134">
        <f t="shared" si="44"/>
        <v>0.1</v>
      </c>
      <c r="L185" s="134">
        <f t="shared" si="44"/>
        <v>0.1</v>
      </c>
      <c r="M185" s="134">
        <f t="shared" si="44"/>
        <v>0.1</v>
      </c>
      <c r="N185" s="134">
        <f t="shared" si="44"/>
        <v>0.1</v>
      </c>
      <c r="O185" s="134">
        <f t="shared" si="44"/>
        <v>0.1</v>
      </c>
      <c r="P185" s="134">
        <f t="shared" si="44"/>
        <v>0.1</v>
      </c>
      <c r="Q185" s="134">
        <f t="shared" si="44"/>
        <v>0.1</v>
      </c>
      <c r="R185" s="134">
        <f t="shared" si="45"/>
        <v>0.1</v>
      </c>
      <c r="S185" s="134">
        <f t="shared" si="45"/>
        <v>0.1</v>
      </c>
      <c r="T185" s="134">
        <f t="shared" si="45"/>
        <v>0.1</v>
      </c>
      <c r="U185" s="134">
        <f t="shared" si="45"/>
        <v>0.1</v>
      </c>
      <c r="V185" s="134">
        <f t="shared" si="45"/>
        <v>0.1</v>
      </c>
      <c r="W185" s="134">
        <f t="shared" si="45"/>
        <v>0.1</v>
      </c>
      <c r="X185" s="134">
        <f t="shared" si="45"/>
        <v>0.1</v>
      </c>
      <c r="Y185" s="134">
        <f t="shared" si="45"/>
        <v>0.1</v>
      </c>
      <c r="Z185" s="134">
        <f t="shared" si="45"/>
        <v>0.1</v>
      </c>
      <c r="AA185" s="134">
        <f t="shared" si="45"/>
        <v>0.1</v>
      </c>
      <c r="AB185" s="134">
        <f t="shared" si="45"/>
        <v>0.1</v>
      </c>
      <c r="AC185" s="134">
        <f t="shared" si="45"/>
        <v>0.1</v>
      </c>
      <c r="AD185" s="134">
        <f t="shared" si="45"/>
        <v>0.1</v>
      </c>
      <c r="AE185" s="134">
        <f t="shared" si="45"/>
        <v>0.1</v>
      </c>
      <c r="AF185" s="134">
        <f t="shared" si="45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4"/>
        <v>0.09</v>
      </c>
      <c r="D186" s="134">
        <f t="shared" si="44"/>
        <v>0.09</v>
      </c>
      <c r="E186" s="134">
        <f t="shared" si="44"/>
        <v>0.09</v>
      </c>
      <c r="F186" s="134">
        <f t="shared" si="44"/>
        <v>0.09</v>
      </c>
      <c r="G186" s="134">
        <f t="shared" si="44"/>
        <v>0.09</v>
      </c>
      <c r="H186" s="134">
        <f t="shared" si="44"/>
        <v>0.09</v>
      </c>
      <c r="I186" s="134">
        <f t="shared" si="44"/>
        <v>0.09</v>
      </c>
      <c r="J186" s="134">
        <f t="shared" si="44"/>
        <v>0.09</v>
      </c>
      <c r="K186" s="134">
        <f t="shared" si="44"/>
        <v>0.09</v>
      </c>
      <c r="L186" s="134">
        <f t="shared" si="44"/>
        <v>0.09</v>
      </c>
      <c r="M186" s="134">
        <f t="shared" si="44"/>
        <v>0.09</v>
      </c>
      <c r="N186" s="134">
        <f t="shared" si="44"/>
        <v>0.09</v>
      </c>
      <c r="O186" s="134">
        <f t="shared" si="44"/>
        <v>0.09</v>
      </c>
      <c r="P186" s="134">
        <f t="shared" si="44"/>
        <v>0.09</v>
      </c>
      <c r="Q186" s="134">
        <f t="shared" si="44"/>
        <v>0.09</v>
      </c>
      <c r="R186" s="134">
        <f t="shared" si="45"/>
        <v>0.09</v>
      </c>
      <c r="S186" s="134">
        <f t="shared" si="45"/>
        <v>0.09</v>
      </c>
      <c r="T186" s="134">
        <f t="shared" si="45"/>
        <v>0.09</v>
      </c>
      <c r="U186" s="134">
        <f t="shared" si="45"/>
        <v>0.09</v>
      </c>
      <c r="V186" s="134">
        <f t="shared" si="45"/>
        <v>0.09</v>
      </c>
      <c r="W186" s="134">
        <f t="shared" si="45"/>
        <v>0.09</v>
      </c>
      <c r="X186" s="134">
        <f t="shared" si="45"/>
        <v>0.09</v>
      </c>
      <c r="Y186" s="134">
        <f t="shared" si="45"/>
        <v>0.09</v>
      </c>
      <c r="Z186" s="134">
        <f t="shared" si="45"/>
        <v>0.09</v>
      </c>
      <c r="AA186" s="134">
        <f t="shared" si="45"/>
        <v>0.09</v>
      </c>
      <c r="AB186" s="134">
        <f t="shared" si="45"/>
        <v>0.09</v>
      </c>
      <c r="AC186" s="134">
        <f t="shared" si="45"/>
        <v>0.09</v>
      </c>
      <c r="AD186" s="134">
        <f t="shared" si="45"/>
        <v>0.09</v>
      </c>
      <c r="AE186" s="134">
        <f t="shared" si="45"/>
        <v>0.09</v>
      </c>
      <c r="AF186" s="134">
        <f t="shared" si="45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4"/>
        <v>0.04</v>
      </c>
      <c r="D187" s="134">
        <f t="shared" si="44"/>
        <v>0.04</v>
      </c>
      <c r="E187" s="134">
        <f t="shared" si="44"/>
        <v>0.04</v>
      </c>
      <c r="F187" s="134">
        <f t="shared" si="44"/>
        <v>0.04</v>
      </c>
      <c r="G187" s="134">
        <f t="shared" si="44"/>
        <v>0.04</v>
      </c>
      <c r="H187" s="134">
        <f t="shared" si="44"/>
        <v>0.04</v>
      </c>
      <c r="I187" s="134">
        <f t="shared" si="44"/>
        <v>0.04</v>
      </c>
      <c r="J187" s="134">
        <f t="shared" si="44"/>
        <v>0.04</v>
      </c>
      <c r="K187" s="134">
        <f t="shared" si="44"/>
        <v>0.04</v>
      </c>
      <c r="L187" s="134">
        <f t="shared" si="44"/>
        <v>0.04</v>
      </c>
      <c r="M187" s="134">
        <f t="shared" si="44"/>
        <v>0.04</v>
      </c>
      <c r="N187" s="134">
        <f t="shared" si="44"/>
        <v>0.04</v>
      </c>
      <c r="O187" s="134">
        <f t="shared" si="44"/>
        <v>0.04</v>
      </c>
      <c r="P187" s="134">
        <f t="shared" si="44"/>
        <v>0.04</v>
      </c>
      <c r="Q187" s="134">
        <f t="shared" si="44"/>
        <v>0.04</v>
      </c>
      <c r="R187" s="134">
        <f t="shared" si="45"/>
        <v>0.04</v>
      </c>
      <c r="S187" s="134">
        <f t="shared" si="45"/>
        <v>0.04</v>
      </c>
      <c r="T187" s="134">
        <f t="shared" si="45"/>
        <v>0.04</v>
      </c>
      <c r="U187" s="134">
        <f t="shared" si="45"/>
        <v>0.04</v>
      </c>
      <c r="V187" s="134">
        <f t="shared" si="45"/>
        <v>0.04</v>
      </c>
      <c r="W187" s="134">
        <f t="shared" si="45"/>
        <v>0.04</v>
      </c>
      <c r="X187" s="134">
        <f t="shared" si="45"/>
        <v>0.04</v>
      </c>
      <c r="Y187" s="134">
        <f t="shared" si="45"/>
        <v>0.04</v>
      </c>
      <c r="Z187" s="134">
        <f t="shared" si="45"/>
        <v>0.04</v>
      </c>
      <c r="AA187" s="134">
        <f t="shared" si="45"/>
        <v>0.04</v>
      </c>
      <c r="AB187" s="134">
        <f t="shared" si="45"/>
        <v>0.04</v>
      </c>
      <c r="AC187" s="134">
        <f t="shared" si="45"/>
        <v>0.04</v>
      </c>
      <c r="AD187" s="134">
        <f t="shared" si="45"/>
        <v>0.04</v>
      </c>
      <c r="AE187" s="134">
        <f t="shared" si="45"/>
        <v>0.04</v>
      </c>
      <c r="AF187" s="134">
        <f t="shared" si="45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4"/>
        <v>2.3E-2</v>
      </c>
      <c r="E188" s="134">
        <f t="shared" si="44"/>
        <v>2.3E-2</v>
      </c>
      <c r="F188" s="134">
        <f t="shared" si="44"/>
        <v>2.3E-2</v>
      </c>
      <c r="G188" s="134">
        <f t="shared" si="44"/>
        <v>2.3E-2</v>
      </c>
      <c r="H188" s="134">
        <f t="shared" si="44"/>
        <v>2.3E-2</v>
      </c>
      <c r="I188" s="134">
        <f t="shared" si="44"/>
        <v>2.3E-2</v>
      </c>
      <c r="J188" s="134">
        <f t="shared" si="44"/>
        <v>2.3E-2</v>
      </c>
      <c r="K188" s="134">
        <f t="shared" si="44"/>
        <v>2.3E-2</v>
      </c>
      <c r="L188" s="134">
        <f t="shared" si="44"/>
        <v>2.3E-2</v>
      </c>
      <c r="M188" s="134">
        <f t="shared" si="44"/>
        <v>2.3E-2</v>
      </c>
      <c r="N188" s="134">
        <f t="shared" si="44"/>
        <v>2.3E-2</v>
      </c>
      <c r="O188" s="134">
        <f t="shared" si="44"/>
        <v>2.3E-2</v>
      </c>
      <c r="P188" s="134">
        <f t="shared" si="44"/>
        <v>2.3E-2</v>
      </c>
      <c r="Q188" s="134">
        <f t="shared" si="44"/>
        <v>2.3E-2</v>
      </c>
      <c r="R188" s="134">
        <f t="shared" si="45"/>
        <v>2.3E-2</v>
      </c>
      <c r="S188" s="134">
        <f t="shared" si="45"/>
        <v>2.3E-2</v>
      </c>
      <c r="T188" s="134">
        <f t="shared" si="45"/>
        <v>2.3E-2</v>
      </c>
      <c r="U188" s="134">
        <f t="shared" si="45"/>
        <v>2.3E-2</v>
      </c>
      <c r="V188" s="134">
        <f t="shared" si="45"/>
        <v>2.3E-2</v>
      </c>
      <c r="W188" s="134">
        <f t="shared" si="45"/>
        <v>2.3E-2</v>
      </c>
      <c r="X188" s="134">
        <f t="shared" si="45"/>
        <v>2.3E-2</v>
      </c>
      <c r="Y188" s="134">
        <f t="shared" si="45"/>
        <v>2.3E-2</v>
      </c>
      <c r="Z188" s="134">
        <f t="shared" si="45"/>
        <v>2.3E-2</v>
      </c>
      <c r="AA188" s="134">
        <f t="shared" si="45"/>
        <v>2.3E-2</v>
      </c>
      <c r="AB188" s="134">
        <f t="shared" si="45"/>
        <v>2.3E-2</v>
      </c>
      <c r="AC188" s="134">
        <f t="shared" si="45"/>
        <v>2.3E-2</v>
      </c>
      <c r="AD188" s="134">
        <f t="shared" si="45"/>
        <v>2.3E-2</v>
      </c>
      <c r="AE188" s="134">
        <f t="shared" si="45"/>
        <v>2.3E-2</v>
      </c>
      <c r="AF188" s="134">
        <f t="shared" si="45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6">SUM(B99:B188)</f>
        <v>194.70600000000002</v>
      </c>
      <c r="C189" s="138">
        <f t="shared" si="46"/>
        <v>194.70600000000002</v>
      </c>
      <c r="D189" s="138">
        <f t="shared" si="46"/>
        <v>194.70600000000002</v>
      </c>
      <c r="E189" s="138">
        <f t="shared" si="46"/>
        <v>194.70600000000002</v>
      </c>
      <c r="F189" s="138">
        <f t="shared" si="46"/>
        <v>194.70600000000002</v>
      </c>
      <c r="G189" s="138">
        <f t="shared" si="46"/>
        <v>194.70600000000002</v>
      </c>
      <c r="H189" s="138">
        <f t="shared" si="46"/>
        <v>194.70600000000002</v>
      </c>
      <c r="I189" s="138">
        <f t="shared" si="46"/>
        <v>192.10600000000005</v>
      </c>
      <c r="J189" s="138">
        <f t="shared" si="46"/>
        <v>192.10600000000005</v>
      </c>
      <c r="K189" s="138">
        <f t="shared" si="46"/>
        <v>192.10600000000005</v>
      </c>
      <c r="L189" s="138">
        <f t="shared" si="46"/>
        <v>192.10600000000005</v>
      </c>
      <c r="M189" s="138">
        <f t="shared" si="46"/>
        <v>192.10600000000005</v>
      </c>
      <c r="N189" s="138">
        <f t="shared" si="46"/>
        <v>192.10600000000005</v>
      </c>
      <c r="O189" s="138">
        <f t="shared" si="46"/>
        <v>192.10600000000005</v>
      </c>
      <c r="P189" s="138">
        <f t="shared" si="46"/>
        <v>192.10600000000005</v>
      </c>
      <c r="Q189" s="138">
        <f t="shared" si="46"/>
        <v>192.10600000000005</v>
      </c>
      <c r="R189" s="138">
        <f t="shared" si="46"/>
        <v>192.10600000000005</v>
      </c>
      <c r="S189" s="138">
        <f t="shared" si="46"/>
        <v>192.10600000000005</v>
      </c>
      <c r="T189" s="138">
        <f t="shared" si="46"/>
        <v>192.10600000000005</v>
      </c>
      <c r="U189" s="138">
        <f t="shared" si="46"/>
        <v>192.10600000000005</v>
      </c>
      <c r="V189" s="138">
        <f t="shared" si="46"/>
        <v>192.10600000000005</v>
      </c>
      <c r="W189" s="138">
        <f t="shared" si="46"/>
        <v>192.10600000000005</v>
      </c>
      <c r="X189" s="138">
        <f t="shared" si="46"/>
        <v>192.10600000000005</v>
      </c>
      <c r="Y189" s="138">
        <f t="shared" si="46"/>
        <v>192.10600000000005</v>
      </c>
      <c r="Z189" s="138">
        <f t="shared" si="46"/>
        <v>192.10600000000005</v>
      </c>
      <c r="AA189" s="138">
        <f t="shared" si="46"/>
        <v>192.10600000000005</v>
      </c>
      <c r="AB189" s="138">
        <f t="shared" si="46"/>
        <v>192.10600000000005</v>
      </c>
      <c r="AC189" s="138">
        <f t="shared" si="46"/>
        <v>192.10600000000005</v>
      </c>
      <c r="AD189" s="138">
        <f t="shared" si="46"/>
        <v>192.10600000000005</v>
      </c>
      <c r="AE189" s="138">
        <f t="shared" si="46"/>
        <v>192.10600000000005</v>
      </c>
      <c r="AF189" s="138">
        <f t="shared" si="46"/>
        <v>192.10600000000005</v>
      </c>
      <c r="AG189" s="139">
        <f t="shared" si="46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7">B191</f>
        <v>0.3</v>
      </c>
      <c r="D191" s="140">
        <f t="shared" si="47"/>
        <v>0.3</v>
      </c>
      <c r="E191" s="140">
        <f t="shared" si="47"/>
        <v>0.3</v>
      </c>
      <c r="F191" s="140">
        <f t="shared" si="47"/>
        <v>0.3</v>
      </c>
      <c r="G191" s="140">
        <f t="shared" si="47"/>
        <v>0.3</v>
      </c>
      <c r="H191" s="140">
        <f t="shared" si="47"/>
        <v>0.3</v>
      </c>
      <c r="I191" s="140">
        <f t="shared" si="47"/>
        <v>0.3</v>
      </c>
      <c r="J191" s="140">
        <f t="shared" si="47"/>
        <v>0.3</v>
      </c>
      <c r="K191" s="140">
        <f t="shared" si="47"/>
        <v>0.3</v>
      </c>
      <c r="L191" s="140">
        <f t="shared" si="47"/>
        <v>0.3</v>
      </c>
      <c r="M191" s="140">
        <f t="shared" si="47"/>
        <v>0.3</v>
      </c>
      <c r="N191" s="140">
        <f t="shared" si="47"/>
        <v>0.3</v>
      </c>
      <c r="O191" s="140">
        <f t="shared" si="47"/>
        <v>0.3</v>
      </c>
      <c r="P191" s="140">
        <f t="shared" si="47"/>
        <v>0.3</v>
      </c>
      <c r="Q191" s="140">
        <f t="shared" si="47"/>
        <v>0.3</v>
      </c>
      <c r="R191" s="140">
        <f t="shared" si="47"/>
        <v>0.3</v>
      </c>
      <c r="S191" s="140">
        <f t="shared" ref="S191:AF196" si="48">R191</f>
        <v>0.3</v>
      </c>
      <c r="T191" s="140">
        <f t="shared" si="48"/>
        <v>0.3</v>
      </c>
      <c r="U191" s="140">
        <f t="shared" si="48"/>
        <v>0.3</v>
      </c>
      <c r="V191" s="140">
        <f t="shared" si="48"/>
        <v>0.3</v>
      </c>
      <c r="W191" s="140">
        <f t="shared" si="48"/>
        <v>0.3</v>
      </c>
      <c r="X191" s="140">
        <f t="shared" si="48"/>
        <v>0.3</v>
      </c>
      <c r="Y191" s="140">
        <f t="shared" si="48"/>
        <v>0.3</v>
      </c>
      <c r="Z191" s="140">
        <f t="shared" si="48"/>
        <v>0.3</v>
      </c>
      <c r="AA191" s="140">
        <f t="shared" si="48"/>
        <v>0.3</v>
      </c>
      <c r="AB191" s="140">
        <f t="shared" si="48"/>
        <v>0.3</v>
      </c>
      <c r="AC191" s="140">
        <f t="shared" si="48"/>
        <v>0.3</v>
      </c>
      <c r="AD191" s="140">
        <f t="shared" si="48"/>
        <v>0.3</v>
      </c>
      <c r="AE191" s="140">
        <f t="shared" si="48"/>
        <v>0.3</v>
      </c>
      <c r="AF191" s="140">
        <f t="shared" si="48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7"/>
        <v>0.4</v>
      </c>
      <c r="D192" s="134">
        <f t="shared" si="47"/>
        <v>0.4</v>
      </c>
      <c r="E192" s="134">
        <f t="shared" si="47"/>
        <v>0.4</v>
      </c>
      <c r="F192" s="134">
        <f t="shared" si="47"/>
        <v>0.4</v>
      </c>
      <c r="G192" s="134">
        <f t="shared" si="47"/>
        <v>0.4</v>
      </c>
      <c r="H192" s="134">
        <f t="shared" si="47"/>
        <v>0.4</v>
      </c>
      <c r="I192" s="134">
        <f t="shared" si="47"/>
        <v>0.4</v>
      </c>
      <c r="J192" s="134">
        <f t="shared" si="47"/>
        <v>0.4</v>
      </c>
      <c r="K192" s="134">
        <f t="shared" si="47"/>
        <v>0.4</v>
      </c>
      <c r="L192" s="134">
        <f t="shared" si="47"/>
        <v>0.4</v>
      </c>
      <c r="M192" s="134">
        <f t="shared" si="47"/>
        <v>0.4</v>
      </c>
      <c r="N192" s="134">
        <f t="shared" si="47"/>
        <v>0.4</v>
      </c>
      <c r="O192" s="134">
        <f t="shared" si="47"/>
        <v>0.4</v>
      </c>
      <c r="P192" s="134">
        <f t="shared" si="47"/>
        <v>0.4</v>
      </c>
      <c r="Q192" s="134">
        <f t="shared" si="47"/>
        <v>0.4</v>
      </c>
      <c r="R192" s="134">
        <f t="shared" si="47"/>
        <v>0.4</v>
      </c>
      <c r="S192" s="134">
        <f t="shared" si="48"/>
        <v>0.4</v>
      </c>
      <c r="T192" s="134">
        <f t="shared" si="48"/>
        <v>0.4</v>
      </c>
      <c r="U192" s="134">
        <f t="shared" si="48"/>
        <v>0.4</v>
      </c>
      <c r="V192" s="134">
        <f>U192</f>
        <v>0.4</v>
      </c>
      <c r="W192" s="134">
        <f>V192</f>
        <v>0.4</v>
      </c>
      <c r="X192" s="134">
        <f t="shared" si="48"/>
        <v>0.4</v>
      </c>
      <c r="Y192" s="134">
        <f t="shared" si="48"/>
        <v>0.4</v>
      </c>
      <c r="Z192" s="134">
        <f t="shared" si="48"/>
        <v>0.4</v>
      </c>
      <c r="AA192" s="134">
        <f t="shared" si="48"/>
        <v>0.4</v>
      </c>
      <c r="AB192" s="134">
        <f t="shared" si="48"/>
        <v>0.4</v>
      </c>
      <c r="AC192" s="134">
        <f t="shared" si="48"/>
        <v>0.4</v>
      </c>
      <c r="AD192" s="134">
        <f t="shared" si="48"/>
        <v>0.4</v>
      </c>
      <c r="AE192" s="134">
        <f t="shared" si="48"/>
        <v>0.4</v>
      </c>
      <c r="AF192" s="134">
        <f t="shared" si="48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7"/>
        <v>1.5</v>
      </c>
      <c r="D193" s="134">
        <f t="shared" si="47"/>
        <v>1.5</v>
      </c>
      <c r="E193" s="134">
        <f t="shared" si="47"/>
        <v>1.5</v>
      </c>
      <c r="F193" s="134">
        <f t="shared" si="47"/>
        <v>1.5</v>
      </c>
      <c r="G193" s="134">
        <f t="shared" si="47"/>
        <v>1.5</v>
      </c>
      <c r="H193" s="134">
        <f t="shared" si="47"/>
        <v>1.5</v>
      </c>
      <c r="I193" s="134">
        <f t="shared" si="47"/>
        <v>1.5</v>
      </c>
      <c r="J193" s="134">
        <f t="shared" si="47"/>
        <v>1.5</v>
      </c>
      <c r="K193" s="134">
        <f t="shared" si="47"/>
        <v>1.5</v>
      </c>
      <c r="L193" s="134">
        <f t="shared" si="47"/>
        <v>1.5</v>
      </c>
      <c r="M193" s="134">
        <f t="shared" si="47"/>
        <v>1.5</v>
      </c>
      <c r="N193" s="134">
        <f t="shared" si="47"/>
        <v>1.5</v>
      </c>
      <c r="O193" s="134">
        <f t="shared" si="47"/>
        <v>1.5</v>
      </c>
      <c r="P193" s="134">
        <f t="shared" si="47"/>
        <v>1.5</v>
      </c>
      <c r="Q193" s="134">
        <f t="shared" si="47"/>
        <v>1.5</v>
      </c>
      <c r="R193" s="134">
        <f t="shared" si="47"/>
        <v>1.5</v>
      </c>
      <c r="S193" s="134">
        <f t="shared" si="48"/>
        <v>1.5</v>
      </c>
      <c r="T193" s="134">
        <f t="shared" si="48"/>
        <v>1.5</v>
      </c>
      <c r="U193" s="134">
        <f t="shared" si="48"/>
        <v>1.5</v>
      </c>
      <c r="V193" s="134">
        <f t="shared" si="48"/>
        <v>1.5</v>
      </c>
      <c r="W193" s="134">
        <f t="shared" si="48"/>
        <v>1.5</v>
      </c>
      <c r="X193" s="134">
        <f t="shared" si="48"/>
        <v>1.5</v>
      </c>
      <c r="Y193" s="134">
        <f t="shared" si="48"/>
        <v>1.5</v>
      </c>
      <c r="Z193" s="134">
        <f t="shared" si="48"/>
        <v>1.5</v>
      </c>
      <c r="AA193" s="134">
        <f t="shared" si="48"/>
        <v>1.5</v>
      </c>
      <c r="AB193" s="134">
        <f t="shared" si="48"/>
        <v>1.5</v>
      </c>
      <c r="AC193" s="134">
        <f t="shared" si="48"/>
        <v>1.5</v>
      </c>
      <c r="AD193" s="134">
        <f t="shared" si="48"/>
        <v>1.5</v>
      </c>
      <c r="AE193" s="134">
        <f t="shared" si="48"/>
        <v>1.5</v>
      </c>
      <c r="AF193" s="134">
        <f t="shared" si="48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7"/>
        <v>0.3</v>
      </c>
      <c r="D194" s="134">
        <f t="shared" si="47"/>
        <v>0.3</v>
      </c>
      <c r="E194" s="134">
        <f t="shared" si="47"/>
        <v>0.3</v>
      </c>
      <c r="F194" s="134">
        <f t="shared" si="47"/>
        <v>0.3</v>
      </c>
      <c r="G194" s="134">
        <f t="shared" si="47"/>
        <v>0.3</v>
      </c>
      <c r="H194" s="134">
        <f t="shared" si="47"/>
        <v>0.3</v>
      </c>
      <c r="I194" s="134">
        <f t="shared" si="47"/>
        <v>0.3</v>
      </c>
      <c r="J194" s="134">
        <f t="shared" si="47"/>
        <v>0.3</v>
      </c>
      <c r="K194" s="134">
        <f t="shared" si="47"/>
        <v>0.3</v>
      </c>
      <c r="L194" s="134">
        <f t="shared" si="47"/>
        <v>0.3</v>
      </c>
      <c r="M194" s="134">
        <f t="shared" si="47"/>
        <v>0.3</v>
      </c>
      <c r="N194" s="134">
        <f t="shared" si="47"/>
        <v>0.3</v>
      </c>
      <c r="O194" s="134">
        <f t="shared" si="47"/>
        <v>0.3</v>
      </c>
      <c r="P194" s="134">
        <f t="shared" si="47"/>
        <v>0.3</v>
      </c>
      <c r="Q194" s="134">
        <f t="shared" si="47"/>
        <v>0.3</v>
      </c>
      <c r="R194" s="134">
        <f t="shared" si="47"/>
        <v>0.3</v>
      </c>
      <c r="S194" s="134">
        <f t="shared" si="48"/>
        <v>0.3</v>
      </c>
      <c r="T194" s="134">
        <f t="shared" si="48"/>
        <v>0.3</v>
      </c>
      <c r="U194" s="134">
        <f t="shared" si="48"/>
        <v>0.3</v>
      </c>
      <c r="V194" s="134">
        <f t="shared" si="48"/>
        <v>0.3</v>
      </c>
      <c r="W194" s="134">
        <f t="shared" si="48"/>
        <v>0.3</v>
      </c>
      <c r="X194" s="134">
        <f t="shared" si="48"/>
        <v>0.3</v>
      </c>
      <c r="Y194" s="134">
        <f t="shared" si="48"/>
        <v>0.3</v>
      </c>
      <c r="Z194" s="134">
        <f t="shared" si="48"/>
        <v>0.3</v>
      </c>
      <c r="AA194" s="134">
        <f t="shared" si="48"/>
        <v>0.3</v>
      </c>
      <c r="AB194" s="134">
        <f t="shared" si="48"/>
        <v>0.3</v>
      </c>
      <c r="AC194" s="134">
        <f t="shared" si="48"/>
        <v>0.3</v>
      </c>
      <c r="AD194" s="134">
        <f t="shared" si="48"/>
        <v>0.3</v>
      </c>
      <c r="AE194" s="134">
        <f t="shared" si="48"/>
        <v>0.3</v>
      </c>
      <c r="AF194" s="134">
        <f t="shared" si="48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7"/>
        <v>0.4</v>
      </c>
      <c r="D195" s="134">
        <f t="shared" si="47"/>
        <v>0.4</v>
      </c>
      <c r="E195" s="134">
        <f t="shared" si="47"/>
        <v>0.4</v>
      </c>
      <c r="F195" s="134">
        <f t="shared" si="47"/>
        <v>0.4</v>
      </c>
      <c r="G195" s="134">
        <f t="shared" si="47"/>
        <v>0.4</v>
      </c>
      <c r="H195" s="134">
        <f t="shared" si="47"/>
        <v>0.4</v>
      </c>
      <c r="I195" s="134">
        <f t="shared" si="47"/>
        <v>0.4</v>
      </c>
      <c r="J195" s="134">
        <f t="shared" si="47"/>
        <v>0.4</v>
      </c>
      <c r="K195" s="134">
        <f t="shared" si="47"/>
        <v>0.4</v>
      </c>
      <c r="L195" s="134">
        <f t="shared" si="47"/>
        <v>0.4</v>
      </c>
      <c r="M195" s="134">
        <f t="shared" si="47"/>
        <v>0.4</v>
      </c>
      <c r="N195" s="134">
        <f t="shared" si="47"/>
        <v>0.4</v>
      </c>
      <c r="O195" s="134">
        <f t="shared" si="47"/>
        <v>0.4</v>
      </c>
      <c r="P195" s="134">
        <f t="shared" si="47"/>
        <v>0.4</v>
      </c>
      <c r="Q195" s="134">
        <f t="shared" si="47"/>
        <v>0.4</v>
      </c>
      <c r="R195" s="134">
        <f t="shared" si="47"/>
        <v>0.4</v>
      </c>
      <c r="S195" s="134">
        <f t="shared" si="48"/>
        <v>0.4</v>
      </c>
      <c r="T195" s="134">
        <f t="shared" si="48"/>
        <v>0.4</v>
      </c>
      <c r="U195" s="134">
        <f t="shared" si="48"/>
        <v>0.4</v>
      </c>
      <c r="V195" s="134">
        <f t="shared" si="48"/>
        <v>0.4</v>
      </c>
      <c r="W195" s="134">
        <f t="shared" si="48"/>
        <v>0.4</v>
      </c>
      <c r="X195" s="134">
        <f t="shared" si="48"/>
        <v>0.4</v>
      </c>
      <c r="Y195" s="134">
        <f t="shared" si="48"/>
        <v>0.4</v>
      </c>
      <c r="Z195" s="134">
        <f t="shared" si="48"/>
        <v>0.4</v>
      </c>
      <c r="AA195" s="134">
        <f t="shared" si="48"/>
        <v>0.4</v>
      </c>
      <c r="AB195" s="134">
        <f t="shared" si="48"/>
        <v>0.4</v>
      </c>
      <c r="AC195" s="134">
        <f t="shared" si="48"/>
        <v>0.4</v>
      </c>
      <c r="AD195" s="134">
        <f t="shared" si="48"/>
        <v>0.4</v>
      </c>
      <c r="AE195" s="134">
        <f t="shared" si="48"/>
        <v>0.4</v>
      </c>
      <c r="AF195" s="134">
        <f t="shared" si="48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7"/>
        <v>0.64</v>
      </c>
      <c r="D196" s="143">
        <f t="shared" si="47"/>
        <v>0.64</v>
      </c>
      <c r="E196" s="143">
        <f t="shared" si="47"/>
        <v>0.64</v>
      </c>
      <c r="F196" s="143">
        <f t="shared" si="47"/>
        <v>0.64</v>
      </c>
      <c r="G196" s="143">
        <f t="shared" si="47"/>
        <v>0.64</v>
      </c>
      <c r="H196" s="143">
        <f t="shared" si="47"/>
        <v>0.64</v>
      </c>
      <c r="I196" s="143">
        <f t="shared" si="47"/>
        <v>0.64</v>
      </c>
      <c r="J196" s="143">
        <f t="shared" si="47"/>
        <v>0.64</v>
      </c>
      <c r="K196" s="143">
        <f t="shared" si="47"/>
        <v>0.64</v>
      </c>
      <c r="L196" s="143">
        <f t="shared" si="47"/>
        <v>0.64</v>
      </c>
      <c r="M196" s="143">
        <f t="shared" si="47"/>
        <v>0.64</v>
      </c>
      <c r="N196" s="143">
        <f t="shared" si="47"/>
        <v>0.64</v>
      </c>
      <c r="O196" s="143">
        <f t="shared" si="47"/>
        <v>0.64</v>
      </c>
      <c r="P196" s="143">
        <f t="shared" si="47"/>
        <v>0.64</v>
      </c>
      <c r="Q196" s="143">
        <f t="shared" si="47"/>
        <v>0.64</v>
      </c>
      <c r="R196" s="143">
        <f t="shared" si="47"/>
        <v>0.64</v>
      </c>
      <c r="S196" s="143">
        <f t="shared" si="48"/>
        <v>0.64</v>
      </c>
      <c r="T196" s="143">
        <f t="shared" si="48"/>
        <v>0.64</v>
      </c>
      <c r="U196" s="143">
        <f t="shared" si="48"/>
        <v>0.64</v>
      </c>
      <c r="V196" s="143">
        <f t="shared" si="48"/>
        <v>0.64</v>
      </c>
      <c r="W196" s="143">
        <f t="shared" si="48"/>
        <v>0.64</v>
      </c>
      <c r="X196" s="143">
        <f t="shared" si="48"/>
        <v>0.64</v>
      </c>
      <c r="Y196" s="143">
        <f t="shared" si="48"/>
        <v>0.64</v>
      </c>
      <c r="Z196" s="143">
        <f t="shared" si="48"/>
        <v>0.64</v>
      </c>
      <c r="AA196" s="143">
        <f t="shared" si="48"/>
        <v>0.64</v>
      </c>
      <c r="AB196" s="143">
        <f t="shared" si="48"/>
        <v>0.64</v>
      </c>
      <c r="AC196" s="143">
        <f t="shared" si="48"/>
        <v>0.64</v>
      </c>
      <c r="AD196" s="143">
        <f t="shared" si="48"/>
        <v>0.64</v>
      </c>
      <c r="AE196" s="143">
        <f t="shared" si="48"/>
        <v>0.64</v>
      </c>
      <c r="AF196" s="143">
        <f t="shared" si="48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9">SUM(C191:C196)</f>
        <v>3.54</v>
      </c>
      <c r="D197" s="146">
        <f t="shared" si="49"/>
        <v>3.54</v>
      </c>
      <c r="E197" s="146">
        <f t="shared" si="49"/>
        <v>3.54</v>
      </c>
      <c r="F197" s="146">
        <f t="shared" si="49"/>
        <v>3.54</v>
      </c>
      <c r="G197" s="146">
        <f t="shared" si="49"/>
        <v>3.54</v>
      </c>
      <c r="H197" s="146">
        <f t="shared" si="49"/>
        <v>3.54</v>
      </c>
      <c r="I197" s="146">
        <f t="shared" si="49"/>
        <v>3.54</v>
      </c>
      <c r="J197" s="146">
        <f t="shared" si="49"/>
        <v>3.54</v>
      </c>
      <c r="K197" s="146">
        <f t="shared" si="49"/>
        <v>3.54</v>
      </c>
      <c r="L197" s="146">
        <f>SUM(L191:L196)</f>
        <v>3.54</v>
      </c>
      <c r="M197" s="146">
        <f t="shared" ref="M197:R197" si="50">SUM(M191:M196)</f>
        <v>3.54</v>
      </c>
      <c r="N197" s="146">
        <f t="shared" si="50"/>
        <v>3.54</v>
      </c>
      <c r="O197" s="146">
        <f t="shared" si="50"/>
        <v>3.54</v>
      </c>
      <c r="P197" s="146">
        <f t="shared" si="50"/>
        <v>3.54</v>
      </c>
      <c r="Q197" s="146">
        <f t="shared" si="50"/>
        <v>3.54</v>
      </c>
      <c r="R197" s="146">
        <f t="shared" si="50"/>
        <v>3.54</v>
      </c>
      <c r="S197" s="146">
        <f>SUM(S191:S196)</f>
        <v>3.54</v>
      </c>
      <c r="T197" s="146">
        <f t="shared" ref="T197:AG197" si="51">SUM(T191:T196)</f>
        <v>3.54</v>
      </c>
      <c r="U197" s="146">
        <f t="shared" si="51"/>
        <v>3.54</v>
      </c>
      <c r="V197" s="146">
        <f t="shared" si="51"/>
        <v>3.54</v>
      </c>
      <c r="W197" s="146">
        <f t="shared" si="51"/>
        <v>3.54</v>
      </c>
      <c r="X197" s="146">
        <f t="shared" si="51"/>
        <v>3.54</v>
      </c>
      <c r="Y197" s="146">
        <f t="shared" si="51"/>
        <v>3.54</v>
      </c>
      <c r="Z197" s="146">
        <f t="shared" si="51"/>
        <v>3.54</v>
      </c>
      <c r="AA197" s="146">
        <f t="shared" si="51"/>
        <v>3.54</v>
      </c>
      <c r="AB197" s="146">
        <f t="shared" si="51"/>
        <v>3.54</v>
      </c>
      <c r="AC197" s="146">
        <f t="shared" si="51"/>
        <v>3.54</v>
      </c>
      <c r="AD197" s="146">
        <f t="shared" si="51"/>
        <v>3.54</v>
      </c>
      <c r="AE197" s="146">
        <f t="shared" si="51"/>
        <v>3.54</v>
      </c>
      <c r="AF197" s="146">
        <f t="shared" si="51"/>
        <v>3.54</v>
      </c>
      <c r="AG197" s="147">
        <f t="shared" si="51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1005.24</v>
      </c>
      <c r="C206" s="161">
        <f>INDEX(F9:M9,1,MATCH(MAX(F73:M73),F73:M73,0))</f>
        <v>0.22916666666666666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27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2078/04/27)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2078/04/27)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2">B73</f>
        <v>1063.04</v>
      </c>
      <c r="U211" s="170">
        <f t="shared" si="52"/>
        <v>1006.74</v>
      </c>
      <c r="V211" s="170">
        <f t="shared" si="52"/>
        <v>999.1400000000001</v>
      </c>
      <c r="W211" s="170">
        <f t="shared" si="52"/>
        <v>984.64</v>
      </c>
      <c r="X211" s="170">
        <f t="shared" si="52"/>
        <v>987.54</v>
      </c>
      <c r="Y211" s="170">
        <f t="shared" si="52"/>
        <v>1005.24</v>
      </c>
      <c r="Z211" s="170">
        <f t="shared" si="52"/>
        <v>985.74</v>
      </c>
      <c r="AA211" s="170">
        <f t="shared" si="52"/>
        <v>967.24</v>
      </c>
      <c r="AB211" s="170">
        <f t="shared" si="52"/>
        <v>969.6400000000001</v>
      </c>
      <c r="AC211" s="170">
        <f t="shared" si="52"/>
        <v>972.04</v>
      </c>
      <c r="AD211" s="170">
        <f t="shared" si="52"/>
        <v>989.44</v>
      </c>
      <c r="AE211" s="170">
        <f t="shared" si="52"/>
        <v>998.64</v>
      </c>
      <c r="AF211" s="170">
        <f t="shared" si="52"/>
        <v>1003.54</v>
      </c>
      <c r="AG211" s="170">
        <f t="shared" si="52"/>
        <v>1052.8399999999999</v>
      </c>
      <c r="AH211" s="170">
        <f t="shared" si="52"/>
        <v>1031.24</v>
      </c>
      <c r="AI211" s="170">
        <f t="shared" si="52"/>
        <v>1002.24</v>
      </c>
      <c r="AJ211" s="170">
        <f t="shared" si="52"/>
        <v>1013.99</v>
      </c>
      <c r="AK211" s="170">
        <f t="shared" si="52"/>
        <v>971.09</v>
      </c>
      <c r="AL211" s="170">
        <f t="shared" si="52"/>
        <v>989.29</v>
      </c>
      <c r="AM211" s="170">
        <f t="shared" si="52"/>
        <v>996.19</v>
      </c>
      <c r="AN211" s="170">
        <f t="shared" si="52"/>
        <v>1068.29</v>
      </c>
      <c r="AO211" s="170">
        <f t="shared" si="52"/>
        <v>1200.8399999999999</v>
      </c>
      <c r="AP211" s="170">
        <f t="shared" si="52"/>
        <v>1298.04</v>
      </c>
      <c r="AQ211" s="170">
        <f t="shared" si="52"/>
        <v>1293.04</v>
      </c>
      <c r="AR211" s="170">
        <f t="shared" si="52"/>
        <v>1285.6400000000001</v>
      </c>
      <c r="AS211" s="170">
        <f t="shared" si="52"/>
        <v>1261.3400000000001</v>
      </c>
      <c r="AT211" s="170">
        <f t="shared" si="52"/>
        <v>1275.54</v>
      </c>
      <c r="AU211" s="170">
        <f t="shared" si="52"/>
        <v>1242.04</v>
      </c>
      <c r="AV211" s="170">
        <f t="shared" si="52"/>
        <v>1142.44</v>
      </c>
      <c r="AW211" s="170">
        <f t="shared" si="52"/>
        <v>1059.1400000000001</v>
      </c>
      <c r="AX211" s="170">
        <f t="shared" si="52"/>
        <v>1006.34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3">B196</f>
        <v>0.64</v>
      </c>
      <c r="C232" s="173">
        <f t="shared" si="53"/>
        <v>0.64</v>
      </c>
      <c r="D232" s="173">
        <f t="shared" si="53"/>
        <v>0.64</v>
      </c>
      <c r="E232" s="173">
        <f t="shared" si="53"/>
        <v>0.64</v>
      </c>
      <c r="F232" s="173">
        <f t="shared" si="53"/>
        <v>0.64</v>
      </c>
      <c r="G232" s="173">
        <f t="shared" si="53"/>
        <v>0.64</v>
      </c>
      <c r="H232" s="173">
        <f t="shared" si="53"/>
        <v>0.64</v>
      </c>
      <c r="I232" s="173">
        <f t="shared" si="53"/>
        <v>0.64</v>
      </c>
      <c r="J232" s="173">
        <f t="shared" si="53"/>
        <v>0.64</v>
      </c>
      <c r="K232" s="173">
        <f t="shared" si="53"/>
        <v>0.64</v>
      </c>
      <c r="L232" s="173">
        <f t="shared" si="53"/>
        <v>0.64</v>
      </c>
      <c r="M232" s="173">
        <f t="shared" si="53"/>
        <v>0.64</v>
      </c>
      <c r="N232" s="173">
        <f t="shared" si="53"/>
        <v>0.64</v>
      </c>
      <c r="O232" s="173">
        <f t="shared" si="53"/>
        <v>0.64</v>
      </c>
      <c r="P232" s="173">
        <f t="shared" si="53"/>
        <v>0.64</v>
      </c>
      <c r="Q232" s="173">
        <f t="shared" si="53"/>
        <v>0.64</v>
      </c>
      <c r="R232" s="173">
        <f t="shared" si="53"/>
        <v>0.64</v>
      </c>
      <c r="S232" s="173">
        <f t="shared" si="53"/>
        <v>0.64</v>
      </c>
      <c r="T232" s="173">
        <f t="shared" si="53"/>
        <v>0.64</v>
      </c>
      <c r="U232" s="173">
        <f t="shared" si="53"/>
        <v>0.64</v>
      </c>
      <c r="V232" s="173">
        <f t="shared" si="53"/>
        <v>0.64</v>
      </c>
      <c r="W232" s="173">
        <f t="shared" si="53"/>
        <v>0.64</v>
      </c>
      <c r="X232" s="173">
        <f t="shared" si="53"/>
        <v>0.64</v>
      </c>
      <c r="Y232" s="173">
        <f t="shared" si="53"/>
        <v>0.64</v>
      </c>
      <c r="Z232" s="173">
        <f t="shared" si="53"/>
        <v>0.64</v>
      </c>
      <c r="AA232" s="173">
        <f t="shared" si="53"/>
        <v>0.64</v>
      </c>
      <c r="AB232" s="173">
        <f t="shared" si="53"/>
        <v>0.64</v>
      </c>
      <c r="AC232" s="173">
        <f t="shared" si="53"/>
        <v>0.64</v>
      </c>
      <c r="AD232" s="173">
        <f t="shared" si="53"/>
        <v>0.64</v>
      </c>
      <c r="AE232" s="173">
        <f t="shared" si="53"/>
        <v>0.64</v>
      </c>
      <c r="AF232" s="173">
        <f t="shared" si="53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4">IF(C200&lt;100,"",C200-520)</f>
        <v/>
      </c>
      <c r="D233" s="117" t="str">
        <f t="shared" si="54"/>
        <v/>
      </c>
      <c r="E233" s="117" t="str">
        <f t="shared" si="54"/>
        <v/>
      </c>
      <c r="F233" s="117" t="str">
        <f t="shared" si="54"/>
        <v/>
      </c>
      <c r="G233" s="117" t="str">
        <f t="shared" si="54"/>
        <v/>
      </c>
      <c r="H233" s="117" t="str">
        <f t="shared" si="54"/>
        <v/>
      </c>
      <c r="I233" s="117" t="str">
        <f t="shared" si="54"/>
        <v/>
      </c>
      <c r="J233" s="117" t="str">
        <f t="shared" si="54"/>
        <v/>
      </c>
      <c r="K233" s="117" t="str">
        <f t="shared" si="54"/>
        <v/>
      </c>
      <c r="L233" s="117" t="str">
        <f t="shared" si="54"/>
        <v/>
      </c>
      <c r="M233" s="117" t="str">
        <f t="shared" si="54"/>
        <v/>
      </c>
      <c r="N233" s="117" t="str">
        <f t="shared" si="54"/>
        <v/>
      </c>
      <c r="O233" s="117" t="str">
        <f t="shared" si="54"/>
        <v/>
      </c>
      <c r="P233" s="117" t="str">
        <f t="shared" si="54"/>
        <v/>
      </c>
      <c r="Q233" s="117" t="str">
        <f t="shared" si="54"/>
        <v/>
      </c>
      <c r="R233" s="117" t="str">
        <f t="shared" si="54"/>
        <v/>
      </c>
      <c r="S233" s="117" t="str">
        <f t="shared" si="54"/>
        <v/>
      </c>
      <c r="T233" s="117" t="str">
        <f t="shared" si="54"/>
        <v/>
      </c>
      <c r="U233" s="117" t="str">
        <f t="shared" si="54"/>
        <v/>
      </c>
      <c r="V233" s="117" t="str">
        <f t="shared" si="54"/>
        <v/>
      </c>
      <c r="W233" s="117" t="str">
        <f t="shared" si="54"/>
        <v/>
      </c>
      <c r="X233" s="117" t="str">
        <f t="shared" si="54"/>
        <v/>
      </c>
      <c r="Y233" s="117" t="str">
        <f t="shared" si="54"/>
        <v/>
      </c>
      <c r="Z233" s="117" t="str">
        <f t="shared" si="54"/>
        <v/>
      </c>
      <c r="AA233" s="117" t="str">
        <f t="shared" si="54"/>
        <v/>
      </c>
      <c r="AB233" s="117" t="str">
        <f t="shared" si="54"/>
        <v/>
      </c>
      <c r="AC233" s="117" t="str">
        <f t="shared" si="54"/>
        <v/>
      </c>
      <c r="AD233" s="117" t="str">
        <f t="shared" si="54"/>
        <v/>
      </c>
      <c r="AE233" s="117" t="str">
        <f t="shared" si="54"/>
        <v/>
      </c>
      <c r="AF233" s="117" t="str">
        <f t="shared" si="54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5">IF(B201&lt;100,"",B201-620)</f>
        <v/>
      </c>
      <c r="C234" s="117" t="str">
        <f t="shared" si="55"/>
        <v/>
      </c>
      <c r="D234" s="117" t="str">
        <f t="shared" si="55"/>
        <v/>
      </c>
      <c r="E234" s="117" t="str">
        <f t="shared" si="55"/>
        <v/>
      </c>
      <c r="F234" s="117" t="str">
        <f t="shared" si="55"/>
        <v/>
      </c>
      <c r="G234" s="117" t="str">
        <f t="shared" si="55"/>
        <v/>
      </c>
      <c r="H234" s="117" t="str">
        <f t="shared" si="55"/>
        <v/>
      </c>
      <c r="I234" s="117" t="str">
        <f t="shared" si="55"/>
        <v/>
      </c>
      <c r="J234" s="117" t="str">
        <f t="shared" si="55"/>
        <v/>
      </c>
      <c r="K234" s="117" t="str">
        <f t="shared" si="55"/>
        <v/>
      </c>
      <c r="L234" s="117" t="str">
        <f t="shared" si="55"/>
        <v/>
      </c>
      <c r="M234" s="117" t="str">
        <f t="shared" si="55"/>
        <v/>
      </c>
      <c r="N234" s="117" t="str">
        <f t="shared" si="55"/>
        <v/>
      </c>
      <c r="O234" s="117" t="str">
        <f t="shared" si="55"/>
        <v/>
      </c>
      <c r="P234" s="117" t="str">
        <f t="shared" si="55"/>
        <v/>
      </c>
      <c r="Q234" s="117" t="str">
        <f t="shared" si="55"/>
        <v/>
      </c>
      <c r="R234" s="117" t="str">
        <f t="shared" si="55"/>
        <v/>
      </c>
      <c r="S234" s="117" t="str">
        <f t="shared" si="55"/>
        <v/>
      </c>
      <c r="T234" s="117" t="str">
        <f t="shared" si="55"/>
        <v/>
      </c>
      <c r="U234" s="117" t="str">
        <f t="shared" si="55"/>
        <v/>
      </c>
      <c r="V234" s="117" t="str">
        <f t="shared" si="55"/>
        <v/>
      </c>
      <c r="W234" s="117" t="str">
        <f t="shared" si="55"/>
        <v/>
      </c>
      <c r="X234" s="117" t="str">
        <f t="shared" si="55"/>
        <v/>
      </c>
      <c r="Y234" s="117" t="str">
        <f t="shared" si="55"/>
        <v/>
      </c>
      <c r="Z234" s="117" t="str">
        <f t="shared" si="55"/>
        <v/>
      </c>
      <c r="AA234" s="117" t="str">
        <f t="shared" si="55"/>
        <v/>
      </c>
      <c r="AB234" s="117" t="str">
        <f t="shared" si="55"/>
        <v/>
      </c>
      <c r="AC234" s="117" t="str">
        <f t="shared" si="55"/>
        <v/>
      </c>
      <c r="AD234" s="117" t="str">
        <f t="shared" si="55"/>
        <v/>
      </c>
      <c r="AE234" s="117" t="str">
        <f t="shared" si="55"/>
        <v/>
      </c>
      <c r="AF234" s="117" t="str">
        <f t="shared" si="55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6">IF(B202&lt;100,"",B202-330)</f>
        <v/>
      </c>
      <c r="C235" s="117" t="str">
        <f t="shared" si="56"/>
        <v/>
      </c>
      <c r="D235" s="117" t="str">
        <f t="shared" si="56"/>
        <v/>
      </c>
      <c r="E235" s="117" t="str">
        <f t="shared" si="56"/>
        <v/>
      </c>
      <c r="F235" s="117" t="str">
        <f t="shared" si="56"/>
        <v/>
      </c>
      <c r="G235" s="117" t="str">
        <f t="shared" si="56"/>
        <v/>
      </c>
      <c r="H235" s="117" t="str">
        <f t="shared" si="56"/>
        <v/>
      </c>
      <c r="I235" s="117" t="str">
        <f t="shared" si="56"/>
        <v/>
      </c>
      <c r="J235" s="117" t="str">
        <f t="shared" si="56"/>
        <v/>
      </c>
      <c r="K235" s="117" t="str">
        <f t="shared" si="56"/>
        <v/>
      </c>
      <c r="L235" s="117" t="str">
        <f t="shared" si="56"/>
        <v/>
      </c>
      <c r="M235" s="117" t="str">
        <f t="shared" si="56"/>
        <v/>
      </c>
      <c r="N235" s="117" t="str">
        <f t="shared" si="56"/>
        <v/>
      </c>
      <c r="O235" s="117" t="str">
        <f t="shared" si="56"/>
        <v/>
      </c>
      <c r="P235" s="117" t="str">
        <f t="shared" si="56"/>
        <v/>
      </c>
      <c r="Q235" s="117" t="str">
        <f t="shared" si="56"/>
        <v/>
      </c>
      <c r="R235" s="117" t="str">
        <f t="shared" si="56"/>
        <v/>
      </c>
      <c r="S235" s="117" t="str">
        <f t="shared" si="56"/>
        <v/>
      </c>
      <c r="T235" s="117" t="str">
        <f t="shared" si="56"/>
        <v/>
      </c>
      <c r="U235" s="117" t="str">
        <f t="shared" si="56"/>
        <v/>
      </c>
      <c r="V235" s="117" t="str">
        <f t="shared" si="56"/>
        <v/>
      </c>
      <c r="W235" s="117" t="str">
        <f t="shared" si="56"/>
        <v/>
      </c>
      <c r="X235" s="117" t="str">
        <f t="shared" si="56"/>
        <v/>
      </c>
      <c r="Y235" s="117" t="str">
        <f t="shared" si="56"/>
        <v/>
      </c>
      <c r="Z235" s="117" t="str">
        <f t="shared" si="56"/>
        <v/>
      </c>
      <c r="AA235" s="117" t="str">
        <f t="shared" si="56"/>
        <v/>
      </c>
      <c r="AB235" s="117" t="str">
        <f t="shared" si="56"/>
        <v/>
      </c>
      <c r="AC235" s="117" t="str">
        <f t="shared" si="56"/>
        <v/>
      </c>
      <c r="AD235" s="117" t="str">
        <f t="shared" si="56"/>
        <v/>
      </c>
      <c r="AE235" s="117" t="str">
        <f t="shared" si="56"/>
        <v/>
      </c>
      <c r="AF235" s="117" t="str">
        <f t="shared" si="56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7">IF(C203&lt;100,"",C203-1500)</f>
        <v/>
      </c>
      <c r="D236" s="117" t="str">
        <f t="shared" si="57"/>
        <v/>
      </c>
      <c r="E236" s="117" t="str">
        <f t="shared" si="57"/>
        <v/>
      </c>
      <c r="F236" s="117" t="str">
        <f t="shared" si="57"/>
        <v/>
      </c>
      <c r="G236" s="117" t="str">
        <f t="shared" si="57"/>
        <v/>
      </c>
      <c r="H236" s="117" t="str">
        <f t="shared" si="57"/>
        <v/>
      </c>
      <c r="I236" s="117" t="str">
        <f t="shared" si="57"/>
        <v/>
      </c>
      <c r="J236" s="117" t="str">
        <f t="shared" si="57"/>
        <v/>
      </c>
      <c r="K236" s="117" t="str">
        <f t="shared" si="57"/>
        <v/>
      </c>
      <c r="L236" s="117" t="str">
        <f t="shared" si="57"/>
        <v/>
      </c>
      <c r="M236" s="117" t="str">
        <f t="shared" si="57"/>
        <v/>
      </c>
      <c r="N236" s="117" t="str">
        <f t="shared" si="57"/>
        <v/>
      </c>
      <c r="O236" s="117" t="str">
        <f t="shared" si="57"/>
        <v/>
      </c>
      <c r="P236" s="117" t="str">
        <f t="shared" si="57"/>
        <v/>
      </c>
      <c r="Q236" s="117" t="str">
        <f t="shared" si="57"/>
        <v/>
      </c>
      <c r="R236" s="117" t="str">
        <f t="shared" si="57"/>
        <v/>
      </c>
      <c r="S236" s="117" t="str">
        <f t="shared" si="57"/>
        <v/>
      </c>
      <c r="T236" s="117" t="str">
        <f t="shared" si="57"/>
        <v/>
      </c>
      <c r="U236" s="117" t="str">
        <f t="shared" si="57"/>
        <v/>
      </c>
      <c r="V236" s="117" t="str">
        <f t="shared" si="57"/>
        <v/>
      </c>
      <c r="W236" s="117" t="str">
        <f t="shared" si="57"/>
        <v/>
      </c>
      <c r="X236" s="117" t="str">
        <f t="shared" si="57"/>
        <v/>
      </c>
      <c r="Y236" s="117" t="str">
        <f t="shared" si="57"/>
        <v/>
      </c>
      <c r="Z236" s="117" t="str">
        <f t="shared" si="57"/>
        <v/>
      </c>
      <c r="AA236" s="117" t="str">
        <f t="shared" si="57"/>
        <v/>
      </c>
      <c r="AB236" s="117" t="str">
        <f t="shared" si="57"/>
        <v/>
      </c>
      <c r="AC236" s="117" t="str">
        <f t="shared" si="57"/>
        <v/>
      </c>
      <c r="AD236" s="117" t="str">
        <f t="shared" si="57"/>
        <v/>
      </c>
      <c r="AE236" s="117" t="str">
        <f t="shared" si="57"/>
        <v/>
      </c>
      <c r="AF236" s="117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060" priority="289">
      <formula>S$9&gt;=20/24</formula>
    </cfRule>
    <cfRule type="expression" dxfId="2059" priority="290">
      <formula>AND(S$9&gt;=14/24,S$9&lt;20/24)</formula>
    </cfRule>
    <cfRule type="expression" dxfId="2058" priority="291">
      <formula>AND(S$9&gt;=8/24,S$9&lt;14/24)</formula>
    </cfRule>
    <cfRule type="expression" dxfId="2057" priority="292">
      <formula>S$9&lt;8/24</formula>
    </cfRule>
  </conditionalFormatting>
  <conditionalFormatting sqref="B8:AF10 AA79:AF79 B79:Q79 B54:AF54 B80:AF80 C191:AF197 AE55:AF58 B66:AF70 B55:K57 M60:M65 T210:AX210 B58:N58 B59:M59 N59:N65 L56:Q57 Z38:AB39 B72:AF76 B78:AF78 B61:C65 O58:Q65 T56:V57 L35:S35 R56:S65 L37:T40 U38:Y40 Q11:AB11 AA40:AB41 M43:Z46 Z40 T60:Z65 W83:Z89 AA12:AB13 AA82:AF89 AC11:AD13 AA15:AD24 AC25:AD25 AE12:AF13 AA27:AF30 AE15:AF25 AC38:AF41 L51:AF53">
    <cfRule type="expression" dxfId="2056" priority="285">
      <formula>B$9&gt;=20/24</formula>
    </cfRule>
    <cfRule type="expression" dxfId="2055" priority="286">
      <formula>AND(B$9&gt;=14/24,B$9&lt;20/24)</formula>
    </cfRule>
    <cfRule type="expression" dxfId="2054" priority="287">
      <formula>AND(B$9&gt;=8/24,B$9&lt;14/24)</formula>
    </cfRule>
    <cfRule type="expression" dxfId="2053" priority="288">
      <formula>B$9&lt;8/24</formula>
    </cfRule>
  </conditionalFormatting>
  <conditionalFormatting sqref="B189:AF189">
    <cfRule type="expression" dxfId="2052" priority="281">
      <formula>B$9&gt;=20/24</formula>
    </cfRule>
    <cfRule type="expression" dxfId="2051" priority="282">
      <formula>AND(B$9&gt;=14/24,B$9&lt;20/24)</formula>
    </cfRule>
    <cfRule type="expression" dxfId="2050" priority="283">
      <formula>AND(B$9&gt;=8/24,B$9&lt;14/24)</formula>
    </cfRule>
    <cfRule type="expression" dxfId="2049" priority="284">
      <formula>B$9&lt;8/24</formula>
    </cfRule>
  </conditionalFormatting>
  <conditionalFormatting sqref="AL4:AL6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L55:S55">
    <cfRule type="expression" dxfId="2048" priority="276">
      <formula>L$9&gt;=20/24</formula>
    </cfRule>
    <cfRule type="expression" dxfId="2047" priority="277">
      <formula>AND(L$9&gt;=14/24,L$9&lt;20/24)</formula>
    </cfRule>
    <cfRule type="expression" dxfId="2046" priority="278">
      <formula>AND(L$9&gt;=8/24,L$9&lt;14/24)</formula>
    </cfRule>
    <cfRule type="expression" dxfId="2045" priority="279">
      <formula>L$9&lt;8/24</formula>
    </cfRule>
  </conditionalFormatting>
  <conditionalFormatting sqref="L41:U41">
    <cfRule type="expression" dxfId="2044" priority="272">
      <formula>L$9&gt;=20/24</formula>
    </cfRule>
    <cfRule type="expression" dxfId="2043" priority="273">
      <formula>AND(L$9&gt;=14/24,L$9&lt;20/24)</formula>
    </cfRule>
    <cfRule type="expression" dxfId="2042" priority="274">
      <formula>AND(L$9&gt;=8/24,L$9&lt;14/24)</formula>
    </cfRule>
    <cfRule type="expression" dxfId="2041" priority="275">
      <formula>L$9&lt;8/24</formula>
    </cfRule>
  </conditionalFormatting>
  <conditionalFormatting sqref="AA31:AF31">
    <cfRule type="expression" dxfId="2040" priority="268">
      <formula>AA$9&gt;=20/24</formula>
    </cfRule>
    <cfRule type="expression" dxfId="2039" priority="269">
      <formula>AND(AA$9&gt;=14/24,AA$9&lt;20/24)</formula>
    </cfRule>
    <cfRule type="expression" dxfId="2038" priority="270">
      <formula>AND(AA$9&gt;=8/24,AA$9&lt;14/24)</formula>
    </cfRule>
    <cfRule type="expression" dxfId="2037" priority="271">
      <formula>AA$9&lt;8/24</formula>
    </cfRule>
  </conditionalFormatting>
  <conditionalFormatting sqref="U37:AF37">
    <cfRule type="expression" dxfId="2036" priority="264">
      <formula>U$9&gt;=20/24</formula>
    </cfRule>
    <cfRule type="expression" dxfId="2035" priority="265">
      <formula>AND(U$9&gt;=14/24,U$9&lt;20/24)</formula>
    </cfRule>
    <cfRule type="expression" dxfId="2034" priority="266">
      <formula>AND(U$9&gt;=8/24,U$9&lt;14/24)</formula>
    </cfRule>
    <cfRule type="expression" dxfId="2033" priority="267">
      <formula>U$9&lt;8/24</formula>
    </cfRule>
  </conditionalFormatting>
  <conditionalFormatting sqref="T55:AD55">
    <cfRule type="expression" dxfId="2032" priority="260">
      <formula>T$9&gt;=20/24</formula>
    </cfRule>
    <cfRule type="expression" dxfId="2031" priority="261">
      <formula>AND(T$9&gt;=14/24,T$9&lt;20/24)</formula>
    </cfRule>
    <cfRule type="expression" dxfId="2030" priority="262">
      <formula>AND(T$9&gt;=8/24,T$9&lt;14/24)</formula>
    </cfRule>
    <cfRule type="expression" dxfId="2029" priority="263">
      <formula>T$9&lt;8/24</formula>
    </cfRule>
  </conditionalFormatting>
  <conditionalFormatting sqref="R79:Z79">
    <cfRule type="expression" dxfId="2028" priority="256">
      <formula>R$9&gt;=20/24</formula>
    </cfRule>
    <cfRule type="expression" dxfId="2027" priority="257">
      <formula>AND(R$9&gt;=14/24,R$9&lt;20/24)</formula>
    </cfRule>
    <cfRule type="expression" dxfId="2026" priority="258">
      <formula>AND(R$9&gt;=8/24,R$9&lt;14/24)</formula>
    </cfRule>
    <cfRule type="expression" dxfId="2025" priority="259">
      <formula>R$9&lt;8/24</formula>
    </cfRule>
  </conditionalFormatting>
  <conditionalFormatting sqref="T82:Z82">
    <cfRule type="expression" dxfId="2024" priority="252">
      <formula>T$9&gt;=20/24</formula>
    </cfRule>
    <cfRule type="expression" dxfId="2023" priority="253">
      <formula>AND(T$9&gt;=14/24,T$9&lt;20/24)</formula>
    </cfRule>
    <cfRule type="expression" dxfId="2022" priority="254">
      <formula>AND(T$9&gt;=8/24,T$9&lt;14/24)</formula>
    </cfRule>
    <cfRule type="expression" dxfId="2021" priority="255">
      <formula>T$9&lt;8/24</formula>
    </cfRule>
  </conditionalFormatting>
  <conditionalFormatting sqref="L47:Z47">
    <cfRule type="expression" dxfId="2020" priority="244">
      <formula>L$9&gt;=20/24</formula>
    </cfRule>
    <cfRule type="expression" dxfId="2019" priority="245">
      <formula>AND(L$9&gt;=14/24,L$9&lt;20/24)</formula>
    </cfRule>
    <cfRule type="expression" dxfId="2018" priority="246">
      <formula>AND(L$9&gt;=8/24,L$9&lt;14/24)</formula>
    </cfRule>
    <cfRule type="expression" dxfId="2017" priority="247">
      <formula>L$9&lt;8/24</formula>
    </cfRule>
  </conditionalFormatting>
  <conditionalFormatting sqref="L48:Z48">
    <cfRule type="expression" dxfId="2016" priority="240">
      <formula>L$9&gt;=20/24</formula>
    </cfRule>
    <cfRule type="expression" dxfId="2015" priority="241">
      <formula>AND(L$9&gt;=14/24,L$9&lt;20/24)</formula>
    </cfRule>
    <cfRule type="expression" dxfId="2014" priority="242">
      <formula>AND(L$9&gt;=8/24,L$9&lt;14/24)</formula>
    </cfRule>
    <cfRule type="expression" dxfId="2013" priority="243">
      <formula>L$9&lt;8/24</formula>
    </cfRule>
  </conditionalFormatting>
  <conditionalFormatting sqref="L43:Z46">
    <cfRule type="expression" dxfId="2012" priority="236">
      <formula>L$9&gt;=20/24</formula>
    </cfRule>
    <cfRule type="expression" dxfId="2011" priority="237">
      <formula>AND(L$9&gt;=14/24,L$9&lt;20/24)</formula>
    </cfRule>
    <cfRule type="expression" dxfId="2010" priority="238">
      <formula>AND(L$9&gt;=8/24,L$9&lt;14/24)</formula>
    </cfRule>
    <cfRule type="expression" dxfId="2009" priority="239">
      <formula>L$9&lt;8/24</formula>
    </cfRule>
  </conditionalFormatting>
  <conditionalFormatting sqref="T35:AF35">
    <cfRule type="expression" dxfId="2008" priority="232">
      <formula>T$9&gt;=20/24</formula>
    </cfRule>
    <cfRule type="expression" dxfId="2007" priority="233">
      <formula>AND(T$9&gt;=14/24,T$9&lt;20/24)</formula>
    </cfRule>
    <cfRule type="expression" dxfId="2006" priority="234">
      <formula>AND(T$9&gt;=8/24,T$9&lt;14/24)</formula>
    </cfRule>
    <cfRule type="expression" dxfId="2005" priority="235">
      <formula>T$9&lt;8/24</formula>
    </cfRule>
  </conditionalFormatting>
  <conditionalFormatting sqref="AA33:AF33">
    <cfRule type="expression" dxfId="2004" priority="228">
      <formula>AA$9&gt;=20/24</formula>
    </cfRule>
    <cfRule type="expression" dxfId="2003" priority="229">
      <formula>AND(AA$9&gt;=14/24,AA$9&lt;20/24)</formula>
    </cfRule>
    <cfRule type="expression" dxfId="2002" priority="230">
      <formula>AND(AA$9&gt;=8/24,AA$9&lt;14/24)</formula>
    </cfRule>
    <cfRule type="expression" dxfId="2001" priority="231">
      <formula>AA$9&lt;8/24</formula>
    </cfRule>
  </conditionalFormatting>
  <conditionalFormatting sqref="V41:Z41 V43:AF46">
    <cfRule type="expression" dxfId="2000" priority="224">
      <formula>V$9&gt;=20/24</formula>
    </cfRule>
    <cfRule type="expression" dxfId="1999" priority="225">
      <formula>AND(V$9&gt;=14/24,V$9&lt;20/24)</formula>
    </cfRule>
    <cfRule type="expression" dxfId="1998" priority="226">
      <formula>AND(V$9&gt;=8/24,V$9&lt;14/24)</formula>
    </cfRule>
    <cfRule type="expression" dxfId="1997" priority="227">
      <formula>V$9&lt;8/24</formula>
    </cfRule>
  </conditionalFormatting>
  <conditionalFormatting sqref="V47:AF47">
    <cfRule type="expression" dxfId="1996" priority="220">
      <formula>V$9&gt;=20/24</formula>
    </cfRule>
    <cfRule type="expression" dxfId="1995" priority="221">
      <formula>AND(V$9&gt;=14/24,V$9&lt;20/24)</formula>
    </cfRule>
    <cfRule type="expression" dxfId="1994" priority="222">
      <formula>AND(V$9&gt;=8/24,V$9&lt;14/24)</formula>
    </cfRule>
    <cfRule type="expression" dxfId="1993" priority="223">
      <formula>V$9&lt;8/24</formula>
    </cfRule>
  </conditionalFormatting>
  <conditionalFormatting sqref="V48:AF48">
    <cfRule type="expression" dxfId="1992" priority="216">
      <formula>V$9&gt;=20/24</formula>
    </cfRule>
    <cfRule type="expression" dxfId="1991" priority="217">
      <formula>AND(V$9&gt;=14/24,V$9&lt;20/24)</formula>
    </cfRule>
    <cfRule type="expression" dxfId="1990" priority="218">
      <formula>AND(V$9&gt;=8/24,V$9&lt;14/24)</formula>
    </cfRule>
    <cfRule type="expression" dxfId="1989" priority="219">
      <formula>V$9&lt;8/24</formula>
    </cfRule>
  </conditionalFormatting>
  <conditionalFormatting sqref="AE59:AF62 W58:AD59 AA60:AD62 AA63:AF65">
    <cfRule type="expression" dxfId="1988" priority="212">
      <formula>W$9&gt;=20/24</formula>
    </cfRule>
    <cfRule type="expression" dxfId="1987" priority="213">
      <formula>AND(W$9&gt;=14/24,W$9&lt;20/24)</formula>
    </cfRule>
    <cfRule type="expression" dxfId="1986" priority="214">
      <formula>AND(W$9&gt;=8/24,W$9&lt;14/24)</formula>
    </cfRule>
    <cfRule type="expression" dxfId="1985" priority="215">
      <formula>W$9&lt;8/24</formula>
    </cfRule>
  </conditionalFormatting>
  <conditionalFormatting sqref="AA92:AF95">
    <cfRule type="expression" dxfId="1984" priority="208">
      <formula>AA$9&gt;=20/24</formula>
    </cfRule>
    <cfRule type="expression" dxfId="1983" priority="209">
      <formula>AND(AA$9&gt;=14/24,AA$9&lt;20/24)</formula>
    </cfRule>
    <cfRule type="expression" dxfId="1982" priority="210">
      <formula>AND(AA$9&gt;=8/24,AA$9&lt;14/24)</formula>
    </cfRule>
    <cfRule type="expression" dxfId="1981" priority="211">
      <formula>AA$9&lt;8/24</formula>
    </cfRule>
  </conditionalFormatting>
  <conditionalFormatting sqref="J60:K65 B60:I60">
    <cfRule type="expression" dxfId="1980" priority="204">
      <formula>B$9&gt;=20/24</formula>
    </cfRule>
    <cfRule type="expression" dxfId="1979" priority="205">
      <formula>AND(B$9&gt;=14/24,B$9&lt;20/24)</formula>
    </cfRule>
    <cfRule type="expression" dxfId="1978" priority="206">
      <formula>AND(B$9&gt;=8/24,B$9&lt;14/24)</formula>
    </cfRule>
    <cfRule type="expression" dxfId="1977" priority="207">
      <formula>B$9&lt;8/24</formula>
    </cfRule>
  </conditionalFormatting>
  <conditionalFormatting sqref="T92:Z95">
    <cfRule type="expression" dxfId="1976" priority="200">
      <formula>T$9&gt;=20/24</formula>
    </cfRule>
    <cfRule type="expression" dxfId="1975" priority="201">
      <formula>AND(T$9&gt;=14/24,T$9&lt;20/24)</formula>
    </cfRule>
    <cfRule type="expression" dxfId="1974" priority="202">
      <formula>AND(T$9&gt;=8/24,T$9&lt;14/24)</formula>
    </cfRule>
    <cfRule type="expression" dxfId="1973" priority="203">
      <formula>T$9&lt;8/24</formula>
    </cfRule>
  </conditionalFormatting>
  <conditionalFormatting sqref="AG49 B15:K31 B11:K13 B33:K33 B34:S35 AA33:AA34 T35:AA35 T34:Z34 Q11:AE11 AA15:AD24 AA26:AD31 AC25:AD25 AA12:AE13 AB33:AF35 AE15:AF31 AF11:AF13 B36:AF41 B43:AF54">
    <cfRule type="expression" dxfId="1972" priority="199">
      <formula>B11&gt;$AG11</formula>
    </cfRule>
  </conditionalFormatting>
  <conditionalFormatting sqref="A98:A154 A82:A95 A11:A13 A15:A31 A43:A70 A78:A80 A72:A76 A33:A41 A167:A198">
    <cfRule type="expression" dxfId="1971" priority="198">
      <formula>$AH11=0</formula>
    </cfRule>
  </conditionalFormatting>
  <conditionalFormatting sqref="AA96:AF96">
    <cfRule type="expression" dxfId="1970" priority="194">
      <formula>AA$9&gt;=20/24</formula>
    </cfRule>
    <cfRule type="expression" dxfId="1969" priority="195">
      <formula>AND(AA$9&gt;=14/24,AA$9&lt;20/24)</formula>
    </cfRule>
    <cfRule type="expression" dxfId="1968" priority="196">
      <formula>AND(AA$9&gt;=8/24,AA$9&lt;14/24)</formula>
    </cfRule>
    <cfRule type="expression" dxfId="1967" priority="197">
      <formula>AA$9&lt;8/24</formula>
    </cfRule>
  </conditionalFormatting>
  <conditionalFormatting sqref="T96:Z96">
    <cfRule type="expression" dxfId="1966" priority="190">
      <formula>T$9&gt;=20/24</formula>
    </cfRule>
    <cfRule type="expression" dxfId="1965" priority="191">
      <formula>AND(T$9&gt;=14/24,T$9&lt;20/24)</formula>
    </cfRule>
    <cfRule type="expression" dxfId="1964" priority="192">
      <formula>AND(T$9&gt;=8/24,T$9&lt;14/24)</formula>
    </cfRule>
    <cfRule type="expression" dxfId="1963" priority="193">
      <formula>T$9&lt;8/24</formula>
    </cfRule>
  </conditionalFormatting>
  <conditionalFormatting sqref="A96">
    <cfRule type="expression" dxfId="1962" priority="189">
      <formula>$AH96=0</formula>
    </cfRule>
  </conditionalFormatting>
  <conditionalFormatting sqref="D34:AF34">
    <cfRule type="expression" dxfId="1961" priority="185">
      <formula>D$9&gt;=20/24</formula>
    </cfRule>
    <cfRule type="expression" dxfId="1960" priority="186">
      <formula>AND(D$9&gt;=14/24,D$9&lt;20/24)</formula>
    </cfRule>
    <cfRule type="expression" dxfId="1959" priority="187">
      <formula>AND(D$9&gt;=8/24,D$9&lt;14/24)</formula>
    </cfRule>
    <cfRule type="expression" dxfId="1958" priority="188">
      <formula>D$9&lt;8/24</formula>
    </cfRule>
  </conditionalFormatting>
  <conditionalFormatting sqref="AA34:AF34">
    <cfRule type="expression" dxfId="1957" priority="181">
      <formula>AA$9&gt;=20/24</formula>
    </cfRule>
    <cfRule type="expression" dxfId="1956" priority="182">
      <formula>AND(AA$9&gt;=14/24,AA$9&lt;20/24)</formula>
    </cfRule>
    <cfRule type="expression" dxfId="1955" priority="183">
      <formula>AND(AA$9&gt;=8/24,AA$9&lt;14/24)</formula>
    </cfRule>
    <cfRule type="expression" dxfId="1954" priority="184">
      <formula>AA$9&lt;8/24</formula>
    </cfRule>
  </conditionalFormatting>
  <conditionalFormatting sqref="B34:C34">
    <cfRule type="expression" dxfId="1953" priority="177">
      <formula>B$9&gt;=20/24</formula>
    </cfRule>
    <cfRule type="expression" dxfId="1952" priority="178">
      <formula>AND(B$9&gt;=14/24,B$9&lt;20/24)</formula>
    </cfRule>
    <cfRule type="expression" dxfId="1951" priority="179">
      <formula>AND(B$9&gt;=8/24,B$9&lt;14/24)</formula>
    </cfRule>
    <cfRule type="expression" dxfId="1950" priority="180">
      <formula>B$9&lt;8/24</formula>
    </cfRule>
  </conditionalFormatting>
  <conditionalFormatting sqref="D61:I65">
    <cfRule type="expression" dxfId="1949" priority="173">
      <formula>D$9&gt;=20/24</formula>
    </cfRule>
    <cfRule type="expression" dxfId="1948" priority="174">
      <formula>AND(D$9&gt;=14/24,D$9&lt;20/24)</formula>
    </cfRule>
    <cfRule type="expression" dxfId="1947" priority="175">
      <formula>AND(D$9&gt;=8/24,D$9&lt;14/24)</formula>
    </cfRule>
    <cfRule type="expression" dxfId="1946" priority="176">
      <formula>D$9&lt;8/24</formula>
    </cfRule>
  </conditionalFormatting>
  <conditionalFormatting sqref="L60:L65">
    <cfRule type="expression" dxfId="1945" priority="169">
      <formula>L$9&gt;=20/24</formula>
    </cfRule>
    <cfRule type="expression" dxfId="1944" priority="170">
      <formula>AND(L$9&gt;=14/24,L$9&lt;20/24)</formula>
    </cfRule>
    <cfRule type="expression" dxfId="1943" priority="171">
      <formula>AND(L$9&gt;=8/24,L$9&lt;14/24)</formula>
    </cfRule>
    <cfRule type="expression" dxfId="1942" priority="172">
      <formula>L$9&lt;8/24</formula>
    </cfRule>
  </conditionalFormatting>
  <conditionalFormatting sqref="AL31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2:AF32">
    <cfRule type="expression" dxfId="1941" priority="164">
      <formula>AA$9&gt;=20/24</formula>
    </cfRule>
    <cfRule type="expression" dxfId="1940" priority="165">
      <formula>AND(AA$9&gt;=14/24,AA$9&lt;20/24)</formula>
    </cfRule>
    <cfRule type="expression" dxfId="1939" priority="166">
      <formula>AND(AA$9&gt;=8/24,AA$9&lt;14/24)</formula>
    </cfRule>
    <cfRule type="expression" dxfId="1938" priority="167">
      <formula>AA$9&lt;8/24</formula>
    </cfRule>
  </conditionalFormatting>
  <conditionalFormatting sqref="B32:K32 AA32:AF32">
    <cfRule type="expression" dxfId="1937" priority="155">
      <formula>B32&gt;$AG32</formula>
    </cfRule>
  </conditionalFormatting>
  <conditionalFormatting sqref="A32">
    <cfRule type="expression" dxfId="1936" priority="154">
      <formula>$AH32=0</formula>
    </cfRule>
  </conditionalFormatting>
  <conditionalFormatting sqref="B81:AF81">
    <cfRule type="expression" dxfId="1935" priority="150">
      <formula>B$9&gt;=20/24</formula>
    </cfRule>
    <cfRule type="expression" dxfId="1934" priority="151">
      <formula>AND(B$9&gt;=14/24,B$9&lt;20/24)</formula>
    </cfRule>
    <cfRule type="expression" dxfId="1933" priority="152">
      <formula>AND(B$9&gt;=8/24,B$9&lt;14/24)</formula>
    </cfRule>
    <cfRule type="expression" dxfId="1932" priority="153">
      <formula>B$9&lt;8/24</formula>
    </cfRule>
  </conditionalFormatting>
  <conditionalFormatting sqref="A81">
    <cfRule type="expression" dxfId="1931" priority="149">
      <formula>$AH81=0</formula>
    </cfRule>
  </conditionalFormatting>
  <conditionalFormatting sqref="AA14:AF14">
    <cfRule type="expression" dxfId="1930" priority="145">
      <formula>AA$9&gt;=20/24</formula>
    </cfRule>
    <cfRule type="expression" dxfId="1929" priority="146">
      <formula>AND(AA$9&gt;=14/24,AA$9&lt;20/24)</formula>
    </cfRule>
    <cfRule type="expression" dxfId="1928" priority="147">
      <formula>AND(AA$9&gt;=8/24,AA$9&lt;14/24)</formula>
    </cfRule>
    <cfRule type="expression" dxfId="1927" priority="148">
      <formula>AA$9&lt;8/24</formula>
    </cfRule>
  </conditionalFormatting>
  <conditionalFormatting sqref="B14:K14 AA14:AF14">
    <cfRule type="expression" dxfId="1926" priority="140">
      <formula>B14&gt;$AG14</formula>
    </cfRule>
  </conditionalFormatting>
  <conditionalFormatting sqref="A14">
    <cfRule type="expression" dxfId="1925" priority="139">
      <formula>$AH14=0</formula>
    </cfRule>
  </conditionalFormatting>
  <conditionalFormatting sqref="A161:A166">
    <cfRule type="expression" dxfId="1924" priority="138">
      <formula>$AH161=0</formula>
    </cfRule>
  </conditionalFormatting>
  <conditionalFormatting sqref="A155:A160">
    <cfRule type="expression" dxfId="1923" priority="137">
      <formula>$AH155=0</formula>
    </cfRule>
  </conditionalFormatting>
  <conditionalFormatting sqref="AA42:AF42">
    <cfRule type="expression" dxfId="1922" priority="133">
      <formula>AA$9&gt;=20/24</formula>
    </cfRule>
    <cfRule type="expression" dxfId="1921" priority="134">
      <formula>AND(AA$9&gt;=14/24,AA$9&lt;20/24)</formula>
    </cfRule>
    <cfRule type="expression" dxfId="1920" priority="135">
      <formula>AND(AA$9&gt;=8/24,AA$9&lt;14/24)</formula>
    </cfRule>
    <cfRule type="expression" dxfId="1919" priority="136">
      <formula>AA$9&lt;8/24</formula>
    </cfRule>
  </conditionalFormatting>
  <conditionalFormatting sqref="L42:U42">
    <cfRule type="expression" dxfId="1918" priority="129">
      <formula>L$9&gt;=20/24</formula>
    </cfRule>
    <cfRule type="expression" dxfId="1917" priority="130">
      <formula>AND(L$9&gt;=14/24,L$9&lt;20/24)</formula>
    </cfRule>
    <cfRule type="expression" dxfId="1916" priority="131">
      <formula>AND(L$9&gt;=8/24,L$9&lt;14/24)</formula>
    </cfRule>
    <cfRule type="expression" dxfId="1915" priority="132">
      <formula>L$9&lt;8/24</formula>
    </cfRule>
  </conditionalFormatting>
  <conditionalFormatting sqref="V42:Z42">
    <cfRule type="expression" dxfId="1914" priority="125">
      <formula>V$9&gt;=20/24</formula>
    </cfRule>
    <cfRule type="expression" dxfId="1913" priority="126">
      <formula>AND(V$9&gt;=14/24,V$9&lt;20/24)</formula>
    </cfRule>
    <cfRule type="expression" dxfId="1912" priority="127">
      <formula>AND(V$9&gt;=8/24,V$9&lt;14/24)</formula>
    </cfRule>
    <cfRule type="expression" dxfId="1911" priority="128">
      <formula>V$9&lt;8/24</formula>
    </cfRule>
  </conditionalFormatting>
  <conditionalFormatting sqref="B42:AF42">
    <cfRule type="expression" dxfId="1910" priority="124">
      <formula>B42&gt;$AG42</formula>
    </cfRule>
  </conditionalFormatting>
  <conditionalFormatting sqref="A42">
    <cfRule type="expression" dxfId="1909" priority="123">
      <formula>$AH42=0</formula>
    </cfRule>
  </conditionalFormatting>
  <conditionalFormatting sqref="B77:AF77">
    <cfRule type="expression" dxfId="1908" priority="119">
      <formula>B$9&gt;=20/24</formula>
    </cfRule>
    <cfRule type="expression" dxfId="1907" priority="120">
      <formula>AND(B$9&gt;=14/24,B$9&lt;20/24)</formula>
    </cfRule>
    <cfRule type="expression" dxfId="1906" priority="121">
      <formula>AND(B$9&gt;=8/24,B$9&lt;14/24)</formula>
    </cfRule>
    <cfRule type="expression" dxfId="1905" priority="122">
      <formula>B$9&lt;8/24</formula>
    </cfRule>
  </conditionalFormatting>
  <conditionalFormatting sqref="A77">
    <cfRule type="expression" dxfId="1904" priority="118">
      <formula>$AH77=0</formula>
    </cfRule>
  </conditionalFormatting>
  <conditionalFormatting sqref="B71:AG71">
    <cfRule type="expression" dxfId="1903" priority="114">
      <formula>B$9&gt;=20/24</formula>
    </cfRule>
    <cfRule type="expression" dxfId="1902" priority="115">
      <formula>AND(B$9&gt;=14/24,B$9&lt;20/24)</formula>
    </cfRule>
    <cfRule type="expression" dxfId="1901" priority="116">
      <formula>AND(B$9&gt;=8/24,B$9&lt;14/24)</formula>
    </cfRule>
    <cfRule type="expression" dxfId="1900" priority="117">
      <formula>B$9&lt;8/24</formula>
    </cfRule>
  </conditionalFormatting>
  <conditionalFormatting sqref="A71">
    <cfRule type="expression" dxfId="1899" priority="113">
      <formula>$AH71=0</formula>
    </cfRule>
  </conditionalFormatting>
  <conditionalFormatting sqref="AL32:AL33 AL7:AL30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T58:V59">
    <cfRule type="expression" dxfId="1898" priority="109">
      <formula>T$9&gt;=20/24</formula>
    </cfRule>
    <cfRule type="expression" dxfId="1897" priority="110">
      <formula>AND(T$9&gt;=14/24,T$9&lt;20/24)</formula>
    </cfRule>
    <cfRule type="expression" dxfId="1896" priority="111">
      <formula>AND(T$9&gt;=8/24,T$9&lt;14/24)</formula>
    </cfRule>
    <cfRule type="expression" dxfId="1895" priority="112">
      <formula>T$9&lt;8/24</formula>
    </cfRule>
  </conditionalFormatting>
  <conditionalFormatting sqref="T83:V89">
    <cfRule type="expression" dxfId="1894" priority="105">
      <formula>T$9&gt;=20/24</formula>
    </cfRule>
    <cfRule type="expression" dxfId="1893" priority="106">
      <formula>AND(T$9&gt;=14/24,T$9&lt;20/24)</formula>
    </cfRule>
    <cfRule type="expression" dxfId="1892" priority="107">
      <formula>AND(T$9&gt;=8/24,T$9&lt;14/24)</formula>
    </cfRule>
    <cfRule type="expression" dxfId="1891" priority="108">
      <formula>T$9&lt;8/24</formula>
    </cfRule>
  </conditionalFormatting>
  <conditionalFormatting sqref="B82:S89">
    <cfRule type="expression" dxfId="1890" priority="101">
      <formula>B$9&gt;=20/24</formula>
    </cfRule>
    <cfRule type="expression" dxfId="1889" priority="102">
      <formula>AND(B$9&gt;=14/24,B$9&lt;20/24)</formula>
    </cfRule>
    <cfRule type="expression" dxfId="1888" priority="103">
      <formula>AND(B$9&gt;=8/24,B$9&lt;14/24)</formula>
    </cfRule>
    <cfRule type="expression" dxfId="1887" priority="104">
      <formula>B$9&lt;8/24</formula>
    </cfRule>
  </conditionalFormatting>
  <conditionalFormatting sqref="B93:L95 B92:E92">
    <cfRule type="expression" dxfId="1886" priority="93">
      <formula>B$9&gt;=20/24</formula>
    </cfRule>
    <cfRule type="expression" dxfId="1885" priority="94">
      <formula>AND(B$9&gt;=14/24,B$9&lt;20/24)</formula>
    </cfRule>
    <cfRule type="expression" dxfId="1884" priority="95">
      <formula>AND(B$9&gt;=8/24,B$9&lt;14/24)</formula>
    </cfRule>
    <cfRule type="expression" dxfId="1883" priority="96">
      <formula>B$9&lt;8/24</formula>
    </cfRule>
  </conditionalFormatting>
  <conditionalFormatting sqref="M93:Q95 N92:Q92 R92:S95">
    <cfRule type="expression" dxfId="1882" priority="89">
      <formula>M$9&gt;=20/24</formula>
    </cfRule>
    <cfRule type="expression" dxfId="1881" priority="90">
      <formula>AND(M$9&gt;=14/24,M$9&lt;20/24)</formula>
    </cfRule>
    <cfRule type="expression" dxfId="1880" priority="91">
      <formula>AND(M$9&gt;=8/24,M$9&lt;14/24)</formula>
    </cfRule>
    <cfRule type="expression" dxfId="1879" priority="92">
      <formula>M$9&lt;8/24</formula>
    </cfRule>
  </conditionalFormatting>
  <conditionalFormatting sqref="B96:L96">
    <cfRule type="expression" dxfId="1878" priority="81">
      <formula>B$9&gt;=20/24</formula>
    </cfRule>
    <cfRule type="expression" dxfId="1877" priority="82">
      <formula>AND(B$9&gt;=14/24,B$9&lt;20/24)</formula>
    </cfRule>
    <cfRule type="expression" dxfId="1876" priority="83">
      <formula>AND(B$9&gt;=8/24,B$9&lt;14/24)</formula>
    </cfRule>
    <cfRule type="expression" dxfId="1875" priority="84">
      <formula>B$9&lt;8/24</formula>
    </cfRule>
  </conditionalFormatting>
  <conditionalFormatting sqref="M96:S96">
    <cfRule type="expression" dxfId="1874" priority="77">
      <formula>M$9&gt;=20/24</formula>
    </cfRule>
    <cfRule type="expression" dxfId="1873" priority="78">
      <formula>AND(M$9&gt;=14/24,M$9&lt;20/24)</formula>
    </cfRule>
    <cfRule type="expression" dxfId="1872" priority="79">
      <formula>AND(M$9&gt;=8/24,M$9&lt;14/24)</formula>
    </cfRule>
    <cfRule type="expression" dxfId="1871" priority="80">
      <formula>M$9&lt;8/24</formula>
    </cfRule>
  </conditionalFormatting>
  <conditionalFormatting sqref="L92:M92">
    <cfRule type="expression" dxfId="1870" priority="69">
      <formula>L$9&gt;=20/24</formula>
    </cfRule>
    <cfRule type="expression" dxfId="1869" priority="70">
      <formula>AND(L$9&gt;=14/24,L$9&lt;20/24)</formula>
    </cfRule>
    <cfRule type="expression" dxfId="1868" priority="71">
      <formula>AND(L$9&gt;=8/24,L$9&lt;14/24)</formula>
    </cfRule>
    <cfRule type="expression" dxfId="1867" priority="72">
      <formula>L$9&lt;8/24</formula>
    </cfRule>
  </conditionalFormatting>
  <conditionalFormatting sqref="F92:K92">
    <cfRule type="expression" dxfId="1866" priority="65">
      <formula>F$9&gt;=20/24</formula>
    </cfRule>
    <cfRule type="expression" dxfId="1865" priority="66">
      <formula>AND(F$9&gt;=14/24,F$9&lt;20/24)</formula>
    </cfRule>
    <cfRule type="expression" dxfId="1864" priority="67">
      <formula>AND(F$9&gt;=8/24,F$9&lt;14/24)</formula>
    </cfRule>
    <cfRule type="expression" dxfId="1863" priority="68">
      <formula>F$9&lt;8/24</formula>
    </cfRule>
  </conditionalFormatting>
  <conditionalFormatting sqref="T92:V92">
    <cfRule type="expression" dxfId="1862" priority="61">
      <formula>T$9&gt;=20/24</formula>
    </cfRule>
    <cfRule type="expression" dxfId="1861" priority="62">
      <formula>AND(T$9&gt;=14/24,T$9&lt;20/24)</formula>
    </cfRule>
    <cfRule type="expression" dxfId="1860" priority="63">
      <formula>AND(T$9&gt;=8/24,T$9&lt;14/24)</formula>
    </cfRule>
    <cfRule type="expression" dxfId="1859" priority="64">
      <formula>T$9&lt;8/24</formula>
    </cfRule>
  </conditionalFormatting>
  <conditionalFormatting sqref="M92:S92">
    <cfRule type="expression" dxfId="1858" priority="57">
      <formula>M$9&gt;=20/24</formula>
    </cfRule>
    <cfRule type="expression" dxfId="1857" priority="58">
      <formula>AND(M$9&gt;=14/24,M$9&lt;20/24)</formula>
    </cfRule>
    <cfRule type="expression" dxfId="1856" priority="59">
      <formula>AND(M$9&gt;=8/24,M$9&lt;14/24)</formula>
    </cfRule>
    <cfRule type="expression" dxfId="1855" priority="60">
      <formula>M$9&lt;8/24</formula>
    </cfRule>
  </conditionalFormatting>
  <conditionalFormatting sqref="AA97:AF97">
    <cfRule type="expression" dxfId="1854" priority="53">
      <formula>AA$9&gt;=20/24</formula>
    </cfRule>
    <cfRule type="expression" dxfId="1853" priority="54">
      <formula>AND(AA$9&gt;=14/24,AA$9&lt;20/24)</formula>
    </cfRule>
    <cfRule type="expression" dxfId="1852" priority="55">
      <formula>AND(AA$9&gt;=8/24,AA$9&lt;14/24)</formula>
    </cfRule>
    <cfRule type="expression" dxfId="1851" priority="56">
      <formula>AA$9&lt;8/24</formula>
    </cfRule>
  </conditionalFormatting>
  <conditionalFormatting sqref="T97:Z97">
    <cfRule type="expression" dxfId="1850" priority="49">
      <formula>T$9&gt;=20/24</formula>
    </cfRule>
    <cfRule type="expression" dxfId="1849" priority="50">
      <formula>AND(T$9&gt;=14/24,T$9&lt;20/24)</formula>
    </cfRule>
    <cfRule type="expression" dxfId="1848" priority="51">
      <formula>AND(T$9&gt;=8/24,T$9&lt;14/24)</formula>
    </cfRule>
    <cfRule type="expression" dxfId="1847" priority="52">
      <formula>T$9&lt;8/24</formula>
    </cfRule>
  </conditionalFormatting>
  <conditionalFormatting sqref="A97">
    <cfRule type="expression" dxfId="1846" priority="48">
      <formula>$AH97=0</formula>
    </cfRule>
  </conditionalFormatting>
  <conditionalFormatting sqref="B97:L97">
    <cfRule type="expression" dxfId="1845" priority="44">
      <formula>B$9&gt;=20/24</formula>
    </cfRule>
    <cfRule type="expression" dxfId="1844" priority="45">
      <formula>AND(B$9&gt;=14/24,B$9&lt;20/24)</formula>
    </cfRule>
    <cfRule type="expression" dxfId="1843" priority="46">
      <formula>AND(B$9&gt;=8/24,B$9&lt;14/24)</formula>
    </cfRule>
    <cfRule type="expression" dxfId="1842" priority="47">
      <formula>B$9&lt;8/24</formula>
    </cfRule>
  </conditionalFormatting>
  <conditionalFormatting sqref="M97:S97">
    <cfRule type="expression" dxfId="1841" priority="40">
      <formula>M$9&gt;=20/24</formula>
    </cfRule>
    <cfRule type="expression" dxfId="1840" priority="41">
      <formula>AND(M$9&gt;=14/24,M$9&lt;20/24)</formula>
    </cfRule>
    <cfRule type="expression" dxfId="1839" priority="42">
      <formula>AND(M$9&gt;=8/24,M$9&lt;14/24)</formula>
    </cfRule>
    <cfRule type="expression" dxfId="1838" priority="43">
      <formula>M$9&lt;8/24</formula>
    </cfRule>
  </conditionalFormatting>
  <conditionalFormatting sqref="X15:Z15">
    <cfRule type="expression" dxfId="1837" priority="32">
      <formula>X$9&gt;=20/24</formula>
    </cfRule>
    <cfRule type="expression" dxfId="1836" priority="33">
      <formula>AND(X$9&gt;=14/24,X$9&lt;20/24)</formula>
    </cfRule>
    <cfRule type="expression" dxfId="1835" priority="34">
      <formula>AND(X$9&gt;=8/24,X$9&lt;14/24)</formula>
    </cfRule>
    <cfRule type="expression" dxfId="1834" priority="35">
      <formula>X$9&lt;8/24</formula>
    </cfRule>
  </conditionalFormatting>
  <conditionalFormatting sqref="AA56:AD57">
    <cfRule type="expression" dxfId="1833" priority="20">
      <formula>AA$9&gt;=20/24</formula>
    </cfRule>
    <cfRule type="expression" dxfId="1832" priority="21">
      <formula>AND(AA$9&gt;=14/24,AA$9&lt;20/24)</formula>
    </cfRule>
    <cfRule type="expression" dxfId="1831" priority="22">
      <formula>AND(AA$9&gt;=8/24,AA$9&lt;14/24)</formula>
    </cfRule>
    <cfRule type="expression" dxfId="1830" priority="23">
      <formula>AA$9&lt;8/24</formula>
    </cfRule>
  </conditionalFormatting>
  <conditionalFormatting sqref="L11:P13 L15:W31 Q12:Z13 X16:Z24 X26:Z31 X25:AB25">
    <cfRule type="expression" dxfId="1829" priority="16">
      <formula>L$9&gt;=20/24</formula>
    </cfRule>
    <cfRule type="expression" dxfId="1828" priority="17">
      <formula>AND(L$9&gt;=14/24,L$9&lt;20/24)</formula>
    </cfRule>
    <cfRule type="expression" dxfId="1827" priority="18">
      <formula>AND(L$9&gt;=8/24,L$9&lt;14/24)</formula>
    </cfRule>
    <cfRule type="expression" dxfId="1826" priority="19">
      <formula>L$9&lt;8/24</formula>
    </cfRule>
  </conditionalFormatting>
  <conditionalFormatting sqref="L33:Z33">
    <cfRule type="expression" dxfId="1825" priority="12">
      <formula>L$9&gt;=20/24</formula>
    </cfRule>
    <cfRule type="expression" dxfId="1824" priority="13">
      <formula>AND(L$9&gt;=14/24,L$9&lt;20/24)</formula>
    </cfRule>
    <cfRule type="expression" dxfId="1823" priority="14">
      <formula>AND(L$9&gt;=8/24,L$9&lt;14/24)</formula>
    </cfRule>
    <cfRule type="expression" dxfId="1822" priority="15">
      <formula>L$9&lt;8/24</formula>
    </cfRule>
  </conditionalFormatting>
  <conditionalFormatting sqref="L11:P13 L15:W31 Q12:Z13 L33:Z33 X16:Z24 X26:Z31 X25:AB25">
    <cfRule type="expression" dxfId="1821" priority="11">
      <formula>L11&gt;$AG11</formula>
    </cfRule>
  </conditionalFormatting>
  <conditionalFormatting sqref="L32:Z32">
    <cfRule type="expression" dxfId="1820" priority="7">
      <formula>L$9&gt;=20/24</formula>
    </cfRule>
    <cfRule type="expression" dxfId="1819" priority="8">
      <formula>AND(L$9&gt;=14/24,L$9&lt;20/24)</formula>
    </cfRule>
    <cfRule type="expression" dxfId="1818" priority="9">
      <formula>AND(L$9&gt;=8/24,L$9&lt;14/24)</formula>
    </cfRule>
    <cfRule type="expression" dxfId="1817" priority="10">
      <formula>L$9&lt;8/24</formula>
    </cfRule>
  </conditionalFormatting>
  <conditionalFormatting sqref="L32:Z32">
    <cfRule type="expression" dxfId="1816" priority="6">
      <formula>L32&gt;$AG32</formula>
    </cfRule>
  </conditionalFormatting>
  <conditionalFormatting sqref="L14:Z14">
    <cfRule type="expression" dxfId="1815" priority="2">
      <formula>L$9&gt;=20/24</formula>
    </cfRule>
    <cfRule type="expression" dxfId="1814" priority="3">
      <formula>AND(L$9&gt;=14/24,L$9&lt;20/24)</formula>
    </cfRule>
    <cfRule type="expression" dxfId="1813" priority="4">
      <formula>AND(L$9&gt;=8/24,L$9&lt;14/24)</formula>
    </cfRule>
    <cfRule type="expression" dxfId="1812" priority="5">
      <formula>L$9&lt;8/24</formula>
    </cfRule>
  </conditionalFormatting>
  <conditionalFormatting sqref="L14:Z14">
    <cfRule type="expression" dxfId="1811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A95" sqref="A95:XFD9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5" width="9" bestFit="1" customWidth="1"/>
    <col min="6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2078/04/28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-405</v>
      </c>
      <c r="C5" s="32">
        <f t="shared" ref="C5:AF5" si="0">C66</f>
        <v>-424.3</v>
      </c>
      <c r="D5" s="32">
        <f t="shared" si="0"/>
        <v>-418</v>
      </c>
      <c r="E5" s="32">
        <f t="shared" si="0"/>
        <v>-424.1</v>
      </c>
      <c r="F5" s="32">
        <f t="shared" si="0"/>
        <v>-408.8</v>
      </c>
      <c r="G5" s="32">
        <f t="shared" si="0"/>
        <v>-401.3</v>
      </c>
      <c r="H5" s="32">
        <f t="shared" si="0"/>
        <v>-445.6</v>
      </c>
      <c r="I5" s="32">
        <f t="shared" si="0"/>
        <v>-467.79999999999995</v>
      </c>
      <c r="J5" s="32">
        <f t="shared" si="0"/>
        <v>-472.2</v>
      </c>
      <c r="K5" s="32">
        <f t="shared" si="0"/>
        <v>-344.7</v>
      </c>
      <c r="L5" s="32">
        <f t="shared" si="0"/>
        <v>-284.10000000000002</v>
      </c>
      <c r="M5" s="32">
        <f t="shared" si="0"/>
        <v>-282.2</v>
      </c>
      <c r="N5" s="32">
        <f t="shared" si="0"/>
        <v>-293.2</v>
      </c>
      <c r="O5" s="32">
        <f t="shared" si="0"/>
        <v>-352.1</v>
      </c>
      <c r="P5" s="32">
        <f t="shared" si="0"/>
        <v>-348.7</v>
      </c>
      <c r="Q5" s="32">
        <f t="shared" si="0"/>
        <v>-321.5</v>
      </c>
      <c r="R5" s="32">
        <f t="shared" si="0"/>
        <v>-344.7</v>
      </c>
      <c r="S5" s="32">
        <f t="shared" si="0"/>
        <v>-371.09999999999997</v>
      </c>
      <c r="T5" s="32">
        <f t="shared" si="0"/>
        <v>-345.7</v>
      </c>
      <c r="U5" s="32">
        <f t="shared" si="0"/>
        <v>-111.69999999999999</v>
      </c>
      <c r="V5" s="32">
        <f t="shared" si="0"/>
        <v>-333.9</v>
      </c>
      <c r="W5" s="32">
        <f t="shared" si="0"/>
        <v>-313.40000000000003</v>
      </c>
      <c r="X5" s="32">
        <f t="shared" si="0"/>
        <v>-248.10000000000002</v>
      </c>
      <c r="Y5" s="32">
        <f t="shared" si="0"/>
        <v>-244</v>
      </c>
      <c r="Z5" s="32">
        <f t="shared" si="0"/>
        <v>-257.7</v>
      </c>
      <c r="AA5" s="32">
        <f t="shared" si="0"/>
        <v>-245.8</v>
      </c>
      <c r="AB5" s="32">
        <f t="shared" si="0"/>
        <v>-266.3</v>
      </c>
      <c r="AC5" s="32">
        <f t="shared" si="0"/>
        <v>-276.8</v>
      </c>
      <c r="AD5" s="32">
        <f t="shared" si="0"/>
        <v>-352.8</v>
      </c>
      <c r="AE5" s="32">
        <f t="shared" si="0"/>
        <v>-107.4</v>
      </c>
      <c r="AF5" s="32">
        <f t="shared" si="0"/>
        <v>-290.2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974MW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Load=857</v>
      </c>
      <c r="B7" s="37">
        <f t="shared" ref="B7:AF7" si="1">B73</f>
        <v>996.34</v>
      </c>
      <c r="C7" s="37">
        <f t="shared" si="1"/>
        <v>967.94</v>
      </c>
      <c r="D7" s="37">
        <f t="shared" si="1"/>
        <v>968.84000000000015</v>
      </c>
      <c r="E7" s="37">
        <f t="shared" si="1"/>
        <v>940.74000000000012</v>
      </c>
      <c r="F7" s="37">
        <f t="shared" si="1"/>
        <v>950.24000000000012</v>
      </c>
      <c r="G7" s="37">
        <f t="shared" si="1"/>
        <v>973.74</v>
      </c>
      <c r="H7" s="37">
        <f t="shared" si="1"/>
        <v>951.84000000000015</v>
      </c>
      <c r="I7" s="37">
        <f t="shared" si="1"/>
        <v>907.1400000000001</v>
      </c>
      <c r="J7" s="37">
        <f t="shared" si="1"/>
        <v>887.6400000000001</v>
      </c>
      <c r="K7" s="37">
        <f t="shared" si="1"/>
        <v>892.6400000000001</v>
      </c>
      <c r="L7" s="37">
        <f>L73</f>
        <v>914.24</v>
      </c>
      <c r="M7" s="37">
        <f t="shared" si="1"/>
        <v>906.04000000000008</v>
      </c>
      <c r="N7" s="37">
        <f t="shared" si="1"/>
        <v>887.54000000000008</v>
      </c>
      <c r="O7" s="37">
        <f t="shared" si="1"/>
        <v>879.04</v>
      </c>
      <c r="P7" s="37">
        <f t="shared" si="1"/>
        <v>911.04</v>
      </c>
      <c r="Q7" s="37">
        <f t="shared" si="1"/>
        <v>938.24</v>
      </c>
      <c r="R7" s="37">
        <f t="shared" si="1"/>
        <v>911.14</v>
      </c>
      <c r="S7" s="37">
        <f t="shared" si="1"/>
        <v>857.6400000000001</v>
      </c>
      <c r="T7" s="37">
        <f t="shared" si="1"/>
        <v>871.34</v>
      </c>
      <c r="U7" s="37">
        <f t="shared" si="1"/>
        <v>857.04</v>
      </c>
      <c r="V7" s="37">
        <f t="shared" si="1"/>
        <v>1030.3400000000001</v>
      </c>
      <c r="W7" s="37">
        <f t="shared" si="1"/>
        <v>1091.24</v>
      </c>
      <c r="X7" s="37">
        <f t="shared" si="1"/>
        <v>1225.54</v>
      </c>
      <c r="Y7" s="37">
        <f t="shared" si="1"/>
        <v>1214.04</v>
      </c>
      <c r="Z7" s="37">
        <f t="shared" si="1"/>
        <v>1201.3400000000001</v>
      </c>
      <c r="AA7" s="37">
        <f t="shared" si="1"/>
        <v>1197.2400000000002</v>
      </c>
      <c r="AB7" s="37">
        <f t="shared" si="1"/>
        <v>1160.3400000000001</v>
      </c>
      <c r="AC7" s="37">
        <f t="shared" si="1"/>
        <v>1149.7400000000002</v>
      </c>
      <c r="AD7" s="37">
        <f t="shared" si="1"/>
        <v>1067.5400000000002</v>
      </c>
      <c r="AE7" s="37">
        <f t="shared" si="1"/>
        <v>992.64</v>
      </c>
      <c r="AF7" s="37">
        <f t="shared" si="1"/>
        <v>1004.5400000000002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400</v>
      </c>
      <c r="C11" s="49">
        <v>400</v>
      </c>
      <c r="D11" s="49">
        <v>395</v>
      </c>
      <c r="E11" s="49">
        <v>395</v>
      </c>
      <c r="F11" s="49">
        <v>395</v>
      </c>
      <c r="G11" s="49">
        <v>395</v>
      </c>
      <c r="H11" s="49">
        <v>400</v>
      </c>
      <c r="I11" s="49">
        <v>400</v>
      </c>
      <c r="J11" s="49">
        <v>400</v>
      </c>
      <c r="K11" s="49">
        <v>300</v>
      </c>
      <c r="L11" s="50">
        <v>285</v>
      </c>
      <c r="M11" s="50">
        <v>300</v>
      </c>
      <c r="N11" s="50">
        <v>300</v>
      </c>
      <c r="O11" s="50">
        <v>350</v>
      </c>
      <c r="P11" s="50">
        <v>400</v>
      </c>
      <c r="Q11" s="53">
        <v>400</v>
      </c>
      <c r="R11" s="115">
        <v>400</v>
      </c>
      <c r="S11" s="115">
        <v>380</v>
      </c>
      <c r="T11" s="115">
        <v>350</v>
      </c>
      <c r="U11" s="115">
        <v>180</v>
      </c>
      <c r="V11" s="53">
        <v>456</v>
      </c>
      <c r="W11" s="115">
        <v>456</v>
      </c>
      <c r="X11" s="115">
        <v>456</v>
      </c>
      <c r="Y11" s="115">
        <v>456</v>
      </c>
      <c r="Z11" s="115">
        <v>456</v>
      </c>
      <c r="AA11" s="115">
        <v>440</v>
      </c>
      <c r="AB11" s="115">
        <v>450</v>
      </c>
      <c r="AC11" s="115">
        <v>450</v>
      </c>
      <c r="AD11" s="115">
        <v>450</v>
      </c>
      <c r="AE11" s="49">
        <v>180</v>
      </c>
      <c r="AF11" s="49">
        <v>350</v>
      </c>
      <c r="AG11" s="54">
        <v>456</v>
      </c>
      <c r="AH11" s="55">
        <f>MAX(B11:AF11)</f>
        <v>456</v>
      </c>
      <c r="AI11" s="56">
        <f>MIN(B11:AF11)</f>
        <v>180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59">
        <v>60</v>
      </c>
      <c r="V12" s="59">
        <v>60</v>
      </c>
      <c r="W12" s="59">
        <v>60</v>
      </c>
      <c r="X12" s="59">
        <v>60</v>
      </c>
      <c r="Y12" s="59">
        <v>60</v>
      </c>
      <c r="Z12" s="59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60</v>
      </c>
      <c r="AF12" s="49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46</v>
      </c>
      <c r="C14" s="62">
        <v>46</v>
      </c>
      <c r="D14" s="62">
        <v>46</v>
      </c>
      <c r="E14" s="62">
        <v>46</v>
      </c>
      <c r="F14" s="62">
        <v>40</v>
      </c>
      <c r="G14" s="62">
        <v>46</v>
      </c>
      <c r="H14" s="62">
        <v>46</v>
      </c>
      <c r="I14" s="62">
        <v>46</v>
      </c>
      <c r="J14" s="62">
        <v>46.1</v>
      </c>
      <c r="K14" s="62">
        <v>37</v>
      </c>
      <c r="L14" s="50">
        <v>37</v>
      </c>
      <c r="M14" s="50">
        <v>40.9</v>
      </c>
      <c r="N14" s="50">
        <v>40.9</v>
      </c>
      <c r="O14" s="50">
        <v>40.9</v>
      </c>
      <c r="P14" s="50">
        <v>40.9</v>
      </c>
      <c r="Q14" s="50">
        <v>40.9</v>
      </c>
      <c r="R14" s="50">
        <v>40.9</v>
      </c>
      <c r="S14" s="50">
        <v>40.9</v>
      </c>
      <c r="T14" s="50">
        <v>40.9</v>
      </c>
      <c r="U14" s="61">
        <v>40.9</v>
      </c>
      <c r="V14" s="61">
        <v>40.9</v>
      </c>
      <c r="W14" s="61">
        <v>45.9</v>
      </c>
      <c r="X14" s="61">
        <v>45.9</v>
      </c>
      <c r="Y14" s="61">
        <v>45.9</v>
      </c>
      <c r="Z14" s="61">
        <v>46</v>
      </c>
      <c r="AA14" s="50">
        <v>46</v>
      </c>
      <c r="AB14" s="50">
        <v>45.9</v>
      </c>
      <c r="AC14" s="50">
        <v>46</v>
      </c>
      <c r="AD14" s="50">
        <v>46</v>
      </c>
      <c r="AE14" s="50">
        <v>46</v>
      </c>
      <c r="AF14" s="50">
        <v>46</v>
      </c>
      <c r="AG14" s="63">
        <v>45</v>
      </c>
      <c r="AH14" s="55">
        <f t="shared" si="2"/>
        <v>46.1</v>
      </c>
      <c r="AI14" s="56">
        <f t="shared" si="3"/>
        <v>37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22</v>
      </c>
      <c r="N15" s="50">
        <v>22</v>
      </c>
      <c r="O15" s="50">
        <v>22</v>
      </c>
      <c r="P15" s="50">
        <v>22</v>
      </c>
      <c r="Q15" s="50">
        <v>22</v>
      </c>
      <c r="R15" s="50">
        <v>22</v>
      </c>
      <c r="S15" s="50">
        <v>22</v>
      </c>
      <c r="T15" s="50">
        <v>22</v>
      </c>
      <c r="U15" s="84">
        <v>22</v>
      </c>
      <c r="V15" s="84">
        <v>22</v>
      </c>
      <c r="W15" s="84">
        <v>26</v>
      </c>
      <c r="X15" s="84">
        <v>26</v>
      </c>
      <c r="Y15" s="84">
        <v>26</v>
      </c>
      <c r="Z15" s="84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24</v>
      </c>
      <c r="AF15" s="50">
        <v>24</v>
      </c>
      <c r="AG15" s="60">
        <v>45</v>
      </c>
      <c r="AH15" s="55">
        <f t="shared" si="2"/>
        <v>26</v>
      </c>
      <c r="AI15" s="56">
        <f t="shared" si="3"/>
        <v>22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61">
        <v>0</v>
      </c>
      <c r="V16" s="61">
        <v>0</v>
      </c>
      <c r="W16" s="61">
        <v>0</v>
      </c>
      <c r="X16" s="61">
        <v>25</v>
      </c>
      <c r="Y16" s="61">
        <v>25</v>
      </c>
      <c r="Z16" s="61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25.9</v>
      </c>
      <c r="C18" s="49">
        <v>22.5</v>
      </c>
      <c r="D18" s="49">
        <v>22.5</v>
      </c>
      <c r="E18" s="49">
        <v>22.5</v>
      </c>
      <c r="F18" s="49">
        <v>22.5</v>
      </c>
      <c r="G18" s="49">
        <v>22.5</v>
      </c>
      <c r="H18" s="49">
        <v>22.5</v>
      </c>
      <c r="I18" s="49">
        <v>22.5</v>
      </c>
      <c r="J18" s="49">
        <v>22.5</v>
      </c>
      <c r="K18" s="49">
        <v>22.5</v>
      </c>
      <c r="L18" s="50">
        <v>22.5</v>
      </c>
      <c r="M18" s="50">
        <v>22.3</v>
      </c>
      <c r="N18" s="50">
        <v>22.3</v>
      </c>
      <c r="O18" s="50">
        <v>22.3</v>
      </c>
      <c r="P18" s="50">
        <v>22.3</v>
      </c>
      <c r="Q18" s="50">
        <v>22.3</v>
      </c>
      <c r="R18" s="50">
        <v>22.3</v>
      </c>
      <c r="S18" s="50">
        <v>22.3</v>
      </c>
      <c r="T18" s="50">
        <v>22.3</v>
      </c>
      <c r="U18" s="50">
        <v>22.3</v>
      </c>
      <c r="V18" s="50">
        <v>22.3</v>
      </c>
      <c r="W18" s="50">
        <v>24.7</v>
      </c>
      <c r="X18" s="50">
        <v>24.7</v>
      </c>
      <c r="Y18" s="50">
        <v>24.7</v>
      </c>
      <c r="Z18" s="50">
        <v>25.7</v>
      </c>
      <c r="AA18" s="50">
        <v>25.7</v>
      </c>
      <c r="AB18" s="50">
        <v>25.7</v>
      </c>
      <c r="AC18" s="50">
        <v>25.7</v>
      </c>
      <c r="AD18" s="50">
        <v>25.7</v>
      </c>
      <c r="AE18" s="50">
        <v>25.7</v>
      </c>
      <c r="AF18" s="50">
        <v>25.7</v>
      </c>
      <c r="AG18" s="60">
        <v>30</v>
      </c>
      <c r="AH18" s="55">
        <f t="shared" si="2"/>
        <v>25.9</v>
      </c>
      <c r="AI18" s="56">
        <f t="shared" si="3"/>
        <v>22.3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15</v>
      </c>
      <c r="C22" s="50">
        <v>15</v>
      </c>
      <c r="D22" s="50">
        <v>15</v>
      </c>
      <c r="E22" s="50">
        <v>15</v>
      </c>
      <c r="F22" s="50">
        <v>15</v>
      </c>
      <c r="G22" s="50">
        <v>15</v>
      </c>
      <c r="H22" s="50">
        <v>15</v>
      </c>
      <c r="I22" s="50">
        <v>15</v>
      </c>
      <c r="J22" s="50">
        <v>15</v>
      </c>
      <c r="K22" s="50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60">
        <v>25</v>
      </c>
      <c r="AH22" s="55">
        <f t="shared" si="2"/>
        <v>15</v>
      </c>
      <c r="AI22" s="56">
        <f t="shared" si="3"/>
        <v>15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20</v>
      </c>
      <c r="AB23" s="50">
        <v>20</v>
      </c>
      <c r="AC23" s="50">
        <v>20</v>
      </c>
      <c r="AD23" s="50">
        <v>20</v>
      </c>
      <c r="AE23" s="50">
        <v>20</v>
      </c>
      <c r="AF23" s="50">
        <v>20</v>
      </c>
      <c r="AG23" s="60">
        <v>25</v>
      </c>
      <c r="AH23" s="55">
        <f t="shared" si="2"/>
        <v>22</v>
      </c>
      <c r="AI23" s="56">
        <f t="shared" si="3"/>
        <v>20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15</v>
      </c>
      <c r="C25" s="49">
        <v>15</v>
      </c>
      <c r="D25" s="49">
        <v>15</v>
      </c>
      <c r="E25" s="49">
        <v>15</v>
      </c>
      <c r="F25" s="49">
        <v>15</v>
      </c>
      <c r="G25" s="49">
        <v>15</v>
      </c>
      <c r="H25" s="49">
        <v>15</v>
      </c>
      <c r="I25" s="49">
        <v>15</v>
      </c>
      <c r="J25" s="49">
        <v>15</v>
      </c>
      <c r="K25" s="49">
        <v>15</v>
      </c>
      <c r="L25" s="50">
        <v>15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15</v>
      </c>
      <c r="Y25" s="50">
        <v>15</v>
      </c>
      <c r="Z25" s="50">
        <v>15</v>
      </c>
      <c r="AA25" s="50">
        <v>15</v>
      </c>
      <c r="AB25" s="50">
        <v>15</v>
      </c>
      <c r="AC25" s="50">
        <v>15</v>
      </c>
      <c r="AD25" s="50">
        <v>15</v>
      </c>
      <c r="AE25" s="50">
        <v>15</v>
      </c>
      <c r="AF25" s="50">
        <v>15</v>
      </c>
      <c r="AG25" s="60">
        <v>20</v>
      </c>
      <c r="AH25" s="55">
        <f>MAX(B25:AF25)</f>
        <v>15</v>
      </c>
      <c r="AI25" s="56">
        <f>MIN(B25:AF25)</f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8</v>
      </c>
      <c r="C26" s="49">
        <v>8</v>
      </c>
      <c r="D26" s="49">
        <v>8</v>
      </c>
      <c r="E26" s="49">
        <v>8</v>
      </c>
      <c r="F26" s="49">
        <v>8</v>
      </c>
      <c r="G26" s="49">
        <v>8</v>
      </c>
      <c r="H26" s="49">
        <v>8</v>
      </c>
      <c r="I26" s="49">
        <v>8</v>
      </c>
      <c r="J26" s="49">
        <v>8</v>
      </c>
      <c r="K26" s="49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49">
        <v>8</v>
      </c>
      <c r="AB26" s="49">
        <v>8</v>
      </c>
      <c r="AC26" s="49">
        <v>8</v>
      </c>
      <c r="AD26" s="49">
        <v>8</v>
      </c>
      <c r="AE26" s="49">
        <v>8</v>
      </c>
      <c r="AF26" s="49">
        <v>8</v>
      </c>
      <c r="AG26" s="60">
        <v>23.5</v>
      </c>
      <c r="AH26" s="55">
        <f t="shared" si="2"/>
        <v>8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11</v>
      </c>
      <c r="C28" s="49">
        <v>11</v>
      </c>
      <c r="D28" s="49">
        <v>11</v>
      </c>
      <c r="E28" s="49">
        <v>11</v>
      </c>
      <c r="F28" s="49">
        <v>11</v>
      </c>
      <c r="G28" s="49">
        <v>11</v>
      </c>
      <c r="H28" s="49">
        <v>11</v>
      </c>
      <c r="I28" s="49">
        <v>11</v>
      </c>
      <c r="J28" s="49">
        <v>11</v>
      </c>
      <c r="K28" s="49">
        <v>11</v>
      </c>
      <c r="L28" s="50">
        <v>11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10.7</v>
      </c>
      <c r="Y28" s="50">
        <v>10.7</v>
      </c>
      <c r="Z28" s="50">
        <v>10.7</v>
      </c>
      <c r="AA28" s="50">
        <v>10.7</v>
      </c>
      <c r="AB28" s="50">
        <v>10</v>
      </c>
      <c r="AC28" s="50">
        <v>10</v>
      </c>
      <c r="AD28" s="50">
        <v>10</v>
      </c>
      <c r="AE28" s="50">
        <v>10</v>
      </c>
      <c r="AF28" s="50">
        <v>10</v>
      </c>
      <c r="AG28" s="60">
        <v>22.1</v>
      </c>
      <c r="AH28" s="55">
        <f t="shared" si="2"/>
        <v>11</v>
      </c>
      <c r="AI28" s="56">
        <f t="shared" si="3"/>
        <v>5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190</v>
      </c>
      <c r="V34" s="62">
        <v>190</v>
      </c>
      <c r="W34" s="62">
        <v>190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190</v>
      </c>
      <c r="AK34" s="57"/>
    </row>
    <row r="35" spans="1:88" ht="15.75" thickBot="1" x14ac:dyDescent="0.3">
      <c r="A35" s="69" t="s">
        <v>42</v>
      </c>
      <c r="B35" s="62">
        <v>142</v>
      </c>
      <c r="C35" s="62">
        <f>64.9+83.5</f>
        <v>148.4</v>
      </c>
      <c r="D35" s="62">
        <f>64.9+83.5</f>
        <v>148.4</v>
      </c>
      <c r="E35" s="62">
        <v>149</v>
      </c>
      <c r="F35" s="62">
        <f>65+83</f>
        <v>148</v>
      </c>
      <c r="G35" s="62">
        <f>65+83</f>
        <v>148</v>
      </c>
      <c r="H35" s="62">
        <f>64.8+82.6</f>
        <v>147.39999999999998</v>
      </c>
      <c r="I35" s="62">
        <f>65.1+82</f>
        <v>147.1</v>
      </c>
      <c r="J35" s="62">
        <f>64.8+82</f>
        <v>146.80000000000001</v>
      </c>
      <c r="K35" s="62">
        <f>64.8+83.4</f>
        <v>148.19999999999999</v>
      </c>
      <c r="L35" s="70">
        <f>64.8+83.4</f>
        <v>148.19999999999999</v>
      </c>
      <c r="M35" s="70">
        <f>83.6+64.6</f>
        <v>148.19999999999999</v>
      </c>
      <c r="N35" s="70">
        <v>149</v>
      </c>
      <c r="O35" s="70">
        <v>149</v>
      </c>
      <c r="P35" s="70">
        <f>64.7+83.5</f>
        <v>148.19999999999999</v>
      </c>
      <c r="Q35" s="70">
        <f>64.7+83.5</f>
        <v>148.19999999999999</v>
      </c>
      <c r="R35" s="70">
        <v>146.6</v>
      </c>
      <c r="S35" s="70">
        <v>146.80000000000001</v>
      </c>
      <c r="T35" s="70">
        <v>146.69999999999999</v>
      </c>
      <c r="U35" s="70">
        <v>112.3</v>
      </c>
      <c r="V35" s="70">
        <v>108.5</v>
      </c>
      <c r="W35" s="70">
        <f>27.9+79.7</f>
        <v>107.6</v>
      </c>
      <c r="X35" s="70">
        <v>137</v>
      </c>
      <c r="Y35" s="70">
        <f>58.1+80</f>
        <v>138.1</v>
      </c>
      <c r="Z35" s="70">
        <f>58.2+80</f>
        <v>138.19999999999999</v>
      </c>
      <c r="AA35" s="70">
        <v>138.19999999999999</v>
      </c>
      <c r="AB35" s="70">
        <v>140</v>
      </c>
      <c r="AC35" s="70">
        <v>143.69999999999999</v>
      </c>
      <c r="AD35" s="70">
        <v>145</v>
      </c>
      <c r="AE35" s="62">
        <v>146</v>
      </c>
      <c r="AF35" s="62">
        <v>147</v>
      </c>
      <c r="AG35" s="67">
        <v>240</v>
      </c>
      <c r="AH35" s="55">
        <f t="shared" si="2"/>
        <v>149</v>
      </c>
      <c r="AI35" s="56">
        <f t="shared" si="3"/>
        <v>107.6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974.1</v>
      </c>
      <c r="C36" s="72">
        <f t="shared" si="4"/>
        <v>970.7</v>
      </c>
      <c r="D36" s="72">
        <f t="shared" si="4"/>
        <v>965.7</v>
      </c>
      <c r="E36" s="72">
        <f t="shared" si="4"/>
        <v>965.7</v>
      </c>
      <c r="F36" s="72">
        <f t="shared" si="4"/>
        <v>959.7</v>
      </c>
      <c r="G36" s="72">
        <f t="shared" si="4"/>
        <v>965.7</v>
      </c>
      <c r="H36" s="72">
        <f t="shared" si="4"/>
        <v>970.7</v>
      </c>
      <c r="I36" s="72">
        <f t="shared" si="4"/>
        <v>970.7</v>
      </c>
      <c r="J36" s="72">
        <f t="shared" si="4"/>
        <v>970.80000000000007</v>
      </c>
      <c r="K36" s="72">
        <f t="shared" si="4"/>
        <v>861.7</v>
      </c>
      <c r="L36" s="72">
        <f t="shared" si="4"/>
        <v>844.7</v>
      </c>
      <c r="M36" s="72">
        <f t="shared" si="4"/>
        <v>843.4</v>
      </c>
      <c r="N36" s="72">
        <f t="shared" si="4"/>
        <v>843.4</v>
      </c>
      <c r="O36" s="72">
        <f t="shared" si="4"/>
        <v>893.4</v>
      </c>
      <c r="P36" s="72">
        <f t="shared" si="4"/>
        <v>943.4</v>
      </c>
      <c r="Q36" s="72">
        <f t="shared" si="4"/>
        <v>943.4</v>
      </c>
      <c r="R36" s="72">
        <f t="shared" si="4"/>
        <v>943.4</v>
      </c>
      <c r="S36" s="72">
        <f t="shared" si="4"/>
        <v>923.4</v>
      </c>
      <c r="T36" s="72">
        <f t="shared" si="4"/>
        <v>893.4</v>
      </c>
      <c r="U36" s="72">
        <f t="shared" si="4"/>
        <v>688.4</v>
      </c>
      <c r="V36" s="72">
        <f t="shared" si="4"/>
        <v>964.4</v>
      </c>
      <c r="W36" s="72">
        <f t="shared" si="4"/>
        <v>975.80000000000007</v>
      </c>
      <c r="X36" s="72">
        <f t="shared" si="4"/>
        <v>1026.5</v>
      </c>
      <c r="Y36" s="72">
        <f t="shared" si="4"/>
        <v>1026.5</v>
      </c>
      <c r="Z36" s="72">
        <f t="shared" si="4"/>
        <v>1027.6000000000001</v>
      </c>
      <c r="AA36" s="72">
        <f t="shared" si="4"/>
        <v>1011.6000000000001</v>
      </c>
      <c r="AB36" s="72">
        <f t="shared" si="4"/>
        <v>1020.8000000000001</v>
      </c>
      <c r="AC36" s="72">
        <f t="shared" si="4"/>
        <v>1020.9000000000001</v>
      </c>
      <c r="AD36" s="72">
        <f t="shared" si="4"/>
        <v>1020.9000000000001</v>
      </c>
      <c r="AE36" s="72">
        <f t="shared" si="4"/>
        <v>748.9</v>
      </c>
      <c r="AF36" s="72">
        <f t="shared" si="4"/>
        <v>918.90000000000009</v>
      </c>
      <c r="AG36" s="67">
        <f>SUM(AG11:AG35)</f>
        <v>1431.83</v>
      </c>
      <c r="AH36" s="55">
        <f t="shared" si="2"/>
        <v>1027.6000000000001</v>
      </c>
      <c r="AI36" s="56">
        <f t="shared" si="3"/>
        <v>688.4</v>
      </c>
      <c r="AK36" s="57"/>
    </row>
    <row r="37" spans="1:88" x14ac:dyDescent="0.25">
      <c r="A37" s="58" t="s">
        <v>44</v>
      </c>
      <c r="B37" s="62">
        <v>145.4</v>
      </c>
      <c r="C37" s="62">
        <v>145.1</v>
      </c>
      <c r="D37" s="62">
        <v>145.30000000000001</v>
      </c>
      <c r="E37" s="62">
        <v>144.80000000000001</v>
      </c>
      <c r="F37" s="62">
        <v>144.80000000000001</v>
      </c>
      <c r="G37" s="62">
        <v>145</v>
      </c>
      <c r="H37" s="62">
        <v>145</v>
      </c>
      <c r="I37" s="62">
        <v>138</v>
      </c>
      <c r="J37" s="62">
        <v>135</v>
      </c>
      <c r="K37" s="62">
        <v>110</v>
      </c>
      <c r="L37" s="50">
        <v>101.1</v>
      </c>
      <c r="M37" s="50">
        <v>91.9</v>
      </c>
      <c r="N37" s="50">
        <v>80.8</v>
      </c>
      <c r="O37" s="50">
        <v>86</v>
      </c>
      <c r="P37" s="50">
        <v>73</v>
      </c>
      <c r="Q37" s="50">
        <v>73</v>
      </c>
      <c r="R37" s="50">
        <v>74</v>
      </c>
      <c r="S37" s="50">
        <v>74.3</v>
      </c>
      <c r="T37" s="50">
        <v>74.3</v>
      </c>
      <c r="U37" s="50">
        <v>75</v>
      </c>
      <c r="V37" s="50">
        <v>143</v>
      </c>
      <c r="W37" s="50">
        <v>142.5</v>
      </c>
      <c r="X37" s="50">
        <v>143</v>
      </c>
      <c r="Y37" s="50">
        <v>142.80000000000001</v>
      </c>
      <c r="Z37" s="50">
        <v>144.30000000000001</v>
      </c>
      <c r="AA37" s="50">
        <v>144.30000000000001</v>
      </c>
      <c r="AB37" s="50">
        <v>131.69999999999999</v>
      </c>
      <c r="AC37" s="50">
        <v>131.69999999999999</v>
      </c>
      <c r="AD37" s="50">
        <v>131.4</v>
      </c>
      <c r="AE37" s="49">
        <v>110.6</v>
      </c>
      <c r="AF37" s="49">
        <v>121.2</v>
      </c>
      <c r="AG37" s="63">
        <v>144</v>
      </c>
      <c r="AH37" s="55">
        <f t="shared" si="2"/>
        <v>145.4</v>
      </c>
      <c r="AI37" s="56">
        <f t="shared" si="3"/>
        <v>73</v>
      </c>
      <c r="AK37" s="57"/>
    </row>
    <row r="38" spans="1:88" x14ac:dyDescent="0.25">
      <c r="A38" s="66" t="s">
        <v>45</v>
      </c>
      <c r="B38" s="62">
        <v>69.8</v>
      </c>
      <c r="C38" s="62">
        <v>66.2</v>
      </c>
      <c r="D38" s="62">
        <v>65.8</v>
      </c>
      <c r="E38" s="62">
        <v>65.5</v>
      </c>
      <c r="F38" s="62">
        <v>65.5</v>
      </c>
      <c r="G38" s="62">
        <v>65.5</v>
      </c>
      <c r="H38" s="62">
        <v>65.5</v>
      </c>
      <c r="I38" s="62">
        <v>60</v>
      </c>
      <c r="J38" s="62">
        <v>50</v>
      </c>
      <c r="K38" s="62">
        <v>59.6</v>
      </c>
      <c r="L38" s="52">
        <v>50</v>
      </c>
      <c r="M38" s="52">
        <v>48.4</v>
      </c>
      <c r="N38" s="52">
        <v>50</v>
      </c>
      <c r="O38" s="52">
        <v>50</v>
      </c>
      <c r="P38" s="52">
        <v>70.599999999999994</v>
      </c>
      <c r="Q38" s="52">
        <v>70.599999999999994</v>
      </c>
      <c r="R38" s="52">
        <v>68.599999999999994</v>
      </c>
      <c r="S38" s="52">
        <v>59.4</v>
      </c>
      <c r="T38" s="52">
        <v>62.4</v>
      </c>
      <c r="U38" s="52">
        <v>53</v>
      </c>
      <c r="V38" s="52">
        <v>66</v>
      </c>
      <c r="W38" s="52">
        <v>65</v>
      </c>
      <c r="X38" s="52">
        <v>64.5</v>
      </c>
      <c r="Y38" s="52">
        <v>65.5</v>
      </c>
      <c r="Z38" s="52">
        <v>64.2</v>
      </c>
      <c r="AA38" s="52">
        <v>64.2</v>
      </c>
      <c r="AB38" s="52">
        <v>60.1</v>
      </c>
      <c r="AC38" s="52">
        <v>60.3</v>
      </c>
      <c r="AD38" s="52">
        <v>51.9</v>
      </c>
      <c r="AE38" s="62">
        <v>51.8</v>
      </c>
      <c r="AF38" s="62">
        <v>51</v>
      </c>
      <c r="AG38" s="67">
        <v>70</v>
      </c>
      <c r="AH38" s="55">
        <f t="shared" si="2"/>
        <v>70.599999999999994</v>
      </c>
      <c r="AI38" s="56">
        <f t="shared" si="3"/>
        <v>48.4</v>
      </c>
      <c r="AK38" s="57"/>
    </row>
    <row r="39" spans="1:88" x14ac:dyDescent="0.25">
      <c r="A39" s="66" t="s">
        <v>46</v>
      </c>
      <c r="B39" s="62">
        <v>56.5</v>
      </c>
      <c r="C39" s="62">
        <v>54.8</v>
      </c>
      <c r="D39" s="62">
        <v>54.6</v>
      </c>
      <c r="E39" s="62">
        <v>52.2</v>
      </c>
      <c r="F39" s="62">
        <v>52.2</v>
      </c>
      <c r="G39" s="62">
        <v>51.4</v>
      </c>
      <c r="H39" s="62">
        <v>60</v>
      </c>
      <c r="I39" s="62">
        <v>50</v>
      </c>
      <c r="J39" s="62">
        <v>48</v>
      </c>
      <c r="K39" s="62">
        <v>50</v>
      </c>
      <c r="L39" s="52">
        <v>52.6</v>
      </c>
      <c r="M39" s="52">
        <v>53.9</v>
      </c>
      <c r="N39" s="52">
        <v>56.9</v>
      </c>
      <c r="O39" s="52">
        <v>48.6</v>
      </c>
      <c r="P39" s="52">
        <v>46.2</v>
      </c>
      <c r="Q39" s="52">
        <v>46.2</v>
      </c>
      <c r="R39" s="52">
        <v>43.3</v>
      </c>
      <c r="S39" s="52">
        <v>44.6</v>
      </c>
      <c r="T39" s="52">
        <v>45.1</v>
      </c>
      <c r="U39" s="52">
        <v>35</v>
      </c>
      <c r="V39" s="52">
        <v>66.5</v>
      </c>
      <c r="W39" s="52">
        <v>65.099999999999994</v>
      </c>
      <c r="X39" s="52">
        <v>66.099999999999994</v>
      </c>
      <c r="Y39" s="52">
        <v>66.400000000000006</v>
      </c>
      <c r="Z39" s="52">
        <v>66.900000000000006</v>
      </c>
      <c r="AA39" s="52">
        <v>66.900000000000006</v>
      </c>
      <c r="AB39" s="52">
        <v>60</v>
      </c>
      <c r="AC39" s="52">
        <v>59.6</v>
      </c>
      <c r="AD39" s="52">
        <v>62.1</v>
      </c>
      <c r="AE39" s="62">
        <v>54.4</v>
      </c>
      <c r="AF39" s="62">
        <v>59.1</v>
      </c>
      <c r="AG39" s="67">
        <v>69</v>
      </c>
      <c r="AH39" s="55">
        <f t="shared" si="2"/>
        <v>66.900000000000006</v>
      </c>
      <c r="AI39" s="56">
        <f t="shared" si="3"/>
        <v>35</v>
      </c>
      <c r="AK39" s="57"/>
    </row>
    <row r="40" spans="1:88" x14ac:dyDescent="0.25">
      <c r="A40" s="66" t="s">
        <v>47</v>
      </c>
      <c r="B40" s="62">
        <v>60.4</v>
      </c>
      <c r="C40" s="62">
        <v>60.4</v>
      </c>
      <c r="D40" s="62">
        <v>60.4</v>
      </c>
      <c r="E40" s="62">
        <v>41.6</v>
      </c>
      <c r="F40" s="62">
        <v>41.8</v>
      </c>
      <c r="G40" s="62">
        <v>52.4</v>
      </c>
      <c r="H40" s="62">
        <v>61.2</v>
      </c>
      <c r="I40" s="62">
        <v>61.2</v>
      </c>
      <c r="J40" s="62">
        <v>60.9</v>
      </c>
      <c r="K40" s="62">
        <v>60.9</v>
      </c>
      <c r="L40" s="52">
        <v>60.9</v>
      </c>
      <c r="M40" s="52">
        <v>61.2</v>
      </c>
      <c r="N40" s="52">
        <v>60.9</v>
      </c>
      <c r="O40" s="52">
        <v>60.9</v>
      </c>
      <c r="P40" s="52">
        <v>60.9</v>
      </c>
      <c r="Q40" s="52">
        <v>60.9</v>
      </c>
      <c r="R40" s="52">
        <v>60.9</v>
      </c>
      <c r="S40" s="52">
        <v>61.4</v>
      </c>
      <c r="T40" s="52">
        <v>61.2</v>
      </c>
      <c r="U40" s="52">
        <v>35</v>
      </c>
      <c r="V40" s="52">
        <v>40</v>
      </c>
      <c r="W40" s="52">
        <v>61.2</v>
      </c>
      <c r="X40" s="52">
        <v>62</v>
      </c>
      <c r="Y40" s="52">
        <v>62.3</v>
      </c>
      <c r="Z40" s="52">
        <v>62</v>
      </c>
      <c r="AA40" s="52">
        <v>62</v>
      </c>
      <c r="AB40" s="52">
        <v>60</v>
      </c>
      <c r="AC40" s="52">
        <v>60</v>
      </c>
      <c r="AD40" s="52">
        <v>60</v>
      </c>
      <c r="AE40" s="62">
        <v>40.299999999999997</v>
      </c>
      <c r="AF40" s="62">
        <v>50.4</v>
      </c>
      <c r="AG40" s="67">
        <v>60</v>
      </c>
      <c r="AH40" s="55">
        <f t="shared" si="2"/>
        <v>62.3</v>
      </c>
      <c r="AI40" s="56">
        <f t="shared" si="3"/>
        <v>35</v>
      </c>
      <c r="AK40" s="57"/>
    </row>
    <row r="41" spans="1:88" x14ac:dyDescent="0.25">
      <c r="A41" s="66" t="s">
        <v>48</v>
      </c>
      <c r="B41" s="62">
        <v>29.7</v>
      </c>
      <c r="C41" s="62">
        <v>29.6</v>
      </c>
      <c r="D41" s="62">
        <v>29.6</v>
      </c>
      <c r="E41" s="62">
        <v>29.6</v>
      </c>
      <c r="F41" s="62">
        <v>29.6</v>
      </c>
      <c r="G41" s="62">
        <v>29.6</v>
      </c>
      <c r="H41" s="62">
        <v>29.6</v>
      </c>
      <c r="I41" s="62">
        <v>29.6</v>
      </c>
      <c r="J41" s="62">
        <v>29.7</v>
      </c>
      <c r="K41" s="62">
        <v>29.7</v>
      </c>
      <c r="L41" s="50">
        <v>23.6</v>
      </c>
      <c r="M41" s="50">
        <v>24</v>
      </c>
      <c r="N41" s="50">
        <v>23.3</v>
      </c>
      <c r="O41" s="50">
        <v>26.8</v>
      </c>
      <c r="P41" s="50">
        <v>0</v>
      </c>
      <c r="Q41" s="50">
        <v>0</v>
      </c>
      <c r="R41" s="50">
        <v>0</v>
      </c>
      <c r="S41" s="50">
        <v>0</v>
      </c>
      <c r="T41" s="50">
        <v>15</v>
      </c>
      <c r="U41" s="50">
        <v>17</v>
      </c>
      <c r="V41" s="50">
        <v>17</v>
      </c>
      <c r="W41" s="50">
        <v>29.7</v>
      </c>
      <c r="X41" s="50">
        <v>29.8</v>
      </c>
      <c r="Y41" s="50">
        <v>29.8</v>
      </c>
      <c r="Z41" s="52">
        <v>29.6</v>
      </c>
      <c r="AA41" s="52">
        <v>29.6</v>
      </c>
      <c r="AB41" s="52">
        <v>29.6</v>
      </c>
      <c r="AC41" s="52">
        <v>29.6</v>
      </c>
      <c r="AD41" s="52">
        <v>29.6</v>
      </c>
      <c r="AE41" s="52">
        <v>29.6</v>
      </c>
      <c r="AF41" s="62">
        <v>29.7</v>
      </c>
      <c r="AG41" s="67">
        <v>30</v>
      </c>
      <c r="AH41" s="55">
        <f t="shared" si="2"/>
        <v>29.8</v>
      </c>
      <c r="AI41" s="56">
        <f t="shared" si="3"/>
        <v>0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15.1</v>
      </c>
      <c r="C43" s="73">
        <v>15.1</v>
      </c>
      <c r="D43" s="73">
        <v>15.1</v>
      </c>
      <c r="E43" s="73">
        <v>15.1</v>
      </c>
      <c r="F43" s="73">
        <v>15.1</v>
      </c>
      <c r="G43" s="73">
        <v>15.1</v>
      </c>
      <c r="H43" s="73">
        <v>15.1</v>
      </c>
      <c r="I43" s="73">
        <v>15.1</v>
      </c>
      <c r="J43" s="73">
        <v>15.1</v>
      </c>
      <c r="K43" s="73">
        <v>15.1</v>
      </c>
      <c r="L43" s="50">
        <v>15.1</v>
      </c>
      <c r="M43" s="50">
        <v>15.1</v>
      </c>
      <c r="N43" s="50">
        <v>15.1</v>
      </c>
      <c r="O43" s="50">
        <v>15.1</v>
      </c>
      <c r="P43" s="50">
        <v>15.3</v>
      </c>
      <c r="Q43" s="50">
        <v>15.3</v>
      </c>
      <c r="R43" s="50">
        <v>15.3</v>
      </c>
      <c r="S43" s="50">
        <v>15.3</v>
      </c>
      <c r="T43" s="50">
        <v>15.3</v>
      </c>
      <c r="U43" s="50">
        <v>15</v>
      </c>
      <c r="V43" s="50">
        <v>17</v>
      </c>
      <c r="W43" s="50">
        <v>15</v>
      </c>
      <c r="X43" s="50">
        <v>15</v>
      </c>
      <c r="Y43" s="50">
        <v>15</v>
      </c>
      <c r="Z43" s="50">
        <v>15</v>
      </c>
      <c r="AA43" s="50">
        <v>15</v>
      </c>
      <c r="AB43" s="50">
        <v>15</v>
      </c>
      <c r="AC43" s="50">
        <v>15</v>
      </c>
      <c r="AD43" s="50">
        <v>15</v>
      </c>
      <c r="AE43" s="50">
        <v>15</v>
      </c>
      <c r="AF43" s="50">
        <v>15</v>
      </c>
      <c r="AG43" s="67">
        <v>24</v>
      </c>
      <c r="AH43" s="55">
        <f t="shared" si="2"/>
        <v>17</v>
      </c>
      <c r="AI43" s="56">
        <f t="shared" si="3"/>
        <v>15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3.2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14</v>
      </c>
      <c r="C45" s="62">
        <v>14</v>
      </c>
      <c r="D45" s="62">
        <v>14</v>
      </c>
      <c r="E45" s="62">
        <v>14</v>
      </c>
      <c r="F45" s="62">
        <v>14</v>
      </c>
      <c r="G45" s="62">
        <v>14</v>
      </c>
      <c r="H45" s="62">
        <v>14</v>
      </c>
      <c r="I45" s="62">
        <v>14</v>
      </c>
      <c r="J45" s="62">
        <v>14</v>
      </c>
      <c r="K45" s="62">
        <v>14</v>
      </c>
      <c r="L45" s="50">
        <v>14</v>
      </c>
      <c r="M45" s="50">
        <v>14</v>
      </c>
      <c r="N45" s="50">
        <v>14</v>
      </c>
      <c r="O45" s="50">
        <v>14</v>
      </c>
      <c r="P45" s="50">
        <v>14</v>
      </c>
      <c r="Q45" s="50">
        <v>14</v>
      </c>
      <c r="R45" s="50">
        <v>14</v>
      </c>
      <c r="S45" s="50">
        <v>14</v>
      </c>
      <c r="T45" s="50">
        <v>14</v>
      </c>
      <c r="U45" s="50">
        <v>14</v>
      </c>
      <c r="V45" s="50">
        <v>14</v>
      </c>
      <c r="W45" s="50">
        <v>14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13.1</v>
      </c>
      <c r="AC45" s="50">
        <v>13.1</v>
      </c>
      <c r="AD45" s="50">
        <v>13.1</v>
      </c>
      <c r="AE45" s="50">
        <v>13.1</v>
      </c>
      <c r="AF45" s="50">
        <v>13.1</v>
      </c>
      <c r="AG45" s="67">
        <v>14.1</v>
      </c>
      <c r="AH45" s="55">
        <f t="shared" si="2"/>
        <v>14</v>
      </c>
      <c r="AI45" s="56">
        <f t="shared" si="3"/>
        <v>13.1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9.9</v>
      </c>
      <c r="Y47" s="50">
        <v>9.9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7">
        <v>10.050000000000001</v>
      </c>
      <c r="AH47" s="55">
        <f t="shared" si="2"/>
        <v>9.9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62">
        <v>6</v>
      </c>
      <c r="M48" s="62">
        <v>6</v>
      </c>
      <c r="N48" s="62">
        <v>6</v>
      </c>
      <c r="O48" s="62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427.24</v>
      </c>
      <c r="C50" s="72">
        <f t="shared" si="6"/>
        <v>421.54000000000008</v>
      </c>
      <c r="D50" s="72">
        <f t="shared" si="6"/>
        <v>421.1400000000001</v>
      </c>
      <c r="E50" s="72">
        <f t="shared" si="6"/>
        <v>399.1400000000001</v>
      </c>
      <c r="F50" s="72">
        <f t="shared" si="6"/>
        <v>399.34000000000009</v>
      </c>
      <c r="G50" s="72">
        <f t="shared" si="6"/>
        <v>409.34000000000003</v>
      </c>
      <c r="H50" s="72">
        <f t="shared" si="6"/>
        <v>426.74000000000007</v>
      </c>
      <c r="I50" s="72">
        <f t="shared" si="6"/>
        <v>404.24000000000007</v>
      </c>
      <c r="J50" s="72">
        <f t="shared" si="6"/>
        <v>389.04</v>
      </c>
      <c r="K50" s="72">
        <f t="shared" si="6"/>
        <v>375.64000000000004</v>
      </c>
      <c r="L50" s="72">
        <f t="shared" si="6"/>
        <v>353.64000000000004</v>
      </c>
      <c r="M50" s="72">
        <f t="shared" si="6"/>
        <v>344.84000000000009</v>
      </c>
      <c r="N50" s="72">
        <f t="shared" si="6"/>
        <v>337.34000000000009</v>
      </c>
      <c r="O50" s="72">
        <f t="shared" si="6"/>
        <v>337.74000000000007</v>
      </c>
      <c r="P50" s="72">
        <f t="shared" si="6"/>
        <v>316.34000000000003</v>
      </c>
      <c r="Q50" s="72">
        <f t="shared" si="6"/>
        <v>316.34000000000003</v>
      </c>
      <c r="R50" s="72">
        <f t="shared" si="6"/>
        <v>312.44</v>
      </c>
      <c r="S50" s="72">
        <f t="shared" si="6"/>
        <v>305.34000000000003</v>
      </c>
      <c r="T50" s="72">
        <f t="shared" si="6"/>
        <v>323.64000000000004</v>
      </c>
      <c r="U50" s="72">
        <f t="shared" si="6"/>
        <v>280.34000000000003</v>
      </c>
      <c r="V50" s="72">
        <f t="shared" si="6"/>
        <v>399.84000000000003</v>
      </c>
      <c r="W50" s="72">
        <f t="shared" si="6"/>
        <v>428.84000000000003</v>
      </c>
      <c r="X50" s="72">
        <f t="shared" si="6"/>
        <v>430.14000000000004</v>
      </c>
      <c r="Y50" s="72">
        <f t="shared" si="6"/>
        <v>431.54000000000008</v>
      </c>
      <c r="Z50" s="72">
        <f t="shared" si="6"/>
        <v>431.44000000000005</v>
      </c>
      <c r="AA50" s="72">
        <f t="shared" si="6"/>
        <v>431.44000000000005</v>
      </c>
      <c r="AB50" s="72">
        <f t="shared" si="6"/>
        <v>405.84000000000003</v>
      </c>
      <c r="AC50" s="72">
        <f t="shared" si="6"/>
        <v>405.6400000000001</v>
      </c>
      <c r="AD50" s="72">
        <f t="shared" si="6"/>
        <v>399.44000000000005</v>
      </c>
      <c r="AE50" s="72">
        <f t="shared" si="6"/>
        <v>351.14000000000004</v>
      </c>
      <c r="AF50" s="72">
        <f t="shared" si="6"/>
        <v>375.84000000000003</v>
      </c>
      <c r="AG50" s="77">
        <f>SUM(AG37:AG49)</f>
        <v>489.91</v>
      </c>
      <c r="AH50" s="55">
        <f t="shared" si="2"/>
        <v>431.54000000000008</v>
      </c>
      <c r="AI50" s="56">
        <f t="shared" si="3"/>
        <v>280.34000000000003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11.1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3">
        <v>60</v>
      </c>
      <c r="AH51" s="55">
        <f t="shared" si="2"/>
        <v>11.1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>
        <v>0</v>
      </c>
      <c r="Q52" s="52">
        <v>0</v>
      </c>
      <c r="R52" s="52">
        <v>0</v>
      </c>
      <c r="S52" s="50">
        <v>0</v>
      </c>
      <c r="T52" s="50">
        <v>0</v>
      </c>
      <c r="U52" s="52">
        <v>0</v>
      </c>
      <c r="V52" s="52">
        <v>0</v>
      </c>
      <c r="W52" s="52">
        <v>0</v>
      </c>
      <c r="X52" s="52">
        <v>4.3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7">
        <v>32</v>
      </c>
      <c r="AH52" s="55">
        <f t="shared" si="2"/>
        <v>4.3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>
        <v>0</v>
      </c>
      <c r="Q53" s="78">
        <v>0</v>
      </c>
      <c r="R53" s="78">
        <v>0</v>
      </c>
      <c r="S53" s="50">
        <v>0</v>
      </c>
      <c r="T53" s="50">
        <v>0</v>
      </c>
      <c r="U53" s="78">
        <v>0</v>
      </c>
      <c r="V53" s="78">
        <v>0</v>
      </c>
      <c r="W53" s="78">
        <v>0</v>
      </c>
      <c r="X53" s="78">
        <v>1.6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  <c r="AF53" s="78">
        <v>0</v>
      </c>
      <c r="AG53" s="79">
        <v>14</v>
      </c>
      <c r="AH53" s="55">
        <f t="shared" si="2"/>
        <v>1.6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17</v>
      </c>
      <c r="Y54" s="72">
        <f t="shared" si="7"/>
        <v>0</v>
      </c>
      <c r="Z54" s="72">
        <f t="shared" si="7"/>
        <v>0</v>
      </c>
      <c r="AA54" s="72">
        <f t="shared" si="7"/>
        <v>0</v>
      </c>
      <c r="AB54" s="72">
        <f t="shared" si="7"/>
        <v>0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17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41.8</v>
      </c>
      <c r="Y55" s="50">
        <v>45.4</v>
      </c>
      <c r="Z55" s="50">
        <v>20.7</v>
      </c>
      <c r="AA55" s="50">
        <v>23.4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45.4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-72</v>
      </c>
      <c r="C56" s="52">
        <v>-70.5</v>
      </c>
      <c r="D56" s="52">
        <v>-69.2</v>
      </c>
      <c r="E56" s="52">
        <v>-68</v>
      </c>
      <c r="F56" s="52">
        <v>-64.5</v>
      </c>
      <c r="G56" s="52">
        <v>-61.3</v>
      </c>
      <c r="H56" s="52">
        <v>-47.1</v>
      </c>
      <c r="I56" s="52">
        <v>-38.4</v>
      </c>
      <c r="J56" s="52">
        <v>-37.5</v>
      </c>
      <c r="K56" s="52">
        <v>-34.799999999999997</v>
      </c>
      <c r="L56" s="50">
        <v>-33.9</v>
      </c>
      <c r="M56" s="50">
        <v>-36.1</v>
      </c>
      <c r="N56" s="50">
        <v>-67.599999999999994</v>
      </c>
      <c r="O56" s="50">
        <v>-7.6</v>
      </c>
      <c r="P56" s="50">
        <v>-35</v>
      </c>
      <c r="Q56" s="50">
        <v>-76.099999999999994</v>
      </c>
      <c r="R56" s="50">
        <v>-84.9</v>
      </c>
      <c r="S56" s="50">
        <v>-7.4</v>
      </c>
      <c r="T56" s="50">
        <v>-7.9</v>
      </c>
      <c r="U56" s="50">
        <v>-42.3</v>
      </c>
      <c r="V56" s="50">
        <v>-58.6</v>
      </c>
      <c r="W56" s="80">
        <v>-64.2</v>
      </c>
      <c r="X56" s="80">
        <v>-70.099999999999994</v>
      </c>
      <c r="Y56" s="80">
        <v>-69.3</v>
      </c>
      <c r="Z56" s="80">
        <v>-72.400000000000006</v>
      </c>
      <c r="AA56" s="52">
        <v>-71.7</v>
      </c>
      <c r="AB56" s="52">
        <v>-74.7</v>
      </c>
      <c r="AC56" s="52">
        <v>-18.399999999999999</v>
      </c>
      <c r="AD56" s="52">
        <v>-18.5</v>
      </c>
      <c r="AE56" s="52">
        <v>-17.399999999999999</v>
      </c>
      <c r="AF56" s="52">
        <v>-16.8</v>
      </c>
      <c r="AG56" s="67"/>
      <c r="AH56" s="55">
        <f t="shared" si="2"/>
        <v>-7.4</v>
      </c>
      <c r="AI56" s="56">
        <f t="shared" si="3"/>
        <v>-84.9</v>
      </c>
      <c r="AK56" s="57"/>
    </row>
    <row r="57" spans="1:37" x14ac:dyDescent="0.25">
      <c r="A57" s="66" t="s">
        <v>64</v>
      </c>
      <c r="B57" s="52">
        <v>-210</v>
      </c>
      <c r="C57" s="52">
        <v>-230.8</v>
      </c>
      <c r="D57" s="52">
        <v>-225.4</v>
      </c>
      <c r="E57" s="52">
        <v>-227</v>
      </c>
      <c r="F57" s="52">
        <v>-220</v>
      </c>
      <c r="G57" s="50">
        <v>-225.9</v>
      </c>
      <c r="H57" s="50">
        <v>-295.8</v>
      </c>
      <c r="I57" s="50">
        <v>-333</v>
      </c>
      <c r="J57" s="50">
        <v>-354.8</v>
      </c>
      <c r="K57" s="50">
        <v>-240</v>
      </c>
      <c r="L57" s="52">
        <v>-180</v>
      </c>
      <c r="M57" s="52">
        <v>-206</v>
      </c>
      <c r="N57" s="52">
        <v>-182</v>
      </c>
      <c r="O57" s="52">
        <v>-312.5</v>
      </c>
      <c r="P57" s="52">
        <v>-281</v>
      </c>
      <c r="Q57" s="52">
        <v>-198</v>
      </c>
      <c r="R57" s="52">
        <v>-207.6</v>
      </c>
      <c r="S57" s="52">
        <v>-331</v>
      </c>
      <c r="T57" s="52">
        <v>-307.60000000000002</v>
      </c>
      <c r="U57" s="52">
        <v>0</v>
      </c>
      <c r="V57" s="52">
        <v>-189</v>
      </c>
      <c r="W57" s="81">
        <v>-135.9</v>
      </c>
      <c r="X57" s="81">
        <v>-98</v>
      </c>
      <c r="Y57" s="81">
        <v>-94.5</v>
      </c>
      <c r="Z57" s="81">
        <v>-85</v>
      </c>
      <c r="AA57" s="52">
        <v>-75</v>
      </c>
      <c r="AB57" s="52">
        <v>-129</v>
      </c>
      <c r="AC57" s="52">
        <v>-217.8</v>
      </c>
      <c r="AD57" s="52">
        <v>-293</v>
      </c>
      <c r="AE57" s="52">
        <v>-56.5</v>
      </c>
      <c r="AF57" s="52">
        <v>-240</v>
      </c>
      <c r="AG57" s="82"/>
      <c r="AH57" s="55">
        <f t="shared" si="2"/>
        <v>0</v>
      </c>
      <c r="AI57" s="56">
        <f t="shared" si="3"/>
        <v>-354.8</v>
      </c>
      <c r="AK57" s="57"/>
    </row>
    <row r="58" spans="1:37" x14ac:dyDescent="0.25">
      <c r="A58" s="66" t="s">
        <v>65</v>
      </c>
      <c r="B58" s="59">
        <v>-65</v>
      </c>
      <c r="C58" s="59">
        <v>-66</v>
      </c>
      <c r="D58" s="59">
        <v>-65</v>
      </c>
      <c r="E58" s="59">
        <v>-65</v>
      </c>
      <c r="F58" s="59">
        <v>-62</v>
      </c>
      <c r="G58" s="59">
        <v>-58</v>
      </c>
      <c r="H58" s="59">
        <v>-48</v>
      </c>
      <c r="I58" s="59">
        <v>-49</v>
      </c>
      <c r="J58" s="59">
        <v>-39</v>
      </c>
      <c r="K58" s="59">
        <v>-30</v>
      </c>
      <c r="L58" s="52">
        <v>-29.8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-40</v>
      </c>
      <c r="V58" s="52">
        <v>-50.9</v>
      </c>
      <c r="W58" s="52">
        <v>-60</v>
      </c>
      <c r="X58" s="52">
        <v>-60</v>
      </c>
      <c r="Y58" s="52">
        <v>-63</v>
      </c>
      <c r="Z58" s="52">
        <v>-60</v>
      </c>
      <c r="AA58" s="52">
        <v>-62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-66</v>
      </c>
      <c r="AK58" s="57"/>
    </row>
    <row r="59" spans="1:37" x14ac:dyDescent="0.25">
      <c r="A59" s="66" t="s">
        <v>66</v>
      </c>
      <c r="B59" s="59">
        <v>-65</v>
      </c>
      <c r="C59" s="59">
        <v>-65</v>
      </c>
      <c r="D59" s="59">
        <v>-65.400000000000006</v>
      </c>
      <c r="E59" s="59">
        <v>-64.099999999999994</v>
      </c>
      <c r="F59" s="59">
        <v>-62.3</v>
      </c>
      <c r="G59" s="59">
        <v>-56.1</v>
      </c>
      <c r="H59" s="59">
        <v>-54.7</v>
      </c>
      <c r="I59" s="59">
        <v>-47.4</v>
      </c>
      <c r="J59" s="59">
        <v>-40.9</v>
      </c>
      <c r="K59" s="59">
        <v>-39.9</v>
      </c>
      <c r="L59" s="50">
        <v>-40.4</v>
      </c>
      <c r="M59" s="50">
        <v>-40.1</v>
      </c>
      <c r="N59" s="50">
        <v>-43.6</v>
      </c>
      <c r="O59" s="50">
        <v>-32</v>
      </c>
      <c r="P59" s="50">
        <v>-32.700000000000003</v>
      </c>
      <c r="Q59" s="50">
        <v>-47.4</v>
      </c>
      <c r="R59" s="50">
        <v>-52.2</v>
      </c>
      <c r="S59" s="50">
        <v>-32.700000000000003</v>
      </c>
      <c r="T59" s="50">
        <v>-30.2</v>
      </c>
      <c r="U59" s="50">
        <v>-29.4</v>
      </c>
      <c r="V59" s="50">
        <v>-35.4</v>
      </c>
      <c r="W59" s="50">
        <v>-53.3</v>
      </c>
      <c r="X59" s="50">
        <v>-61.8</v>
      </c>
      <c r="Y59" s="50">
        <v>-62.6</v>
      </c>
      <c r="Z59" s="50">
        <v>-61</v>
      </c>
      <c r="AA59" s="50">
        <v>-60.5</v>
      </c>
      <c r="AB59" s="50">
        <v>-62.6</v>
      </c>
      <c r="AC59" s="50">
        <v>-40.6</v>
      </c>
      <c r="AD59" s="50">
        <v>-41.3</v>
      </c>
      <c r="AE59" s="50">
        <v>-41.5</v>
      </c>
      <c r="AF59" s="50">
        <v>-41.4</v>
      </c>
      <c r="AG59" s="82"/>
      <c r="AH59" s="55">
        <f t="shared" si="2"/>
        <v>-29.4</v>
      </c>
      <c r="AI59" s="56">
        <f t="shared" si="3"/>
        <v>-65.400000000000006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7</v>
      </c>
      <c r="C62" s="59">
        <v>8</v>
      </c>
      <c r="D62" s="59">
        <v>7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8</v>
      </c>
      <c r="AF62" s="59">
        <v>8</v>
      </c>
      <c r="AG62" s="82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-405</v>
      </c>
      <c r="C66" s="72">
        <f t="shared" ref="C66:AF66" si="8">SUM(C55:C65)</f>
        <v>-424.3</v>
      </c>
      <c r="D66" s="72">
        <f t="shared" si="8"/>
        <v>-418</v>
      </c>
      <c r="E66" s="72">
        <f t="shared" si="8"/>
        <v>-424.1</v>
      </c>
      <c r="F66" s="72">
        <f t="shared" si="8"/>
        <v>-408.8</v>
      </c>
      <c r="G66" s="72">
        <f t="shared" si="8"/>
        <v>-401.3</v>
      </c>
      <c r="H66" s="72">
        <f t="shared" si="8"/>
        <v>-445.6</v>
      </c>
      <c r="I66" s="72">
        <f t="shared" si="8"/>
        <v>-467.79999999999995</v>
      </c>
      <c r="J66" s="72">
        <f t="shared" si="8"/>
        <v>-472.2</v>
      </c>
      <c r="K66" s="72">
        <f t="shared" si="8"/>
        <v>-344.7</v>
      </c>
      <c r="L66" s="72">
        <f t="shared" si="8"/>
        <v>-284.10000000000002</v>
      </c>
      <c r="M66" s="72">
        <f t="shared" si="8"/>
        <v>-282.2</v>
      </c>
      <c r="N66" s="72">
        <f t="shared" si="8"/>
        <v>-293.2</v>
      </c>
      <c r="O66" s="72">
        <f t="shared" si="8"/>
        <v>-352.1</v>
      </c>
      <c r="P66" s="72">
        <f t="shared" si="8"/>
        <v>-348.7</v>
      </c>
      <c r="Q66" s="72">
        <f t="shared" si="8"/>
        <v>-321.5</v>
      </c>
      <c r="R66" s="72">
        <f t="shared" si="8"/>
        <v>-344.7</v>
      </c>
      <c r="S66" s="72">
        <f t="shared" si="8"/>
        <v>-371.09999999999997</v>
      </c>
      <c r="T66" s="72">
        <f t="shared" si="8"/>
        <v>-345.7</v>
      </c>
      <c r="U66" s="72">
        <f t="shared" si="8"/>
        <v>-111.69999999999999</v>
      </c>
      <c r="V66" s="72">
        <f t="shared" si="8"/>
        <v>-333.9</v>
      </c>
      <c r="W66" s="72">
        <f t="shared" si="8"/>
        <v>-313.40000000000003</v>
      </c>
      <c r="X66" s="72">
        <f t="shared" si="8"/>
        <v>-248.10000000000002</v>
      </c>
      <c r="Y66" s="72">
        <f t="shared" si="8"/>
        <v>-244</v>
      </c>
      <c r="Z66" s="72">
        <f t="shared" si="8"/>
        <v>-257.7</v>
      </c>
      <c r="AA66" s="72">
        <f t="shared" si="8"/>
        <v>-245.8</v>
      </c>
      <c r="AB66" s="72">
        <f t="shared" si="8"/>
        <v>-266.3</v>
      </c>
      <c r="AC66" s="72">
        <f t="shared" si="8"/>
        <v>-276.8</v>
      </c>
      <c r="AD66" s="72">
        <f t="shared" si="8"/>
        <v>-352.8</v>
      </c>
      <c r="AE66" s="72">
        <f t="shared" si="8"/>
        <v>-107.4</v>
      </c>
      <c r="AF66" s="72">
        <f t="shared" si="8"/>
        <v>-290.2</v>
      </c>
      <c r="AG66" s="77">
        <f>SUM(AG55:AG65)</f>
        <v>0</v>
      </c>
      <c r="AH66" s="55">
        <f t="shared" si="2"/>
        <v>-107.4</v>
      </c>
      <c r="AI66" s="56">
        <f t="shared" si="3"/>
        <v>-472.2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996.34</v>
      </c>
      <c r="C71" s="87">
        <f t="shared" ref="C71:AG71" si="10">C66+C54+C50+C36+C70</f>
        <v>967.94</v>
      </c>
      <c r="D71" s="87">
        <f t="shared" si="10"/>
        <v>968.84000000000015</v>
      </c>
      <c r="E71" s="87">
        <f t="shared" si="10"/>
        <v>940.74000000000012</v>
      </c>
      <c r="F71" s="87">
        <f t="shared" si="10"/>
        <v>950.24000000000012</v>
      </c>
      <c r="G71" s="87">
        <f t="shared" si="10"/>
        <v>973.74</v>
      </c>
      <c r="H71" s="87">
        <f t="shared" si="10"/>
        <v>951.84000000000015</v>
      </c>
      <c r="I71" s="87">
        <f t="shared" si="10"/>
        <v>907.1400000000001</v>
      </c>
      <c r="J71" s="87">
        <f t="shared" si="10"/>
        <v>887.6400000000001</v>
      </c>
      <c r="K71" s="87">
        <f t="shared" si="10"/>
        <v>892.6400000000001</v>
      </c>
      <c r="L71" s="87">
        <f t="shared" si="10"/>
        <v>914.24</v>
      </c>
      <c r="M71" s="87">
        <f t="shared" si="10"/>
        <v>906.04000000000008</v>
      </c>
      <c r="N71" s="87">
        <f t="shared" si="10"/>
        <v>887.54000000000008</v>
      </c>
      <c r="O71" s="87">
        <f t="shared" si="10"/>
        <v>879.04</v>
      </c>
      <c r="P71" s="87">
        <f t="shared" si="10"/>
        <v>911.04</v>
      </c>
      <c r="Q71" s="87">
        <f t="shared" si="10"/>
        <v>938.24</v>
      </c>
      <c r="R71" s="87">
        <f t="shared" si="10"/>
        <v>911.14</v>
      </c>
      <c r="S71" s="87">
        <f t="shared" si="10"/>
        <v>857.6400000000001</v>
      </c>
      <c r="T71" s="87">
        <f t="shared" si="10"/>
        <v>871.34</v>
      </c>
      <c r="U71" s="87">
        <f t="shared" si="10"/>
        <v>857.04</v>
      </c>
      <c r="V71" s="87">
        <f t="shared" si="10"/>
        <v>1030.3400000000001</v>
      </c>
      <c r="W71" s="87">
        <f t="shared" si="10"/>
        <v>1091.24</v>
      </c>
      <c r="X71" s="87">
        <f t="shared" si="10"/>
        <v>1225.54</v>
      </c>
      <c r="Y71" s="87">
        <f t="shared" si="10"/>
        <v>1214.04</v>
      </c>
      <c r="Z71" s="87">
        <f t="shared" si="10"/>
        <v>1201.3400000000001</v>
      </c>
      <c r="AA71" s="87">
        <f t="shared" si="10"/>
        <v>1197.2400000000002</v>
      </c>
      <c r="AB71" s="87">
        <f t="shared" si="10"/>
        <v>1160.3400000000001</v>
      </c>
      <c r="AC71" s="87">
        <f t="shared" si="10"/>
        <v>1149.7400000000002</v>
      </c>
      <c r="AD71" s="87">
        <f t="shared" si="10"/>
        <v>1067.5400000000002</v>
      </c>
      <c r="AE71" s="87">
        <f t="shared" si="10"/>
        <v>992.64</v>
      </c>
      <c r="AF71" s="87">
        <f t="shared" si="10"/>
        <v>1004.5400000000002</v>
      </c>
      <c r="AG71" s="87">
        <f t="shared" si="10"/>
        <v>2083.14</v>
      </c>
      <c r="AH71" s="55">
        <f t="shared" si="2"/>
        <v>1225.54</v>
      </c>
      <c r="AI71" s="56">
        <f t="shared" si="3"/>
        <v>857.04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996.34</v>
      </c>
      <c r="C73" s="87">
        <f t="shared" ref="C73:AF73" si="11">C70+C66+C54+C50+C36+C72</f>
        <v>967.94</v>
      </c>
      <c r="D73" s="87">
        <f t="shared" si="11"/>
        <v>968.84000000000015</v>
      </c>
      <c r="E73" s="87">
        <f t="shared" si="11"/>
        <v>940.74000000000012</v>
      </c>
      <c r="F73" s="87">
        <f t="shared" si="11"/>
        <v>950.24000000000012</v>
      </c>
      <c r="G73" s="87">
        <f t="shared" si="11"/>
        <v>973.74</v>
      </c>
      <c r="H73" s="87">
        <f t="shared" si="11"/>
        <v>951.84000000000015</v>
      </c>
      <c r="I73" s="87">
        <f t="shared" si="11"/>
        <v>907.1400000000001</v>
      </c>
      <c r="J73" s="87">
        <f t="shared" si="11"/>
        <v>887.6400000000001</v>
      </c>
      <c r="K73" s="87">
        <f t="shared" si="11"/>
        <v>892.6400000000001</v>
      </c>
      <c r="L73" s="87">
        <f t="shared" si="11"/>
        <v>914.24</v>
      </c>
      <c r="M73" s="87">
        <f t="shared" si="11"/>
        <v>906.04000000000008</v>
      </c>
      <c r="N73" s="87">
        <f t="shared" si="11"/>
        <v>887.54000000000008</v>
      </c>
      <c r="O73" s="87">
        <f t="shared" si="11"/>
        <v>879.04</v>
      </c>
      <c r="P73" s="87">
        <f t="shared" si="11"/>
        <v>911.04</v>
      </c>
      <c r="Q73" s="87">
        <f t="shared" si="11"/>
        <v>938.24</v>
      </c>
      <c r="R73" s="87">
        <f t="shared" si="11"/>
        <v>911.14</v>
      </c>
      <c r="S73" s="87">
        <f t="shared" si="11"/>
        <v>857.6400000000001</v>
      </c>
      <c r="T73" s="87">
        <f t="shared" si="11"/>
        <v>871.34</v>
      </c>
      <c r="U73" s="87">
        <f t="shared" si="11"/>
        <v>857.04</v>
      </c>
      <c r="V73" s="87">
        <f t="shared" si="11"/>
        <v>1030.3400000000001</v>
      </c>
      <c r="W73" s="87">
        <f t="shared" si="11"/>
        <v>1091.24</v>
      </c>
      <c r="X73" s="87">
        <f t="shared" si="11"/>
        <v>1225.54</v>
      </c>
      <c r="Y73" s="87">
        <f t="shared" si="11"/>
        <v>1214.04</v>
      </c>
      <c r="Z73" s="87">
        <f t="shared" si="11"/>
        <v>1201.3400000000001</v>
      </c>
      <c r="AA73" s="87">
        <f t="shared" si="11"/>
        <v>1197.2400000000002</v>
      </c>
      <c r="AB73" s="87">
        <f t="shared" si="11"/>
        <v>1160.3400000000001</v>
      </c>
      <c r="AC73" s="87">
        <f t="shared" si="11"/>
        <v>1149.7400000000002</v>
      </c>
      <c r="AD73" s="87">
        <f t="shared" si="11"/>
        <v>1067.5400000000002</v>
      </c>
      <c r="AE73" s="87">
        <f t="shared" si="11"/>
        <v>992.64</v>
      </c>
      <c r="AF73" s="87">
        <f t="shared" si="11"/>
        <v>1004.5400000000002</v>
      </c>
      <c r="AG73" s="77">
        <f>AG70+AG66+AG54+AG50+AG36+AG72</f>
        <v>2083.14</v>
      </c>
      <c r="AH73" s="55">
        <f t="shared" si="2"/>
        <v>1225.54</v>
      </c>
      <c r="AI73" s="56">
        <f t="shared" si="3"/>
        <v>857.04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65</v>
      </c>
      <c r="C74" s="59">
        <f t="shared" ref="C74:AF74" si="12">IF(C58&lt;0,C58*-1,0)</f>
        <v>66</v>
      </c>
      <c r="D74" s="59">
        <f t="shared" si="12"/>
        <v>65</v>
      </c>
      <c r="E74" s="59">
        <f t="shared" si="12"/>
        <v>65</v>
      </c>
      <c r="F74" s="59">
        <f t="shared" si="12"/>
        <v>62</v>
      </c>
      <c r="G74" s="59">
        <f t="shared" si="12"/>
        <v>58</v>
      </c>
      <c r="H74" s="59">
        <f t="shared" si="12"/>
        <v>48</v>
      </c>
      <c r="I74" s="59">
        <f t="shared" si="12"/>
        <v>49</v>
      </c>
      <c r="J74" s="59">
        <f t="shared" si="12"/>
        <v>39</v>
      </c>
      <c r="K74" s="59">
        <f t="shared" si="12"/>
        <v>30</v>
      </c>
      <c r="L74" s="59">
        <f t="shared" si="12"/>
        <v>29.8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si="12"/>
        <v>0</v>
      </c>
      <c r="S74" s="59">
        <f t="shared" si="12"/>
        <v>0</v>
      </c>
      <c r="T74" s="59">
        <f t="shared" si="12"/>
        <v>0</v>
      </c>
      <c r="U74" s="59">
        <f t="shared" si="12"/>
        <v>40</v>
      </c>
      <c r="V74" s="59">
        <f t="shared" si="12"/>
        <v>50.9</v>
      </c>
      <c r="W74" s="59">
        <f t="shared" si="12"/>
        <v>60</v>
      </c>
      <c r="X74" s="59">
        <f t="shared" si="12"/>
        <v>60</v>
      </c>
      <c r="Y74" s="59">
        <f t="shared" si="12"/>
        <v>63</v>
      </c>
      <c r="Z74" s="59">
        <f t="shared" si="12"/>
        <v>60</v>
      </c>
      <c r="AA74" s="59">
        <f t="shared" si="12"/>
        <v>62</v>
      </c>
      <c r="AB74" s="59">
        <f t="shared" si="12"/>
        <v>0</v>
      </c>
      <c r="AC74" s="59">
        <f t="shared" si="12"/>
        <v>0</v>
      </c>
      <c r="AD74" s="59">
        <f t="shared" si="12"/>
        <v>0</v>
      </c>
      <c r="AE74" s="59">
        <f t="shared" si="12"/>
        <v>0</v>
      </c>
      <c r="AF74" s="59">
        <f t="shared" si="12"/>
        <v>0</v>
      </c>
      <c r="AG74" s="63"/>
      <c r="AH74" s="55">
        <f t="shared" si="2"/>
        <v>66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72</v>
      </c>
      <c r="C75" s="59">
        <f t="shared" ref="C75:AF75" si="13">IF(C56&lt;0,C56*-1,0)</f>
        <v>70.5</v>
      </c>
      <c r="D75" s="59">
        <f t="shared" si="13"/>
        <v>69.2</v>
      </c>
      <c r="E75" s="59">
        <f t="shared" si="13"/>
        <v>68</v>
      </c>
      <c r="F75" s="59">
        <f t="shared" si="13"/>
        <v>64.5</v>
      </c>
      <c r="G75" s="59">
        <f t="shared" si="13"/>
        <v>61.3</v>
      </c>
      <c r="H75" s="59">
        <f t="shared" si="13"/>
        <v>47.1</v>
      </c>
      <c r="I75" s="59">
        <f t="shared" si="13"/>
        <v>38.4</v>
      </c>
      <c r="J75" s="59">
        <f t="shared" si="13"/>
        <v>37.5</v>
      </c>
      <c r="K75" s="59">
        <f t="shared" si="13"/>
        <v>34.799999999999997</v>
      </c>
      <c r="L75" s="59">
        <f t="shared" si="13"/>
        <v>33.9</v>
      </c>
      <c r="M75" s="59">
        <f t="shared" si="13"/>
        <v>36.1</v>
      </c>
      <c r="N75" s="59">
        <f t="shared" si="13"/>
        <v>67.599999999999994</v>
      </c>
      <c r="O75" s="59">
        <f t="shared" si="13"/>
        <v>7.6</v>
      </c>
      <c r="P75" s="59">
        <f t="shared" si="13"/>
        <v>35</v>
      </c>
      <c r="Q75" s="59">
        <f t="shared" si="13"/>
        <v>76.099999999999994</v>
      </c>
      <c r="R75" s="59">
        <f t="shared" si="13"/>
        <v>84.9</v>
      </c>
      <c r="S75" s="59">
        <f t="shared" si="13"/>
        <v>7.4</v>
      </c>
      <c r="T75" s="59">
        <f t="shared" si="13"/>
        <v>7.9</v>
      </c>
      <c r="U75" s="59">
        <f t="shared" si="13"/>
        <v>42.3</v>
      </c>
      <c r="V75" s="59">
        <f t="shared" si="13"/>
        <v>58.6</v>
      </c>
      <c r="W75" s="59">
        <f t="shared" si="13"/>
        <v>64.2</v>
      </c>
      <c r="X75" s="59">
        <f t="shared" si="13"/>
        <v>70.099999999999994</v>
      </c>
      <c r="Y75" s="59">
        <f t="shared" si="13"/>
        <v>69.3</v>
      </c>
      <c r="Z75" s="59">
        <f t="shared" si="13"/>
        <v>72.400000000000006</v>
      </c>
      <c r="AA75" s="59">
        <f t="shared" si="13"/>
        <v>71.7</v>
      </c>
      <c r="AB75" s="59">
        <f t="shared" si="13"/>
        <v>74.7</v>
      </c>
      <c r="AC75" s="59">
        <f t="shared" si="13"/>
        <v>18.399999999999999</v>
      </c>
      <c r="AD75" s="59">
        <f t="shared" si="13"/>
        <v>18.5</v>
      </c>
      <c r="AE75" s="59">
        <f t="shared" si="13"/>
        <v>17.399999999999999</v>
      </c>
      <c r="AF75" s="59">
        <f t="shared" si="13"/>
        <v>16.8</v>
      </c>
      <c r="AG75" s="67"/>
      <c r="AH75" s="55">
        <f t="shared" si="2"/>
        <v>84.9</v>
      </c>
      <c r="AI75" s="56">
        <f t="shared" si="3"/>
        <v>7.4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65</v>
      </c>
      <c r="C76" s="59">
        <f t="shared" ref="C76:AF76" si="14">IF(C59&lt;0,C59*-1,0)</f>
        <v>65</v>
      </c>
      <c r="D76" s="59">
        <f t="shared" si="14"/>
        <v>65.400000000000006</v>
      </c>
      <c r="E76" s="59">
        <f t="shared" si="14"/>
        <v>64.099999999999994</v>
      </c>
      <c r="F76" s="59">
        <f t="shared" si="14"/>
        <v>62.3</v>
      </c>
      <c r="G76" s="59">
        <f t="shared" si="14"/>
        <v>56.1</v>
      </c>
      <c r="H76" s="59">
        <f t="shared" si="14"/>
        <v>54.7</v>
      </c>
      <c r="I76" s="59">
        <f t="shared" si="14"/>
        <v>47.4</v>
      </c>
      <c r="J76" s="59">
        <f t="shared" si="14"/>
        <v>40.9</v>
      </c>
      <c r="K76" s="59">
        <f t="shared" si="14"/>
        <v>39.9</v>
      </c>
      <c r="L76" s="59">
        <f t="shared" si="14"/>
        <v>40.4</v>
      </c>
      <c r="M76" s="59">
        <f t="shared" si="14"/>
        <v>40.1</v>
      </c>
      <c r="N76" s="59">
        <f t="shared" si="14"/>
        <v>43.6</v>
      </c>
      <c r="O76" s="59">
        <f t="shared" si="14"/>
        <v>32</v>
      </c>
      <c r="P76" s="59">
        <f t="shared" si="14"/>
        <v>32.700000000000003</v>
      </c>
      <c r="Q76" s="59">
        <f t="shared" si="14"/>
        <v>47.4</v>
      </c>
      <c r="R76" s="59">
        <f t="shared" si="14"/>
        <v>52.2</v>
      </c>
      <c r="S76" s="59">
        <f t="shared" si="14"/>
        <v>32.700000000000003</v>
      </c>
      <c r="T76" s="59">
        <f t="shared" si="14"/>
        <v>30.2</v>
      </c>
      <c r="U76" s="59">
        <f t="shared" si="14"/>
        <v>29.4</v>
      </c>
      <c r="V76" s="59">
        <f t="shared" si="14"/>
        <v>35.4</v>
      </c>
      <c r="W76" s="59">
        <f t="shared" si="14"/>
        <v>53.3</v>
      </c>
      <c r="X76" s="59">
        <f t="shared" si="14"/>
        <v>61.8</v>
      </c>
      <c r="Y76" s="59">
        <f t="shared" si="14"/>
        <v>62.6</v>
      </c>
      <c r="Z76" s="59">
        <f t="shared" si="14"/>
        <v>61</v>
      </c>
      <c r="AA76" s="59">
        <f t="shared" si="14"/>
        <v>60.5</v>
      </c>
      <c r="AB76" s="59">
        <f t="shared" si="14"/>
        <v>62.6</v>
      </c>
      <c r="AC76" s="59">
        <f t="shared" si="14"/>
        <v>40.6</v>
      </c>
      <c r="AD76" s="59">
        <f t="shared" si="14"/>
        <v>41.3</v>
      </c>
      <c r="AE76" s="59">
        <f t="shared" si="14"/>
        <v>41.5</v>
      </c>
      <c r="AF76" s="59">
        <f t="shared" si="14"/>
        <v>41.4</v>
      </c>
      <c r="AG76" s="90"/>
      <c r="AH76" s="55">
        <f t="shared" si="2"/>
        <v>65.400000000000006</v>
      </c>
      <c r="AI76" s="56">
        <f t="shared" si="3"/>
        <v>29.4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210</v>
      </c>
      <c r="C77" s="59">
        <f t="shared" ref="C77:AF77" si="15">IF(C57&lt;0,C57*-1,0)</f>
        <v>230.8</v>
      </c>
      <c r="D77" s="59">
        <f t="shared" si="15"/>
        <v>225.4</v>
      </c>
      <c r="E77" s="59">
        <f t="shared" si="15"/>
        <v>227</v>
      </c>
      <c r="F77" s="59">
        <f t="shared" si="15"/>
        <v>220</v>
      </c>
      <c r="G77" s="59">
        <f t="shared" si="15"/>
        <v>225.9</v>
      </c>
      <c r="H77" s="59">
        <f t="shared" si="15"/>
        <v>295.8</v>
      </c>
      <c r="I77" s="59">
        <f t="shared" si="15"/>
        <v>333</v>
      </c>
      <c r="J77" s="59">
        <f t="shared" si="15"/>
        <v>354.8</v>
      </c>
      <c r="K77" s="59">
        <f t="shared" si="15"/>
        <v>240</v>
      </c>
      <c r="L77" s="59">
        <f t="shared" si="15"/>
        <v>180</v>
      </c>
      <c r="M77" s="59">
        <f t="shared" si="15"/>
        <v>206</v>
      </c>
      <c r="N77" s="59">
        <f t="shared" si="15"/>
        <v>182</v>
      </c>
      <c r="O77" s="59">
        <f t="shared" si="15"/>
        <v>312.5</v>
      </c>
      <c r="P77" s="59">
        <f t="shared" si="15"/>
        <v>281</v>
      </c>
      <c r="Q77" s="59">
        <f t="shared" si="15"/>
        <v>198</v>
      </c>
      <c r="R77" s="59">
        <f t="shared" si="15"/>
        <v>207.6</v>
      </c>
      <c r="S77" s="59">
        <f t="shared" si="15"/>
        <v>331</v>
      </c>
      <c r="T77" s="59">
        <f t="shared" si="15"/>
        <v>307.60000000000002</v>
      </c>
      <c r="U77" s="59">
        <f t="shared" si="15"/>
        <v>0</v>
      </c>
      <c r="V77" s="59">
        <f t="shared" si="15"/>
        <v>189</v>
      </c>
      <c r="W77" s="59">
        <f t="shared" si="15"/>
        <v>135.9</v>
      </c>
      <c r="X77" s="59">
        <f t="shared" si="15"/>
        <v>98</v>
      </c>
      <c r="Y77" s="59">
        <f t="shared" si="15"/>
        <v>94.5</v>
      </c>
      <c r="Z77" s="59">
        <f t="shared" si="15"/>
        <v>85</v>
      </c>
      <c r="AA77" s="59">
        <f t="shared" si="15"/>
        <v>75</v>
      </c>
      <c r="AB77" s="59">
        <f t="shared" si="15"/>
        <v>129</v>
      </c>
      <c r="AC77" s="59">
        <f t="shared" si="15"/>
        <v>217.8</v>
      </c>
      <c r="AD77" s="59">
        <f t="shared" si="15"/>
        <v>293</v>
      </c>
      <c r="AE77" s="59">
        <f t="shared" si="15"/>
        <v>56.5</v>
      </c>
      <c r="AF77" s="59">
        <f t="shared" si="15"/>
        <v>240</v>
      </c>
      <c r="AG77" s="90"/>
      <c r="AH77" s="55">
        <f t="shared" ref="AH77:AH89" si="16">MAX(B77:AF77)</f>
        <v>354.8</v>
      </c>
      <c r="AI77" s="56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8">IF(C55&lt;0,C55*-1,0)</f>
        <v>0</v>
      </c>
      <c r="D78" s="59">
        <f t="shared" si="18"/>
        <v>0</v>
      </c>
      <c r="E78" s="59">
        <f t="shared" si="18"/>
        <v>0</v>
      </c>
      <c r="F78" s="59">
        <f t="shared" si="18"/>
        <v>0</v>
      </c>
      <c r="G78" s="59">
        <f t="shared" si="18"/>
        <v>0</v>
      </c>
      <c r="H78" s="59">
        <f t="shared" si="18"/>
        <v>0</v>
      </c>
      <c r="I78" s="59">
        <f t="shared" si="18"/>
        <v>0</v>
      </c>
      <c r="J78" s="59">
        <f t="shared" si="18"/>
        <v>0</v>
      </c>
      <c r="K78" s="59">
        <f t="shared" si="18"/>
        <v>0</v>
      </c>
      <c r="L78" s="59">
        <f t="shared" si="18"/>
        <v>0</v>
      </c>
      <c r="M78" s="59">
        <f t="shared" si="18"/>
        <v>0</v>
      </c>
      <c r="N78" s="59">
        <f t="shared" si="18"/>
        <v>0</v>
      </c>
      <c r="O78" s="59">
        <f t="shared" si="18"/>
        <v>0</v>
      </c>
      <c r="P78" s="59">
        <f t="shared" si="18"/>
        <v>0</v>
      </c>
      <c r="Q78" s="59">
        <f t="shared" si="18"/>
        <v>0</v>
      </c>
      <c r="R78" s="59">
        <f t="shared" si="18"/>
        <v>0</v>
      </c>
      <c r="S78" s="59">
        <f t="shared" si="18"/>
        <v>0</v>
      </c>
      <c r="T78" s="59">
        <f t="shared" si="18"/>
        <v>0</v>
      </c>
      <c r="U78" s="59">
        <f t="shared" si="18"/>
        <v>0</v>
      </c>
      <c r="V78" s="59">
        <f t="shared" si="18"/>
        <v>0</v>
      </c>
      <c r="W78" s="59">
        <f t="shared" si="18"/>
        <v>0</v>
      </c>
      <c r="X78" s="59">
        <f t="shared" si="18"/>
        <v>0</v>
      </c>
      <c r="Y78" s="59">
        <f t="shared" si="18"/>
        <v>0</v>
      </c>
      <c r="Z78" s="59">
        <f t="shared" si="18"/>
        <v>0</v>
      </c>
      <c r="AA78" s="59">
        <f t="shared" si="18"/>
        <v>0</v>
      </c>
      <c r="AB78" s="59">
        <f t="shared" si="18"/>
        <v>0</v>
      </c>
      <c r="AC78" s="59">
        <f t="shared" si="18"/>
        <v>0</v>
      </c>
      <c r="AD78" s="59">
        <f t="shared" si="18"/>
        <v>0</v>
      </c>
      <c r="AE78" s="59">
        <f t="shared" si="18"/>
        <v>0</v>
      </c>
      <c r="AF78" s="59">
        <f t="shared" si="18"/>
        <v>0</v>
      </c>
      <c r="AG78" s="90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6"/>
        <v>0</v>
      </c>
      <c r="AI79" s="56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19">SUM(B74:B79)</f>
        <v>412</v>
      </c>
      <c r="C80" s="72">
        <f t="shared" si="19"/>
        <v>432.3</v>
      </c>
      <c r="D80" s="72">
        <f t="shared" si="19"/>
        <v>425</v>
      </c>
      <c r="E80" s="72">
        <f t="shared" si="19"/>
        <v>424.1</v>
      </c>
      <c r="F80" s="72">
        <f t="shared" si="19"/>
        <v>408.8</v>
      </c>
      <c r="G80" s="72">
        <f t="shared" si="19"/>
        <v>401.3</v>
      </c>
      <c r="H80" s="72">
        <f t="shared" si="19"/>
        <v>445.6</v>
      </c>
      <c r="I80" s="72">
        <f t="shared" si="19"/>
        <v>467.8</v>
      </c>
      <c r="J80" s="72">
        <f t="shared" si="19"/>
        <v>472.20000000000005</v>
      </c>
      <c r="K80" s="72">
        <f t="shared" si="19"/>
        <v>344.7</v>
      </c>
      <c r="L80" s="72">
        <f t="shared" si="19"/>
        <v>284.10000000000002</v>
      </c>
      <c r="M80" s="72">
        <f t="shared" si="19"/>
        <v>282.2</v>
      </c>
      <c r="N80" s="72">
        <f t="shared" si="19"/>
        <v>293.2</v>
      </c>
      <c r="O80" s="72">
        <f t="shared" si="19"/>
        <v>352.1</v>
      </c>
      <c r="P80" s="72">
        <f t="shared" si="19"/>
        <v>348.7</v>
      </c>
      <c r="Q80" s="72">
        <f t="shared" si="19"/>
        <v>321.5</v>
      </c>
      <c r="R80" s="72">
        <f t="shared" si="19"/>
        <v>344.70000000000005</v>
      </c>
      <c r="S80" s="72">
        <f t="shared" si="19"/>
        <v>371.1</v>
      </c>
      <c r="T80" s="72">
        <f t="shared" si="19"/>
        <v>345.70000000000005</v>
      </c>
      <c r="U80" s="72">
        <f t="shared" si="19"/>
        <v>111.69999999999999</v>
      </c>
      <c r="V80" s="72">
        <f t="shared" si="19"/>
        <v>333.9</v>
      </c>
      <c r="W80" s="72">
        <f t="shared" si="19"/>
        <v>313.39999999999998</v>
      </c>
      <c r="X80" s="72">
        <f t="shared" si="19"/>
        <v>289.89999999999998</v>
      </c>
      <c r="Y80" s="72">
        <f t="shared" si="19"/>
        <v>289.39999999999998</v>
      </c>
      <c r="Z80" s="72">
        <f t="shared" si="19"/>
        <v>278.39999999999998</v>
      </c>
      <c r="AA80" s="72">
        <f t="shared" si="19"/>
        <v>269.2</v>
      </c>
      <c r="AB80" s="72">
        <f t="shared" si="19"/>
        <v>266.3</v>
      </c>
      <c r="AC80" s="72">
        <f t="shared" si="19"/>
        <v>276.8</v>
      </c>
      <c r="AD80" s="72">
        <f t="shared" si="19"/>
        <v>352.8</v>
      </c>
      <c r="AE80" s="72">
        <f t="shared" si="19"/>
        <v>115.4</v>
      </c>
      <c r="AF80" s="72">
        <f t="shared" si="19"/>
        <v>298.2</v>
      </c>
      <c r="AG80" s="77">
        <f t="shared" si="19"/>
        <v>0</v>
      </c>
      <c r="AH80" s="55">
        <f t="shared" si="16"/>
        <v>472.20000000000005</v>
      </c>
      <c r="AI80" s="56">
        <f t="shared" si="17"/>
        <v>111.69999999999999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0">SUM(B68:B80)</f>
        <v>2816.6800000000003</v>
      </c>
      <c r="C81" s="72">
        <f t="shared" si="20"/>
        <v>2800.4800000000005</v>
      </c>
      <c r="D81" s="72">
        <f t="shared" si="20"/>
        <v>2787.6800000000003</v>
      </c>
      <c r="E81" s="72">
        <f t="shared" si="20"/>
        <v>2729.6800000000003</v>
      </c>
      <c r="F81" s="72">
        <f t="shared" si="20"/>
        <v>2718.0800000000004</v>
      </c>
      <c r="G81" s="72">
        <f t="shared" si="20"/>
        <v>2750.0800000000004</v>
      </c>
      <c r="H81" s="72">
        <f t="shared" si="20"/>
        <v>2794.88</v>
      </c>
      <c r="I81" s="72">
        <f t="shared" si="20"/>
        <v>2749.8800000000006</v>
      </c>
      <c r="J81" s="72">
        <f t="shared" si="20"/>
        <v>2719.6800000000003</v>
      </c>
      <c r="K81" s="72">
        <f t="shared" si="20"/>
        <v>2474.6800000000003</v>
      </c>
      <c r="L81" s="72">
        <f t="shared" si="20"/>
        <v>2396.6799999999998</v>
      </c>
      <c r="M81" s="72">
        <f t="shared" si="20"/>
        <v>2376.4799999999996</v>
      </c>
      <c r="N81" s="72">
        <f t="shared" si="20"/>
        <v>2361.4799999999996</v>
      </c>
      <c r="O81" s="72">
        <f t="shared" si="20"/>
        <v>2462.2799999999997</v>
      </c>
      <c r="P81" s="72">
        <f t="shared" si="20"/>
        <v>2519.4799999999996</v>
      </c>
      <c r="Q81" s="72">
        <f t="shared" si="20"/>
        <v>2519.48</v>
      </c>
      <c r="R81" s="72">
        <f t="shared" si="20"/>
        <v>2511.6800000000003</v>
      </c>
      <c r="S81" s="72">
        <f t="shared" si="20"/>
        <v>2457.48</v>
      </c>
      <c r="T81" s="72">
        <f t="shared" si="20"/>
        <v>2434.08</v>
      </c>
      <c r="U81" s="72">
        <f t="shared" si="20"/>
        <v>1937.48</v>
      </c>
      <c r="V81" s="72">
        <f t="shared" si="20"/>
        <v>2728.4800000000005</v>
      </c>
      <c r="W81" s="72">
        <f t="shared" si="20"/>
        <v>2809.28</v>
      </c>
      <c r="X81" s="72">
        <f t="shared" si="20"/>
        <v>3030.88</v>
      </c>
      <c r="Y81" s="72">
        <f t="shared" si="20"/>
        <v>3006.88</v>
      </c>
      <c r="Z81" s="72">
        <f t="shared" si="20"/>
        <v>2959.4800000000005</v>
      </c>
      <c r="AA81" s="72">
        <f t="shared" si="20"/>
        <v>2932.88</v>
      </c>
      <c r="AB81" s="72">
        <f t="shared" si="20"/>
        <v>2853.28</v>
      </c>
      <c r="AC81" s="72">
        <f t="shared" si="20"/>
        <v>2853.0800000000008</v>
      </c>
      <c r="AD81" s="72">
        <f t="shared" si="20"/>
        <v>2840.6800000000007</v>
      </c>
      <c r="AE81" s="72">
        <f t="shared" si="20"/>
        <v>2216.0800000000004</v>
      </c>
      <c r="AF81" s="72">
        <f t="shared" si="20"/>
        <v>2605.48</v>
      </c>
      <c r="AG81" s="77">
        <f t="shared" si="20"/>
        <v>4238.08</v>
      </c>
      <c r="AH81" s="55">
        <f t="shared" si="16"/>
        <v>3030.88</v>
      </c>
      <c r="AI81" s="56">
        <f t="shared" si="17"/>
        <v>1937.48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49.98</v>
      </c>
      <c r="C82" s="93">
        <v>50.015000000000001</v>
      </c>
      <c r="D82" s="93">
        <v>49.994</v>
      </c>
      <c r="E82" s="93">
        <v>50.01</v>
      </c>
      <c r="F82" s="93">
        <v>50.029000000000003</v>
      </c>
      <c r="G82" s="93">
        <v>50.029000000000003</v>
      </c>
      <c r="H82" s="93">
        <v>49.968000000000004</v>
      </c>
      <c r="I82" s="93">
        <v>49.968000000000004</v>
      </c>
      <c r="J82" s="93">
        <v>50.006999999999998</v>
      </c>
      <c r="K82" s="93">
        <v>50.01</v>
      </c>
      <c r="L82" s="93">
        <v>50.01</v>
      </c>
      <c r="M82" s="93">
        <v>50.078000000000003</v>
      </c>
      <c r="N82" s="93">
        <v>49.988</v>
      </c>
      <c r="O82" s="93">
        <v>50.037999999999997</v>
      </c>
      <c r="P82" s="93">
        <v>49.9</v>
      </c>
      <c r="Q82" s="93">
        <v>49.975999999999999</v>
      </c>
      <c r="R82" s="93">
        <v>50.064999999999998</v>
      </c>
      <c r="S82" s="93">
        <v>50.042000000000002</v>
      </c>
      <c r="T82" s="93">
        <v>50</v>
      </c>
      <c r="U82" s="93">
        <v>49.92</v>
      </c>
      <c r="V82" s="93">
        <v>49.935000000000002</v>
      </c>
      <c r="W82" s="93">
        <v>49.92</v>
      </c>
      <c r="X82" s="93">
        <v>49.92</v>
      </c>
      <c r="Y82" s="93">
        <v>49.997999999999998</v>
      </c>
      <c r="Z82" s="93">
        <v>50.045000000000002</v>
      </c>
      <c r="AA82" s="93">
        <v>50.04</v>
      </c>
      <c r="AB82" s="93">
        <v>49.96</v>
      </c>
      <c r="AC82" s="93">
        <v>50.03</v>
      </c>
      <c r="AD82" s="93">
        <v>49.960999999999999</v>
      </c>
      <c r="AE82" s="93">
        <v>49.965000000000003</v>
      </c>
      <c r="AF82" s="94">
        <v>50.045999999999999</v>
      </c>
      <c r="AG82" s="95"/>
      <c r="AH82" s="55">
        <f t="shared" si="16"/>
        <v>50.078000000000003</v>
      </c>
      <c r="AI82" s="56">
        <f t="shared" si="17"/>
        <v>49.9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</v>
      </c>
      <c r="C83" s="52">
        <v>124.9</v>
      </c>
      <c r="D83" s="52">
        <v>125.8</v>
      </c>
      <c r="E83" s="52">
        <v>124.6</v>
      </c>
      <c r="F83" s="52">
        <v>124.4</v>
      </c>
      <c r="G83" s="52">
        <v>125.4</v>
      </c>
      <c r="H83" s="52">
        <v>126.5</v>
      </c>
      <c r="I83" s="52">
        <v>126.5</v>
      </c>
      <c r="J83" s="52">
        <v>126.1</v>
      </c>
      <c r="K83" s="52">
        <v>126</v>
      </c>
      <c r="L83" s="52">
        <v>126</v>
      </c>
      <c r="M83" s="52">
        <v>124.5</v>
      </c>
      <c r="N83" s="52">
        <v>126</v>
      </c>
      <c r="O83" s="52">
        <v>126</v>
      </c>
      <c r="P83" s="52">
        <v>125.3</v>
      </c>
      <c r="Q83" s="52">
        <v>126.3</v>
      </c>
      <c r="R83" s="52">
        <v>126.6</v>
      </c>
      <c r="S83" s="52">
        <v>128.5</v>
      </c>
      <c r="T83" s="97">
        <v>127.7</v>
      </c>
      <c r="U83" s="97">
        <v>126.8</v>
      </c>
      <c r="V83" s="97">
        <v>124.6</v>
      </c>
      <c r="W83" s="97">
        <v>123.1</v>
      </c>
      <c r="X83" s="97">
        <v>123.1</v>
      </c>
      <c r="Y83" s="97">
        <v>123.3</v>
      </c>
      <c r="Z83" s="97">
        <v>123.3</v>
      </c>
      <c r="AA83" s="97">
        <v>123.1</v>
      </c>
      <c r="AB83" s="97">
        <v>123.4</v>
      </c>
      <c r="AC83" s="97">
        <v>125.2</v>
      </c>
      <c r="AD83" s="52">
        <v>126</v>
      </c>
      <c r="AE83" s="52">
        <v>126.5</v>
      </c>
      <c r="AF83" s="98">
        <v>125.4</v>
      </c>
      <c r="AG83" s="99"/>
      <c r="AH83" s="55">
        <f t="shared" si="16"/>
        <v>128.5</v>
      </c>
      <c r="AI83" s="56">
        <f t="shared" si="17"/>
        <v>123.1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130</v>
      </c>
      <c r="C84" s="52">
        <v>129.69999999999999</v>
      </c>
      <c r="D84" s="52">
        <v>130.19999999999999</v>
      </c>
      <c r="E84" s="52">
        <v>129.5</v>
      </c>
      <c r="F84" s="52">
        <v>129.19999999999999</v>
      </c>
      <c r="G84" s="52">
        <v>129.69999999999999</v>
      </c>
      <c r="H84" s="52">
        <v>130.19999999999999</v>
      </c>
      <c r="I84" s="52">
        <v>130.19999999999999</v>
      </c>
      <c r="J84" s="52">
        <v>129.69999999999999</v>
      </c>
      <c r="K84" s="52">
        <v>128.69999999999999</v>
      </c>
      <c r="L84" s="52">
        <v>128.69999999999999</v>
      </c>
      <c r="M84" s="52">
        <v>127.8</v>
      </c>
      <c r="N84" s="52">
        <v>130</v>
      </c>
      <c r="O84" s="52">
        <v>130</v>
      </c>
      <c r="P84" s="52">
        <v>128.69999999999999</v>
      </c>
      <c r="Q84" s="52">
        <v>129.6</v>
      </c>
      <c r="R84" s="52">
        <v>129.69999999999999</v>
      </c>
      <c r="S84" s="52">
        <v>131.19999999999999</v>
      </c>
      <c r="T84" s="97">
        <v>130.80000000000001</v>
      </c>
      <c r="U84" s="97">
        <v>129.6</v>
      </c>
      <c r="V84" s="97">
        <v>127.7</v>
      </c>
      <c r="W84" s="97">
        <v>126.5</v>
      </c>
      <c r="X84" s="97">
        <v>126.5</v>
      </c>
      <c r="Y84" s="97">
        <v>127.1</v>
      </c>
      <c r="Z84" s="97">
        <v>127.1</v>
      </c>
      <c r="AA84" s="97">
        <v>127.1</v>
      </c>
      <c r="AB84" s="97">
        <v>127.6</v>
      </c>
      <c r="AC84" s="97">
        <v>129.30000000000001</v>
      </c>
      <c r="AD84" s="52">
        <v>130.4</v>
      </c>
      <c r="AE84" s="52">
        <v>130.5</v>
      </c>
      <c r="AF84" s="98">
        <v>130.30000000000001</v>
      </c>
      <c r="AG84" s="99"/>
      <c r="AH84" s="55">
        <f t="shared" si="16"/>
        <v>131.19999999999999</v>
      </c>
      <c r="AI84" s="56">
        <f t="shared" si="17"/>
        <v>126.5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130</v>
      </c>
      <c r="C85" s="52">
        <v>126.7</v>
      </c>
      <c r="D85" s="52">
        <v>127.1</v>
      </c>
      <c r="E85" s="52">
        <v>128.19999999999999</v>
      </c>
      <c r="F85" s="52">
        <v>130.1</v>
      </c>
      <c r="G85" s="52">
        <v>130.69999999999999</v>
      </c>
      <c r="H85" s="52">
        <v>131.4</v>
      </c>
      <c r="I85" s="52">
        <v>131.4</v>
      </c>
      <c r="J85" s="52">
        <v>129.69999999999999</v>
      </c>
      <c r="K85" s="52">
        <v>129.5</v>
      </c>
      <c r="L85" s="52">
        <v>129.5</v>
      </c>
      <c r="M85" s="52">
        <v>128.69999999999999</v>
      </c>
      <c r="N85" s="52">
        <v>127</v>
      </c>
      <c r="O85" s="52">
        <v>128</v>
      </c>
      <c r="P85" s="52">
        <v>127.2</v>
      </c>
      <c r="Q85" s="52">
        <v>125.9</v>
      </c>
      <c r="R85" s="52">
        <v>127.5</v>
      </c>
      <c r="S85" s="52">
        <v>130.1</v>
      </c>
      <c r="T85" s="52">
        <v>130.19999999999999</v>
      </c>
      <c r="U85" s="52">
        <v>128.1</v>
      </c>
      <c r="V85" s="52">
        <v>125.4</v>
      </c>
      <c r="W85" s="52">
        <v>124.8</v>
      </c>
      <c r="X85" s="52">
        <v>124.8</v>
      </c>
      <c r="Y85" s="52">
        <v>131.1</v>
      </c>
      <c r="Z85" s="97">
        <v>127.2</v>
      </c>
      <c r="AA85" s="97">
        <v>127.6</v>
      </c>
      <c r="AB85" s="97">
        <v>127.6</v>
      </c>
      <c r="AC85" s="97">
        <v>129.80000000000001</v>
      </c>
      <c r="AD85" s="52">
        <v>130.69999999999999</v>
      </c>
      <c r="AE85" s="52">
        <v>130.19999999999999</v>
      </c>
      <c r="AF85" s="98">
        <v>129.6</v>
      </c>
      <c r="AG85" s="99"/>
      <c r="AH85" s="55">
        <f t="shared" si="16"/>
        <v>131.4</v>
      </c>
      <c r="AI85" s="56">
        <f t="shared" si="17"/>
        <v>124.8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133</v>
      </c>
      <c r="C86" s="52">
        <v>131.19999999999999</v>
      </c>
      <c r="D86" s="52">
        <v>131.6</v>
      </c>
      <c r="E86" s="52">
        <v>132.69999999999999</v>
      </c>
      <c r="F86" s="52">
        <v>133.80000000000001</v>
      </c>
      <c r="G86" s="52">
        <v>134.30000000000001</v>
      </c>
      <c r="H86" s="52">
        <v>134.9</v>
      </c>
      <c r="I86" s="52">
        <v>134.9</v>
      </c>
      <c r="J86" s="52">
        <v>133.4</v>
      </c>
      <c r="K86" s="52">
        <v>133.80000000000001</v>
      </c>
      <c r="L86" s="52">
        <v>133.80000000000001</v>
      </c>
      <c r="M86" s="52">
        <v>132.5</v>
      </c>
      <c r="N86" s="52">
        <v>131</v>
      </c>
      <c r="O86" s="52">
        <v>131</v>
      </c>
      <c r="P86" s="52">
        <v>130.6</v>
      </c>
      <c r="Q86" s="52">
        <v>129.4</v>
      </c>
      <c r="R86" s="52">
        <v>131.5</v>
      </c>
      <c r="S86" s="52">
        <v>133.30000000000001</v>
      </c>
      <c r="T86" s="52">
        <v>133.5</v>
      </c>
      <c r="U86" s="52">
        <v>131.19999999999999</v>
      </c>
      <c r="V86" s="52">
        <v>127.7</v>
      </c>
      <c r="W86" s="52">
        <v>127.7</v>
      </c>
      <c r="X86" s="52">
        <v>127.7</v>
      </c>
      <c r="Y86" s="52">
        <v>134.80000000000001</v>
      </c>
      <c r="Z86" s="97">
        <v>130.69999999999999</v>
      </c>
      <c r="AA86" s="97">
        <v>130.9</v>
      </c>
      <c r="AB86" s="97">
        <v>130.19999999999999</v>
      </c>
      <c r="AC86" s="97">
        <v>132.4</v>
      </c>
      <c r="AD86" s="52">
        <v>133.30000000000001</v>
      </c>
      <c r="AE86" s="52">
        <v>133.6</v>
      </c>
      <c r="AF86" s="98">
        <v>133.6</v>
      </c>
      <c r="AG86" s="99"/>
      <c r="AH86" s="55">
        <f t="shared" si="16"/>
        <v>134.9</v>
      </c>
      <c r="AI86" s="56">
        <f t="shared" si="17"/>
        <v>127.7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133</v>
      </c>
      <c r="C87" s="101">
        <v>134.80000000000001</v>
      </c>
      <c r="D87" s="101">
        <v>134.6</v>
      </c>
      <c r="E87" s="101">
        <v>131.1</v>
      </c>
      <c r="F87" s="101">
        <v>131.80000000000001</v>
      </c>
      <c r="G87" s="101">
        <v>132.6</v>
      </c>
      <c r="H87" s="101">
        <v>135.4</v>
      </c>
      <c r="I87" s="101">
        <v>135.4</v>
      </c>
      <c r="J87" s="101">
        <v>136</v>
      </c>
      <c r="K87" s="101">
        <v>134.80000000000001</v>
      </c>
      <c r="L87" s="101">
        <v>134.80000000000001</v>
      </c>
      <c r="M87" s="101">
        <v>132.4</v>
      </c>
      <c r="N87" s="101">
        <v>132</v>
      </c>
      <c r="O87" s="101">
        <v>133</v>
      </c>
      <c r="P87" s="101">
        <v>130.5</v>
      </c>
      <c r="Q87" s="101">
        <v>131.4</v>
      </c>
      <c r="R87" s="101">
        <v>133.9</v>
      </c>
      <c r="S87" s="101">
        <v>134.9</v>
      </c>
      <c r="T87" s="101">
        <v>133.5</v>
      </c>
      <c r="U87" s="101">
        <v>130.4</v>
      </c>
      <c r="V87" s="101">
        <v>132</v>
      </c>
      <c r="W87" s="101">
        <v>129.9</v>
      </c>
      <c r="X87" s="101">
        <v>129.9</v>
      </c>
      <c r="Y87" s="101">
        <v>134.5</v>
      </c>
      <c r="Z87" s="97">
        <v>130.9</v>
      </c>
      <c r="AA87" s="97">
        <v>131.5</v>
      </c>
      <c r="AB87" s="97">
        <v>131.4</v>
      </c>
      <c r="AC87" s="97">
        <v>132</v>
      </c>
      <c r="AD87" s="101">
        <v>132.9</v>
      </c>
      <c r="AE87" s="101">
        <v>131.9</v>
      </c>
      <c r="AF87" s="102">
        <v>134.5</v>
      </c>
      <c r="AG87" s="103"/>
      <c r="AH87" s="55">
        <f t="shared" si="16"/>
        <v>136</v>
      </c>
      <c r="AI87" s="56">
        <f t="shared" si="17"/>
        <v>129.9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</v>
      </c>
      <c r="C88" s="52">
        <v>133.6</v>
      </c>
      <c r="D88" s="52">
        <v>134.5</v>
      </c>
      <c r="E88" s="52">
        <v>131.30000000000001</v>
      </c>
      <c r="F88" s="52">
        <v>132.30000000000001</v>
      </c>
      <c r="G88" s="52">
        <v>132.1</v>
      </c>
      <c r="H88" s="52">
        <v>134.80000000000001</v>
      </c>
      <c r="I88" s="52">
        <v>134.80000000000001</v>
      </c>
      <c r="J88" s="52">
        <v>132.69999999999999</v>
      </c>
      <c r="K88" s="52">
        <v>134.19999999999999</v>
      </c>
      <c r="L88" s="52">
        <v>134.19999999999999</v>
      </c>
      <c r="M88" s="52">
        <v>133.1</v>
      </c>
      <c r="N88" s="52">
        <v>133</v>
      </c>
      <c r="O88" s="52">
        <v>133</v>
      </c>
      <c r="P88" s="52">
        <v>126.6</v>
      </c>
      <c r="Q88" s="52">
        <v>130.1</v>
      </c>
      <c r="R88" s="52">
        <v>136.19999999999999</v>
      </c>
      <c r="S88" s="52">
        <v>135.69999999999999</v>
      </c>
      <c r="T88" s="52">
        <v>131.19999999999999</v>
      </c>
      <c r="U88" s="52">
        <v>128</v>
      </c>
      <c r="V88" s="52">
        <v>128.5</v>
      </c>
      <c r="W88" s="52">
        <v>129.80000000000001</v>
      </c>
      <c r="X88" s="52">
        <v>129.80000000000001</v>
      </c>
      <c r="Y88" s="52">
        <v>131.5</v>
      </c>
      <c r="Z88" s="97">
        <v>131.4</v>
      </c>
      <c r="AA88" s="97">
        <v>131.5</v>
      </c>
      <c r="AB88" s="97">
        <v>128.80000000000001</v>
      </c>
      <c r="AC88" s="97">
        <v>129.4</v>
      </c>
      <c r="AD88" s="52">
        <v>131.6</v>
      </c>
      <c r="AE88" s="52">
        <v>132.69999999999999</v>
      </c>
      <c r="AF88" s="98">
        <v>135</v>
      </c>
      <c r="AG88" s="99"/>
      <c r="AH88" s="55">
        <f t="shared" si="16"/>
        <v>136.19999999999999</v>
      </c>
      <c r="AI88" s="56">
        <f t="shared" si="17"/>
        <v>126.6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</v>
      </c>
      <c r="C89" s="104">
        <v>66.400000000000006</v>
      </c>
      <c r="D89" s="104">
        <v>66.599999999999994</v>
      </c>
      <c r="E89" s="104">
        <v>66.2</v>
      </c>
      <c r="F89" s="104">
        <v>66.099999999999994</v>
      </c>
      <c r="G89" s="104">
        <v>66.2</v>
      </c>
      <c r="H89" s="104">
        <v>66.5</v>
      </c>
      <c r="I89" s="104">
        <v>66.5</v>
      </c>
      <c r="J89" s="104">
        <v>66.400000000000006</v>
      </c>
      <c r="K89" s="104">
        <v>66.099999999999994</v>
      </c>
      <c r="L89" s="104">
        <v>66.099999999999994</v>
      </c>
      <c r="M89" s="104">
        <v>65.400000000000006</v>
      </c>
      <c r="N89" s="104">
        <v>66</v>
      </c>
      <c r="O89" s="104">
        <v>66</v>
      </c>
      <c r="P89" s="104">
        <v>65.599999999999994</v>
      </c>
      <c r="Q89" s="104">
        <v>66</v>
      </c>
      <c r="R89" s="104">
        <v>66.3</v>
      </c>
      <c r="S89" s="104">
        <v>67.099999999999994</v>
      </c>
      <c r="T89" s="104">
        <v>66.7</v>
      </c>
      <c r="U89" s="104">
        <v>66</v>
      </c>
      <c r="V89" s="104">
        <v>65.099999999999994</v>
      </c>
      <c r="W89" s="104">
        <v>64.8</v>
      </c>
      <c r="X89" s="104">
        <v>64.8</v>
      </c>
      <c r="Y89" s="104">
        <v>64.900000000000006</v>
      </c>
      <c r="Z89" s="104">
        <v>64.900000000000006</v>
      </c>
      <c r="AA89" s="104">
        <v>64.8</v>
      </c>
      <c r="AB89" s="104">
        <v>65.2</v>
      </c>
      <c r="AC89" s="104">
        <v>66.099999999999994</v>
      </c>
      <c r="AD89" s="104">
        <v>66.5</v>
      </c>
      <c r="AE89" s="104">
        <v>66.599999999999994</v>
      </c>
      <c r="AF89" s="105">
        <v>66.599999999999994</v>
      </c>
      <c r="AG89" s="106"/>
      <c r="AH89" s="55">
        <f t="shared" si="16"/>
        <v>67.099999999999994</v>
      </c>
      <c r="AI89" s="56">
        <f t="shared" si="17"/>
        <v>64.8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120.93999999999998</v>
      </c>
      <c r="C91" s="178">
        <f t="shared" ref="C91:E91" si="21">SUM(C14,C17,C20:C21,C40,C42:C43,C45,C47,C92:C95,C100,C106,C112,C121,C123,C135,C142,C145:C146,C153,C155,C157,C161:C163,C165:C167,C172,C178:C179,C181:C183,C191,C196)</f>
        <v>123.93999999999998</v>
      </c>
      <c r="D91" s="178">
        <f t="shared" si="21"/>
        <v>125.74</v>
      </c>
      <c r="E91" s="178">
        <f t="shared" si="21"/>
        <v>134.53999999999996</v>
      </c>
      <c r="F91" s="111">
        <f t="shared" ref="F91:AF91" si="22">SUM(F14,F17,F20:F21,F40,F42:F43,F45,F47,F92:F95,F100,F106,F112,F121,F123,F135,F142,F145:F146,F153,F155,F157,F161:F163,F165:F167,F172,F178:F179,F181:F183,F191,F196)</f>
        <v>139.13999999999999</v>
      </c>
      <c r="G91" s="111">
        <f t="shared" si="22"/>
        <v>154.43999999999997</v>
      </c>
      <c r="H91" s="111">
        <f t="shared" si="22"/>
        <v>172.03999999999994</v>
      </c>
      <c r="I91" s="111">
        <f t="shared" si="22"/>
        <v>182.23999999999995</v>
      </c>
      <c r="J91" s="111">
        <f t="shared" si="22"/>
        <v>186.73999999999995</v>
      </c>
      <c r="K91" s="111">
        <f t="shared" si="22"/>
        <v>195.93999999999997</v>
      </c>
      <c r="L91" s="111">
        <f t="shared" si="22"/>
        <v>194.83999999999997</v>
      </c>
      <c r="M91" s="111">
        <f t="shared" si="22"/>
        <v>193.14</v>
      </c>
      <c r="N91" s="111">
        <f t="shared" si="22"/>
        <v>194.83999999999997</v>
      </c>
      <c r="O91" s="111">
        <f t="shared" si="22"/>
        <v>177.23999999999998</v>
      </c>
      <c r="P91" s="111">
        <f t="shared" si="22"/>
        <v>178.33999999999997</v>
      </c>
      <c r="Q91" s="111">
        <f t="shared" si="22"/>
        <v>184.84</v>
      </c>
      <c r="R91" s="111">
        <f t="shared" si="22"/>
        <v>167.64</v>
      </c>
      <c r="S91" s="111">
        <f t="shared" si="22"/>
        <v>169.23999999999998</v>
      </c>
      <c r="T91" s="111">
        <f t="shared" si="22"/>
        <v>176.24</v>
      </c>
      <c r="U91" s="111">
        <f t="shared" si="22"/>
        <v>186.23999999999998</v>
      </c>
      <c r="V91" s="111">
        <f t="shared" si="22"/>
        <v>230.13999999999996</v>
      </c>
      <c r="W91" s="111">
        <f t="shared" si="22"/>
        <v>256.14</v>
      </c>
      <c r="X91" s="111">
        <f t="shared" si="22"/>
        <v>256.33999999999997</v>
      </c>
      <c r="Y91" s="111">
        <f t="shared" si="22"/>
        <v>252.43999999999994</v>
      </c>
      <c r="Z91" s="111">
        <f t="shared" si="22"/>
        <v>251.93999999999994</v>
      </c>
      <c r="AA91" s="111">
        <f t="shared" si="22"/>
        <v>251.14</v>
      </c>
      <c r="AB91" s="111">
        <f t="shared" si="22"/>
        <v>222.43999999999994</v>
      </c>
      <c r="AC91" s="111">
        <f t="shared" si="22"/>
        <v>204.13999999999996</v>
      </c>
      <c r="AD91" s="111">
        <f t="shared" si="22"/>
        <v>174.63999999999996</v>
      </c>
      <c r="AE91" s="111">
        <f t="shared" si="22"/>
        <v>144.43999999999997</v>
      </c>
      <c r="AF91" s="111">
        <f t="shared" si="22"/>
        <v>144.23999999999998</v>
      </c>
      <c r="AG91" s="112"/>
      <c r="AH91" s="55">
        <f>MAX(B91:AF91)</f>
        <v>256.33999999999997</v>
      </c>
      <c r="AI91" s="56">
        <f>MIN(B91:AF91)</f>
        <v>120.93999999999998</v>
      </c>
    </row>
    <row r="92" spans="1:88" x14ac:dyDescent="0.25">
      <c r="A92" s="113" t="s">
        <v>95</v>
      </c>
      <c r="B92" s="59">
        <v>0</v>
      </c>
      <c r="C92" s="59">
        <v>0</v>
      </c>
      <c r="D92" s="59">
        <v>0</v>
      </c>
      <c r="E92" s="59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v>0</v>
      </c>
      <c r="K92" s="114">
        <v>0</v>
      </c>
      <c r="L92" s="115">
        <v>0</v>
      </c>
      <c r="M92" s="114">
        <v>0</v>
      </c>
      <c r="N92" s="114">
        <v>0</v>
      </c>
      <c r="O92" s="114">
        <v>0</v>
      </c>
      <c r="P92" s="114">
        <v>0</v>
      </c>
      <c r="Q92" s="114">
        <v>0</v>
      </c>
      <c r="R92" s="114">
        <v>0</v>
      </c>
      <c r="S92" s="114">
        <v>0</v>
      </c>
      <c r="T92" s="115">
        <v>0</v>
      </c>
      <c r="U92" s="115">
        <v>0</v>
      </c>
      <c r="V92" s="115">
        <v>0</v>
      </c>
      <c r="W92" s="114">
        <v>0</v>
      </c>
      <c r="X92" s="114">
        <v>0</v>
      </c>
      <c r="Y92" s="114">
        <v>0</v>
      </c>
      <c r="Z92" s="114">
        <v>0</v>
      </c>
      <c r="AA92" s="114">
        <v>0</v>
      </c>
      <c r="AB92" s="114">
        <v>0</v>
      </c>
      <c r="AC92" s="114">
        <v>0</v>
      </c>
      <c r="AD92" s="115">
        <v>0</v>
      </c>
      <c r="AE92" s="115">
        <v>0</v>
      </c>
      <c r="AF92" s="116">
        <v>0</v>
      </c>
      <c r="AG92" s="117">
        <v>75</v>
      </c>
      <c r="AH92" s="55">
        <f t="shared" ref="AH92:AH97" si="23">IF(ABS(MAX(B92:AF92))&gt;ABS(MIN(B92:AF92)),MAX(B92:AF92),MIN(B92:AF92))</f>
        <v>0</v>
      </c>
      <c r="AI92" s="118">
        <f t="shared" ref="AI92:AI97" si="24">INDEX($B$9:$AF$9,1,MATCH(AH92,B92:AF92,0))</f>
        <v>4.1666666666666664E-2</v>
      </c>
    </row>
    <row r="93" spans="1:88" x14ac:dyDescent="0.25">
      <c r="A93" s="119" t="s">
        <v>96</v>
      </c>
      <c r="B93" s="61">
        <v>-108</v>
      </c>
      <c r="C93" s="61">
        <v>-105.3</v>
      </c>
      <c r="D93" s="61">
        <v>-103.2</v>
      </c>
      <c r="E93" s="61">
        <v>-79</v>
      </c>
      <c r="F93" s="61">
        <v>-70.599999999999994</v>
      </c>
      <c r="G93" s="61">
        <v>-74.3</v>
      </c>
      <c r="H93" s="61">
        <v>-67.400000000000006</v>
      </c>
      <c r="I93" s="61">
        <v>-61.4</v>
      </c>
      <c r="J93" s="61">
        <v>-55.8</v>
      </c>
      <c r="K93" s="61">
        <v>-40.5</v>
      </c>
      <c r="L93" s="61">
        <v>-42</v>
      </c>
      <c r="M93" s="61">
        <v>-44</v>
      </c>
      <c r="N93" s="61">
        <v>-63</v>
      </c>
      <c r="O93" s="61">
        <v>-69</v>
      </c>
      <c r="P93" s="61">
        <f>-37.6-44.8</f>
        <v>-82.4</v>
      </c>
      <c r="Q93" s="61">
        <v>-87</v>
      </c>
      <c r="R93" s="61">
        <v>-90.4</v>
      </c>
      <c r="S93" s="61">
        <v>-80.2</v>
      </c>
      <c r="T93" s="61">
        <v>-71.400000000000006</v>
      </c>
      <c r="U93" s="61">
        <v>-60.3</v>
      </c>
      <c r="V93" s="61">
        <v>-47.8</v>
      </c>
      <c r="W93" s="61">
        <v>-65.7</v>
      </c>
      <c r="X93" s="61">
        <v>-65.7</v>
      </c>
      <c r="Y93" s="61">
        <v>-65.599999999999994</v>
      </c>
      <c r="Z93" s="61">
        <v>-65.599999999999994</v>
      </c>
      <c r="AA93" s="61">
        <v>-71.599999999999994</v>
      </c>
      <c r="AB93" s="61">
        <f>-38.1-39.7</f>
        <v>-77.800000000000011</v>
      </c>
      <c r="AC93" s="61">
        <f>-34.8-42</f>
        <v>-76.8</v>
      </c>
      <c r="AD93" s="52">
        <v>-85</v>
      </c>
      <c r="AE93" s="52">
        <v>-80</v>
      </c>
      <c r="AF93" s="120">
        <v>-84</v>
      </c>
      <c r="AG93" s="117">
        <v>240</v>
      </c>
      <c r="AH93" s="55">
        <f t="shared" si="23"/>
        <v>-108</v>
      </c>
      <c r="AI93" s="118">
        <f t="shared" si="24"/>
        <v>4.1666666666666664E-2</v>
      </c>
    </row>
    <row r="94" spans="1:88" x14ac:dyDescent="0.25">
      <c r="A94" s="119" t="s">
        <v>97</v>
      </c>
      <c r="B94" s="61">
        <v>-9</v>
      </c>
      <c r="C94" s="61">
        <v>-8.6999999999999993</v>
      </c>
      <c r="D94" s="61">
        <v>-9</v>
      </c>
      <c r="E94" s="61">
        <v>-5.6</v>
      </c>
      <c r="F94" s="61">
        <v>-3.6</v>
      </c>
      <c r="G94" s="61">
        <v>-1.2</v>
      </c>
      <c r="H94" s="61">
        <v>0.7</v>
      </c>
      <c r="I94" s="61">
        <v>4.9000000000000004</v>
      </c>
      <c r="J94" s="61">
        <v>4</v>
      </c>
      <c r="K94" s="61">
        <v>7</v>
      </c>
      <c r="L94" s="61">
        <v>7.4</v>
      </c>
      <c r="M94" s="61">
        <v>3.5</v>
      </c>
      <c r="N94" s="61">
        <v>9</v>
      </c>
      <c r="O94" s="61">
        <v>9.5</v>
      </c>
      <c r="P94" s="61">
        <v>7.2</v>
      </c>
      <c r="Q94" s="61">
        <v>5.4</v>
      </c>
      <c r="R94" s="61">
        <v>4.8</v>
      </c>
      <c r="S94" s="61">
        <v>7.2</v>
      </c>
      <c r="T94" s="61">
        <v>9</v>
      </c>
      <c r="U94" s="61">
        <v>9.1999999999999993</v>
      </c>
      <c r="V94" s="61">
        <v>13.6</v>
      </c>
      <c r="W94" s="61">
        <v>11</v>
      </c>
      <c r="X94" s="61">
        <v>11</v>
      </c>
      <c r="Y94" s="61">
        <v>10.7</v>
      </c>
      <c r="Z94" s="61">
        <v>10.7</v>
      </c>
      <c r="AA94" s="61">
        <v>8.8000000000000007</v>
      </c>
      <c r="AB94" s="61">
        <v>8</v>
      </c>
      <c r="AC94" s="61">
        <v>7.4</v>
      </c>
      <c r="AD94" s="52">
        <v>5.4</v>
      </c>
      <c r="AE94" s="52">
        <v>0.1</v>
      </c>
      <c r="AF94" s="120">
        <v>-3.6</v>
      </c>
      <c r="AG94" s="117">
        <v>60</v>
      </c>
      <c r="AH94" s="55">
        <f t="shared" si="23"/>
        <v>13.6</v>
      </c>
      <c r="AI94" s="118">
        <f t="shared" si="24"/>
        <v>0.72916666666666663</v>
      </c>
    </row>
    <row r="95" spans="1:88" x14ac:dyDescent="0.25">
      <c r="A95" s="121" t="s">
        <v>98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15.5</v>
      </c>
      <c r="O95" s="84">
        <v>3.4</v>
      </c>
      <c r="P95" s="84">
        <v>20</v>
      </c>
      <c r="Q95" s="84">
        <v>32.9</v>
      </c>
      <c r="R95" s="84">
        <v>19.7</v>
      </c>
      <c r="S95" s="84">
        <v>8.1999999999999993</v>
      </c>
      <c r="T95" s="84">
        <v>4.8</v>
      </c>
      <c r="U95" s="84">
        <v>30</v>
      </c>
      <c r="V95" s="84">
        <v>50</v>
      </c>
      <c r="W95" s="84">
        <v>72.3</v>
      </c>
      <c r="X95" s="84">
        <v>72.3</v>
      </c>
      <c r="Y95" s="84">
        <v>68.3</v>
      </c>
      <c r="Z95" s="84">
        <v>68.3</v>
      </c>
      <c r="AA95" s="84">
        <v>75.400000000000006</v>
      </c>
      <c r="AB95" s="84">
        <v>55.8</v>
      </c>
      <c r="AC95" s="84">
        <v>37</v>
      </c>
      <c r="AD95" s="122">
        <v>17.7</v>
      </c>
      <c r="AE95" s="122">
        <v>7.5</v>
      </c>
      <c r="AF95" s="123">
        <v>4.9000000000000004</v>
      </c>
      <c r="AG95" s="124">
        <v>120</v>
      </c>
      <c r="AH95" s="55">
        <f t="shared" si="23"/>
        <v>75.400000000000006</v>
      </c>
      <c r="AI95" s="118">
        <f t="shared" si="24"/>
        <v>0.83333333333333337</v>
      </c>
    </row>
    <row r="96" spans="1:88" x14ac:dyDescent="0.25">
      <c r="A96" s="121" t="s">
        <v>99</v>
      </c>
      <c r="B96" s="84">
        <v>30</v>
      </c>
      <c r="C96" s="84">
        <v>30</v>
      </c>
      <c r="D96" s="84">
        <v>39.4</v>
      </c>
      <c r="E96" s="84">
        <v>39.4</v>
      </c>
      <c r="F96" s="84">
        <v>33.4</v>
      </c>
      <c r="G96" s="84">
        <v>35.4</v>
      </c>
      <c r="H96" s="84">
        <v>26.7</v>
      </c>
      <c r="I96" s="84">
        <v>16.100000000000001</v>
      </c>
      <c r="J96" s="84">
        <v>8.1</v>
      </c>
      <c r="K96" s="84">
        <v>25</v>
      </c>
      <c r="L96" s="84">
        <v>34.299999999999997</v>
      </c>
      <c r="M96" s="84">
        <v>32.4</v>
      </c>
      <c r="N96" s="84">
        <v>19.899999999999999</v>
      </c>
      <c r="O96" s="84">
        <v>9</v>
      </c>
      <c r="P96" s="84">
        <v>20.7</v>
      </c>
      <c r="Q96" s="84">
        <v>31.2</v>
      </c>
      <c r="R96" s="84">
        <v>21.2</v>
      </c>
      <c r="S96" s="84">
        <v>11.1</v>
      </c>
      <c r="T96" s="84">
        <v>8.1</v>
      </c>
      <c r="U96" s="84">
        <v>38</v>
      </c>
      <c r="V96" s="84">
        <v>33</v>
      </c>
      <c r="W96" s="84">
        <v>59.2</v>
      </c>
      <c r="X96" s="84">
        <v>59.2</v>
      </c>
      <c r="Y96" s="84">
        <v>58.2</v>
      </c>
      <c r="Z96" s="84">
        <v>58.2</v>
      </c>
      <c r="AA96" s="84">
        <v>64</v>
      </c>
      <c r="AB96" s="84">
        <v>46.8</v>
      </c>
      <c r="AC96" s="84">
        <v>32.6</v>
      </c>
      <c r="AD96" s="122">
        <v>18.899999999999999</v>
      </c>
      <c r="AE96" s="122">
        <v>28.9</v>
      </c>
      <c r="AF96" s="123">
        <v>12.8</v>
      </c>
      <c r="AG96" s="124"/>
      <c r="AH96" s="55">
        <f t="shared" si="23"/>
        <v>64</v>
      </c>
      <c r="AI96" s="118">
        <f t="shared" si="24"/>
        <v>0.83333333333333337</v>
      </c>
    </row>
    <row r="97" spans="1:37" ht="15.75" thickBot="1" x14ac:dyDescent="0.3">
      <c r="A97" s="121" t="s">
        <v>100</v>
      </c>
      <c r="B97" s="84">
        <v>30</v>
      </c>
      <c r="C97" s="84">
        <v>29.3</v>
      </c>
      <c r="D97" s="84">
        <v>18.899999999999999</v>
      </c>
      <c r="E97" s="84">
        <v>18.899999999999999</v>
      </c>
      <c r="F97" s="84">
        <v>0</v>
      </c>
      <c r="G97" s="84">
        <v>11.2</v>
      </c>
      <c r="H97" s="84">
        <v>0</v>
      </c>
      <c r="I97" s="84">
        <v>35.9</v>
      </c>
      <c r="J97" s="84">
        <v>27.2</v>
      </c>
      <c r="K97" s="84">
        <v>7</v>
      </c>
      <c r="L97" s="84">
        <v>1.8</v>
      </c>
      <c r="M97" s="84">
        <v>-1.9</v>
      </c>
      <c r="N97" s="84">
        <v>3.9</v>
      </c>
      <c r="O97" s="84">
        <v>-10</v>
      </c>
      <c r="P97" s="84">
        <v>49.7</v>
      </c>
      <c r="Q97" s="84">
        <v>67.900000000000006</v>
      </c>
      <c r="R97" s="84">
        <v>49.7</v>
      </c>
      <c r="S97" s="84">
        <v>44.7</v>
      </c>
      <c r="T97" s="84">
        <v>25.1</v>
      </c>
      <c r="U97" s="84">
        <v>51.1</v>
      </c>
      <c r="V97" s="84">
        <v>48.5</v>
      </c>
      <c r="W97" s="84">
        <v>77.400000000000006</v>
      </c>
      <c r="X97" s="84">
        <v>77.400000000000006</v>
      </c>
      <c r="Y97" s="84">
        <v>58</v>
      </c>
      <c r="Z97" s="84">
        <v>58</v>
      </c>
      <c r="AA97" s="84">
        <v>71.400000000000006</v>
      </c>
      <c r="AB97" s="84">
        <v>65.7</v>
      </c>
      <c r="AC97" s="84">
        <v>62</v>
      </c>
      <c r="AD97" s="122">
        <v>61.7</v>
      </c>
      <c r="AE97" s="122">
        <v>25.8</v>
      </c>
      <c r="AF97" s="123">
        <v>-1.6</v>
      </c>
      <c r="AG97" s="125"/>
      <c r="AH97" s="55">
        <f t="shared" si="23"/>
        <v>77.400000000000006</v>
      </c>
      <c r="AI97" s="118">
        <f t="shared" si="24"/>
        <v>0.75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5">B99</f>
        <v>9.9</v>
      </c>
      <c r="D99" s="131">
        <f t="shared" si="25"/>
        <v>9.9</v>
      </c>
      <c r="E99" s="131">
        <f t="shared" si="25"/>
        <v>9.9</v>
      </c>
      <c r="F99" s="131">
        <f t="shared" si="25"/>
        <v>9.9</v>
      </c>
      <c r="G99" s="131">
        <f t="shared" si="25"/>
        <v>9.9</v>
      </c>
      <c r="H99" s="131">
        <f t="shared" si="25"/>
        <v>9.9</v>
      </c>
      <c r="I99" s="131">
        <f t="shared" si="25"/>
        <v>9.9</v>
      </c>
      <c r="J99" s="131">
        <f t="shared" si="25"/>
        <v>9.9</v>
      </c>
      <c r="K99" s="131">
        <f t="shared" si="25"/>
        <v>9.9</v>
      </c>
      <c r="L99" s="131">
        <f t="shared" si="25"/>
        <v>9.9</v>
      </c>
      <c r="M99" s="131">
        <f t="shared" si="25"/>
        <v>9.9</v>
      </c>
      <c r="N99" s="131">
        <f t="shared" si="25"/>
        <v>9.9</v>
      </c>
      <c r="O99" s="131">
        <f t="shared" si="25"/>
        <v>9.9</v>
      </c>
      <c r="P99" s="131">
        <f t="shared" si="25"/>
        <v>9.9</v>
      </c>
      <c r="Q99" s="131">
        <f t="shared" si="25"/>
        <v>9.9</v>
      </c>
      <c r="R99" s="131">
        <f t="shared" si="25"/>
        <v>9.9</v>
      </c>
      <c r="S99" s="131">
        <f t="shared" ref="S99:AF104" si="26">R99</f>
        <v>9.9</v>
      </c>
      <c r="T99" s="131">
        <f t="shared" si="26"/>
        <v>9.9</v>
      </c>
      <c r="U99" s="131">
        <f t="shared" si="26"/>
        <v>9.9</v>
      </c>
      <c r="V99" s="131">
        <f t="shared" si="26"/>
        <v>9.9</v>
      </c>
      <c r="W99" s="131">
        <f t="shared" si="26"/>
        <v>9.9</v>
      </c>
      <c r="X99" s="131">
        <f t="shared" si="26"/>
        <v>9.9</v>
      </c>
      <c r="Y99" s="131">
        <f t="shared" si="26"/>
        <v>9.9</v>
      </c>
      <c r="Z99" s="131">
        <f t="shared" si="26"/>
        <v>9.9</v>
      </c>
      <c r="AA99" s="131">
        <f t="shared" si="26"/>
        <v>9.9</v>
      </c>
      <c r="AB99" s="131">
        <f t="shared" si="26"/>
        <v>9.9</v>
      </c>
      <c r="AC99" s="131">
        <f t="shared" si="26"/>
        <v>9.9</v>
      </c>
      <c r="AD99" s="131">
        <f t="shared" si="26"/>
        <v>9.9</v>
      </c>
      <c r="AE99" s="131">
        <f t="shared" si="26"/>
        <v>9.9</v>
      </c>
      <c r="AF99" s="131">
        <f t="shared" si="26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5"/>
        <v>9.6</v>
      </c>
      <c r="D100" s="134">
        <f t="shared" si="25"/>
        <v>9.6</v>
      </c>
      <c r="E100" s="134">
        <f t="shared" si="25"/>
        <v>9.6</v>
      </c>
      <c r="F100" s="134">
        <f t="shared" si="25"/>
        <v>9.6</v>
      </c>
      <c r="G100" s="134">
        <f t="shared" si="25"/>
        <v>9.6</v>
      </c>
      <c r="H100" s="134">
        <f t="shared" si="25"/>
        <v>9.6</v>
      </c>
      <c r="I100" s="134">
        <f t="shared" si="25"/>
        <v>9.6</v>
      </c>
      <c r="J100" s="134">
        <f t="shared" si="25"/>
        <v>9.6</v>
      </c>
      <c r="K100" s="134">
        <f t="shared" si="25"/>
        <v>9.6</v>
      </c>
      <c r="L100" s="134">
        <f t="shared" si="25"/>
        <v>9.6</v>
      </c>
      <c r="M100" s="134">
        <f t="shared" si="25"/>
        <v>9.6</v>
      </c>
      <c r="N100" s="134">
        <f t="shared" si="25"/>
        <v>9.6</v>
      </c>
      <c r="O100" s="134">
        <f t="shared" si="25"/>
        <v>9.6</v>
      </c>
      <c r="P100" s="134">
        <f t="shared" si="25"/>
        <v>9.6</v>
      </c>
      <c r="Q100" s="134">
        <f t="shared" si="25"/>
        <v>9.6</v>
      </c>
      <c r="R100" s="134">
        <f t="shared" si="25"/>
        <v>9.6</v>
      </c>
      <c r="S100" s="134">
        <f t="shared" si="26"/>
        <v>9.6</v>
      </c>
      <c r="T100" s="134">
        <f t="shared" si="26"/>
        <v>9.6</v>
      </c>
      <c r="U100" s="134">
        <f t="shared" si="26"/>
        <v>9.6</v>
      </c>
      <c r="V100" s="134">
        <f t="shared" si="26"/>
        <v>9.6</v>
      </c>
      <c r="W100" s="134">
        <f t="shared" si="26"/>
        <v>9.6</v>
      </c>
      <c r="X100" s="134">
        <f t="shared" si="26"/>
        <v>9.6</v>
      </c>
      <c r="Y100" s="134">
        <f t="shared" si="26"/>
        <v>9.6</v>
      </c>
      <c r="Z100" s="134">
        <f t="shared" si="26"/>
        <v>9.6</v>
      </c>
      <c r="AA100" s="134">
        <f t="shared" si="26"/>
        <v>9.6</v>
      </c>
      <c r="AB100" s="134">
        <f t="shared" si="26"/>
        <v>9.6</v>
      </c>
      <c r="AC100" s="134">
        <f t="shared" si="26"/>
        <v>9.6</v>
      </c>
      <c r="AD100" s="134">
        <f t="shared" si="26"/>
        <v>9.6</v>
      </c>
      <c r="AE100" s="134">
        <f t="shared" si="26"/>
        <v>9.6</v>
      </c>
      <c r="AF100" s="134">
        <f t="shared" si="26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5"/>
        <v>9.98</v>
      </c>
      <c r="D101" s="134">
        <f t="shared" si="25"/>
        <v>9.98</v>
      </c>
      <c r="E101" s="134">
        <f t="shared" si="25"/>
        <v>9.98</v>
      </c>
      <c r="F101" s="134">
        <f t="shared" si="25"/>
        <v>9.98</v>
      </c>
      <c r="G101" s="134">
        <f t="shared" si="25"/>
        <v>9.98</v>
      </c>
      <c r="H101" s="134">
        <f t="shared" si="25"/>
        <v>9.98</v>
      </c>
      <c r="I101" s="134">
        <f t="shared" si="25"/>
        <v>9.98</v>
      </c>
      <c r="J101" s="134">
        <f t="shared" si="25"/>
        <v>9.98</v>
      </c>
      <c r="K101" s="134">
        <f t="shared" si="25"/>
        <v>9.98</v>
      </c>
      <c r="L101" s="134">
        <f t="shared" si="25"/>
        <v>9.98</v>
      </c>
      <c r="M101" s="134">
        <f t="shared" si="25"/>
        <v>9.98</v>
      </c>
      <c r="N101" s="134">
        <f t="shared" si="25"/>
        <v>9.98</v>
      </c>
      <c r="O101" s="134">
        <f t="shared" si="25"/>
        <v>9.98</v>
      </c>
      <c r="P101" s="134">
        <f t="shared" si="25"/>
        <v>9.98</v>
      </c>
      <c r="Q101" s="134">
        <f t="shared" si="25"/>
        <v>9.98</v>
      </c>
      <c r="R101" s="134">
        <f t="shared" si="25"/>
        <v>9.98</v>
      </c>
      <c r="S101" s="134">
        <f t="shared" si="26"/>
        <v>9.98</v>
      </c>
      <c r="T101" s="134">
        <f t="shared" si="26"/>
        <v>9.98</v>
      </c>
      <c r="U101" s="134">
        <f t="shared" si="26"/>
        <v>9.98</v>
      </c>
      <c r="V101" s="134">
        <f t="shared" si="26"/>
        <v>9.98</v>
      </c>
      <c r="W101" s="134">
        <f t="shared" si="26"/>
        <v>9.98</v>
      </c>
      <c r="X101" s="134">
        <f t="shared" si="26"/>
        <v>9.98</v>
      </c>
      <c r="Y101" s="134">
        <f t="shared" si="26"/>
        <v>9.98</v>
      </c>
      <c r="Z101" s="134">
        <f t="shared" si="26"/>
        <v>9.98</v>
      </c>
      <c r="AA101" s="134">
        <f t="shared" si="26"/>
        <v>9.98</v>
      </c>
      <c r="AB101" s="134">
        <f t="shared" si="26"/>
        <v>9.98</v>
      </c>
      <c r="AC101" s="134">
        <f t="shared" si="26"/>
        <v>9.98</v>
      </c>
      <c r="AD101" s="134">
        <f t="shared" si="26"/>
        <v>9.98</v>
      </c>
      <c r="AE101" s="134">
        <f t="shared" si="26"/>
        <v>9.98</v>
      </c>
      <c r="AF101" s="134">
        <f t="shared" si="26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5"/>
        <v>9.1</v>
      </c>
      <c r="D102" s="134">
        <f t="shared" si="25"/>
        <v>9.1</v>
      </c>
      <c r="E102" s="134">
        <f t="shared" si="25"/>
        <v>9.1</v>
      </c>
      <c r="F102" s="134">
        <f t="shared" si="25"/>
        <v>9.1</v>
      </c>
      <c r="G102" s="134">
        <f t="shared" si="25"/>
        <v>9.1</v>
      </c>
      <c r="H102" s="134">
        <f t="shared" si="25"/>
        <v>9.1</v>
      </c>
      <c r="I102" s="134">
        <f t="shared" si="25"/>
        <v>9.1</v>
      </c>
      <c r="J102" s="134">
        <f t="shared" si="25"/>
        <v>9.1</v>
      </c>
      <c r="K102" s="134">
        <f t="shared" si="25"/>
        <v>9.1</v>
      </c>
      <c r="L102" s="134">
        <f t="shared" si="25"/>
        <v>9.1</v>
      </c>
      <c r="M102" s="134">
        <f t="shared" si="25"/>
        <v>9.1</v>
      </c>
      <c r="N102" s="134">
        <f t="shared" si="25"/>
        <v>9.1</v>
      </c>
      <c r="O102" s="134">
        <f t="shared" si="25"/>
        <v>9.1</v>
      </c>
      <c r="P102" s="134">
        <f t="shared" si="25"/>
        <v>9.1</v>
      </c>
      <c r="Q102" s="134">
        <f t="shared" si="25"/>
        <v>9.1</v>
      </c>
      <c r="R102" s="134">
        <f t="shared" si="25"/>
        <v>9.1</v>
      </c>
      <c r="S102" s="134">
        <f t="shared" si="26"/>
        <v>9.1</v>
      </c>
      <c r="T102" s="134">
        <f t="shared" si="26"/>
        <v>9.1</v>
      </c>
      <c r="U102" s="134">
        <f t="shared" si="26"/>
        <v>9.1</v>
      </c>
      <c r="V102" s="134">
        <f t="shared" si="26"/>
        <v>9.1</v>
      </c>
      <c r="W102" s="134">
        <f t="shared" si="26"/>
        <v>9.1</v>
      </c>
      <c r="X102" s="134">
        <f t="shared" si="26"/>
        <v>9.1</v>
      </c>
      <c r="Y102" s="134">
        <f t="shared" si="26"/>
        <v>9.1</v>
      </c>
      <c r="Z102" s="134">
        <f t="shared" si="26"/>
        <v>9.1</v>
      </c>
      <c r="AA102" s="134">
        <f t="shared" si="26"/>
        <v>9.1</v>
      </c>
      <c r="AB102" s="134">
        <f t="shared" si="26"/>
        <v>9.1</v>
      </c>
      <c r="AC102" s="134">
        <f t="shared" si="26"/>
        <v>9.1</v>
      </c>
      <c r="AD102" s="134">
        <f t="shared" si="26"/>
        <v>9.1</v>
      </c>
      <c r="AE102" s="134">
        <f t="shared" si="26"/>
        <v>9.1</v>
      </c>
      <c r="AF102" s="134">
        <f t="shared" si="26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5"/>
        <v>9.18</v>
      </c>
      <c r="D103" s="134">
        <f t="shared" si="25"/>
        <v>9.18</v>
      </c>
      <c r="E103" s="134">
        <f t="shared" si="25"/>
        <v>9.18</v>
      </c>
      <c r="F103" s="134">
        <f t="shared" si="25"/>
        <v>9.18</v>
      </c>
      <c r="G103" s="134">
        <f t="shared" si="25"/>
        <v>9.18</v>
      </c>
      <c r="H103" s="134">
        <f t="shared" si="25"/>
        <v>9.18</v>
      </c>
      <c r="I103" s="134">
        <f t="shared" si="25"/>
        <v>9.18</v>
      </c>
      <c r="J103" s="134">
        <f t="shared" si="25"/>
        <v>9.18</v>
      </c>
      <c r="K103" s="134">
        <f t="shared" si="25"/>
        <v>9.18</v>
      </c>
      <c r="L103" s="134">
        <f t="shared" si="25"/>
        <v>9.18</v>
      </c>
      <c r="M103" s="134">
        <f t="shared" si="25"/>
        <v>9.18</v>
      </c>
      <c r="N103" s="134">
        <f t="shared" si="25"/>
        <v>9.18</v>
      </c>
      <c r="O103" s="134">
        <f t="shared" si="25"/>
        <v>9.18</v>
      </c>
      <c r="P103" s="134">
        <f t="shared" si="25"/>
        <v>9.18</v>
      </c>
      <c r="Q103" s="134">
        <f t="shared" si="25"/>
        <v>9.18</v>
      </c>
      <c r="R103" s="134">
        <f t="shared" si="25"/>
        <v>9.18</v>
      </c>
      <c r="S103" s="134">
        <f t="shared" si="26"/>
        <v>9.18</v>
      </c>
      <c r="T103" s="134">
        <f t="shared" si="26"/>
        <v>9.18</v>
      </c>
      <c r="U103" s="134">
        <f t="shared" si="26"/>
        <v>9.18</v>
      </c>
      <c r="V103" s="134">
        <f t="shared" si="26"/>
        <v>9.18</v>
      </c>
      <c r="W103" s="134">
        <f t="shared" si="26"/>
        <v>9.18</v>
      </c>
      <c r="X103" s="134">
        <f t="shared" si="26"/>
        <v>9.18</v>
      </c>
      <c r="Y103" s="134">
        <f t="shared" si="26"/>
        <v>9.18</v>
      </c>
      <c r="Z103" s="134">
        <f t="shared" si="26"/>
        <v>9.18</v>
      </c>
      <c r="AA103" s="134">
        <f t="shared" si="26"/>
        <v>9.18</v>
      </c>
      <c r="AB103" s="134">
        <f t="shared" si="26"/>
        <v>9.18</v>
      </c>
      <c r="AC103" s="134">
        <f t="shared" si="26"/>
        <v>9.18</v>
      </c>
      <c r="AD103" s="134">
        <f t="shared" si="26"/>
        <v>9.18</v>
      </c>
      <c r="AE103" s="134">
        <f t="shared" si="26"/>
        <v>9.18</v>
      </c>
      <c r="AF103" s="134">
        <f t="shared" si="26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5"/>
        <v>7</v>
      </c>
      <c r="D104" s="134">
        <f t="shared" si="25"/>
        <v>7</v>
      </c>
      <c r="E104" s="134">
        <f t="shared" si="25"/>
        <v>7</v>
      </c>
      <c r="F104" s="134">
        <f t="shared" si="25"/>
        <v>7</v>
      </c>
      <c r="G104" s="134">
        <f t="shared" si="25"/>
        <v>7</v>
      </c>
      <c r="H104" s="134">
        <f t="shared" si="25"/>
        <v>7</v>
      </c>
      <c r="I104" s="134">
        <f t="shared" si="25"/>
        <v>7</v>
      </c>
      <c r="J104" s="134">
        <f t="shared" si="25"/>
        <v>7</v>
      </c>
      <c r="K104" s="134">
        <f t="shared" si="25"/>
        <v>7</v>
      </c>
      <c r="L104" s="134">
        <f t="shared" si="25"/>
        <v>7</v>
      </c>
      <c r="M104" s="134">
        <f t="shared" si="25"/>
        <v>7</v>
      </c>
      <c r="N104" s="134">
        <f t="shared" si="25"/>
        <v>7</v>
      </c>
      <c r="O104" s="134">
        <f t="shared" si="25"/>
        <v>7</v>
      </c>
      <c r="P104" s="134">
        <f t="shared" si="25"/>
        <v>7</v>
      </c>
      <c r="Q104" s="134">
        <f t="shared" si="25"/>
        <v>7</v>
      </c>
      <c r="R104" s="134">
        <f t="shared" si="25"/>
        <v>7</v>
      </c>
      <c r="S104" s="134">
        <f t="shared" si="26"/>
        <v>7</v>
      </c>
      <c r="T104" s="134">
        <f t="shared" si="26"/>
        <v>7</v>
      </c>
      <c r="U104" s="134">
        <f t="shared" si="26"/>
        <v>7</v>
      </c>
      <c r="V104" s="134">
        <f t="shared" si="26"/>
        <v>7</v>
      </c>
      <c r="W104" s="134">
        <f t="shared" si="26"/>
        <v>7</v>
      </c>
      <c r="X104" s="134">
        <f t="shared" si="26"/>
        <v>7</v>
      </c>
      <c r="Y104" s="134">
        <f t="shared" si="26"/>
        <v>7</v>
      </c>
      <c r="Z104" s="134">
        <f t="shared" si="26"/>
        <v>7</v>
      </c>
      <c r="AA104" s="134">
        <f t="shared" si="26"/>
        <v>7</v>
      </c>
      <c r="AB104" s="134">
        <f t="shared" si="26"/>
        <v>7</v>
      </c>
      <c r="AC104" s="134">
        <f t="shared" si="26"/>
        <v>7</v>
      </c>
      <c r="AD104" s="134">
        <f t="shared" si="26"/>
        <v>7</v>
      </c>
      <c r="AE104" s="134">
        <f t="shared" si="26"/>
        <v>7</v>
      </c>
      <c r="AF104" s="134">
        <f t="shared" si="26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7">B106</f>
        <v>2.25</v>
      </c>
      <c r="D106" s="134">
        <f t="shared" si="27"/>
        <v>2.25</v>
      </c>
      <c r="E106" s="134">
        <f t="shared" si="27"/>
        <v>2.25</v>
      </c>
      <c r="F106" s="134">
        <f t="shared" si="27"/>
        <v>2.25</v>
      </c>
      <c r="G106" s="134">
        <f t="shared" si="27"/>
        <v>2.25</v>
      </c>
      <c r="H106" s="134">
        <f t="shared" si="27"/>
        <v>2.25</v>
      </c>
      <c r="I106" s="134">
        <f t="shared" si="27"/>
        <v>2.25</v>
      </c>
      <c r="J106" s="134">
        <f t="shared" si="27"/>
        <v>2.25</v>
      </c>
      <c r="K106" s="134">
        <f t="shared" si="27"/>
        <v>2.25</v>
      </c>
      <c r="L106" s="134">
        <f t="shared" si="27"/>
        <v>2.25</v>
      </c>
      <c r="M106" s="134">
        <f t="shared" si="27"/>
        <v>2.25</v>
      </c>
      <c r="N106" s="134">
        <f t="shared" si="27"/>
        <v>2.25</v>
      </c>
      <c r="O106" s="134">
        <f t="shared" si="27"/>
        <v>2.25</v>
      </c>
      <c r="P106" s="134">
        <f t="shared" si="27"/>
        <v>2.25</v>
      </c>
      <c r="Q106" s="134">
        <f t="shared" si="27"/>
        <v>2.25</v>
      </c>
      <c r="R106" s="134">
        <f t="shared" si="27"/>
        <v>2.25</v>
      </c>
      <c r="S106" s="134">
        <f t="shared" ref="S106:AF107" si="28">R106</f>
        <v>2.25</v>
      </c>
      <c r="T106" s="134">
        <f t="shared" si="28"/>
        <v>2.25</v>
      </c>
      <c r="U106" s="134">
        <f t="shared" si="28"/>
        <v>2.25</v>
      </c>
      <c r="V106" s="134">
        <f t="shared" si="28"/>
        <v>2.25</v>
      </c>
      <c r="W106" s="134">
        <f t="shared" si="28"/>
        <v>2.25</v>
      </c>
      <c r="X106" s="134">
        <f t="shared" si="28"/>
        <v>2.25</v>
      </c>
      <c r="Y106" s="134">
        <f t="shared" si="28"/>
        <v>2.25</v>
      </c>
      <c r="Z106" s="134">
        <f t="shared" si="28"/>
        <v>2.25</v>
      </c>
      <c r="AA106" s="134">
        <f t="shared" si="28"/>
        <v>2.25</v>
      </c>
      <c r="AB106" s="134">
        <f t="shared" si="28"/>
        <v>2.25</v>
      </c>
      <c r="AC106" s="134">
        <f t="shared" si="28"/>
        <v>2.25</v>
      </c>
      <c r="AD106" s="134">
        <f t="shared" si="28"/>
        <v>2.25</v>
      </c>
      <c r="AE106" s="134">
        <f t="shared" si="28"/>
        <v>2.25</v>
      </c>
      <c r="AF106" s="134">
        <f t="shared" si="28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7"/>
        <v>1.64</v>
      </c>
      <c r="D107" s="134">
        <f t="shared" si="27"/>
        <v>1.64</v>
      </c>
      <c r="E107" s="134">
        <f t="shared" si="27"/>
        <v>1.64</v>
      </c>
      <c r="F107" s="134">
        <f t="shared" si="27"/>
        <v>1.64</v>
      </c>
      <c r="G107" s="134">
        <f t="shared" si="27"/>
        <v>1.64</v>
      </c>
      <c r="H107" s="134">
        <f t="shared" si="27"/>
        <v>1.64</v>
      </c>
      <c r="I107" s="134">
        <f t="shared" si="27"/>
        <v>1.64</v>
      </c>
      <c r="J107" s="134">
        <f t="shared" si="27"/>
        <v>1.64</v>
      </c>
      <c r="K107" s="134">
        <f t="shared" si="27"/>
        <v>1.64</v>
      </c>
      <c r="L107" s="134">
        <f t="shared" si="27"/>
        <v>1.64</v>
      </c>
      <c r="M107" s="134">
        <f t="shared" si="27"/>
        <v>1.64</v>
      </c>
      <c r="N107" s="134">
        <f t="shared" si="27"/>
        <v>1.64</v>
      </c>
      <c r="O107" s="134">
        <f t="shared" si="27"/>
        <v>1.64</v>
      </c>
      <c r="P107" s="134">
        <f t="shared" si="27"/>
        <v>1.64</v>
      </c>
      <c r="Q107" s="134">
        <f t="shared" si="27"/>
        <v>1.64</v>
      </c>
      <c r="R107" s="134">
        <f t="shared" si="27"/>
        <v>1.64</v>
      </c>
      <c r="S107" s="134">
        <f t="shared" si="28"/>
        <v>1.64</v>
      </c>
      <c r="T107" s="134">
        <f t="shared" si="28"/>
        <v>1.64</v>
      </c>
      <c r="U107" s="134">
        <f t="shared" si="28"/>
        <v>1.64</v>
      </c>
      <c r="V107" s="134">
        <f t="shared" si="28"/>
        <v>1.64</v>
      </c>
      <c r="W107" s="134">
        <f t="shared" si="28"/>
        <v>1.64</v>
      </c>
      <c r="X107" s="134">
        <f t="shared" si="28"/>
        <v>1.64</v>
      </c>
      <c r="Y107" s="134">
        <f t="shared" si="28"/>
        <v>1.64</v>
      </c>
      <c r="Z107" s="134">
        <f t="shared" si="28"/>
        <v>1.64</v>
      </c>
      <c r="AA107" s="134">
        <f t="shared" si="28"/>
        <v>1.64</v>
      </c>
      <c r="AB107" s="134">
        <f t="shared" si="28"/>
        <v>1.64</v>
      </c>
      <c r="AC107" s="134">
        <f t="shared" si="28"/>
        <v>1.64</v>
      </c>
      <c r="AD107" s="134">
        <f t="shared" si="28"/>
        <v>1.64</v>
      </c>
      <c r="AE107" s="134">
        <f t="shared" si="28"/>
        <v>1.64</v>
      </c>
      <c r="AF107" s="134">
        <f t="shared" si="28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9">B109</f>
        <v>1.62</v>
      </c>
      <c r="D109" s="134">
        <f t="shared" si="29"/>
        <v>1.62</v>
      </c>
      <c r="E109" s="134">
        <f t="shared" si="29"/>
        <v>1.62</v>
      </c>
      <c r="F109" s="134">
        <f t="shared" si="29"/>
        <v>1.62</v>
      </c>
      <c r="G109" s="134">
        <f t="shared" si="29"/>
        <v>1.62</v>
      </c>
      <c r="H109" s="134">
        <f t="shared" si="29"/>
        <v>1.62</v>
      </c>
      <c r="I109" s="134">
        <f t="shared" si="29"/>
        <v>1.62</v>
      </c>
      <c r="J109" s="134">
        <f t="shared" si="29"/>
        <v>1.62</v>
      </c>
      <c r="K109" s="134">
        <f t="shared" si="29"/>
        <v>1.62</v>
      </c>
      <c r="L109" s="134">
        <f t="shared" si="29"/>
        <v>1.62</v>
      </c>
      <c r="M109" s="134">
        <f t="shared" si="29"/>
        <v>1.62</v>
      </c>
      <c r="N109" s="134">
        <f t="shared" si="29"/>
        <v>1.62</v>
      </c>
      <c r="O109" s="134">
        <f t="shared" si="29"/>
        <v>1.62</v>
      </c>
      <c r="P109" s="134">
        <f t="shared" si="29"/>
        <v>1.62</v>
      </c>
      <c r="Q109" s="134">
        <f t="shared" si="29"/>
        <v>1.62</v>
      </c>
      <c r="R109" s="134">
        <f t="shared" si="29"/>
        <v>1.62</v>
      </c>
      <c r="S109" s="134">
        <f t="shared" ref="S109:AF124" si="30">R109</f>
        <v>1.62</v>
      </c>
      <c r="T109" s="134">
        <f t="shared" si="30"/>
        <v>1.62</v>
      </c>
      <c r="U109" s="134">
        <f t="shared" si="30"/>
        <v>1.62</v>
      </c>
      <c r="V109" s="134">
        <f t="shared" si="30"/>
        <v>1.62</v>
      </c>
      <c r="W109" s="134">
        <f t="shared" si="30"/>
        <v>1.62</v>
      </c>
      <c r="X109" s="134">
        <f t="shared" si="30"/>
        <v>1.62</v>
      </c>
      <c r="Y109" s="134">
        <f t="shared" si="30"/>
        <v>1.62</v>
      </c>
      <c r="Z109" s="134">
        <f t="shared" si="30"/>
        <v>1.62</v>
      </c>
      <c r="AA109" s="134">
        <f t="shared" si="30"/>
        <v>1.62</v>
      </c>
      <c r="AB109" s="134">
        <f t="shared" si="30"/>
        <v>1.62</v>
      </c>
      <c r="AC109" s="134">
        <f t="shared" si="30"/>
        <v>1.62</v>
      </c>
      <c r="AD109" s="134">
        <f t="shared" si="30"/>
        <v>1.62</v>
      </c>
      <c r="AE109" s="134">
        <f t="shared" si="30"/>
        <v>1.62</v>
      </c>
      <c r="AF109" s="134">
        <f t="shared" si="30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9"/>
        <v>8.36</v>
      </c>
      <c r="D110" s="134">
        <f t="shared" si="29"/>
        <v>8.36</v>
      </c>
      <c r="E110" s="134">
        <f t="shared" si="29"/>
        <v>8.36</v>
      </c>
      <c r="F110" s="134">
        <f t="shared" si="29"/>
        <v>8.36</v>
      </c>
      <c r="G110" s="134">
        <f t="shared" si="29"/>
        <v>8.36</v>
      </c>
      <c r="H110" s="134">
        <f t="shared" si="29"/>
        <v>8.36</v>
      </c>
      <c r="I110" s="134">
        <f t="shared" si="29"/>
        <v>8.36</v>
      </c>
      <c r="J110" s="134">
        <f t="shared" si="29"/>
        <v>8.36</v>
      </c>
      <c r="K110" s="134">
        <f t="shared" si="29"/>
        <v>8.36</v>
      </c>
      <c r="L110" s="134">
        <f t="shared" si="29"/>
        <v>8.36</v>
      </c>
      <c r="M110" s="134">
        <f t="shared" si="29"/>
        <v>8.36</v>
      </c>
      <c r="N110" s="134">
        <f t="shared" si="29"/>
        <v>8.36</v>
      </c>
      <c r="O110" s="134">
        <f t="shared" si="29"/>
        <v>8.36</v>
      </c>
      <c r="P110" s="134">
        <f t="shared" si="29"/>
        <v>8.36</v>
      </c>
      <c r="Q110" s="134">
        <f t="shared" si="29"/>
        <v>8.36</v>
      </c>
      <c r="R110" s="134">
        <f t="shared" si="29"/>
        <v>8.36</v>
      </c>
      <c r="S110" s="134">
        <f t="shared" si="30"/>
        <v>8.36</v>
      </c>
      <c r="T110" s="134">
        <f t="shared" si="30"/>
        <v>8.36</v>
      </c>
      <c r="U110" s="134">
        <f t="shared" si="30"/>
        <v>8.36</v>
      </c>
      <c r="V110" s="134">
        <f t="shared" si="30"/>
        <v>8.36</v>
      </c>
      <c r="W110" s="134">
        <f t="shared" si="30"/>
        <v>8.36</v>
      </c>
      <c r="X110" s="134">
        <f t="shared" si="30"/>
        <v>8.36</v>
      </c>
      <c r="Y110" s="134">
        <f t="shared" si="30"/>
        <v>8.36</v>
      </c>
      <c r="Z110" s="134">
        <f t="shared" si="30"/>
        <v>8.36</v>
      </c>
      <c r="AA110" s="134">
        <f t="shared" si="30"/>
        <v>8.36</v>
      </c>
      <c r="AB110" s="134">
        <f t="shared" si="30"/>
        <v>8.36</v>
      </c>
      <c r="AC110" s="134">
        <f t="shared" si="30"/>
        <v>8.36</v>
      </c>
      <c r="AD110" s="134">
        <f t="shared" si="30"/>
        <v>8.36</v>
      </c>
      <c r="AE110" s="134">
        <f t="shared" si="30"/>
        <v>8.36</v>
      </c>
      <c r="AF110" s="134">
        <f t="shared" si="30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9"/>
        <v>8</v>
      </c>
      <c r="D111" s="134">
        <f t="shared" si="29"/>
        <v>8</v>
      </c>
      <c r="E111" s="134">
        <f t="shared" si="29"/>
        <v>8</v>
      </c>
      <c r="F111" s="134">
        <f t="shared" si="29"/>
        <v>8</v>
      </c>
      <c r="G111" s="134">
        <f t="shared" si="29"/>
        <v>8</v>
      </c>
      <c r="H111" s="134">
        <f t="shared" si="29"/>
        <v>8</v>
      </c>
      <c r="I111" s="134">
        <v>5.4</v>
      </c>
      <c r="J111" s="134">
        <f t="shared" si="29"/>
        <v>5.4</v>
      </c>
      <c r="K111" s="134">
        <f t="shared" si="29"/>
        <v>5.4</v>
      </c>
      <c r="L111" s="134">
        <f t="shared" si="29"/>
        <v>5.4</v>
      </c>
      <c r="M111" s="134">
        <f t="shared" si="29"/>
        <v>5.4</v>
      </c>
      <c r="N111" s="134">
        <f t="shared" si="29"/>
        <v>5.4</v>
      </c>
      <c r="O111" s="134">
        <f t="shared" si="29"/>
        <v>5.4</v>
      </c>
      <c r="P111" s="134">
        <f t="shared" si="29"/>
        <v>5.4</v>
      </c>
      <c r="Q111" s="134">
        <f t="shared" si="29"/>
        <v>5.4</v>
      </c>
      <c r="R111" s="134">
        <f t="shared" si="29"/>
        <v>5.4</v>
      </c>
      <c r="S111" s="134">
        <f t="shared" si="30"/>
        <v>5.4</v>
      </c>
      <c r="T111" s="134">
        <f t="shared" si="30"/>
        <v>5.4</v>
      </c>
      <c r="U111" s="134">
        <f t="shared" si="30"/>
        <v>5.4</v>
      </c>
      <c r="V111" s="134">
        <f t="shared" si="30"/>
        <v>5.4</v>
      </c>
      <c r="W111" s="134">
        <f t="shared" si="30"/>
        <v>5.4</v>
      </c>
      <c r="X111" s="134">
        <f t="shared" si="30"/>
        <v>5.4</v>
      </c>
      <c r="Y111" s="134">
        <f t="shared" si="30"/>
        <v>5.4</v>
      </c>
      <c r="Z111" s="134">
        <f t="shared" si="30"/>
        <v>5.4</v>
      </c>
      <c r="AA111" s="134">
        <f t="shared" si="30"/>
        <v>5.4</v>
      </c>
      <c r="AB111" s="134">
        <f t="shared" si="30"/>
        <v>5.4</v>
      </c>
      <c r="AC111" s="134">
        <f t="shared" si="30"/>
        <v>5.4</v>
      </c>
      <c r="AD111" s="134">
        <f t="shared" si="30"/>
        <v>5.4</v>
      </c>
      <c r="AE111" s="134">
        <f t="shared" si="30"/>
        <v>5.4</v>
      </c>
      <c r="AF111" s="134">
        <f t="shared" si="30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9"/>
        <v>6.57</v>
      </c>
      <c r="D112" s="134">
        <f t="shared" si="29"/>
        <v>6.57</v>
      </c>
      <c r="E112" s="134">
        <f t="shared" si="29"/>
        <v>6.57</v>
      </c>
      <c r="F112" s="134">
        <f t="shared" si="29"/>
        <v>6.57</v>
      </c>
      <c r="G112" s="134">
        <f t="shared" si="29"/>
        <v>6.57</v>
      </c>
      <c r="H112" s="134">
        <f t="shared" si="29"/>
        <v>6.57</v>
      </c>
      <c r="I112" s="134">
        <f t="shared" si="29"/>
        <v>6.57</v>
      </c>
      <c r="J112" s="134">
        <f t="shared" si="29"/>
        <v>6.57</v>
      </c>
      <c r="K112" s="134">
        <f t="shared" si="29"/>
        <v>6.57</v>
      </c>
      <c r="L112" s="134">
        <f t="shared" si="29"/>
        <v>6.57</v>
      </c>
      <c r="M112" s="134">
        <f t="shared" si="29"/>
        <v>6.57</v>
      </c>
      <c r="N112" s="134">
        <f t="shared" si="29"/>
        <v>6.57</v>
      </c>
      <c r="O112" s="134">
        <f t="shared" si="29"/>
        <v>6.57</v>
      </c>
      <c r="P112" s="134">
        <f t="shared" si="29"/>
        <v>6.57</v>
      </c>
      <c r="Q112" s="134">
        <f t="shared" si="29"/>
        <v>6.57</v>
      </c>
      <c r="R112" s="134">
        <f t="shared" si="29"/>
        <v>6.57</v>
      </c>
      <c r="S112" s="134">
        <f t="shared" si="30"/>
        <v>6.57</v>
      </c>
      <c r="T112" s="134">
        <f t="shared" si="30"/>
        <v>6.57</v>
      </c>
      <c r="U112" s="134">
        <f t="shared" si="30"/>
        <v>6.57</v>
      </c>
      <c r="V112" s="134">
        <f t="shared" si="30"/>
        <v>6.57</v>
      </c>
      <c r="W112" s="134">
        <f t="shared" si="30"/>
        <v>6.57</v>
      </c>
      <c r="X112" s="134">
        <f t="shared" si="30"/>
        <v>6.57</v>
      </c>
      <c r="Y112" s="134">
        <f t="shared" si="30"/>
        <v>6.57</v>
      </c>
      <c r="Z112" s="134">
        <f t="shared" si="30"/>
        <v>6.57</v>
      </c>
      <c r="AA112" s="134">
        <f t="shared" si="30"/>
        <v>6.57</v>
      </c>
      <c r="AB112" s="134">
        <f t="shared" si="30"/>
        <v>6.57</v>
      </c>
      <c r="AC112" s="134">
        <f t="shared" si="30"/>
        <v>6.57</v>
      </c>
      <c r="AD112" s="134">
        <f t="shared" si="30"/>
        <v>6.57</v>
      </c>
      <c r="AE112" s="134">
        <f t="shared" si="30"/>
        <v>6.57</v>
      </c>
      <c r="AF112" s="134">
        <f t="shared" si="30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9"/>
        <v>3.43</v>
      </c>
      <c r="D113" s="134">
        <f t="shared" si="29"/>
        <v>3.43</v>
      </c>
      <c r="E113" s="134">
        <f t="shared" si="29"/>
        <v>3.43</v>
      </c>
      <c r="F113" s="134">
        <f t="shared" si="29"/>
        <v>3.43</v>
      </c>
      <c r="G113" s="134">
        <f t="shared" si="29"/>
        <v>3.43</v>
      </c>
      <c r="H113" s="134">
        <f t="shared" si="29"/>
        <v>3.43</v>
      </c>
      <c r="I113" s="134">
        <f t="shared" si="29"/>
        <v>3.43</v>
      </c>
      <c r="J113" s="134">
        <f t="shared" si="29"/>
        <v>3.43</v>
      </c>
      <c r="K113" s="134">
        <f t="shared" si="29"/>
        <v>3.43</v>
      </c>
      <c r="L113" s="134">
        <f t="shared" si="29"/>
        <v>3.43</v>
      </c>
      <c r="M113" s="134">
        <f t="shared" si="29"/>
        <v>3.43</v>
      </c>
      <c r="N113" s="134">
        <f t="shared" si="29"/>
        <v>3.43</v>
      </c>
      <c r="O113" s="134">
        <f t="shared" si="29"/>
        <v>3.43</v>
      </c>
      <c r="P113" s="134">
        <f t="shared" si="29"/>
        <v>3.43</v>
      </c>
      <c r="Q113" s="134">
        <f t="shared" si="29"/>
        <v>3.43</v>
      </c>
      <c r="R113" s="134">
        <f t="shared" si="29"/>
        <v>3.43</v>
      </c>
      <c r="S113" s="134">
        <f t="shared" si="30"/>
        <v>3.43</v>
      </c>
      <c r="T113" s="134">
        <f t="shared" si="30"/>
        <v>3.43</v>
      </c>
      <c r="U113" s="134">
        <f t="shared" si="30"/>
        <v>3.43</v>
      </c>
      <c r="V113" s="134">
        <f t="shared" si="30"/>
        <v>3.43</v>
      </c>
      <c r="W113" s="134">
        <f t="shared" si="30"/>
        <v>3.43</v>
      </c>
      <c r="X113" s="134">
        <f t="shared" si="30"/>
        <v>3.43</v>
      </c>
      <c r="Y113" s="134">
        <f t="shared" si="30"/>
        <v>3.43</v>
      </c>
      <c r="Z113" s="134">
        <f t="shared" si="30"/>
        <v>3.43</v>
      </c>
      <c r="AA113" s="134">
        <f t="shared" si="30"/>
        <v>3.43</v>
      </c>
      <c r="AB113" s="134">
        <f t="shared" si="30"/>
        <v>3.43</v>
      </c>
      <c r="AC113" s="134">
        <f t="shared" si="30"/>
        <v>3.43</v>
      </c>
      <c r="AD113" s="134">
        <f t="shared" si="30"/>
        <v>3.43</v>
      </c>
      <c r="AE113" s="134">
        <f t="shared" si="30"/>
        <v>3.43</v>
      </c>
      <c r="AF113" s="134">
        <f t="shared" si="30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9"/>
        <v>2.96</v>
      </c>
      <c r="D114" s="134">
        <f t="shared" si="29"/>
        <v>2.96</v>
      </c>
      <c r="E114" s="134">
        <f t="shared" si="29"/>
        <v>2.96</v>
      </c>
      <c r="F114" s="134">
        <f t="shared" si="29"/>
        <v>2.96</v>
      </c>
      <c r="G114" s="134">
        <f t="shared" si="29"/>
        <v>2.96</v>
      </c>
      <c r="H114" s="134">
        <f t="shared" si="29"/>
        <v>2.96</v>
      </c>
      <c r="I114" s="134">
        <f t="shared" si="29"/>
        <v>2.96</v>
      </c>
      <c r="J114" s="134">
        <f t="shared" si="29"/>
        <v>2.96</v>
      </c>
      <c r="K114" s="134">
        <f t="shared" si="29"/>
        <v>2.96</v>
      </c>
      <c r="L114" s="134">
        <f t="shared" si="29"/>
        <v>2.96</v>
      </c>
      <c r="M114" s="134">
        <f t="shared" si="29"/>
        <v>2.96</v>
      </c>
      <c r="N114" s="134">
        <f t="shared" si="29"/>
        <v>2.96</v>
      </c>
      <c r="O114" s="134">
        <f t="shared" si="29"/>
        <v>2.96</v>
      </c>
      <c r="P114" s="134">
        <f t="shared" si="29"/>
        <v>2.96</v>
      </c>
      <c r="Q114" s="134">
        <f t="shared" si="29"/>
        <v>2.96</v>
      </c>
      <c r="R114" s="134">
        <f t="shared" si="29"/>
        <v>2.96</v>
      </c>
      <c r="S114" s="134">
        <f t="shared" si="30"/>
        <v>2.96</v>
      </c>
      <c r="T114" s="134">
        <f t="shared" si="30"/>
        <v>2.96</v>
      </c>
      <c r="U114" s="134">
        <f t="shared" si="30"/>
        <v>2.96</v>
      </c>
      <c r="V114" s="134">
        <f t="shared" si="30"/>
        <v>2.96</v>
      </c>
      <c r="W114" s="134">
        <f t="shared" si="30"/>
        <v>2.96</v>
      </c>
      <c r="X114" s="134">
        <f t="shared" si="30"/>
        <v>2.96</v>
      </c>
      <c r="Y114" s="134">
        <f t="shared" si="30"/>
        <v>2.96</v>
      </c>
      <c r="Z114" s="134">
        <f t="shared" si="30"/>
        <v>2.96</v>
      </c>
      <c r="AA114" s="134">
        <f t="shared" si="30"/>
        <v>2.96</v>
      </c>
      <c r="AB114" s="134">
        <f t="shared" si="30"/>
        <v>2.96</v>
      </c>
      <c r="AC114" s="134">
        <f t="shared" si="30"/>
        <v>2.96</v>
      </c>
      <c r="AD114" s="134">
        <f t="shared" si="30"/>
        <v>2.96</v>
      </c>
      <c r="AE114" s="134">
        <f t="shared" si="30"/>
        <v>2.96</v>
      </c>
      <c r="AF114" s="134">
        <f t="shared" si="30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9"/>
        <v>8</v>
      </c>
      <c r="D115" s="134">
        <f t="shared" si="29"/>
        <v>8</v>
      </c>
      <c r="E115" s="134">
        <f t="shared" si="29"/>
        <v>8</v>
      </c>
      <c r="F115" s="134">
        <f t="shared" si="29"/>
        <v>8</v>
      </c>
      <c r="G115" s="134">
        <f t="shared" si="29"/>
        <v>8</v>
      </c>
      <c r="H115" s="134">
        <f t="shared" si="29"/>
        <v>8</v>
      </c>
      <c r="I115" s="134">
        <f t="shared" si="29"/>
        <v>8</v>
      </c>
      <c r="J115" s="134">
        <f t="shared" si="29"/>
        <v>8</v>
      </c>
      <c r="K115" s="134">
        <f t="shared" si="29"/>
        <v>8</v>
      </c>
      <c r="L115" s="134">
        <f t="shared" si="29"/>
        <v>8</v>
      </c>
      <c r="M115" s="134">
        <f t="shared" si="29"/>
        <v>8</v>
      </c>
      <c r="N115" s="134">
        <f t="shared" si="29"/>
        <v>8</v>
      </c>
      <c r="O115" s="134">
        <f t="shared" si="29"/>
        <v>8</v>
      </c>
      <c r="P115" s="134">
        <f t="shared" si="29"/>
        <v>8</v>
      </c>
      <c r="Q115" s="134">
        <f t="shared" si="29"/>
        <v>8</v>
      </c>
      <c r="R115" s="134">
        <f t="shared" si="29"/>
        <v>8</v>
      </c>
      <c r="S115" s="134">
        <f t="shared" si="30"/>
        <v>8</v>
      </c>
      <c r="T115" s="134">
        <f t="shared" si="30"/>
        <v>8</v>
      </c>
      <c r="U115" s="134">
        <f t="shared" si="30"/>
        <v>8</v>
      </c>
      <c r="V115" s="134">
        <f t="shared" si="30"/>
        <v>8</v>
      </c>
      <c r="W115" s="134">
        <f t="shared" si="30"/>
        <v>8</v>
      </c>
      <c r="X115" s="134">
        <f t="shared" si="30"/>
        <v>8</v>
      </c>
      <c r="Y115" s="134">
        <f t="shared" si="30"/>
        <v>8</v>
      </c>
      <c r="Z115" s="134">
        <f t="shared" si="30"/>
        <v>8</v>
      </c>
      <c r="AA115" s="134">
        <f t="shared" si="30"/>
        <v>8</v>
      </c>
      <c r="AB115" s="134">
        <f t="shared" si="30"/>
        <v>8</v>
      </c>
      <c r="AC115" s="134">
        <f t="shared" si="30"/>
        <v>8</v>
      </c>
      <c r="AD115" s="134">
        <f t="shared" si="30"/>
        <v>8</v>
      </c>
      <c r="AE115" s="134">
        <f t="shared" si="30"/>
        <v>8</v>
      </c>
      <c r="AF115" s="134">
        <f t="shared" si="30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9"/>
        <v>7</v>
      </c>
      <c r="E116" s="134">
        <f t="shared" si="29"/>
        <v>7</v>
      </c>
      <c r="F116" s="134">
        <f t="shared" si="29"/>
        <v>7</v>
      </c>
      <c r="G116" s="134">
        <f t="shared" si="29"/>
        <v>7</v>
      </c>
      <c r="H116" s="134">
        <f t="shared" si="29"/>
        <v>7</v>
      </c>
      <c r="I116" s="134">
        <f t="shared" si="29"/>
        <v>7</v>
      </c>
      <c r="J116" s="134">
        <f t="shared" si="29"/>
        <v>7</v>
      </c>
      <c r="K116" s="134">
        <f t="shared" si="29"/>
        <v>7</v>
      </c>
      <c r="L116" s="134">
        <f t="shared" si="29"/>
        <v>7</v>
      </c>
      <c r="M116" s="134">
        <f t="shared" si="29"/>
        <v>7</v>
      </c>
      <c r="N116" s="134">
        <f t="shared" si="29"/>
        <v>7</v>
      </c>
      <c r="O116" s="134">
        <f t="shared" si="29"/>
        <v>7</v>
      </c>
      <c r="P116" s="134">
        <f t="shared" si="29"/>
        <v>7</v>
      </c>
      <c r="Q116" s="134">
        <f t="shared" si="29"/>
        <v>7</v>
      </c>
      <c r="R116" s="134">
        <f t="shared" si="29"/>
        <v>7</v>
      </c>
      <c r="S116" s="134">
        <f t="shared" si="30"/>
        <v>7</v>
      </c>
      <c r="T116" s="134">
        <f t="shared" si="30"/>
        <v>7</v>
      </c>
      <c r="U116" s="134">
        <f t="shared" si="30"/>
        <v>7</v>
      </c>
      <c r="V116" s="134">
        <f t="shared" si="30"/>
        <v>7</v>
      </c>
      <c r="W116" s="134">
        <f t="shared" si="30"/>
        <v>7</v>
      </c>
      <c r="X116" s="134">
        <f t="shared" si="30"/>
        <v>7</v>
      </c>
      <c r="Y116" s="134">
        <f t="shared" si="30"/>
        <v>7</v>
      </c>
      <c r="Z116" s="134">
        <f t="shared" si="30"/>
        <v>7</v>
      </c>
      <c r="AA116" s="134">
        <f t="shared" si="30"/>
        <v>7</v>
      </c>
      <c r="AB116" s="134">
        <f t="shared" si="30"/>
        <v>7</v>
      </c>
      <c r="AC116" s="134">
        <f t="shared" si="30"/>
        <v>7</v>
      </c>
      <c r="AD116" s="134">
        <f t="shared" si="30"/>
        <v>7</v>
      </c>
      <c r="AE116" s="134">
        <f t="shared" si="30"/>
        <v>7</v>
      </c>
      <c r="AF116" s="134">
        <f t="shared" si="30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1">B117</f>
        <v>3.47</v>
      </c>
      <c r="D117" s="134">
        <f t="shared" si="31"/>
        <v>3.47</v>
      </c>
      <c r="E117" s="134">
        <f t="shared" si="31"/>
        <v>3.47</v>
      </c>
      <c r="F117" s="134">
        <f t="shared" si="31"/>
        <v>3.47</v>
      </c>
      <c r="G117" s="134">
        <f t="shared" si="31"/>
        <v>3.47</v>
      </c>
      <c r="H117" s="134">
        <f t="shared" si="31"/>
        <v>3.47</v>
      </c>
      <c r="I117" s="134">
        <f t="shared" si="31"/>
        <v>3.47</v>
      </c>
      <c r="J117" s="134">
        <f t="shared" si="31"/>
        <v>3.47</v>
      </c>
      <c r="K117" s="134">
        <f t="shared" si="31"/>
        <v>3.47</v>
      </c>
      <c r="L117" s="134">
        <f t="shared" si="31"/>
        <v>3.47</v>
      </c>
      <c r="M117" s="134">
        <f t="shared" si="31"/>
        <v>3.47</v>
      </c>
      <c r="N117" s="134">
        <f t="shared" si="31"/>
        <v>3.47</v>
      </c>
      <c r="O117" s="134">
        <f t="shared" si="31"/>
        <v>3.47</v>
      </c>
      <c r="P117" s="134">
        <f t="shared" si="31"/>
        <v>3.47</v>
      </c>
      <c r="Q117" s="134">
        <f t="shared" si="31"/>
        <v>3.47</v>
      </c>
      <c r="R117" s="134">
        <f t="shared" si="31"/>
        <v>3.47</v>
      </c>
      <c r="S117" s="134">
        <f t="shared" si="30"/>
        <v>3.47</v>
      </c>
      <c r="T117" s="134">
        <f t="shared" si="30"/>
        <v>3.47</v>
      </c>
      <c r="U117" s="134">
        <f t="shared" si="30"/>
        <v>3.47</v>
      </c>
      <c r="V117" s="134">
        <f t="shared" si="30"/>
        <v>3.47</v>
      </c>
      <c r="W117" s="134">
        <f t="shared" si="30"/>
        <v>3.47</v>
      </c>
      <c r="X117" s="134">
        <f t="shared" si="30"/>
        <v>3.47</v>
      </c>
      <c r="Y117" s="134">
        <f t="shared" si="30"/>
        <v>3.47</v>
      </c>
      <c r="Z117" s="134">
        <f t="shared" si="30"/>
        <v>3.47</v>
      </c>
      <c r="AA117" s="134">
        <f t="shared" si="30"/>
        <v>3.47</v>
      </c>
      <c r="AB117" s="134">
        <f t="shared" si="30"/>
        <v>3.47</v>
      </c>
      <c r="AC117" s="134">
        <f t="shared" si="30"/>
        <v>3.47</v>
      </c>
      <c r="AD117" s="134">
        <f t="shared" si="30"/>
        <v>3.47</v>
      </c>
      <c r="AE117" s="134">
        <f t="shared" si="30"/>
        <v>3.47</v>
      </c>
      <c r="AF117" s="134">
        <f t="shared" si="30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1"/>
        <v>2.1</v>
      </c>
      <c r="D118" s="134">
        <f t="shared" si="31"/>
        <v>2.1</v>
      </c>
      <c r="E118" s="134">
        <f t="shared" si="31"/>
        <v>2.1</v>
      </c>
      <c r="F118" s="134">
        <f t="shared" si="31"/>
        <v>2.1</v>
      </c>
      <c r="G118" s="134">
        <f t="shared" si="31"/>
        <v>2.1</v>
      </c>
      <c r="H118" s="134">
        <f t="shared" si="31"/>
        <v>2.1</v>
      </c>
      <c r="I118" s="134">
        <f t="shared" si="31"/>
        <v>2.1</v>
      </c>
      <c r="J118" s="134">
        <f t="shared" si="31"/>
        <v>2.1</v>
      </c>
      <c r="K118" s="134">
        <f t="shared" si="31"/>
        <v>2.1</v>
      </c>
      <c r="L118" s="134">
        <f t="shared" si="31"/>
        <v>2.1</v>
      </c>
      <c r="M118" s="134">
        <f t="shared" si="31"/>
        <v>2.1</v>
      </c>
      <c r="N118" s="134">
        <f t="shared" si="31"/>
        <v>2.1</v>
      </c>
      <c r="O118" s="134">
        <f t="shared" si="31"/>
        <v>2.1</v>
      </c>
      <c r="P118" s="134">
        <f t="shared" si="31"/>
        <v>2.1</v>
      </c>
      <c r="Q118" s="134">
        <f t="shared" si="31"/>
        <v>2.1</v>
      </c>
      <c r="R118" s="134">
        <f t="shared" si="31"/>
        <v>2.1</v>
      </c>
      <c r="S118" s="134">
        <f t="shared" si="30"/>
        <v>2.1</v>
      </c>
      <c r="T118" s="134">
        <f t="shared" si="30"/>
        <v>2.1</v>
      </c>
      <c r="U118" s="134">
        <f t="shared" si="30"/>
        <v>2.1</v>
      </c>
      <c r="V118" s="134">
        <f t="shared" si="30"/>
        <v>2.1</v>
      </c>
      <c r="W118" s="134">
        <f t="shared" si="30"/>
        <v>2.1</v>
      </c>
      <c r="X118" s="134">
        <f t="shared" si="30"/>
        <v>2.1</v>
      </c>
      <c r="Y118" s="134">
        <f t="shared" si="30"/>
        <v>2.1</v>
      </c>
      <c r="Z118" s="134">
        <f t="shared" si="30"/>
        <v>2.1</v>
      </c>
      <c r="AA118" s="134">
        <f t="shared" si="30"/>
        <v>2.1</v>
      </c>
      <c r="AB118" s="134">
        <f t="shared" si="30"/>
        <v>2.1</v>
      </c>
      <c r="AC118" s="134">
        <f t="shared" si="30"/>
        <v>2.1</v>
      </c>
      <c r="AD118" s="134">
        <f t="shared" si="30"/>
        <v>2.1</v>
      </c>
      <c r="AE118" s="134">
        <f t="shared" si="30"/>
        <v>2.1</v>
      </c>
      <c r="AF118" s="134">
        <f t="shared" si="30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1"/>
        <v>9.3000000000000007</v>
      </c>
      <c r="D119" s="134">
        <f t="shared" si="31"/>
        <v>9.3000000000000007</v>
      </c>
      <c r="E119" s="134">
        <f t="shared" si="31"/>
        <v>9.3000000000000007</v>
      </c>
      <c r="F119" s="134">
        <f t="shared" si="31"/>
        <v>9.3000000000000007</v>
      </c>
      <c r="G119" s="134">
        <f t="shared" si="31"/>
        <v>9.3000000000000007</v>
      </c>
      <c r="H119" s="134">
        <f t="shared" si="31"/>
        <v>9.3000000000000007</v>
      </c>
      <c r="I119" s="134">
        <f t="shared" si="31"/>
        <v>9.3000000000000007</v>
      </c>
      <c r="J119" s="134">
        <f t="shared" si="31"/>
        <v>9.3000000000000007</v>
      </c>
      <c r="K119" s="134">
        <f t="shared" si="31"/>
        <v>9.3000000000000007</v>
      </c>
      <c r="L119" s="134">
        <f t="shared" si="31"/>
        <v>9.3000000000000007</v>
      </c>
      <c r="M119" s="134">
        <f t="shared" si="31"/>
        <v>9.3000000000000007</v>
      </c>
      <c r="N119" s="134">
        <f t="shared" si="31"/>
        <v>9.3000000000000007</v>
      </c>
      <c r="O119" s="134">
        <f t="shared" si="31"/>
        <v>9.3000000000000007</v>
      </c>
      <c r="P119" s="134">
        <f t="shared" si="31"/>
        <v>9.3000000000000007</v>
      </c>
      <c r="Q119" s="134">
        <f t="shared" si="31"/>
        <v>9.3000000000000007</v>
      </c>
      <c r="R119" s="134">
        <f t="shared" si="31"/>
        <v>9.3000000000000007</v>
      </c>
      <c r="S119" s="134">
        <f t="shared" si="30"/>
        <v>9.3000000000000007</v>
      </c>
      <c r="T119" s="134">
        <f t="shared" si="30"/>
        <v>9.3000000000000007</v>
      </c>
      <c r="U119" s="134">
        <f t="shared" si="30"/>
        <v>9.3000000000000007</v>
      </c>
      <c r="V119" s="134">
        <f t="shared" si="30"/>
        <v>9.3000000000000007</v>
      </c>
      <c r="W119" s="134">
        <f t="shared" si="30"/>
        <v>9.3000000000000007</v>
      </c>
      <c r="X119" s="134">
        <f t="shared" si="30"/>
        <v>9.3000000000000007</v>
      </c>
      <c r="Y119" s="134">
        <f t="shared" si="30"/>
        <v>9.3000000000000007</v>
      </c>
      <c r="Z119" s="134">
        <f t="shared" si="30"/>
        <v>9.3000000000000007</v>
      </c>
      <c r="AA119" s="134">
        <f t="shared" si="30"/>
        <v>9.3000000000000007</v>
      </c>
      <c r="AB119" s="134">
        <f t="shared" si="30"/>
        <v>9.3000000000000007</v>
      </c>
      <c r="AC119" s="134">
        <f t="shared" si="30"/>
        <v>9.3000000000000007</v>
      </c>
      <c r="AD119" s="134">
        <f t="shared" si="30"/>
        <v>9.3000000000000007</v>
      </c>
      <c r="AE119" s="134">
        <f t="shared" si="30"/>
        <v>9.3000000000000007</v>
      </c>
      <c r="AF119" s="134">
        <f t="shared" si="30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1"/>
        <v>0</v>
      </c>
      <c r="D120" s="134">
        <f t="shared" si="31"/>
        <v>0</v>
      </c>
      <c r="E120" s="134">
        <f t="shared" si="31"/>
        <v>0</v>
      </c>
      <c r="F120" s="134">
        <f t="shared" si="31"/>
        <v>0</v>
      </c>
      <c r="G120" s="134">
        <f t="shared" si="31"/>
        <v>0</v>
      </c>
      <c r="H120" s="134">
        <f t="shared" si="31"/>
        <v>0</v>
      </c>
      <c r="I120" s="134">
        <f t="shared" si="31"/>
        <v>0</v>
      </c>
      <c r="J120" s="134">
        <f t="shared" si="31"/>
        <v>0</v>
      </c>
      <c r="K120" s="134">
        <f t="shared" si="31"/>
        <v>0</v>
      </c>
      <c r="L120" s="134">
        <f t="shared" si="31"/>
        <v>0</v>
      </c>
      <c r="M120" s="134">
        <f t="shared" si="31"/>
        <v>0</v>
      </c>
      <c r="N120" s="134">
        <f t="shared" si="31"/>
        <v>0</v>
      </c>
      <c r="O120" s="134">
        <f t="shared" si="31"/>
        <v>0</v>
      </c>
      <c r="P120" s="134">
        <f t="shared" si="31"/>
        <v>0</v>
      </c>
      <c r="Q120" s="134">
        <f t="shared" si="31"/>
        <v>0</v>
      </c>
      <c r="R120" s="134">
        <f t="shared" si="31"/>
        <v>0</v>
      </c>
      <c r="S120" s="134">
        <f t="shared" si="30"/>
        <v>0</v>
      </c>
      <c r="T120" s="134">
        <f t="shared" si="30"/>
        <v>0</v>
      </c>
      <c r="U120" s="134">
        <f t="shared" si="30"/>
        <v>0</v>
      </c>
      <c r="V120" s="134">
        <f t="shared" si="30"/>
        <v>0</v>
      </c>
      <c r="W120" s="134">
        <f t="shared" si="30"/>
        <v>0</v>
      </c>
      <c r="X120" s="134">
        <f t="shared" si="30"/>
        <v>0</v>
      </c>
      <c r="Y120" s="134">
        <f t="shared" si="30"/>
        <v>0</v>
      </c>
      <c r="Z120" s="134">
        <f t="shared" si="30"/>
        <v>0</v>
      </c>
      <c r="AA120" s="134">
        <f t="shared" si="30"/>
        <v>0</v>
      </c>
      <c r="AB120" s="134">
        <f t="shared" si="30"/>
        <v>0</v>
      </c>
      <c r="AC120" s="134">
        <f t="shared" si="30"/>
        <v>0</v>
      </c>
      <c r="AD120" s="134">
        <f t="shared" si="30"/>
        <v>0</v>
      </c>
      <c r="AE120" s="134">
        <f t="shared" si="30"/>
        <v>0</v>
      </c>
      <c r="AF120" s="134">
        <f t="shared" si="30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1"/>
        <v>0</v>
      </c>
      <c r="D121" s="134">
        <f t="shared" si="31"/>
        <v>0</v>
      </c>
      <c r="E121" s="134">
        <f t="shared" si="31"/>
        <v>0</v>
      </c>
      <c r="F121" s="134">
        <f t="shared" si="31"/>
        <v>0</v>
      </c>
      <c r="G121" s="134">
        <f t="shared" si="31"/>
        <v>0</v>
      </c>
      <c r="H121" s="134">
        <f t="shared" si="31"/>
        <v>0</v>
      </c>
      <c r="I121" s="134">
        <f t="shared" si="31"/>
        <v>0</v>
      </c>
      <c r="J121" s="134">
        <f t="shared" si="31"/>
        <v>0</v>
      </c>
      <c r="K121" s="134">
        <f t="shared" si="31"/>
        <v>0</v>
      </c>
      <c r="L121" s="134">
        <f t="shared" si="31"/>
        <v>0</v>
      </c>
      <c r="M121" s="134">
        <f t="shared" si="31"/>
        <v>0</v>
      </c>
      <c r="N121" s="134">
        <f t="shared" si="31"/>
        <v>0</v>
      </c>
      <c r="O121" s="134">
        <f t="shared" si="31"/>
        <v>0</v>
      </c>
      <c r="P121" s="134">
        <f t="shared" si="31"/>
        <v>0</v>
      </c>
      <c r="Q121" s="134">
        <f t="shared" si="31"/>
        <v>0</v>
      </c>
      <c r="R121" s="134">
        <f t="shared" si="31"/>
        <v>0</v>
      </c>
      <c r="S121" s="134">
        <f t="shared" si="30"/>
        <v>0</v>
      </c>
      <c r="T121" s="134">
        <f t="shared" si="30"/>
        <v>0</v>
      </c>
      <c r="U121" s="134">
        <f t="shared" si="30"/>
        <v>0</v>
      </c>
      <c r="V121" s="134">
        <f t="shared" si="30"/>
        <v>0</v>
      </c>
      <c r="W121" s="134">
        <f t="shared" si="30"/>
        <v>0</v>
      </c>
      <c r="X121" s="134">
        <f t="shared" si="30"/>
        <v>0</v>
      </c>
      <c r="Y121" s="134">
        <f t="shared" si="30"/>
        <v>0</v>
      </c>
      <c r="Z121" s="134">
        <f t="shared" si="30"/>
        <v>0</v>
      </c>
      <c r="AA121" s="134">
        <f t="shared" si="30"/>
        <v>0</v>
      </c>
      <c r="AB121" s="134">
        <f t="shared" si="30"/>
        <v>0</v>
      </c>
      <c r="AC121" s="134">
        <f t="shared" si="30"/>
        <v>0</v>
      </c>
      <c r="AD121" s="134">
        <f t="shared" si="30"/>
        <v>0</v>
      </c>
      <c r="AE121" s="134">
        <f t="shared" si="30"/>
        <v>0</v>
      </c>
      <c r="AF121" s="134">
        <f t="shared" si="30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1"/>
        <v>5</v>
      </c>
      <c r="D122" s="134">
        <f t="shared" si="31"/>
        <v>5</v>
      </c>
      <c r="E122" s="134">
        <f t="shared" si="31"/>
        <v>5</v>
      </c>
      <c r="F122" s="134">
        <f t="shared" si="31"/>
        <v>5</v>
      </c>
      <c r="G122" s="134">
        <f t="shared" si="31"/>
        <v>5</v>
      </c>
      <c r="H122" s="134">
        <f t="shared" si="31"/>
        <v>5</v>
      </c>
      <c r="I122" s="134">
        <f t="shared" si="31"/>
        <v>5</v>
      </c>
      <c r="J122" s="134">
        <f t="shared" si="31"/>
        <v>5</v>
      </c>
      <c r="K122" s="134">
        <f t="shared" si="31"/>
        <v>5</v>
      </c>
      <c r="L122" s="134">
        <f t="shared" si="31"/>
        <v>5</v>
      </c>
      <c r="M122" s="134">
        <f t="shared" si="31"/>
        <v>5</v>
      </c>
      <c r="N122" s="134">
        <f t="shared" si="31"/>
        <v>5</v>
      </c>
      <c r="O122" s="134">
        <f t="shared" si="31"/>
        <v>5</v>
      </c>
      <c r="P122" s="134">
        <f t="shared" si="31"/>
        <v>5</v>
      </c>
      <c r="Q122" s="134">
        <f t="shared" si="31"/>
        <v>5</v>
      </c>
      <c r="R122" s="134">
        <f t="shared" si="31"/>
        <v>5</v>
      </c>
      <c r="S122" s="134">
        <f t="shared" si="30"/>
        <v>5</v>
      </c>
      <c r="T122" s="134">
        <f t="shared" si="30"/>
        <v>5</v>
      </c>
      <c r="U122" s="134">
        <f t="shared" si="30"/>
        <v>5</v>
      </c>
      <c r="V122" s="134">
        <f t="shared" si="30"/>
        <v>5</v>
      </c>
      <c r="W122" s="134">
        <f t="shared" si="30"/>
        <v>5</v>
      </c>
      <c r="X122" s="134">
        <f t="shared" si="30"/>
        <v>5</v>
      </c>
      <c r="Y122" s="134">
        <f t="shared" si="30"/>
        <v>5</v>
      </c>
      <c r="Z122" s="134">
        <f t="shared" si="30"/>
        <v>5</v>
      </c>
      <c r="AA122" s="134">
        <f t="shared" si="30"/>
        <v>5</v>
      </c>
      <c r="AB122" s="134">
        <f t="shared" si="30"/>
        <v>5</v>
      </c>
      <c r="AC122" s="134">
        <f t="shared" si="30"/>
        <v>5</v>
      </c>
      <c r="AD122" s="134">
        <f t="shared" si="30"/>
        <v>5</v>
      </c>
      <c r="AE122" s="134">
        <f t="shared" si="30"/>
        <v>5</v>
      </c>
      <c r="AF122" s="134">
        <f t="shared" si="30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1"/>
        <v>1</v>
      </c>
      <c r="D123" s="134">
        <f t="shared" si="31"/>
        <v>1</v>
      </c>
      <c r="E123" s="134">
        <f t="shared" si="31"/>
        <v>1</v>
      </c>
      <c r="F123" s="134">
        <f t="shared" si="31"/>
        <v>1</v>
      </c>
      <c r="G123" s="134">
        <f t="shared" si="31"/>
        <v>1</v>
      </c>
      <c r="H123" s="134">
        <f t="shared" si="31"/>
        <v>1</v>
      </c>
      <c r="I123" s="134">
        <f t="shared" si="31"/>
        <v>1</v>
      </c>
      <c r="J123" s="134">
        <f t="shared" si="31"/>
        <v>1</v>
      </c>
      <c r="K123" s="134">
        <f t="shared" si="31"/>
        <v>1</v>
      </c>
      <c r="L123" s="134">
        <f t="shared" si="31"/>
        <v>1</v>
      </c>
      <c r="M123" s="134">
        <f t="shared" si="31"/>
        <v>1</v>
      </c>
      <c r="N123" s="134">
        <f t="shared" si="31"/>
        <v>1</v>
      </c>
      <c r="O123" s="134">
        <f t="shared" si="31"/>
        <v>1</v>
      </c>
      <c r="P123" s="134">
        <f t="shared" si="31"/>
        <v>1</v>
      </c>
      <c r="Q123" s="134">
        <f t="shared" si="31"/>
        <v>1</v>
      </c>
      <c r="R123" s="134">
        <f t="shared" si="31"/>
        <v>1</v>
      </c>
      <c r="S123" s="134">
        <f t="shared" si="30"/>
        <v>1</v>
      </c>
      <c r="T123" s="134">
        <f t="shared" si="30"/>
        <v>1</v>
      </c>
      <c r="U123" s="134">
        <f t="shared" si="30"/>
        <v>1</v>
      </c>
      <c r="V123" s="134">
        <f t="shared" si="30"/>
        <v>1</v>
      </c>
      <c r="W123" s="134">
        <f t="shared" si="30"/>
        <v>1</v>
      </c>
      <c r="X123" s="134">
        <f t="shared" si="30"/>
        <v>1</v>
      </c>
      <c r="Y123" s="134">
        <f t="shared" si="30"/>
        <v>1</v>
      </c>
      <c r="Z123" s="134">
        <f t="shared" si="30"/>
        <v>1</v>
      </c>
      <c r="AA123" s="134">
        <f t="shared" si="30"/>
        <v>1</v>
      </c>
      <c r="AB123" s="134">
        <f t="shared" si="30"/>
        <v>1</v>
      </c>
      <c r="AC123" s="134">
        <f t="shared" si="30"/>
        <v>1</v>
      </c>
      <c r="AD123" s="134">
        <f t="shared" si="30"/>
        <v>1</v>
      </c>
      <c r="AE123" s="134">
        <f t="shared" si="30"/>
        <v>1</v>
      </c>
      <c r="AF123" s="134">
        <f t="shared" si="30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1"/>
        <v>1.58</v>
      </c>
      <c r="D124" s="134">
        <f t="shared" si="31"/>
        <v>1.58</v>
      </c>
      <c r="E124" s="134">
        <f t="shared" si="31"/>
        <v>1.58</v>
      </c>
      <c r="F124" s="134">
        <f t="shared" si="31"/>
        <v>1.58</v>
      </c>
      <c r="G124" s="134">
        <f t="shared" si="31"/>
        <v>1.58</v>
      </c>
      <c r="H124" s="134">
        <f t="shared" si="31"/>
        <v>1.58</v>
      </c>
      <c r="I124" s="134">
        <f t="shared" si="31"/>
        <v>1.58</v>
      </c>
      <c r="J124" s="134">
        <f t="shared" si="31"/>
        <v>1.58</v>
      </c>
      <c r="K124" s="134">
        <f t="shared" si="31"/>
        <v>1.58</v>
      </c>
      <c r="L124" s="134">
        <f t="shared" si="31"/>
        <v>1.58</v>
      </c>
      <c r="M124" s="134">
        <f t="shared" si="31"/>
        <v>1.58</v>
      </c>
      <c r="N124" s="134">
        <f t="shared" si="31"/>
        <v>1.58</v>
      </c>
      <c r="O124" s="134">
        <f t="shared" si="31"/>
        <v>1.58</v>
      </c>
      <c r="P124" s="134">
        <f t="shared" si="31"/>
        <v>1.58</v>
      </c>
      <c r="Q124" s="134">
        <f t="shared" si="31"/>
        <v>1.58</v>
      </c>
      <c r="R124" s="134">
        <f t="shared" si="31"/>
        <v>1.58</v>
      </c>
      <c r="S124" s="134">
        <f t="shared" si="30"/>
        <v>1.58</v>
      </c>
      <c r="T124" s="134">
        <f t="shared" si="30"/>
        <v>1.58</v>
      </c>
      <c r="U124" s="134">
        <f t="shared" si="30"/>
        <v>1.58</v>
      </c>
      <c r="V124" s="134">
        <f t="shared" si="30"/>
        <v>1.58</v>
      </c>
      <c r="W124" s="134">
        <f t="shared" si="30"/>
        <v>1.58</v>
      </c>
      <c r="X124" s="134">
        <f t="shared" si="30"/>
        <v>1.58</v>
      </c>
      <c r="Y124" s="134">
        <f t="shared" si="30"/>
        <v>1.58</v>
      </c>
      <c r="Z124" s="134">
        <f t="shared" si="30"/>
        <v>1.58</v>
      </c>
      <c r="AA124" s="134">
        <f t="shared" si="30"/>
        <v>1.58</v>
      </c>
      <c r="AB124" s="134">
        <f t="shared" si="30"/>
        <v>1.58</v>
      </c>
      <c r="AC124" s="134">
        <f t="shared" si="30"/>
        <v>1.58</v>
      </c>
      <c r="AD124" s="134">
        <f t="shared" si="30"/>
        <v>1.58</v>
      </c>
      <c r="AE124" s="134">
        <f t="shared" si="30"/>
        <v>1.58</v>
      </c>
      <c r="AF124" s="134">
        <f t="shared" si="30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1"/>
        <v>1.46</v>
      </c>
      <c r="D125" s="134">
        <f t="shared" si="31"/>
        <v>1.46</v>
      </c>
      <c r="E125" s="134">
        <f t="shared" si="31"/>
        <v>1.46</v>
      </c>
      <c r="F125" s="134">
        <f t="shared" si="31"/>
        <v>1.46</v>
      </c>
      <c r="G125" s="134">
        <f t="shared" si="31"/>
        <v>1.46</v>
      </c>
      <c r="H125" s="134">
        <f t="shared" si="31"/>
        <v>1.46</v>
      </c>
      <c r="I125" s="134">
        <f t="shared" si="31"/>
        <v>1.46</v>
      </c>
      <c r="J125" s="134">
        <f t="shared" si="31"/>
        <v>1.46</v>
      </c>
      <c r="K125" s="134">
        <f t="shared" si="31"/>
        <v>1.46</v>
      </c>
      <c r="L125" s="134">
        <f t="shared" si="31"/>
        <v>1.46</v>
      </c>
      <c r="M125" s="134">
        <f t="shared" si="31"/>
        <v>1.46</v>
      </c>
      <c r="N125" s="134">
        <f t="shared" si="31"/>
        <v>1.46</v>
      </c>
      <c r="O125" s="134">
        <f t="shared" si="31"/>
        <v>1.46</v>
      </c>
      <c r="P125" s="134">
        <f t="shared" si="31"/>
        <v>1.46</v>
      </c>
      <c r="Q125" s="134">
        <f t="shared" si="31"/>
        <v>1.46</v>
      </c>
      <c r="R125" s="134">
        <f t="shared" si="31"/>
        <v>1.46</v>
      </c>
      <c r="S125" s="134">
        <f t="shared" ref="S125:AF126" si="32">R125</f>
        <v>1.46</v>
      </c>
      <c r="T125" s="134">
        <f t="shared" si="32"/>
        <v>1.46</v>
      </c>
      <c r="U125" s="134">
        <f t="shared" si="32"/>
        <v>1.46</v>
      </c>
      <c r="V125" s="134">
        <f t="shared" si="32"/>
        <v>1.46</v>
      </c>
      <c r="W125" s="134">
        <f t="shared" si="32"/>
        <v>1.46</v>
      </c>
      <c r="X125" s="134">
        <f t="shared" si="32"/>
        <v>1.46</v>
      </c>
      <c r="Y125" s="134">
        <f t="shared" si="32"/>
        <v>1.46</v>
      </c>
      <c r="Z125" s="134">
        <f t="shared" si="32"/>
        <v>1.46</v>
      </c>
      <c r="AA125" s="134">
        <f t="shared" si="32"/>
        <v>1.46</v>
      </c>
      <c r="AB125" s="134">
        <f t="shared" si="32"/>
        <v>1.46</v>
      </c>
      <c r="AC125" s="134">
        <f t="shared" si="32"/>
        <v>1.46</v>
      </c>
      <c r="AD125" s="134">
        <f t="shared" si="32"/>
        <v>1.46</v>
      </c>
      <c r="AE125" s="134">
        <f t="shared" si="32"/>
        <v>1.46</v>
      </c>
      <c r="AF125" s="134">
        <f t="shared" si="32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1"/>
        <v>1.48</v>
      </c>
      <c r="D126" s="134">
        <f t="shared" si="31"/>
        <v>1.48</v>
      </c>
      <c r="E126" s="134">
        <f t="shared" si="31"/>
        <v>1.48</v>
      </c>
      <c r="F126" s="134">
        <f t="shared" si="31"/>
        <v>1.48</v>
      </c>
      <c r="G126" s="134">
        <f t="shared" si="31"/>
        <v>1.48</v>
      </c>
      <c r="H126" s="134">
        <f t="shared" si="31"/>
        <v>1.48</v>
      </c>
      <c r="I126" s="134">
        <f t="shared" si="31"/>
        <v>1.48</v>
      </c>
      <c r="J126" s="134">
        <f t="shared" si="31"/>
        <v>1.48</v>
      </c>
      <c r="K126" s="134">
        <f t="shared" si="31"/>
        <v>1.48</v>
      </c>
      <c r="L126" s="134">
        <f t="shared" si="31"/>
        <v>1.48</v>
      </c>
      <c r="M126" s="134">
        <f t="shared" si="31"/>
        <v>1.48</v>
      </c>
      <c r="N126" s="134">
        <f t="shared" si="31"/>
        <v>1.48</v>
      </c>
      <c r="O126" s="134">
        <f t="shared" si="31"/>
        <v>1.48</v>
      </c>
      <c r="P126" s="134">
        <f t="shared" si="31"/>
        <v>1.48</v>
      </c>
      <c r="Q126" s="134">
        <f t="shared" si="31"/>
        <v>1.48</v>
      </c>
      <c r="R126" s="134">
        <f t="shared" si="31"/>
        <v>1.48</v>
      </c>
      <c r="S126" s="134">
        <f t="shared" si="32"/>
        <v>1.48</v>
      </c>
      <c r="T126" s="134">
        <f t="shared" si="32"/>
        <v>1.48</v>
      </c>
      <c r="U126" s="134">
        <f t="shared" si="32"/>
        <v>1.48</v>
      </c>
      <c r="V126" s="134">
        <f t="shared" si="32"/>
        <v>1.48</v>
      </c>
      <c r="W126" s="134">
        <f t="shared" si="32"/>
        <v>1.48</v>
      </c>
      <c r="X126" s="134">
        <f t="shared" si="32"/>
        <v>1.48</v>
      </c>
      <c r="Y126" s="134">
        <f t="shared" si="32"/>
        <v>1.48</v>
      </c>
      <c r="Z126" s="134">
        <f t="shared" si="32"/>
        <v>1.48</v>
      </c>
      <c r="AA126" s="134">
        <f t="shared" si="32"/>
        <v>1.48</v>
      </c>
      <c r="AB126" s="134">
        <f t="shared" si="32"/>
        <v>1.48</v>
      </c>
      <c r="AC126" s="134">
        <f t="shared" si="32"/>
        <v>1.48</v>
      </c>
      <c r="AD126" s="134">
        <f t="shared" si="32"/>
        <v>1.48</v>
      </c>
      <c r="AE126" s="134">
        <f t="shared" si="32"/>
        <v>1.48</v>
      </c>
      <c r="AF126" s="134">
        <f t="shared" si="32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3">B128</f>
        <v>2.2000000000000002</v>
      </c>
      <c r="D128" s="134">
        <f t="shared" si="33"/>
        <v>2.2000000000000002</v>
      </c>
      <c r="E128" s="134">
        <f t="shared" si="33"/>
        <v>2.2000000000000002</v>
      </c>
      <c r="F128" s="134">
        <f t="shared" si="33"/>
        <v>2.2000000000000002</v>
      </c>
      <c r="G128" s="134">
        <f t="shared" si="33"/>
        <v>2.2000000000000002</v>
      </c>
      <c r="H128" s="134">
        <f t="shared" si="33"/>
        <v>2.2000000000000002</v>
      </c>
      <c r="I128" s="134">
        <f t="shared" si="33"/>
        <v>2.2000000000000002</v>
      </c>
      <c r="J128" s="134">
        <f t="shared" si="33"/>
        <v>2.2000000000000002</v>
      </c>
      <c r="K128" s="134">
        <f t="shared" si="33"/>
        <v>2.2000000000000002</v>
      </c>
      <c r="L128" s="134">
        <f t="shared" si="33"/>
        <v>2.2000000000000002</v>
      </c>
      <c r="M128" s="134">
        <f t="shared" si="33"/>
        <v>2.2000000000000002</v>
      </c>
      <c r="N128" s="134">
        <f t="shared" si="33"/>
        <v>2.2000000000000002</v>
      </c>
      <c r="O128" s="134">
        <f t="shared" si="33"/>
        <v>2.2000000000000002</v>
      </c>
      <c r="P128" s="134">
        <f t="shared" si="33"/>
        <v>2.2000000000000002</v>
      </c>
      <c r="Q128" s="134">
        <f t="shared" si="33"/>
        <v>2.2000000000000002</v>
      </c>
      <c r="R128" s="134">
        <f t="shared" si="33"/>
        <v>2.2000000000000002</v>
      </c>
      <c r="S128" s="134">
        <f t="shared" ref="S128:AF135" si="34">R128</f>
        <v>2.2000000000000002</v>
      </c>
      <c r="T128" s="134">
        <f t="shared" si="34"/>
        <v>2.2000000000000002</v>
      </c>
      <c r="U128" s="134">
        <f t="shared" si="34"/>
        <v>2.2000000000000002</v>
      </c>
      <c r="V128" s="134">
        <f t="shared" si="34"/>
        <v>2.2000000000000002</v>
      </c>
      <c r="W128" s="134">
        <f t="shared" si="34"/>
        <v>2.2000000000000002</v>
      </c>
      <c r="X128" s="134">
        <f t="shared" si="34"/>
        <v>2.2000000000000002</v>
      </c>
      <c r="Y128" s="134">
        <f t="shared" si="34"/>
        <v>2.2000000000000002</v>
      </c>
      <c r="Z128" s="134">
        <f t="shared" si="34"/>
        <v>2.2000000000000002</v>
      </c>
      <c r="AA128" s="134">
        <f t="shared" si="34"/>
        <v>2.2000000000000002</v>
      </c>
      <c r="AB128" s="134">
        <f t="shared" si="34"/>
        <v>2.2000000000000002</v>
      </c>
      <c r="AC128" s="134">
        <f t="shared" si="34"/>
        <v>2.2000000000000002</v>
      </c>
      <c r="AD128" s="134">
        <f t="shared" si="34"/>
        <v>2.2000000000000002</v>
      </c>
      <c r="AE128" s="134">
        <f t="shared" si="34"/>
        <v>2.2000000000000002</v>
      </c>
      <c r="AF128" s="134">
        <f t="shared" si="34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3"/>
        <v>2</v>
      </c>
      <c r="D129" s="134">
        <f t="shared" si="33"/>
        <v>2</v>
      </c>
      <c r="E129" s="134">
        <f t="shared" si="33"/>
        <v>2</v>
      </c>
      <c r="F129" s="134">
        <f t="shared" si="33"/>
        <v>2</v>
      </c>
      <c r="G129" s="134">
        <f t="shared" si="33"/>
        <v>2</v>
      </c>
      <c r="H129" s="134">
        <f t="shared" si="33"/>
        <v>2</v>
      </c>
      <c r="I129" s="134">
        <f t="shared" si="33"/>
        <v>2</v>
      </c>
      <c r="J129" s="134">
        <f t="shared" si="33"/>
        <v>2</v>
      </c>
      <c r="K129" s="134">
        <f t="shared" si="33"/>
        <v>2</v>
      </c>
      <c r="L129" s="134">
        <f t="shared" si="33"/>
        <v>2</v>
      </c>
      <c r="M129" s="134">
        <f t="shared" si="33"/>
        <v>2</v>
      </c>
      <c r="N129" s="134">
        <f t="shared" si="33"/>
        <v>2</v>
      </c>
      <c r="O129" s="134">
        <f t="shared" si="33"/>
        <v>2</v>
      </c>
      <c r="P129" s="134">
        <f t="shared" si="33"/>
        <v>2</v>
      </c>
      <c r="Q129" s="134">
        <f t="shared" si="33"/>
        <v>2</v>
      </c>
      <c r="R129" s="134">
        <f t="shared" si="33"/>
        <v>2</v>
      </c>
      <c r="S129" s="134">
        <f t="shared" si="34"/>
        <v>2</v>
      </c>
      <c r="T129" s="134">
        <f t="shared" si="34"/>
        <v>2</v>
      </c>
      <c r="U129" s="134">
        <f t="shared" si="34"/>
        <v>2</v>
      </c>
      <c r="V129" s="134">
        <f t="shared" si="34"/>
        <v>2</v>
      </c>
      <c r="W129" s="134">
        <f t="shared" si="34"/>
        <v>2</v>
      </c>
      <c r="X129" s="134">
        <f t="shared" si="34"/>
        <v>2</v>
      </c>
      <c r="Y129" s="134">
        <f t="shared" si="34"/>
        <v>2</v>
      </c>
      <c r="Z129" s="134">
        <f t="shared" si="34"/>
        <v>2</v>
      </c>
      <c r="AA129" s="134">
        <f t="shared" si="34"/>
        <v>2</v>
      </c>
      <c r="AB129" s="134">
        <f t="shared" si="34"/>
        <v>2</v>
      </c>
      <c r="AC129" s="134">
        <f t="shared" si="34"/>
        <v>2</v>
      </c>
      <c r="AD129" s="134">
        <f t="shared" si="34"/>
        <v>2</v>
      </c>
      <c r="AE129" s="134">
        <f t="shared" si="34"/>
        <v>2</v>
      </c>
      <c r="AF129" s="134">
        <f t="shared" si="34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3"/>
        <v>1.25</v>
      </c>
      <c r="D130" s="134">
        <f t="shared" si="33"/>
        <v>1.25</v>
      </c>
      <c r="E130" s="134">
        <f t="shared" si="33"/>
        <v>1.25</v>
      </c>
      <c r="F130" s="134">
        <f t="shared" si="33"/>
        <v>1.25</v>
      </c>
      <c r="G130" s="134">
        <f t="shared" si="33"/>
        <v>1.25</v>
      </c>
      <c r="H130" s="134">
        <f t="shared" si="33"/>
        <v>1.25</v>
      </c>
      <c r="I130" s="134">
        <f t="shared" si="33"/>
        <v>1.25</v>
      </c>
      <c r="J130" s="134">
        <f t="shared" si="33"/>
        <v>1.25</v>
      </c>
      <c r="K130" s="134">
        <f t="shared" si="33"/>
        <v>1.25</v>
      </c>
      <c r="L130" s="134">
        <f t="shared" si="33"/>
        <v>1.25</v>
      </c>
      <c r="M130" s="134">
        <f t="shared" si="33"/>
        <v>1.25</v>
      </c>
      <c r="N130" s="134">
        <f t="shared" si="33"/>
        <v>1.25</v>
      </c>
      <c r="O130" s="134">
        <f t="shared" si="33"/>
        <v>1.25</v>
      </c>
      <c r="P130" s="134">
        <f t="shared" si="33"/>
        <v>1.25</v>
      </c>
      <c r="Q130" s="134">
        <f t="shared" si="33"/>
        <v>1.25</v>
      </c>
      <c r="R130" s="134">
        <f t="shared" si="33"/>
        <v>1.25</v>
      </c>
      <c r="S130" s="134">
        <f t="shared" si="34"/>
        <v>1.25</v>
      </c>
      <c r="T130" s="134">
        <f t="shared" si="34"/>
        <v>1.25</v>
      </c>
      <c r="U130" s="134">
        <f t="shared" si="34"/>
        <v>1.25</v>
      </c>
      <c r="V130" s="134">
        <f t="shared" si="34"/>
        <v>1.25</v>
      </c>
      <c r="W130" s="134">
        <f t="shared" si="34"/>
        <v>1.25</v>
      </c>
      <c r="X130" s="134">
        <f t="shared" si="34"/>
        <v>1.25</v>
      </c>
      <c r="Y130" s="134">
        <f t="shared" si="34"/>
        <v>1.25</v>
      </c>
      <c r="Z130" s="134">
        <f t="shared" si="34"/>
        <v>1.25</v>
      </c>
      <c r="AA130" s="134">
        <f t="shared" si="34"/>
        <v>1.25</v>
      </c>
      <c r="AB130" s="134">
        <f t="shared" si="34"/>
        <v>1.25</v>
      </c>
      <c r="AC130" s="134">
        <f t="shared" si="34"/>
        <v>1.25</v>
      </c>
      <c r="AD130" s="134">
        <f t="shared" si="34"/>
        <v>1.25</v>
      </c>
      <c r="AE130" s="134">
        <f t="shared" si="34"/>
        <v>1.25</v>
      </c>
      <c r="AF130" s="134">
        <f t="shared" si="34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3"/>
        <v>1.1499999999999999</v>
      </c>
      <c r="D131" s="134">
        <f t="shared" si="33"/>
        <v>1.1499999999999999</v>
      </c>
      <c r="E131" s="134">
        <f t="shared" si="33"/>
        <v>1.1499999999999999</v>
      </c>
      <c r="F131" s="134">
        <f t="shared" si="33"/>
        <v>1.1499999999999999</v>
      </c>
      <c r="G131" s="134">
        <f t="shared" si="33"/>
        <v>1.1499999999999999</v>
      </c>
      <c r="H131" s="134">
        <f t="shared" si="33"/>
        <v>1.1499999999999999</v>
      </c>
      <c r="I131" s="134">
        <f t="shared" si="33"/>
        <v>1.1499999999999999</v>
      </c>
      <c r="J131" s="134">
        <f t="shared" si="33"/>
        <v>1.1499999999999999</v>
      </c>
      <c r="K131" s="134">
        <f t="shared" si="33"/>
        <v>1.1499999999999999</v>
      </c>
      <c r="L131" s="134">
        <f t="shared" si="33"/>
        <v>1.1499999999999999</v>
      </c>
      <c r="M131" s="134">
        <f t="shared" si="33"/>
        <v>1.1499999999999999</v>
      </c>
      <c r="N131" s="134">
        <f t="shared" si="33"/>
        <v>1.1499999999999999</v>
      </c>
      <c r="O131" s="134">
        <f t="shared" si="33"/>
        <v>1.1499999999999999</v>
      </c>
      <c r="P131" s="134">
        <f t="shared" si="33"/>
        <v>1.1499999999999999</v>
      </c>
      <c r="Q131" s="134">
        <f t="shared" si="33"/>
        <v>1.1499999999999999</v>
      </c>
      <c r="R131" s="134">
        <f t="shared" si="33"/>
        <v>1.1499999999999999</v>
      </c>
      <c r="S131" s="134">
        <f t="shared" si="34"/>
        <v>1.1499999999999999</v>
      </c>
      <c r="T131" s="134">
        <f t="shared" si="34"/>
        <v>1.1499999999999999</v>
      </c>
      <c r="U131" s="134">
        <f t="shared" si="34"/>
        <v>1.1499999999999999</v>
      </c>
      <c r="V131" s="134">
        <f t="shared" si="34"/>
        <v>1.1499999999999999</v>
      </c>
      <c r="W131" s="134">
        <f t="shared" si="34"/>
        <v>1.1499999999999999</v>
      </c>
      <c r="X131" s="134">
        <f t="shared" si="34"/>
        <v>1.1499999999999999</v>
      </c>
      <c r="Y131" s="134">
        <f t="shared" si="34"/>
        <v>1.1499999999999999</v>
      </c>
      <c r="Z131" s="134">
        <f t="shared" si="34"/>
        <v>1.1499999999999999</v>
      </c>
      <c r="AA131" s="134">
        <f t="shared" si="34"/>
        <v>1.1499999999999999</v>
      </c>
      <c r="AB131" s="134">
        <f t="shared" si="34"/>
        <v>1.1499999999999999</v>
      </c>
      <c r="AC131" s="134">
        <f t="shared" si="34"/>
        <v>1.1499999999999999</v>
      </c>
      <c r="AD131" s="134">
        <f t="shared" si="34"/>
        <v>1.1499999999999999</v>
      </c>
      <c r="AE131" s="134">
        <f t="shared" si="34"/>
        <v>1.1499999999999999</v>
      </c>
      <c r="AF131" s="134">
        <f t="shared" si="34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3"/>
        <v>2.133</v>
      </c>
      <c r="D132" s="134">
        <f t="shared" si="33"/>
        <v>2.133</v>
      </c>
      <c r="E132" s="134">
        <f t="shared" si="33"/>
        <v>2.133</v>
      </c>
      <c r="F132" s="134">
        <f t="shared" si="33"/>
        <v>2.133</v>
      </c>
      <c r="G132" s="134">
        <f t="shared" si="33"/>
        <v>2.133</v>
      </c>
      <c r="H132" s="134">
        <f t="shared" si="33"/>
        <v>2.133</v>
      </c>
      <c r="I132" s="134">
        <f t="shared" si="33"/>
        <v>2.133</v>
      </c>
      <c r="J132" s="134">
        <f t="shared" si="33"/>
        <v>2.133</v>
      </c>
      <c r="K132" s="134">
        <f t="shared" si="33"/>
        <v>2.133</v>
      </c>
      <c r="L132" s="134">
        <f t="shared" si="33"/>
        <v>2.133</v>
      </c>
      <c r="M132" s="134">
        <f t="shared" si="33"/>
        <v>2.133</v>
      </c>
      <c r="N132" s="134">
        <f t="shared" si="33"/>
        <v>2.133</v>
      </c>
      <c r="O132" s="134">
        <f t="shared" si="33"/>
        <v>2.133</v>
      </c>
      <c r="P132" s="134">
        <f t="shared" si="33"/>
        <v>2.133</v>
      </c>
      <c r="Q132" s="134">
        <f t="shared" si="33"/>
        <v>2.133</v>
      </c>
      <c r="R132" s="134">
        <f t="shared" si="33"/>
        <v>2.133</v>
      </c>
      <c r="S132" s="134">
        <f t="shared" si="34"/>
        <v>2.133</v>
      </c>
      <c r="T132" s="134">
        <f t="shared" si="34"/>
        <v>2.133</v>
      </c>
      <c r="U132" s="134">
        <f t="shared" si="34"/>
        <v>2.133</v>
      </c>
      <c r="V132" s="134">
        <f t="shared" si="34"/>
        <v>2.133</v>
      </c>
      <c r="W132" s="134">
        <f t="shared" si="34"/>
        <v>2.133</v>
      </c>
      <c r="X132" s="134">
        <f t="shared" si="34"/>
        <v>2.133</v>
      </c>
      <c r="Y132" s="134">
        <f t="shared" si="34"/>
        <v>2.133</v>
      </c>
      <c r="Z132" s="134">
        <f t="shared" si="34"/>
        <v>2.133</v>
      </c>
      <c r="AA132" s="134">
        <f t="shared" si="34"/>
        <v>2.133</v>
      </c>
      <c r="AB132" s="134">
        <f t="shared" si="34"/>
        <v>2.133</v>
      </c>
      <c r="AC132" s="134">
        <f t="shared" si="34"/>
        <v>2.133</v>
      </c>
      <c r="AD132" s="134">
        <f t="shared" si="34"/>
        <v>2.133</v>
      </c>
      <c r="AE132" s="134">
        <f t="shared" si="34"/>
        <v>2.133</v>
      </c>
      <c r="AF132" s="134">
        <f t="shared" si="34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3"/>
        <v>2.09</v>
      </c>
      <c r="D133" s="134">
        <f t="shared" si="33"/>
        <v>2.09</v>
      </c>
      <c r="E133" s="134">
        <f t="shared" si="33"/>
        <v>2.09</v>
      </c>
      <c r="F133" s="134">
        <f t="shared" si="33"/>
        <v>2.09</v>
      </c>
      <c r="G133" s="134">
        <f t="shared" si="33"/>
        <v>2.09</v>
      </c>
      <c r="H133" s="134">
        <f t="shared" si="33"/>
        <v>2.09</v>
      </c>
      <c r="I133" s="134">
        <f t="shared" si="33"/>
        <v>2.09</v>
      </c>
      <c r="J133" s="134">
        <f t="shared" si="33"/>
        <v>2.09</v>
      </c>
      <c r="K133" s="134">
        <f t="shared" si="33"/>
        <v>2.09</v>
      </c>
      <c r="L133" s="134">
        <f t="shared" si="33"/>
        <v>2.09</v>
      </c>
      <c r="M133" s="134">
        <f t="shared" si="33"/>
        <v>2.09</v>
      </c>
      <c r="N133" s="134">
        <f t="shared" si="33"/>
        <v>2.09</v>
      </c>
      <c r="O133" s="134">
        <f t="shared" si="33"/>
        <v>2.09</v>
      </c>
      <c r="P133" s="134">
        <f t="shared" si="33"/>
        <v>2.09</v>
      </c>
      <c r="Q133" s="134">
        <f t="shared" si="33"/>
        <v>2.09</v>
      </c>
      <c r="R133" s="134">
        <f t="shared" si="33"/>
        <v>2.09</v>
      </c>
      <c r="S133" s="134">
        <f t="shared" si="34"/>
        <v>2.09</v>
      </c>
      <c r="T133" s="134">
        <f t="shared" si="34"/>
        <v>2.09</v>
      </c>
      <c r="U133" s="134">
        <f t="shared" si="34"/>
        <v>2.09</v>
      </c>
      <c r="V133" s="134">
        <f t="shared" si="34"/>
        <v>2.09</v>
      </c>
      <c r="W133" s="134">
        <f t="shared" si="34"/>
        <v>2.09</v>
      </c>
      <c r="X133" s="134">
        <f t="shared" si="34"/>
        <v>2.09</v>
      </c>
      <c r="Y133" s="134">
        <f t="shared" si="34"/>
        <v>2.09</v>
      </c>
      <c r="Z133" s="134">
        <f t="shared" si="34"/>
        <v>2.09</v>
      </c>
      <c r="AA133" s="134">
        <f t="shared" si="34"/>
        <v>2.09</v>
      </c>
      <c r="AB133" s="134">
        <f t="shared" si="34"/>
        <v>2.09</v>
      </c>
      <c r="AC133" s="134">
        <f t="shared" si="34"/>
        <v>2.09</v>
      </c>
      <c r="AD133" s="134">
        <f t="shared" si="34"/>
        <v>2.09</v>
      </c>
      <c r="AE133" s="134">
        <f t="shared" si="34"/>
        <v>2.09</v>
      </c>
      <c r="AF133" s="134">
        <f t="shared" si="34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3"/>
        <v>1.1399999999999999</v>
      </c>
      <c r="D134" s="134">
        <f t="shared" si="33"/>
        <v>1.1399999999999999</v>
      </c>
      <c r="E134" s="134">
        <f t="shared" si="33"/>
        <v>1.1399999999999999</v>
      </c>
      <c r="F134" s="134">
        <f t="shared" si="33"/>
        <v>1.1399999999999999</v>
      </c>
      <c r="G134" s="134">
        <f t="shared" si="33"/>
        <v>1.1399999999999999</v>
      </c>
      <c r="H134" s="134">
        <f t="shared" si="33"/>
        <v>1.1399999999999999</v>
      </c>
      <c r="I134" s="134">
        <f t="shared" si="33"/>
        <v>1.1399999999999999</v>
      </c>
      <c r="J134" s="134">
        <f t="shared" si="33"/>
        <v>1.1399999999999999</v>
      </c>
      <c r="K134" s="134">
        <f t="shared" si="33"/>
        <v>1.1399999999999999</v>
      </c>
      <c r="L134" s="134">
        <f t="shared" si="33"/>
        <v>1.1399999999999999</v>
      </c>
      <c r="M134" s="134">
        <f t="shared" si="33"/>
        <v>1.1399999999999999</v>
      </c>
      <c r="N134" s="134">
        <f t="shared" si="33"/>
        <v>1.1399999999999999</v>
      </c>
      <c r="O134" s="134">
        <f t="shared" si="33"/>
        <v>1.1399999999999999</v>
      </c>
      <c r="P134" s="134">
        <f t="shared" si="33"/>
        <v>1.1399999999999999</v>
      </c>
      <c r="Q134" s="134">
        <f t="shared" si="33"/>
        <v>1.1399999999999999</v>
      </c>
      <c r="R134" s="134">
        <f t="shared" si="33"/>
        <v>1.1399999999999999</v>
      </c>
      <c r="S134" s="134">
        <f t="shared" si="34"/>
        <v>1.1399999999999999</v>
      </c>
      <c r="T134" s="134">
        <f t="shared" si="34"/>
        <v>1.1399999999999999</v>
      </c>
      <c r="U134" s="134">
        <f t="shared" si="34"/>
        <v>1.1399999999999999</v>
      </c>
      <c r="V134" s="134">
        <f t="shared" si="34"/>
        <v>1.1399999999999999</v>
      </c>
      <c r="W134" s="134">
        <f t="shared" si="34"/>
        <v>1.1399999999999999</v>
      </c>
      <c r="X134" s="134">
        <f t="shared" si="34"/>
        <v>1.1399999999999999</v>
      </c>
      <c r="Y134" s="134">
        <f t="shared" si="34"/>
        <v>1.1399999999999999</v>
      </c>
      <c r="Z134" s="134">
        <f t="shared" si="34"/>
        <v>1.1399999999999999</v>
      </c>
      <c r="AA134" s="134">
        <f t="shared" si="34"/>
        <v>1.1399999999999999</v>
      </c>
      <c r="AB134" s="134">
        <f t="shared" si="34"/>
        <v>1.1399999999999999</v>
      </c>
      <c r="AC134" s="134">
        <f t="shared" si="34"/>
        <v>1.1399999999999999</v>
      </c>
      <c r="AD134" s="134">
        <f t="shared" si="34"/>
        <v>1.1399999999999999</v>
      </c>
      <c r="AE134" s="134">
        <f t="shared" si="34"/>
        <v>1.1399999999999999</v>
      </c>
      <c r="AF134" s="134">
        <f t="shared" si="34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3"/>
        <v>0.82</v>
      </c>
      <c r="D135" s="134">
        <f t="shared" si="33"/>
        <v>0.82</v>
      </c>
      <c r="E135" s="134">
        <f t="shared" si="33"/>
        <v>0.82</v>
      </c>
      <c r="F135" s="134">
        <f t="shared" si="33"/>
        <v>0.82</v>
      </c>
      <c r="G135" s="134">
        <f t="shared" si="33"/>
        <v>0.82</v>
      </c>
      <c r="H135" s="134">
        <f t="shared" si="33"/>
        <v>0.82</v>
      </c>
      <c r="I135" s="134">
        <f t="shared" si="33"/>
        <v>0.82</v>
      </c>
      <c r="J135" s="134">
        <f t="shared" si="33"/>
        <v>0.82</v>
      </c>
      <c r="K135" s="134">
        <f t="shared" si="33"/>
        <v>0.82</v>
      </c>
      <c r="L135" s="134">
        <f t="shared" si="33"/>
        <v>0.82</v>
      </c>
      <c r="M135" s="134">
        <f t="shared" si="33"/>
        <v>0.82</v>
      </c>
      <c r="N135" s="134">
        <f t="shared" si="33"/>
        <v>0.82</v>
      </c>
      <c r="O135" s="134">
        <f t="shared" si="33"/>
        <v>0.82</v>
      </c>
      <c r="P135" s="134">
        <f t="shared" si="33"/>
        <v>0.82</v>
      </c>
      <c r="Q135" s="134">
        <f t="shared" si="33"/>
        <v>0.82</v>
      </c>
      <c r="R135" s="134">
        <f t="shared" si="33"/>
        <v>0.82</v>
      </c>
      <c r="S135" s="134">
        <f t="shared" si="34"/>
        <v>0.82</v>
      </c>
      <c r="T135" s="134">
        <f t="shared" si="34"/>
        <v>0.82</v>
      </c>
      <c r="U135" s="134">
        <f t="shared" si="34"/>
        <v>0.82</v>
      </c>
      <c r="V135" s="134">
        <f t="shared" si="34"/>
        <v>0.82</v>
      </c>
      <c r="W135" s="134">
        <f t="shared" si="34"/>
        <v>0.82</v>
      </c>
      <c r="X135" s="134">
        <f t="shared" si="34"/>
        <v>0.82</v>
      </c>
      <c r="Y135" s="134">
        <f t="shared" si="34"/>
        <v>0.82</v>
      </c>
      <c r="Z135" s="134">
        <f t="shared" si="34"/>
        <v>0.82</v>
      </c>
      <c r="AA135" s="134">
        <f t="shared" si="34"/>
        <v>0.82</v>
      </c>
      <c r="AB135" s="134">
        <f t="shared" si="34"/>
        <v>0.82</v>
      </c>
      <c r="AC135" s="134">
        <f t="shared" si="34"/>
        <v>0.82</v>
      </c>
      <c r="AD135" s="134">
        <f t="shared" si="34"/>
        <v>0.82</v>
      </c>
      <c r="AE135" s="134">
        <f t="shared" si="34"/>
        <v>0.82</v>
      </c>
      <c r="AF135" s="134">
        <f t="shared" si="34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5">B137</f>
        <v>2</v>
      </c>
      <c r="D137" s="134">
        <f t="shared" si="35"/>
        <v>2</v>
      </c>
      <c r="E137" s="134">
        <f t="shared" si="35"/>
        <v>2</v>
      </c>
      <c r="F137" s="134">
        <f t="shared" si="35"/>
        <v>2</v>
      </c>
      <c r="G137" s="134">
        <f t="shared" si="35"/>
        <v>2</v>
      </c>
      <c r="H137" s="134">
        <f t="shared" si="35"/>
        <v>2</v>
      </c>
      <c r="I137" s="134">
        <f t="shared" si="35"/>
        <v>2</v>
      </c>
      <c r="J137" s="134">
        <f t="shared" si="35"/>
        <v>2</v>
      </c>
      <c r="K137" s="134">
        <f t="shared" si="35"/>
        <v>2</v>
      </c>
      <c r="L137" s="134">
        <f t="shared" si="35"/>
        <v>2</v>
      </c>
      <c r="M137" s="134">
        <f t="shared" si="35"/>
        <v>2</v>
      </c>
      <c r="N137" s="134">
        <f t="shared" si="35"/>
        <v>2</v>
      </c>
      <c r="O137" s="134">
        <f t="shared" si="35"/>
        <v>2</v>
      </c>
      <c r="P137" s="134">
        <f t="shared" si="35"/>
        <v>2</v>
      </c>
      <c r="Q137" s="134">
        <f t="shared" si="35"/>
        <v>2</v>
      </c>
      <c r="R137" s="134">
        <f t="shared" si="35"/>
        <v>2</v>
      </c>
      <c r="S137" s="134">
        <f t="shared" ref="S137:AF143" si="36">R137</f>
        <v>2</v>
      </c>
      <c r="T137" s="134">
        <f t="shared" si="36"/>
        <v>2</v>
      </c>
      <c r="U137" s="134">
        <f t="shared" si="36"/>
        <v>2</v>
      </c>
      <c r="V137" s="134">
        <f t="shared" si="36"/>
        <v>2</v>
      </c>
      <c r="W137" s="134">
        <f t="shared" si="36"/>
        <v>2</v>
      </c>
      <c r="X137" s="134">
        <f t="shared" si="36"/>
        <v>2</v>
      </c>
      <c r="Y137" s="134">
        <f t="shared" si="36"/>
        <v>2</v>
      </c>
      <c r="Z137" s="134">
        <f t="shared" si="36"/>
        <v>2</v>
      </c>
      <c r="AA137" s="134">
        <f t="shared" si="36"/>
        <v>2</v>
      </c>
      <c r="AB137" s="134">
        <f t="shared" si="36"/>
        <v>2</v>
      </c>
      <c r="AC137" s="134">
        <f t="shared" si="36"/>
        <v>2</v>
      </c>
      <c r="AD137" s="134">
        <f t="shared" si="36"/>
        <v>2</v>
      </c>
      <c r="AE137" s="134">
        <f t="shared" si="36"/>
        <v>2</v>
      </c>
      <c r="AF137" s="134">
        <f t="shared" si="36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5"/>
        <v>5.61</v>
      </c>
      <c r="D138" s="134">
        <f t="shared" si="35"/>
        <v>5.61</v>
      </c>
      <c r="E138" s="134">
        <f t="shared" si="35"/>
        <v>5.61</v>
      </c>
      <c r="F138" s="134">
        <f t="shared" si="35"/>
        <v>5.61</v>
      </c>
      <c r="G138" s="134">
        <f t="shared" si="35"/>
        <v>5.61</v>
      </c>
      <c r="H138" s="134">
        <f t="shared" si="35"/>
        <v>5.61</v>
      </c>
      <c r="I138" s="134">
        <f t="shared" si="35"/>
        <v>5.61</v>
      </c>
      <c r="J138" s="134">
        <f t="shared" si="35"/>
        <v>5.61</v>
      </c>
      <c r="K138" s="134">
        <f t="shared" si="35"/>
        <v>5.61</v>
      </c>
      <c r="L138" s="134">
        <f t="shared" si="35"/>
        <v>5.61</v>
      </c>
      <c r="M138" s="134">
        <f t="shared" si="35"/>
        <v>5.61</v>
      </c>
      <c r="N138" s="134">
        <f t="shared" si="35"/>
        <v>5.61</v>
      </c>
      <c r="O138" s="134">
        <f t="shared" si="35"/>
        <v>5.61</v>
      </c>
      <c r="P138" s="134">
        <f t="shared" si="35"/>
        <v>5.61</v>
      </c>
      <c r="Q138" s="134">
        <f t="shared" si="35"/>
        <v>5.61</v>
      </c>
      <c r="R138" s="134">
        <f t="shared" si="35"/>
        <v>5.61</v>
      </c>
      <c r="S138" s="134">
        <f t="shared" si="36"/>
        <v>5.61</v>
      </c>
      <c r="T138" s="134">
        <f t="shared" si="36"/>
        <v>5.61</v>
      </c>
      <c r="U138" s="134">
        <f t="shared" si="36"/>
        <v>5.61</v>
      </c>
      <c r="V138" s="134">
        <f t="shared" si="36"/>
        <v>5.61</v>
      </c>
      <c r="W138" s="134">
        <f t="shared" si="36"/>
        <v>5.61</v>
      </c>
      <c r="X138" s="134">
        <f t="shared" si="36"/>
        <v>5.61</v>
      </c>
      <c r="Y138" s="134">
        <f t="shared" si="36"/>
        <v>5.61</v>
      </c>
      <c r="Z138" s="134">
        <f t="shared" si="36"/>
        <v>5.61</v>
      </c>
      <c r="AA138" s="134">
        <f t="shared" si="36"/>
        <v>5.61</v>
      </c>
      <c r="AB138" s="134">
        <f t="shared" si="36"/>
        <v>5.61</v>
      </c>
      <c r="AC138" s="134">
        <f t="shared" si="36"/>
        <v>5.61</v>
      </c>
      <c r="AD138" s="134">
        <f t="shared" si="36"/>
        <v>5.61</v>
      </c>
      <c r="AE138" s="134">
        <f t="shared" si="36"/>
        <v>5.61</v>
      </c>
      <c r="AF138" s="134">
        <f t="shared" si="36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5"/>
        <v>1.25</v>
      </c>
      <c r="D139" s="134">
        <f t="shared" si="35"/>
        <v>1.25</v>
      </c>
      <c r="E139" s="134">
        <f t="shared" si="35"/>
        <v>1.25</v>
      </c>
      <c r="F139" s="134">
        <f t="shared" si="35"/>
        <v>1.25</v>
      </c>
      <c r="G139" s="134">
        <f t="shared" si="35"/>
        <v>1.25</v>
      </c>
      <c r="H139" s="134">
        <f t="shared" si="35"/>
        <v>1.25</v>
      </c>
      <c r="I139" s="134">
        <f t="shared" si="35"/>
        <v>1.25</v>
      </c>
      <c r="J139" s="134">
        <f t="shared" si="35"/>
        <v>1.25</v>
      </c>
      <c r="K139" s="134">
        <f t="shared" si="35"/>
        <v>1.25</v>
      </c>
      <c r="L139" s="134">
        <f t="shared" si="35"/>
        <v>1.25</v>
      </c>
      <c r="M139" s="134">
        <f t="shared" si="35"/>
        <v>1.25</v>
      </c>
      <c r="N139" s="134">
        <f t="shared" si="35"/>
        <v>1.25</v>
      </c>
      <c r="O139" s="134">
        <f t="shared" si="35"/>
        <v>1.25</v>
      </c>
      <c r="P139" s="134">
        <f t="shared" si="35"/>
        <v>1.25</v>
      </c>
      <c r="Q139" s="134">
        <f t="shared" si="35"/>
        <v>1.25</v>
      </c>
      <c r="R139" s="134">
        <f t="shared" si="35"/>
        <v>1.25</v>
      </c>
      <c r="S139" s="134">
        <f t="shared" si="36"/>
        <v>1.25</v>
      </c>
      <c r="T139" s="134">
        <f t="shared" si="36"/>
        <v>1.25</v>
      </c>
      <c r="U139" s="134">
        <f t="shared" si="36"/>
        <v>1.25</v>
      </c>
      <c r="V139" s="134">
        <f t="shared" si="36"/>
        <v>1.25</v>
      </c>
      <c r="W139" s="134">
        <f t="shared" si="36"/>
        <v>1.25</v>
      </c>
      <c r="X139" s="134">
        <f t="shared" si="36"/>
        <v>1.25</v>
      </c>
      <c r="Y139" s="134">
        <f t="shared" si="36"/>
        <v>1.25</v>
      </c>
      <c r="Z139" s="134">
        <f t="shared" si="36"/>
        <v>1.25</v>
      </c>
      <c r="AA139" s="134">
        <f t="shared" si="36"/>
        <v>1.25</v>
      </c>
      <c r="AB139" s="134">
        <f t="shared" si="36"/>
        <v>1.25</v>
      </c>
      <c r="AC139" s="134">
        <f t="shared" si="36"/>
        <v>1.25</v>
      </c>
      <c r="AD139" s="134">
        <f t="shared" si="36"/>
        <v>1.25</v>
      </c>
      <c r="AE139" s="134">
        <f t="shared" si="36"/>
        <v>1.25</v>
      </c>
      <c r="AF139" s="134">
        <f t="shared" si="36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5"/>
        <v>1.25</v>
      </c>
      <c r="D140" s="134">
        <f t="shared" si="35"/>
        <v>1.25</v>
      </c>
      <c r="E140" s="134">
        <f t="shared" si="35"/>
        <v>1.25</v>
      </c>
      <c r="F140" s="134">
        <f t="shared" si="35"/>
        <v>1.25</v>
      </c>
      <c r="G140" s="134">
        <f t="shared" si="35"/>
        <v>1.25</v>
      </c>
      <c r="H140" s="134">
        <f t="shared" si="35"/>
        <v>1.25</v>
      </c>
      <c r="I140" s="134">
        <f t="shared" si="35"/>
        <v>1.25</v>
      </c>
      <c r="J140" s="134">
        <f t="shared" si="35"/>
        <v>1.25</v>
      </c>
      <c r="K140" s="134">
        <f t="shared" si="35"/>
        <v>1.25</v>
      </c>
      <c r="L140" s="134">
        <f t="shared" si="35"/>
        <v>1.25</v>
      </c>
      <c r="M140" s="134">
        <f t="shared" si="35"/>
        <v>1.25</v>
      </c>
      <c r="N140" s="134">
        <f t="shared" si="35"/>
        <v>1.25</v>
      </c>
      <c r="O140" s="134">
        <f t="shared" si="35"/>
        <v>1.25</v>
      </c>
      <c r="P140" s="134">
        <f t="shared" si="35"/>
        <v>1.25</v>
      </c>
      <c r="Q140" s="134">
        <f t="shared" si="35"/>
        <v>1.25</v>
      </c>
      <c r="R140" s="134">
        <f t="shared" si="35"/>
        <v>1.25</v>
      </c>
      <c r="S140" s="134">
        <f t="shared" si="36"/>
        <v>1.25</v>
      </c>
      <c r="T140" s="134">
        <f t="shared" si="36"/>
        <v>1.25</v>
      </c>
      <c r="U140" s="134">
        <f t="shared" si="36"/>
        <v>1.25</v>
      </c>
      <c r="V140" s="134">
        <f t="shared" si="36"/>
        <v>1.25</v>
      </c>
      <c r="W140" s="134">
        <f t="shared" si="36"/>
        <v>1.25</v>
      </c>
      <c r="X140" s="134">
        <f t="shared" si="36"/>
        <v>1.25</v>
      </c>
      <c r="Y140" s="134">
        <f t="shared" si="36"/>
        <v>1.25</v>
      </c>
      <c r="Z140" s="134">
        <f t="shared" si="36"/>
        <v>1.25</v>
      </c>
      <c r="AA140" s="134">
        <f t="shared" si="36"/>
        <v>1.25</v>
      </c>
      <c r="AB140" s="134">
        <f t="shared" si="36"/>
        <v>1.25</v>
      </c>
      <c r="AC140" s="134">
        <f t="shared" si="36"/>
        <v>1.25</v>
      </c>
      <c r="AD140" s="134">
        <f t="shared" si="36"/>
        <v>1.25</v>
      </c>
      <c r="AE140" s="134">
        <f t="shared" si="36"/>
        <v>1.25</v>
      </c>
      <c r="AF140" s="134">
        <f t="shared" si="36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5"/>
        <v>1.46</v>
      </c>
      <c r="D141" s="134">
        <f t="shared" si="35"/>
        <v>1.46</v>
      </c>
      <c r="E141" s="134">
        <f t="shared" si="35"/>
        <v>1.46</v>
      </c>
      <c r="F141" s="134">
        <f t="shared" si="35"/>
        <v>1.46</v>
      </c>
      <c r="G141" s="134">
        <f t="shared" si="35"/>
        <v>1.46</v>
      </c>
      <c r="H141" s="134">
        <f t="shared" si="35"/>
        <v>1.46</v>
      </c>
      <c r="I141" s="134">
        <f t="shared" si="35"/>
        <v>1.46</v>
      </c>
      <c r="J141" s="134">
        <f t="shared" si="35"/>
        <v>1.46</v>
      </c>
      <c r="K141" s="134">
        <f t="shared" si="35"/>
        <v>1.46</v>
      </c>
      <c r="L141" s="134">
        <f t="shared" si="35"/>
        <v>1.46</v>
      </c>
      <c r="M141" s="134">
        <f t="shared" si="35"/>
        <v>1.46</v>
      </c>
      <c r="N141" s="134">
        <f t="shared" si="35"/>
        <v>1.46</v>
      </c>
      <c r="O141" s="134">
        <f t="shared" si="35"/>
        <v>1.46</v>
      </c>
      <c r="P141" s="134">
        <f t="shared" si="35"/>
        <v>1.46</v>
      </c>
      <c r="Q141" s="134">
        <f t="shared" si="35"/>
        <v>1.46</v>
      </c>
      <c r="R141" s="134">
        <f t="shared" si="35"/>
        <v>1.46</v>
      </c>
      <c r="S141" s="134">
        <f t="shared" si="36"/>
        <v>1.46</v>
      </c>
      <c r="T141" s="134">
        <f t="shared" si="36"/>
        <v>1.46</v>
      </c>
      <c r="U141" s="134">
        <f t="shared" si="36"/>
        <v>1.46</v>
      </c>
      <c r="V141" s="134">
        <f t="shared" si="36"/>
        <v>1.46</v>
      </c>
      <c r="W141" s="134">
        <f t="shared" si="36"/>
        <v>1.46</v>
      </c>
      <c r="X141" s="134">
        <f t="shared" si="36"/>
        <v>1.46</v>
      </c>
      <c r="Y141" s="134">
        <f t="shared" si="36"/>
        <v>1.46</v>
      </c>
      <c r="Z141" s="134">
        <f t="shared" si="36"/>
        <v>1.46</v>
      </c>
      <c r="AA141" s="134">
        <f t="shared" si="36"/>
        <v>1.46</v>
      </c>
      <c r="AB141" s="134">
        <f t="shared" si="36"/>
        <v>1.46</v>
      </c>
      <c r="AC141" s="134">
        <f t="shared" si="36"/>
        <v>1.46</v>
      </c>
      <c r="AD141" s="134">
        <f t="shared" si="36"/>
        <v>1.46</v>
      </c>
      <c r="AE141" s="134">
        <f t="shared" si="36"/>
        <v>1.46</v>
      </c>
      <c r="AF141" s="134">
        <f t="shared" si="36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5"/>
        <v>3</v>
      </c>
      <c r="D142" s="134">
        <f t="shared" si="35"/>
        <v>3</v>
      </c>
      <c r="E142" s="134">
        <f t="shared" si="35"/>
        <v>3</v>
      </c>
      <c r="F142" s="134">
        <f t="shared" si="35"/>
        <v>3</v>
      </c>
      <c r="G142" s="134">
        <f t="shared" si="35"/>
        <v>3</v>
      </c>
      <c r="H142" s="134">
        <f t="shared" si="35"/>
        <v>3</v>
      </c>
      <c r="I142" s="134">
        <f t="shared" si="35"/>
        <v>3</v>
      </c>
      <c r="J142" s="134">
        <f t="shared" si="35"/>
        <v>3</v>
      </c>
      <c r="K142" s="134">
        <f t="shared" si="35"/>
        <v>3</v>
      </c>
      <c r="L142" s="134">
        <f t="shared" si="35"/>
        <v>3</v>
      </c>
      <c r="M142" s="134">
        <f t="shared" si="35"/>
        <v>3</v>
      </c>
      <c r="N142" s="134">
        <f t="shared" si="35"/>
        <v>3</v>
      </c>
      <c r="O142" s="134">
        <f t="shared" si="35"/>
        <v>3</v>
      </c>
      <c r="P142" s="134">
        <f t="shared" si="35"/>
        <v>3</v>
      </c>
      <c r="Q142" s="134">
        <f t="shared" si="35"/>
        <v>3</v>
      </c>
      <c r="R142" s="134">
        <f t="shared" si="35"/>
        <v>3</v>
      </c>
      <c r="S142" s="134">
        <f t="shared" si="36"/>
        <v>3</v>
      </c>
      <c r="T142" s="134">
        <f t="shared" si="36"/>
        <v>3</v>
      </c>
      <c r="U142" s="134">
        <f t="shared" si="36"/>
        <v>3</v>
      </c>
      <c r="V142" s="134">
        <f t="shared" si="36"/>
        <v>3</v>
      </c>
      <c r="W142" s="134">
        <f t="shared" si="36"/>
        <v>3</v>
      </c>
      <c r="X142" s="134">
        <f t="shared" si="36"/>
        <v>3</v>
      </c>
      <c r="Y142" s="134">
        <f t="shared" si="36"/>
        <v>3</v>
      </c>
      <c r="Z142" s="134">
        <f t="shared" si="36"/>
        <v>3</v>
      </c>
      <c r="AA142" s="134">
        <f t="shared" si="36"/>
        <v>3</v>
      </c>
      <c r="AB142" s="134">
        <f t="shared" si="36"/>
        <v>3</v>
      </c>
      <c r="AC142" s="134">
        <f t="shared" si="36"/>
        <v>3</v>
      </c>
      <c r="AD142" s="134">
        <f t="shared" si="36"/>
        <v>3</v>
      </c>
      <c r="AE142" s="134">
        <f t="shared" si="36"/>
        <v>3</v>
      </c>
      <c r="AF142" s="134">
        <f t="shared" si="36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5"/>
        <v>3.3</v>
      </c>
      <c r="D143" s="134">
        <f t="shared" si="35"/>
        <v>3.3</v>
      </c>
      <c r="E143" s="134">
        <f t="shared" si="35"/>
        <v>3.3</v>
      </c>
      <c r="F143" s="134">
        <f t="shared" si="35"/>
        <v>3.3</v>
      </c>
      <c r="G143" s="134">
        <f t="shared" si="35"/>
        <v>3.3</v>
      </c>
      <c r="H143" s="134">
        <f t="shared" si="35"/>
        <v>3.3</v>
      </c>
      <c r="I143" s="134">
        <f t="shared" si="35"/>
        <v>3.3</v>
      </c>
      <c r="J143" s="134">
        <f t="shared" si="35"/>
        <v>3.3</v>
      </c>
      <c r="K143" s="134">
        <f t="shared" si="35"/>
        <v>3.3</v>
      </c>
      <c r="L143" s="134">
        <f t="shared" si="35"/>
        <v>3.3</v>
      </c>
      <c r="M143" s="134">
        <f t="shared" si="35"/>
        <v>3.3</v>
      </c>
      <c r="N143" s="134">
        <f t="shared" si="35"/>
        <v>3.3</v>
      </c>
      <c r="O143" s="134">
        <f t="shared" si="35"/>
        <v>3.3</v>
      </c>
      <c r="P143" s="134">
        <f t="shared" si="35"/>
        <v>3.3</v>
      </c>
      <c r="Q143" s="134">
        <f t="shared" si="35"/>
        <v>3.3</v>
      </c>
      <c r="R143" s="134">
        <f t="shared" si="35"/>
        <v>3.3</v>
      </c>
      <c r="S143" s="134">
        <f t="shared" si="36"/>
        <v>3.3</v>
      </c>
      <c r="T143" s="134">
        <f t="shared" si="36"/>
        <v>3.3</v>
      </c>
      <c r="U143" s="134">
        <f t="shared" si="36"/>
        <v>3.3</v>
      </c>
      <c r="V143" s="134">
        <f t="shared" si="36"/>
        <v>3.3</v>
      </c>
      <c r="W143" s="134">
        <f t="shared" si="36"/>
        <v>3.3</v>
      </c>
      <c r="X143" s="134">
        <f t="shared" si="36"/>
        <v>3.3</v>
      </c>
      <c r="Y143" s="134">
        <f t="shared" si="36"/>
        <v>3.3</v>
      </c>
      <c r="Z143" s="134">
        <f t="shared" si="36"/>
        <v>3.3</v>
      </c>
      <c r="AA143" s="134">
        <f t="shared" si="36"/>
        <v>3.3</v>
      </c>
      <c r="AB143" s="134">
        <f t="shared" si="36"/>
        <v>3.3</v>
      </c>
      <c r="AC143" s="134">
        <f t="shared" si="36"/>
        <v>3.3</v>
      </c>
      <c r="AD143" s="134">
        <f t="shared" si="36"/>
        <v>3.3</v>
      </c>
      <c r="AE143" s="134">
        <f t="shared" si="36"/>
        <v>3.3</v>
      </c>
      <c r="AF143" s="134">
        <f t="shared" si="36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7">B145</f>
        <v>1.76</v>
      </c>
      <c r="D145" s="134">
        <f t="shared" si="37"/>
        <v>1.76</v>
      </c>
      <c r="E145" s="134">
        <f t="shared" si="37"/>
        <v>1.76</v>
      </c>
      <c r="F145" s="134">
        <f t="shared" si="37"/>
        <v>1.76</v>
      </c>
      <c r="G145" s="134">
        <f t="shared" si="37"/>
        <v>1.76</v>
      </c>
      <c r="H145" s="134">
        <f t="shared" si="37"/>
        <v>1.76</v>
      </c>
      <c r="I145" s="134">
        <f t="shared" si="37"/>
        <v>1.76</v>
      </c>
      <c r="J145" s="134">
        <f t="shared" si="37"/>
        <v>1.76</v>
      </c>
      <c r="K145" s="134">
        <f t="shared" si="37"/>
        <v>1.76</v>
      </c>
      <c r="L145" s="134">
        <f t="shared" si="37"/>
        <v>1.76</v>
      </c>
      <c r="M145" s="134">
        <f t="shared" si="37"/>
        <v>1.76</v>
      </c>
      <c r="N145" s="134">
        <f t="shared" si="37"/>
        <v>1.76</v>
      </c>
      <c r="O145" s="134">
        <f t="shared" si="37"/>
        <v>1.76</v>
      </c>
      <c r="P145" s="134">
        <f t="shared" si="37"/>
        <v>1.76</v>
      </c>
      <c r="Q145" s="134">
        <f t="shared" si="37"/>
        <v>1.76</v>
      </c>
      <c r="R145" s="134">
        <f t="shared" si="37"/>
        <v>1.76</v>
      </c>
      <c r="S145" s="134">
        <f t="shared" ref="S145:AF146" si="38">R145</f>
        <v>1.76</v>
      </c>
      <c r="T145" s="134">
        <f t="shared" si="38"/>
        <v>1.76</v>
      </c>
      <c r="U145" s="134">
        <f t="shared" si="38"/>
        <v>1.76</v>
      </c>
      <c r="V145" s="134">
        <f t="shared" si="38"/>
        <v>1.76</v>
      </c>
      <c r="W145" s="134">
        <f t="shared" si="38"/>
        <v>1.76</v>
      </c>
      <c r="X145" s="134">
        <f t="shared" si="38"/>
        <v>1.76</v>
      </c>
      <c r="Y145" s="134">
        <f t="shared" si="38"/>
        <v>1.76</v>
      </c>
      <c r="Z145" s="134">
        <f t="shared" si="38"/>
        <v>1.76</v>
      </c>
      <c r="AA145" s="134">
        <f t="shared" si="38"/>
        <v>1.76</v>
      </c>
      <c r="AB145" s="134">
        <f t="shared" si="38"/>
        <v>1.76</v>
      </c>
      <c r="AC145" s="134">
        <f t="shared" si="38"/>
        <v>1.76</v>
      </c>
      <c r="AD145" s="134">
        <f t="shared" si="38"/>
        <v>1.76</v>
      </c>
      <c r="AE145" s="134">
        <f t="shared" si="38"/>
        <v>1.76</v>
      </c>
      <c r="AF145" s="134">
        <f t="shared" si="38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7"/>
        <v>0</v>
      </c>
      <c r="D146" s="134">
        <f t="shared" si="37"/>
        <v>0</v>
      </c>
      <c r="E146" s="134">
        <f t="shared" si="37"/>
        <v>0</v>
      </c>
      <c r="F146" s="134">
        <f t="shared" si="37"/>
        <v>0</v>
      </c>
      <c r="G146" s="134">
        <f t="shared" si="37"/>
        <v>0</v>
      </c>
      <c r="H146" s="134">
        <f t="shared" si="37"/>
        <v>0</v>
      </c>
      <c r="I146" s="134">
        <f t="shared" si="37"/>
        <v>0</v>
      </c>
      <c r="J146" s="134">
        <f t="shared" si="37"/>
        <v>0</v>
      </c>
      <c r="K146" s="134">
        <f t="shared" si="37"/>
        <v>0</v>
      </c>
      <c r="L146" s="134">
        <f t="shared" si="37"/>
        <v>0</v>
      </c>
      <c r="M146" s="134">
        <f t="shared" si="37"/>
        <v>0</v>
      </c>
      <c r="N146" s="134">
        <f t="shared" si="37"/>
        <v>0</v>
      </c>
      <c r="O146" s="134">
        <f t="shared" si="37"/>
        <v>0</v>
      </c>
      <c r="P146" s="134">
        <f t="shared" si="37"/>
        <v>0</v>
      </c>
      <c r="Q146" s="134">
        <f t="shared" si="37"/>
        <v>0</v>
      </c>
      <c r="R146" s="134">
        <f t="shared" si="37"/>
        <v>0</v>
      </c>
      <c r="S146" s="134">
        <f t="shared" si="38"/>
        <v>0</v>
      </c>
      <c r="T146" s="134">
        <f t="shared" si="38"/>
        <v>0</v>
      </c>
      <c r="U146" s="134">
        <f t="shared" si="38"/>
        <v>0</v>
      </c>
      <c r="V146" s="134">
        <f t="shared" si="38"/>
        <v>0</v>
      </c>
      <c r="W146" s="134">
        <f t="shared" si="38"/>
        <v>0</v>
      </c>
      <c r="X146" s="134">
        <f t="shared" si="38"/>
        <v>0</v>
      </c>
      <c r="Y146" s="134">
        <f t="shared" si="38"/>
        <v>0</v>
      </c>
      <c r="Z146" s="134">
        <f t="shared" si="38"/>
        <v>0</v>
      </c>
      <c r="AA146" s="134">
        <f t="shared" si="38"/>
        <v>0</v>
      </c>
      <c r="AB146" s="134">
        <f t="shared" si="38"/>
        <v>0</v>
      </c>
      <c r="AC146" s="134">
        <f t="shared" si="38"/>
        <v>0</v>
      </c>
      <c r="AD146" s="134">
        <f t="shared" si="38"/>
        <v>0</v>
      </c>
      <c r="AE146" s="134">
        <f t="shared" si="38"/>
        <v>0</v>
      </c>
      <c r="AF146" s="134">
        <f t="shared" si="38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9">B148</f>
        <v>0.1</v>
      </c>
      <c r="D148" s="134">
        <f t="shared" si="39"/>
        <v>0.1</v>
      </c>
      <c r="E148" s="134">
        <f t="shared" si="39"/>
        <v>0.1</v>
      </c>
      <c r="F148" s="134">
        <f t="shared" si="39"/>
        <v>0.1</v>
      </c>
      <c r="G148" s="134">
        <f t="shared" si="39"/>
        <v>0.1</v>
      </c>
      <c r="H148" s="134">
        <f t="shared" si="39"/>
        <v>0.1</v>
      </c>
      <c r="I148" s="134">
        <f t="shared" si="39"/>
        <v>0.1</v>
      </c>
      <c r="J148" s="134">
        <f t="shared" si="39"/>
        <v>0.1</v>
      </c>
      <c r="K148" s="134">
        <f t="shared" si="39"/>
        <v>0.1</v>
      </c>
      <c r="L148" s="134">
        <f t="shared" si="39"/>
        <v>0.1</v>
      </c>
      <c r="M148" s="134">
        <f t="shared" si="39"/>
        <v>0.1</v>
      </c>
      <c r="N148" s="134">
        <f t="shared" si="39"/>
        <v>0.1</v>
      </c>
      <c r="O148" s="134">
        <f t="shared" si="39"/>
        <v>0.1</v>
      </c>
      <c r="P148" s="134">
        <f t="shared" si="39"/>
        <v>0.1</v>
      </c>
      <c r="Q148" s="134">
        <f t="shared" si="39"/>
        <v>0.1</v>
      </c>
      <c r="R148" s="134">
        <f t="shared" si="39"/>
        <v>0.1</v>
      </c>
      <c r="S148" s="134">
        <f t="shared" ref="S148:AF151" si="40">R148</f>
        <v>0.1</v>
      </c>
      <c r="T148" s="134">
        <f t="shared" si="40"/>
        <v>0.1</v>
      </c>
      <c r="U148" s="134">
        <f t="shared" si="40"/>
        <v>0.1</v>
      </c>
      <c r="V148" s="134">
        <f t="shared" si="40"/>
        <v>0.1</v>
      </c>
      <c r="W148" s="134">
        <f t="shared" si="40"/>
        <v>0.1</v>
      </c>
      <c r="X148" s="134">
        <f t="shared" si="40"/>
        <v>0.1</v>
      </c>
      <c r="Y148" s="134">
        <f t="shared" si="40"/>
        <v>0.1</v>
      </c>
      <c r="Z148" s="134">
        <f t="shared" si="40"/>
        <v>0.1</v>
      </c>
      <c r="AA148" s="134">
        <f t="shared" si="40"/>
        <v>0.1</v>
      </c>
      <c r="AB148" s="134">
        <f t="shared" si="40"/>
        <v>0.1</v>
      </c>
      <c r="AC148" s="134">
        <f t="shared" si="40"/>
        <v>0.1</v>
      </c>
      <c r="AD148" s="134">
        <f t="shared" si="40"/>
        <v>0.1</v>
      </c>
      <c r="AE148" s="134">
        <f t="shared" si="40"/>
        <v>0.1</v>
      </c>
      <c r="AF148" s="134">
        <f t="shared" si="40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9"/>
        <v>2.0499999999999998</v>
      </c>
      <c r="D149" s="134">
        <f t="shared" si="39"/>
        <v>2.0499999999999998</v>
      </c>
      <c r="E149" s="134">
        <f t="shared" si="39"/>
        <v>2.0499999999999998</v>
      </c>
      <c r="F149" s="134">
        <f t="shared" si="39"/>
        <v>2.0499999999999998</v>
      </c>
      <c r="G149" s="134">
        <f t="shared" si="39"/>
        <v>2.0499999999999998</v>
      </c>
      <c r="H149" s="134">
        <f t="shared" si="39"/>
        <v>2.0499999999999998</v>
      </c>
      <c r="I149" s="134">
        <f t="shared" si="39"/>
        <v>2.0499999999999998</v>
      </c>
      <c r="J149" s="134">
        <f t="shared" si="39"/>
        <v>2.0499999999999998</v>
      </c>
      <c r="K149" s="134">
        <f t="shared" si="39"/>
        <v>2.0499999999999998</v>
      </c>
      <c r="L149" s="134">
        <f t="shared" si="39"/>
        <v>2.0499999999999998</v>
      </c>
      <c r="M149" s="134">
        <f t="shared" si="39"/>
        <v>2.0499999999999998</v>
      </c>
      <c r="N149" s="134">
        <f t="shared" si="39"/>
        <v>2.0499999999999998</v>
      </c>
      <c r="O149" s="134">
        <f t="shared" si="39"/>
        <v>2.0499999999999998</v>
      </c>
      <c r="P149" s="134">
        <f t="shared" si="39"/>
        <v>2.0499999999999998</v>
      </c>
      <c r="Q149" s="134">
        <f t="shared" si="39"/>
        <v>2.0499999999999998</v>
      </c>
      <c r="R149" s="134">
        <f t="shared" si="39"/>
        <v>2.0499999999999998</v>
      </c>
      <c r="S149" s="134">
        <f t="shared" si="40"/>
        <v>2.0499999999999998</v>
      </c>
      <c r="T149" s="134">
        <f t="shared" si="40"/>
        <v>2.0499999999999998</v>
      </c>
      <c r="U149" s="134">
        <f t="shared" si="40"/>
        <v>2.0499999999999998</v>
      </c>
      <c r="V149" s="134">
        <f t="shared" si="40"/>
        <v>2.0499999999999998</v>
      </c>
      <c r="W149" s="134">
        <f t="shared" si="40"/>
        <v>2.0499999999999998</v>
      </c>
      <c r="X149" s="134">
        <f t="shared" si="40"/>
        <v>2.0499999999999998</v>
      </c>
      <c r="Y149" s="134">
        <f t="shared" si="40"/>
        <v>2.0499999999999998</v>
      </c>
      <c r="Z149" s="134">
        <f t="shared" si="40"/>
        <v>2.0499999999999998</v>
      </c>
      <c r="AA149" s="134">
        <f t="shared" si="40"/>
        <v>2.0499999999999998</v>
      </c>
      <c r="AB149" s="134">
        <f t="shared" si="40"/>
        <v>2.0499999999999998</v>
      </c>
      <c r="AC149" s="134">
        <f t="shared" si="40"/>
        <v>2.0499999999999998</v>
      </c>
      <c r="AD149" s="134">
        <f t="shared" si="40"/>
        <v>2.0499999999999998</v>
      </c>
      <c r="AE149" s="134">
        <f t="shared" si="40"/>
        <v>2.0499999999999998</v>
      </c>
      <c r="AF149" s="134">
        <f t="shared" si="40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9"/>
        <v>2.7</v>
      </c>
      <c r="D150" s="134">
        <f t="shared" si="39"/>
        <v>2.7</v>
      </c>
      <c r="E150" s="134">
        <f t="shared" si="39"/>
        <v>2.7</v>
      </c>
      <c r="F150" s="134">
        <f t="shared" si="39"/>
        <v>2.7</v>
      </c>
      <c r="G150" s="134">
        <f t="shared" si="39"/>
        <v>2.7</v>
      </c>
      <c r="H150" s="134">
        <f t="shared" si="39"/>
        <v>2.7</v>
      </c>
      <c r="I150" s="134">
        <f t="shared" si="39"/>
        <v>2.7</v>
      </c>
      <c r="J150" s="134">
        <f t="shared" si="39"/>
        <v>2.7</v>
      </c>
      <c r="K150" s="134">
        <f t="shared" si="39"/>
        <v>2.7</v>
      </c>
      <c r="L150" s="134">
        <f t="shared" si="39"/>
        <v>2.7</v>
      </c>
      <c r="M150" s="134">
        <f t="shared" si="39"/>
        <v>2.7</v>
      </c>
      <c r="N150" s="134">
        <f t="shared" si="39"/>
        <v>2.7</v>
      </c>
      <c r="O150" s="134">
        <f t="shared" si="39"/>
        <v>2.7</v>
      </c>
      <c r="P150" s="134">
        <f t="shared" si="39"/>
        <v>2.7</v>
      </c>
      <c r="Q150" s="134">
        <f t="shared" si="39"/>
        <v>2.7</v>
      </c>
      <c r="R150" s="134">
        <f t="shared" si="39"/>
        <v>2.7</v>
      </c>
      <c r="S150" s="134">
        <f t="shared" si="40"/>
        <v>2.7</v>
      </c>
      <c r="T150" s="134">
        <f t="shared" si="40"/>
        <v>2.7</v>
      </c>
      <c r="U150" s="134">
        <f t="shared" si="40"/>
        <v>2.7</v>
      </c>
      <c r="V150" s="134">
        <f t="shared" si="40"/>
        <v>2.7</v>
      </c>
      <c r="W150" s="134">
        <f t="shared" si="40"/>
        <v>2.7</v>
      </c>
      <c r="X150" s="134">
        <f t="shared" si="40"/>
        <v>2.7</v>
      </c>
      <c r="Y150" s="134">
        <f t="shared" si="40"/>
        <v>2.7</v>
      </c>
      <c r="Z150" s="134">
        <f t="shared" si="40"/>
        <v>2.7</v>
      </c>
      <c r="AA150" s="134">
        <f t="shared" si="40"/>
        <v>2.7</v>
      </c>
      <c r="AB150" s="134">
        <f t="shared" si="40"/>
        <v>2.7</v>
      </c>
      <c r="AC150" s="134">
        <f t="shared" si="40"/>
        <v>2.7</v>
      </c>
      <c r="AD150" s="134">
        <f t="shared" si="40"/>
        <v>2.7</v>
      </c>
      <c r="AE150" s="134">
        <f t="shared" si="40"/>
        <v>2.7</v>
      </c>
      <c r="AF150" s="134">
        <f t="shared" si="40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9"/>
        <v>2.15</v>
      </c>
      <c r="D151" s="134">
        <f t="shared" si="39"/>
        <v>2.15</v>
      </c>
      <c r="E151" s="134">
        <f t="shared" si="39"/>
        <v>2.15</v>
      </c>
      <c r="F151" s="134">
        <f t="shared" si="39"/>
        <v>2.15</v>
      </c>
      <c r="G151" s="134">
        <f t="shared" si="39"/>
        <v>2.15</v>
      </c>
      <c r="H151" s="134">
        <f t="shared" si="39"/>
        <v>2.15</v>
      </c>
      <c r="I151" s="134">
        <f t="shared" si="39"/>
        <v>2.15</v>
      </c>
      <c r="J151" s="134">
        <f t="shared" si="39"/>
        <v>2.15</v>
      </c>
      <c r="K151" s="134">
        <f t="shared" si="39"/>
        <v>2.15</v>
      </c>
      <c r="L151" s="134">
        <f t="shared" si="39"/>
        <v>2.15</v>
      </c>
      <c r="M151" s="134">
        <f t="shared" si="39"/>
        <v>2.15</v>
      </c>
      <c r="N151" s="134">
        <f t="shared" si="39"/>
        <v>2.15</v>
      </c>
      <c r="O151" s="134">
        <f t="shared" si="39"/>
        <v>2.15</v>
      </c>
      <c r="P151" s="134">
        <f t="shared" si="39"/>
        <v>2.15</v>
      </c>
      <c r="Q151" s="134">
        <f t="shared" si="39"/>
        <v>2.15</v>
      </c>
      <c r="R151" s="134">
        <f t="shared" si="39"/>
        <v>2.15</v>
      </c>
      <c r="S151" s="134">
        <f t="shared" si="40"/>
        <v>2.15</v>
      </c>
      <c r="T151" s="134">
        <f t="shared" si="40"/>
        <v>2.15</v>
      </c>
      <c r="U151" s="134">
        <f t="shared" si="40"/>
        <v>2.15</v>
      </c>
      <c r="V151" s="134">
        <f t="shared" si="40"/>
        <v>2.15</v>
      </c>
      <c r="W151" s="134">
        <f t="shared" si="40"/>
        <v>2.15</v>
      </c>
      <c r="X151" s="134">
        <f t="shared" si="40"/>
        <v>2.15</v>
      </c>
      <c r="Y151" s="134">
        <f t="shared" si="40"/>
        <v>2.15</v>
      </c>
      <c r="Z151" s="134">
        <f t="shared" si="40"/>
        <v>2.15</v>
      </c>
      <c r="AA151" s="134">
        <f t="shared" si="40"/>
        <v>2.15</v>
      </c>
      <c r="AB151" s="134">
        <f t="shared" si="40"/>
        <v>2.15</v>
      </c>
      <c r="AC151" s="134">
        <f t="shared" si="40"/>
        <v>2.15</v>
      </c>
      <c r="AD151" s="134">
        <f t="shared" si="40"/>
        <v>2.15</v>
      </c>
      <c r="AE151" s="134">
        <f t="shared" si="40"/>
        <v>2.15</v>
      </c>
      <c r="AF151" s="134">
        <f t="shared" si="40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1">B153</f>
        <v>0.9</v>
      </c>
      <c r="D153" s="134">
        <f t="shared" si="41"/>
        <v>0.9</v>
      </c>
      <c r="E153" s="134">
        <f t="shared" si="41"/>
        <v>0.9</v>
      </c>
      <c r="F153" s="134">
        <f t="shared" si="41"/>
        <v>0.9</v>
      </c>
      <c r="G153" s="134">
        <f t="shared" si="41"/>
        <v>0.9</v>
      </c>
      <c r="H153" s="134">
        <f t="shared" si="41"/>
        <v>0.9</v>
      </c>
      <c r="I153" s="134">
        <f t="shared" si="41"/>
        <v>0.9</v>
      </c>
      <c r="J153" s="134">
        <f t="shared" si="41"/>
        <v>0.9</v>
      </c>
      <c r="K153" s="134">
        <f t="shared" si="41"/>
        <v>0.9</v>
      </c>
      <c r="L153" s="134">
        <f t="shared" si="41"/>
        <v>0.9</v>
      </c>
      <c r="M153" s="134">
        <f t="shared" si="41"/>
        <v>0.9</v>
      </c>
      <c r="N153" s="134">
        <f t="shared" si="41"/>
        <v>0.9</v>
      </c>
      <c r="O153" s="134">
        <f t="shared" si="41"/>
        <v>0.9</v>
      </c>
      <c r="P153" s="134">
        <f t="shared" si="41"/>
        <v>0.9</v>
      </c>
      <c r="Q153" s="134">
        <f t="shared" si="41"/>
        <v>0.9</v>
      </c>
      <c r="R153" s="134">
        <f t="shared" si="41"/>
        <v>0.9</v>
      </c>
      <c r="S153" s="134">
        <f t="shared" ref="R153:AF165" si="42">R153</f>
        <v>0.9</v>
      </c>
      <c r="T153" s="134">
        <f t="shared" si="42"/>
        <v>0.9</v>
      </c>
      <c r="U153" s="134">
        <f t="shared" si="42"/>
        <v>0.9</v>
      </c>
      <c r="V153" s="134">
        <f t="shared" si="42"/>
        <v>0.9</v>
      </c>
      <c r="W153" s="134">
        <f t="shared" si="42"/>
        <v>0.9</v>
      </c>
      <c r="X153" s="134">
        <f t="shared" si="42"/>
        <v>0.9</v>
      </c>
      <c r="Y153" s="134">
        <f t="shared" si="42"/>
        <v>0.9</v>
      </c>
      <c r="Z153" s="134">
        <f t="shared" si="42"/>
        <v>0.9</v>
      </c>
      <c r="AA153" s="134">
        <f t="shared" si="42"/>
        <v>0.9</v>
      </c>
      <c r="AB153" s="134">
        <f t="shared" si="42"/>
        <v>0.9</v>
      </c>
      <c r="AC153" s="134">
        <f t="shared" si="42"/>
        <v>0.9</v>
      </c>
      <c r="AD153" s="134">
        <f t="shared" si="42"/>
        <v>0.9</v>
      </c>
      <c r="AE153" s="134">
        <f t="shared" si="42"/>
        <v>0.9</v>
      </c>
      <c r="AF153" s="134">
        <f t="shared" si="42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1"/>
        <v>1.08</v>
      </c>
      <c r="D154" s="134">
        <f t="shared" si="41"/>
        <v>1.08</v>
      </c>
      <c r="E154" s="134">
        <f t="shared" si="41"/>
        <v>1.08</v>
      </c>
      <c r="F154" s="134">
        <f t="shared" si="41"/>
        <v>1.08</v>
      </c>
      <c r="G154" s="134">
        <f t="shared" si="41"/>
        <v>1.08</v>
      </c>
      <c r="H154" s="134">
        <f t="shared" si="41"/>
        <v>1.08</v>
      </c>
      <c r="I154" s="134">
        <f t="shared" si="41"/>
        <v>1.08</v>
      </c>
      <c r="J154" s="134">
        <f t="shared" si="41"/>
        <v>1.08</v>
      </c>
      <c r="K154" s="134">
        <f t="shared" si="41"/>
        <v>1.08</v>
      </c>
      <c r="L154" s="134">
        <f t="shared" si="41"/>
        <v>1.08</v>
      </c>
      <c r="M154" s="134">
        <f t="shared" si="41"/>
        <v>1.08</v>
      </c>
      <c r="N154" s="134">
        <f t="shared" si="41"/>
        <v>1.08</v>
      </c>
      <c r="O154" s="134">
        <f t="shared" si="41"/>
        <v>1.08</v>
      </c>
      <c r="P154" s="134">
        <f t="shared" si="41"/>
        <v>1.08</v>
      </c>
      <c r="Q154" s="134">
        <f t="shared" si="41"/>
        <v>1.08</v>
      </c>
      <c r="R154" s="134">
        <f t="shared" si="41"/>
        <v>1.08</v>
      </c>
      <c r="S154" s="134">
        <f t="shared" si="42"/>
        <v>1.08</v>
      </c>
      <c r="T154" s="134">
        <f t="shared" si="42"/>
        <v>1.08</v>
      </c>
      <c r="U154" s="134">
        <f t="shared" si="42"/>
        <v>1.08</v>
      </c>
      <c r="V154" s="134">
        <f t="shared" si="42"/>
        <v>1.08</v>
      </c>
      <c r="W154" s="134">
        <f t="shared" si="42"/>
        <v>1.08</v>
      </c>
      <c r="X154" s="134">
        <f t="shared" si="42"/>
        <v>1.08</v>
      </c>
      <c r="Y154" s="134">
        <f t="shared" si="42"/>
        <v>1.08</v>
      </c>
      <c r="Z154" s="134">
        <f t="shared" si="42"/>
        <v>1.08</v>
      </c>
      <c r="AA154" s="134">
        <f t="shared" si="42"/>
        <v>1.08</v>
      </c>
      <c r="AB154" s="134">
        <f t="shared" si="42"/>
        <v>1.08</v>
      </c>
      <c r="AC154" s="134">
        <f t="shared" si="42"/>
        <v>1.08</v>
      </c>
      <c r="AD154" s="134">
        <f t="shared" si="42"/>
        <v>1.08</v>
      </c>
      <c r="AE154" s="134">
        <f t="shared" si="42"/>
        <v>1.08</v>
      </c>
      <c r="AF154" s="134">
        <f t="shared" si="42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1"/>
        <v>2.37</v>
      </c>
      <c r="D155" s="134">
        <f t="shared" si="41"/>
        <v>2.37</v>
      </c>
      <c r="E155" s="134">
        <f t="shared" si="41"/>
        <v>2.37</v>
      </c>
      <c r="F155" s="134">
        <f t="shared" si="41"/>
        <v>2.37</v>
      </c>
      <c r="G155" s="134">
        <f t="shared" si="41"/>
        <v>2.37</v>
      </c>
      <c r="H155" s="134">
        <f t="shared" si="41"/>
        <v>2.37</v>
      </c>
      <c r="I155" s="134">
        <f t="shared" si="41"/>
        <v>2.37</v>
      </c>
      <c r="J155" s="134">
        <f t="shared" si="41"/>
        <v>2.37</v>
      </c>
      <c r="K155" s="134">
        <f t="shared" si="41"/>
        <v>2.37</v>
      </c>
      <c r="L155" s="134">
        <f t="shared" si="41"/>
        <v>2.37</v>
      </c>
      <c r="M155" s="134">
        <f t="shared" si="41"/>
        <v>2.37</v>
      </c>
      <c r="N155" s="134">
        <f t="shared" si="41"/>
        <v>2.37</v>
      </c>
      <c r="O155" s="134">
        <f t="shared" si="41"/>
        <v>2.37</v>
      </c>
      <c r="P155" s="134">
        <f t="shared" si="41"/>
        <v>2.37</v>
      </c>
      <c r="Q155" s="134">
        <f t="shared" si="41"/>
        <v>2.37</v>
      </c>
      <c r="R155" s="134">
        <f t="shared" si="41"/>
        <v>2.37</v>
      </c>
      <c r="S155" s="134">
        <f t="shared" si="42"/>
        <v>2.37</v>
      </c>
      <c r="T155" s="134">
        <f t="shared" si="42"/>
        <v>2.37</v>
      </c>
      <c r="U155" s="134">
        <f t="shared" si="42"/>
        <v>2.37</v>
      </c>
      <c r="V155" s="134">
        <f t="shared" si="42"/>
        <v>2.37</v>
      </c>
      <c r="W155" s="134">
        <f t="shared" si="42"/>
        <v>2.37</v>
      </c>
      <c r="X155" s="134">
        <f t="shared" si="42"/>
        <v>2.37</v>
      </c>
      <c r="Y155" s="134">
        <f t="shared" si="42"/>
        <v>2.37</v>
      </c>
      <c r="Z155" s="134">
        <f t="shared" si="42"/>
        <v>2.37</v>
      </c>
      <c r="AA155" s="134">
        <f t="shared" si="42"/>
        <v>2.37</v>
      </c>
      <c r="AB155" s="134">
        <f t="shared" si="42"/>
        <v>2.37</v>
      </c>
      <c r="AC155" s="134">
        <f t="shared" si="42"/>
        <v>2.37</v>
      </c>
      <c r="AD155" s="134">
        <f t="shared" si="42"/>
        <v>2.37</v>
      </c>
      <c r="AE155" s="134">
        <f t="shared" si="42"/>
        <v>2.37</v>
      </c>
      <c r="AF155" s="134">
        <f t="shared" si="42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1"/>
        <v>1.81</v>
      </c>
      <c r="D156" s="134">
        <f t="shared" si="41"/>
        <v>1.81</v>
      </c>
      <c r="E156" s="134">
        <f t="shared" si="41"/>
        <v>1.81</v>
      </c>
      <c r="F156" s="134">
        <f t="shared" si="41"/>
        <v>1.81</v>
      </c>
      <c r="G156" s="134">
        <f t="shared" si="41"/>
        <v>1.81</v>
      </c>
      <c r="H156" s="134">
        <f t="shared" si="41"/>
        <v>1.81</v>
      </c>
      <c r="I156" s="134">
        <f t="shared" si="41"/>
        <v>1.81</v>
      </c>
      <c r="J156" s="134">
        <f t="shared" si="41"/>
        <v>1.81</v>
      </c>
      <c r="K156" s="134">
        <f t="shared" si="41"/>
        <v>1.81</v>
      </c>
      <c r="L156" s="134">
        <f t="shared" si="41"/>
        <v>1.81</v>
      </c>
      <c r="M156" s="134">
        <f t="shared" si="41"/>
        <v>1.81</v>
      </c>
      <c r="N156" s="134">
        <f t="shared" si="41"/>
        <v>1.81</v>
      </c>
      <c r="O156" s="134">
        <f t="shared" si="41"/>
        <v>1.81</v>
      </c>
      <c r="P156" s="134">
        <f t="shared" si="41"/>
        <v>1.81</v>
      </c>
      <c r="Q156" s="134">
        <f t="shared" si="41"/>
        <v>1.81</v>
      </c>
      <c r="R156" s="134">
        <f t="shared" si="41"/>
        <v>1.81</v>
      </c>
      <c r="S156" s="134">
        <f t="shared" si="42"/>
        <v>1.81</v>
      </c>
      <c r="T156" s="134">
        <f t="shared" si="42"/>
        <v>1.81</v>
      </c>
      <c r="U156" s="134">
        <f t="shared" si="42"/>
        <v>1.81</v>
      </c>
      <c r="V156" s="134">
        <f t="shared" si="42"/>
        <v>1.81</v>
      </c>
      <c r="W156" s="134">
        <f t="shared" si="42"/>
        <v>1.81</v>
      </c>
      <c r="X156" s="134">
        <f t="shared" si="42"/>
        <v>1.81</v>
      </c>
      <c r="Y156" s="134">
        <f t="shared" si="42"/>
        <v>1.81</v>
      </c>
      <c r="Z156" s="134">
        <f t="shared" si="42"/>
        <v>1.81</v>
      </c>
      <c r="AA156" s="134">
        <f t="shared" si="42"/>
        <v>1.81</v>
      </c>
      <c r="AB156" s="134">
        <f t="shared" si="42"/>
        <v>1.81</v>
      </c>
      <c r="AC156" s="134">
        <f t="shared" si="42"/>
        <v>1.81</v>
      </c>
      <c r="AD156" s="134">
        <f t="shared" si="42"/>
        <v>1.81</v>
      </c>
      <c r="AE156" s="134">
        <f t="shared" si="42"/>
        <v>1.81</v>
      </c>
      <c r="AF156" s="134">
        <f t="shared" si="42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1"/>
        <v>1.0900000000000001</v>
      </c>
      <c r="D157" s="134">
        <f t="shared" si="41"/>
        <v>1.0900000000000001</v>
      </c>
      <c r="E157" s="134">
        <f t="shared" si="41"/>
        <v>1.0900000000000001</v>
      </c>
      <c r="F157" s="134">
        <f t="shared" si="41"/>
        <v>1.0900000000000001</v>
      </c>
      <c r="G157" s="134">
        <f t="shared" si="41"/>
        <v>1.0900000000000001</v>
      </c>
      <c r="H157" s="134">
        <f t="shared" si="41"/>
        <v>1.0900000000000001</v>
      </c>
      <c r="I157" s="134">
        <f t="shared" si="41"/>
        <v>1.0900000000000001</v>
      </c>
      <c r="J157" s="134">
        <f t="shared" si="41"/>
        <v>1.0900000000000001</v>
      </c>
      <c r="K157" s="134">
        <f t="shared" si="41"/>
        <v>1.0900000000000001</v>
      </c>
      <c r="L157" s="134">
        <f t="shared" si="41"/>
        <v>1.0900000000000001</v>
      </c>
      <c r="M157" s="134">
        <f t="shared" si="41"/>
        <v>1.0900000000000001</v>
      </c>
      <c r="N157" s="134">
        <f t="shared" si="41"/>
        <v>1.0900000000000001</v>
      </c>
      <c r="O157" s="134">
        <f t="shared" si="41"/>
        <v>1.0900000000000001</v>
      </c>
      <c r="P157" s="134">
        <f t="shared" si="41"/>
        <v>1.0900000000000001</v>
      </c>
      <c r="Q157" s="134">
        <f t="shared" si="41"/>
        <v>1.0900000000000001</v>
      </c>
      <c r="R157" s="134">
        <f t="shared" si="41"/>
        <v>1.0900000000000001</v>
      </c>
      <c r="S157" s="134">
        <f t="shared" si="42"/>
        <v>1.0900000000000001</v>
      </c>
      <c r="T157" s="134">
        <f t="shared" si="42"/>
        <v>1.0900000000000001</v>
      </c>
      <c r="U157" s="134">
        <f t="shared" si="42"/>
        <v>1.0900000000000001</v>
      </c>
      <c r="V157" s="134">
        <f t="shared" si="42"/>
        <v>1.0900000000000001</v>
      </c>
      <c r="W157" s="134">
        <f t="shared" si="42"/>
        <v>1.0900000000000001</v>
      </c>
      <c r="X157" s="134">
        <f t="shared" si="42"/>
        <v>1.0900000000000001</v>
      </c>
      <c r="Y157" s="134">
        <f t="shared" si="42"/>
        <v>1.0900000000000001</v>
      </c>
      <c r="Z157" s="134">
        <f t="shared" si="42"/>
        <v>1.0900000000000001</v>
      </c>
      <c r="AA157" s="134">
        <f t="shared" si="42"/>
        <v>1.0900000000000001</v>
      </c>
      <c r="AB157" s="134">
        <f t="shared" si="42"/>
        <v>1.0900000000000001</v>
      </c>
      <c r="AC157" s="134">
        <f t="shared" si="42"/>
        <v>1.0900000000000001</v>
      </c>
      <c r="AD157" s="134">
        <f t="shared" si="42"/>
        <v>1.0900000000000001</v>
      </c>
      <c r="AE157" s="134">
        <f t="shared" si="42"/>
        <v>1.0900000000000001</v>
      </c>
      <c r="AF157" s="134">
        <f t="shared" si="42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1"/>
        <v>1.58</v>
      </c>
      <c r="D158" s="134">
        <f t="shared" si="41"/>
        <v>1.58</v>
      </c>
      <c r="E158" s="134">
        <f t="shared" si="41"/>
        <v>1.58</v>
      </c>
      <c r="F158" s="134">
        <f t="shared" si="41"/>
        <v>1.58</v>
      </c>
      <c r="G158" s="134">
        <f t="shared" si="41"/>
        <v>1.58</v>
      </c>
      <c r="H158" s="134">
        <f t="shared" si="41"/>
        <v>1.58</v>
      </c>
      <c r="I158" s="134">
        <f t="shared" si="41"/>
        <v>1.58</v>
      </c>
      <c r="J158" s="134">
        <f t="shared" si="41"/>
        <v>1.58</v>
      </c>
      <c r="K158" s="134">
        <f t="shared" si="41"/>
        <v>1.58</v>
      </c>
      <c r="L158" s="134">
        <f t="shared" si="41"/>
        <v>1.58</v>
      </c>
      <c r="M158" s="134">
        <f t="shared" si="41"/>
        <v>1.58</v>
      </c>
      <c r="N158" s="134">
        <f t="shared" si="41"/>
        <v>1.58</v>
      </c>
      <c r="O158" s="134">
        <f t="shared" si="41"/>
        <v>1.58</v>
      </c>
      <c r="P158" s="134">
        <f t="shared" si="41"/>
        <v>1.58</v>
      </c>
      <c r="Q158" s="134">
        <f t="shared" si="41"/>
        <v>1.58</v>
      </c>
      <c r="R158" s="134">
        <f t="shared" si="41"/>
        <v>1.58</v>
      </c>
      <c r="S158" s="134">
        <f t="shared" si="42"/>
        <v>1.58</v>
      </c>
      <c r="T158" s="134">
        <f t="shared" si="42"/>
        <v>1.58</v>
      </c>
      <c r="U158" s="134">
        <f t="shared" si="42"/>
        <v>1.58</v>
      </c>
      <c r="V158" s="134">
        <f t="shared" si="42"/>
        <v>1.58</v>
      </c>
      <c r="W158" s="134">
        <f t="shared" si="42"/>
        <v>1.58</v>
      </c>
      <c r="X158" s="134">
        <f t="shared" si="42"/>
        <v>1.58</v>
      </c>
      <c r="Y158" s="134">
        <f t="shared" si="42"/>
        <v>1.58</v>
      </c>
      <c r="Z158" s="134">
        <f t="shared" si="42"/>
        <v>1.58</v>
      </c>
      <c r="AA158" s="134">
        <f t="shared" si="42"/>
        <v>1.58</v>
      </c>
      <c r="AB158" s="134">
        <f t="shared" si="42"/>
        <v>1.58</v>
      </c>
      <c r="AC158" s="134">
        <f t="shared" si="42"/>
        <v>1.58</v>
      </c>
      <c r="AD158" s="134">
        <f t="shared" si="42"/>
        <v>1.58</v>
      </c>
      <c r="AE158" s="134">
        <f t="shared" si="42"/>
        <v>1.58</v>
      </c>
      <c r="AF158" s="134">
        <f t="shared" si="42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1"/>
        <v>2</v>
      </c>
      <c r="D159" s="134">
        <f t="shared" si="41"/>
        <v>2</v>
      </c>
      <c r="E159" s="134">
        <f t="shared" si="41"/>
        <v>2</v>
      </c>
      <c r="F159" s="134">
        <f t="shared" si="41"/>
        <v>2</v>
      </c>
      <c r="G159" s="134">
        <f t="shared" si="41"/>
        <v>2</v>
      </c>
      <c r="H159" s="134">
        <f t="shared" si="41"/>
        <v>2</v>
      </c>
      <c r="I159" s="134">
        <f t="shared" si="41"/>
        <v>2</v>
      </c>
      <c r="J159" s="134">
        <f t="shared" si="41"/>
        <v>2</v>
      </c>
      <c r="K159" s="134">
        <f t="shared" si="41"/>
        <v>2</v>
      </c>
      <c r="L159" s="134">
        <f t="shared" si="41"/>
        <v>2</v>
      </c>
      <c r="M159" s="134">
        <f t="shared" si="41"/>
        <v>2</v>
      </c>
      <c r="N159" s="134">
        <f t="shared" si="41"/>
        <v>2</v>
      </c>
      <c r="O159" s="134">
        <f t="shared" si="41"/>
        <v>2</v>
      </c>
      <c r="P159" s="134">
        <f t="shared" si="41"/>
        <v>2</v>
      </c>
      <c r="Q159" s="134">
        <f t="shared" si="41"/>
        <v>2</v>
      </c>
      <c r="R159" s="134">
        <f t="shared" si="41"/>
        <v>2</v>
      </c>
      <c r="S159" s="134">
        <f t="shared" si="42"/>
        <v>2</v>
      </c>
      <c r="T159" s="134">
        <f t="shared" si="42"/>
        <v>2</v>
      </c>
      <c r="U159" s="134">
        <f t="shared" si="42"/>
        <v>2</v>
      </c>
      <c r="V159" s="134">
        <f t="shared" si="42"/>
        <v>2</v>
      </c>
      <c r="W159" s="134">
        <f t="shared" si="42"/>
        <v>2</v>
      </c>
      <c r="X159" s="134">
        <f t="shared" si="42"/>
        <v>2</v>
      </c>
      <c r="Y159" s="134">
        <f t="shared" si="42"/>
        <v>2</v>
      </c>
      <c r="Z159" s="134">
        <f t="shared" si="42"/>
        <v>2</v>
      </c>
      <c r="AA159" s="134">
        <f t="shared" si="42"/>
        <v>2</v>
      </c>
      <c r="AB159" s="134">
        <f t="shared" si="42"/>
        <v>2</v>
      </c>
      <c r="AC159" s="134">
        <f t="shared" si="42"/>
        <v>2</v>
      </c>
      <c r="AD159" s="134">
        <f t="shared" si="42"/>
        <v>2</v>
      </c>
      <c r="AE159" s="134">
        <f t="shared" si="42"/>
        <v>2</v>
      </c>
      <c r="AF159" s="134">
        <f t="shared" si="42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1"/>
        <v>0.47</v>
      </c>
      <c r="D160" s="134">
        <f t="shared" si="41"/>
        <v>0.47</v>
      </c>
      <c r="E160" s="134">
        <f t="shared" si="41"/>
        <v>0.47</v>
      </c>
      <c r="F160" s="134">
        <f t="shared" si="41"/>
        <v>0.47</v>
      </c>
      <c r="G160" s="134">
        <f t="shared" si="41"/>
        <v>0.47</v>
      </c>
      <c r="H160" s="134">
        <f t="shared" si="41"/>
        <v>0.47</v>
      </c>
      <c r="I160" s="134">
        <f t="shared" si="41"/>
        <v>0.47</v>
      </c>
      <c r="J160" s="134">
        <f t="shared" si="41"/>
        <v>0.47</v>
      </c>
      <c r="K160" s="134">
        <f t="shared" si="41"/>
        <v>0.47</v>
      </c>
      <c r="L160" s="134">
        <f t="shared" si="41"/>
        <v>0.47</v>
      </c>
      <c r="M160" s="134">
        <f t="shared" si="41"/>
        <v>0.47</v>
      </c>
      <c r="N160" s="134">
        <f t="shared" si="41"/>
        <v>0.47</v>
      </c>
      <c r="O160" s="134">
        <f t="shared" si="41"/>
        <v>0.47</v>
      </c>
      <c r="P160" s="134">
        <f t="shared" si="41"/>
        <v>0.47</v>
      </c>
      <c r="Q160" s="134">
        <f t="shared" si="41"/>
        <v>0.47</v>
      </c>
      <c r="R160" s="134">
        <f t="shared" si="41"/>
        <v>0.47</v>
      </c>
      <c r="S160" s="134">
        <f t="shared" si="42"/>
        <v>0.47</v>
      </c>
      <c r="T160" s="134">
        <f t="shared" si="42"/>
        <v>0.47</v>
      </c>
      <c r="U160" s="134">
        <f t="shared" si="42"/>
        <v>0.47</v>
      </c>
      <c r="V160" s="134">
        <f t="shared" si="42"/>
        <v>0.47</v>
      </c>
      <c r="W160" s="134">
        <f t="shared" si="42"/>
        <v>0.47</v>
      </c>
      <c r="X160" s="134">
        <f t="shared" si="42"/>
        <v>0.47</v>
      </c>
      <c r="Y160" s="134">
        <f t="shared" si="42"/>
        <v>0.47</v>
      </c>
      <c r="Z160" s="134">
        <f t="shared" si="42"/>
        <v>0.47</v>
      </c>
      <c r="AA160" s="134">
        <f t="shared" si="42"/>
        <v>0.47</v>
      </c>
      <c r="AB160" s="134">
        <f t="shared" si="42"/>
        <v>0.47</v>
      </c>
      <c r="AC160" s="134">
        <f t="shared" si="42"/>
        <v>0.47</v>
      </c>
      <c r="AD160" s="134">
        <f t="shared" si="42"/>
        <v>0.47</v>
      </c>
      <c r="AE160" s="134">
        <f t="shared" si="42"/>
        <v>0.47</v>
      </c>
      <c r="AF160" s="134">
        <f t="shared" si="42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1"/>
        <v>0</v>
      </c>
      <c r="D161" s="134">
        <f t="shared" si="41"/>
        <v>0</v>
      </c>
      <c r="E161" s="134">
        <f t="shared" si="41"/>
        <v>0</v>
      </c>
      <c r="F161" s="134">
        <f t="shared" si="41"/>
        <v>0</v>
      </c>
      <c r="G161" s="134">
        <f t="shared" si="41"/>
        <v>0</v>
      </c>
      <c r="H161" s="134">
        <f t="shared" si="41"/>
        <v>0</v>
      </c>
      <c r="I161" s="134">
        <f t="shared" si="41"/>
        <v>0</v>
      </c>
      <c r="J161" s="134">
        <f t="shared" si="41"/>
        <v>0</v>
      </c>
      <c r="K161" s="134">
        <f t="shared" si="41"/>
        <v>0</v>
      </c>
      <c r="L161" s="134">
        <f t="shared" si="41"/>
        <v>0</v>
      </c>
      <c r="M161" s="134">
        <f t="shared" si="41"/>
        <v>0</v>
      </c>
      <c r="N161" s="134">
        <f t="shared" si="41"/>
        <v>0</v>
      </c>
      <c r="O161" s="134">
        <f t="shared" si="41"/>
        <v>0</v>
      </c>
      <c r="P161" s="134">
        <f t="shared" si="41"/>
        <v>0</v>
      </c>
      <c r="Q161" s="134">
        <f t="shared" si="41"/>
        <v>0</v>
      </c>
      <c r="R161" s="134">
        <f t="shared" si="41"/>
        <v>0</v>
      </c>
      <c r="S161" s="134">
        <f t="shared" si="42"/>
        <v>0</v>
      </c>
      <c r="T161" s="134">
        <f t="shared" si="42"/>
        <v>0</v>
      </c>
      <c r="U161" s="134">
        <f t="shared" si="42"/>
        <v>0</v>
      </c>
      <c r="V161" s="134">
        <f t="shared" si="42"/>
        <v>0</v>
      </c>
      <c r="W161" s="134">
        <f t="shared" si="42"/>
        <v>0</v>
      </c>
      <c r="X161" s="134">
        <f t="shared" si="42"/>
        <v>0</v>
      </c>
      <c r="Y161" s="134">
        <f t="shared" si="42"/>
        <v>0</v>
      </c>
      <c r="Z161" s="134">
        <f t="shared" si="42"/>
        <v>0</v>
      </c>
      <c r="AA161" s="134">
        <f t="shared" si="42"/>
        <v>0</v>
      </c>
      <c r="AB161" s="134">
        <f t="shared" si="42"/>
        <v>0</v>
      </c>
      <c r="AC161" s="134">
        <f t="shared" si="42"/>
        <v>0</v>
      </c>
      <c r="AD161" s="134">
        <f t="shared" si="42"/>
        <v>0</v>
      </c>
      <c r="AE161" s="134">
        <f t="shared" si="42"/>
        <v>0</v>
      </c>
      <c r="AF161" s="134">
        <f t="shared" si="42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1"/>
        <v>0</v>
      </c>
      <c r="D162" s="134">
        <f t="shared" si="41"/>
        <v>0</v>
      </c>
      <c r="E162" s="134">
        <f t="shared" si="41"/>
        <v>0</v>
      </c>
      <c r="F162" s="134">
        <f t="shared" si="41"/>
        <v>0</v>
      </c>
      <c r="G162" s="134">
        <f t="shared" si="41"/>
        <v>0</v>
      </c>
      <c r="H162" s="134">
        <f t="shared" si="41"/>
        <v>0</v>
      </c>
      <c r="I162" s="134">
        <f t="shared" si="41"/>
        <v>0</v>
      </c>
      <c r="J162" s="134">
        <f t="shared" si="41"/>
        <v>0</v>
      </c>
      <c r="K162" s="134">
        <f t="shared" si="41"/>
        <v>0</v>
      </c>
      <c r="L162" s="134">
        <f t="shared" si="41"/>
        <v>0</v>
      </c>
      <c r="M162" s="134">
        <f t="shared" si="41"/>
        <v>0</v>
      </c>
      <c r="N162" s="134">
        <f t="shared" si="41"/>
        <v>0</v>
      </c>
      <c r="O162" s="134">
        <f t="shared" si="41"/>
        <v>0</v>
      </c>
      <c r="P162" s="134">
        <f t="shared" si="41"/>
        <v>0</v>
      </c>
      <c r="Q162" s="134">
        <f t="shared" si="41"/>
        <v>0</v>
      </c>
      <c r="R162" s="134">
        <f t="shared" si="42"/>
        <v>0</v>
      </c>
      <c r="S162" s="134">
        <f t="shared" si="42"/>
        <v>0</v>
      </c>
      <c r="T162" s="134">
        <f t="shared" si="42"/>
        <v>0</v>
      </c>
      <c r="U162" s="134">
        <f t="shared" si="42"/>
        <v>0</v>
      </c>
      <c r="V162" s="134">
        <f t="shared" si="42"/>
        <v>0</v>
      </c>
      <c r="W162" s="134">
        <f t="shared" si="42"/>
        <v>0</v>
      </c>
      <c r="X162" s="134">
        <f t="shared" si="42"/>
        <v>0</v>
      </c>
      <c r="Y162" s="134">
        <f t="shared" si="42"/>
        <v>0</v>
      </c>
      <c r="Z162" s="134">
        <f t="shared" si="42"/>
        <v>0</v>
      </c>
      <c r="AA162" s="134">
        <f t="shared" si="42"/>
        <v>0</v>
      </c>
      <c r="AB162" s="134">
        <f t="shared" si="42"/>
        <v>0</v>
      </c>
      <c r="AC162" s="134">
        <f t="shared" si="42"/>
        <v>0</v>
      </c>
      <c r="AD162" s="134">
        <f t="shared" si="42"/>
        <v>0</v>
      </c>
      <c r="AE162" s="134">
        <f t="shared" si="42"/>
        <v>0</v>
      </c>
      <c r="AF162" s="134">
        <f t="shared" si="42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1"/>
        <v>0.8</v>
      </c>
      <c r="D163" s="134">
        <f t="shared" si="41"/>
        <v>0.8</v>
      </c>
      <c r="E163" s="134">
        <f t="shared" si="41"/>
        <v>0.8</v>
      </c>
      <c r="F163" s="134">
        <f t="shared" si="41"/>
        <v>0.8</v>
      </c>
      <c r="G163" s="134">
        <f t="shared" si="41"/>
        <v>0.8</v>
      </c>
      <c r="H163" s="134">
        <f t="shared" si="41"/>
        <v>0.8</v>
      </c>
      <c r="I163" s="134">
        <f t="shared" si="41"/>
        <v>0.8</v>
      </c>
      <c r="J163" s="134">
        <f t="shared" si="41"/>
        <v>0.8</v>
      </c>
      <c r="K163" s="134">
        <f t="shared" si="41"/>
        <v>0.8</v>
      </c>
      <c r="L163" s="134">
        <f t="shared" si="41"/>
        <v>0.8</v>
      </c>
      <c r="M163" s="134">
        <f t="shared" si="41"/>
        <v>0.8</v>
      </c>
      <c r="N163" s="134">
        <f t="shared" si="41"/>
        <v>0.8</v>
      </c>
      <c r="O163" s="134">
        <f t="shared" si="41"/>
        <v>0.8</v>
      </c>
      <c r="P163" s="134">
        <f t="shared" si="41"/>
        <v>0.8</v>
      </c>
      <c r="Q163" s="134">
        <f t="shared" si="41"/>
        <v>0.8</v>
      </c>
      <c r="R163" s="134">
        <f t="shared" si="42"/>
        <v>0.8</v>
      </c>
      <c r="S163" s="134">
        <f t="shared" si="42"/>
        <v>0.8</v>
      </c>
      <c r="T163" s="134">
        <f t="shared" si="42"/>
        <v>0.8</v>
      </c>
      <c r="U163" s="134">
        <f t="shared" si="42"/>
        <v>0.8</v>
      </c>
      <c r="V163" s="134">
        <f t="shared" si="42"/>
        <v>0.8</v>
      </c>
      <c r="W163" s="134">
        <f t="shared" si="42"/>
        <v>0.8</v>
      </c>
      <c r="X163" s="134">
        <f t="shared" si="42"/>
        <v>0.8</v>
      </c>
      <c r="Y163" s="134">
        <f t="shared" si="42"/>
        <v>0.8</v>
      </c>
      <c r="Z163" s="134">
        <f t="shared" si="42"/>
        <v>0.8</v>
      </c>
      <c r="AA163" s="134">
        <f t="shared" si="42"/>
        <v>0.8</v>
      </c>
      <c r="AB163" s="134">
        <f t="shared" si="42"/>
        <v>0.8</v>
      </c>
      <c r="AC163" s="134">
        <f t="shared" si="42"/>
        <v>0.8</v>
      </c>
      <c r="AD163" s="134">
        <f t="shared" si="42"/>
        <v>0.8</v>
      </c>
      <c r="AE163" s="134">
        <f t="shared" si="42"/>
        <v>0.8</v>
      </c>
      <c r="AF163" s="134">
        <f t="shared" si="42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1"/>
        <v>1.5</v>
      </c>
      <c r="D164" s="134">
        <f t="shared" si="41"/>
        <v>1.5</v>
      </c>
      <c r="E164" s="134">
        <f t="shared" si="41"/>
        <v>1.5</v>
      </c>
      <c r="F164" s="134">
        <f t="shared" si="41"/>
        <v>1.5</v>
      </c>
      <c r="G164" s="134">
        <f t="shared" si="41"/>
        <v>1.5</v>
      </c>
      <c r="H164" s="134">
        <f t="shared" si="41"/>
        <v>1.5</v>
      </c>
      <c r="I164" s="134">
        <f t="shared" si="41"/>
        <v>1.5</v>
      </c>
      <c r="J164" s="134">
        <f t="shared" si="41"/>
        <v>1.5</v>
      </c>
      <c r="K164" s="134">
        <f t="shared" si="41"/>
        <v>1.5</v>
      </c>
      <c r="L164" s="134">
        <f t="shared" si="41"/>
        <v>1.5</v>
      </c>
      <c r="M164" s="134">
        <f t="shared" si="41"/>
        <v>1.5</v>
      </c>
      <c r="N164" s="134">
        <f t="shared" si="41"/>
        <v>1.5</v>
      </c>
      <c r="O164" s="134">
        <f t="shared" si="41"/>
        <v>1.5</v>
      </c>
      <c r="P164" s="134">
        <f t="shared" si="41"/>
        <v>1.5</v>
      </c>
      <c r="Q164" s="134">
        <f t="shared" si="41"/>
        <v>1.5</v>
      </c>
      <c r="R164" s="134">
        <f t="shared" si="42"/>
        <v>1.5</v>
      </c>
      <c r="S164" s="134">
        <f t="shared" si="42"/>
        <v>1.5</v>
      </c>
      <c r="T164" s="134">
        <f t="shared" si="42"/>
        <v>1.5</v>
      </c>
      <c r="U164" s="134">
        <f t="shared" si="42"/>
        <v>1.5</v>
      </c>
      <c r="V164" s="134">
        <f t="shared" si="42"/>
        <v>1.5</v>
      </c>
      <c r="W164" s="134">
        <f t="shared" si="42"/>
        <v>1.5</v>
      </c>
      <c r="X164" s="134">
        <f t="shared" si="42"/>
        <v>1.5</v>
      </c>
      <c r="Y164" s="134">
        <f t="shared" si="42"/>
        <v>1.5</v>
      </c>
      <c r="Z164" s="134">
        <f t="shared" si="42"/>
        <v>1.5</v>
      </c>
      <c r="AA164" s="134">
        <f t="shared" si="42"/>
        <v>1.5</v>
      </c>
      <c r="AB164" s="134">
        <f t="shared" si="42"/>
        <v>1.5</v>
      </c>
      <c r="AC164" s="134">
        <f t="shared" si="42"/>
        <v>1.5</v>
      </c>
      <c r="AD164" s="134">
        <f t="shared" si="42"/>
        <v>1.5</v>
      </c>
      <c r="AE164" s="134">
        <f t="shared" si="42"/>
        <v>1.5</v>
      </c>
      <c r="AF164" s="134">
        <f t="shared" si="42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1"/>
        <v>1</v>
      </c>
      <c r="D165" s="134">
        <f t="shared" si="41"/>
        <v>1</v>
      </c>
      <c r="E165" s="134">
        <f t="shared" si="41"/>
        <v>1</v>
      </c>
      <c r="F165" s="134">
        <f t="shared" si="41"/>
        <v>1</v>
      </c>
      <c r="G165" s="134">
        <f t="shared" si="41"/>
        <v>1</v>
      </c>
      <c r="H165" s="134">
        <f t="shared" si="41"/>
        <v>1</v>
      </c>
      <c r="I165" s="134">
        <f t="shared" si="41"/>
        <v>1</v>
      </c>
      <c r="J165" s="134">
        <f t="shared" si="41"/>
        <v>1</v>
      </c>
      <c r="K165" s="134">
        <f t="shared" si="41"/>
        <v>1</v>
      </c>
      <c r="L165" s="134">
        <f t="shared" si="41"/>
        <v>1</v>
      </c>
      <c r="M165" s="134">
        <f t="shared" si="41"/>
        <v>1</v>
      </c>
      <c r="N165" s="134">
        <f t="shared" si="41"/>
        <v>1</v>
      </c>
      <c r="O165" s="134">
        <f t="shared" si="41"/>
        <v>1</v>
      </c>
      <c r="P165" s="134">
        <f t="shared" si="41"/>
        <v>1</v>
      </c>
      <c r="Q165" s="134">
        <f t="shared" si="41"/>
        <v>1</v>
      </c>
      <c r="R165" s="134">
        <f t="shared" si="42"/>
        <v>1</v>
      </c>
      <c r="S165" s="134">
        <f t="shared" si="42"/>
        <v>1</v>
      </c>
      <c r="T165" s="134">
        <f t="shared" si="42"/>
        <v>1</v>
      </c>
      <c r="U165" s="134">
        <f t="shared" si="42"/>
        <v>1</v>
      </c>
      <c r="V165" s="134">
        <f t="shared" si="42"/>
        <v>1</v>
      </c>
      <c r="W165" s="134">
        <f t="shared" si="42"/>
        <v>1</v>
      </c>
      <c r="X165" s="134">
        <f t="shared" si="42"/>
        <v>1</v>
      </c>
      <c r="Y165" s="134">
        <f t="shared" si="42"/>
        <v>1</v>
      </c>
      <c r="Z165" s="134">
        <f t="shared" si="42"/>
        <v>1</v>
      </c>
      <c r="AA165" s="134">
        <f t="shared" si="42"/>
        <v>1</v>
      </c>
      <c r="AB165" s="134">
        <f t="shared" si="42"/>
        <v>1</v>
      </c>
      <c r="AC165" s="134">
        <f t="shared" si="42"/>
        <v>1</v>
      </c>
      <c r="AD165" s="134">
        <f t="shared" si="42"/>
        <v>1</v>
      </c>
      <c r="AE165" s="134">
        <f t="shared" si="42"/>
        <v>1</v>
      </c>
      <c r="AF165" s="134">
        <f t="shared" si="42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3">B167</f>
        <v>1</v>
      </c>
      <c r="D167" s="134">
        <f t="shared" si="43"/>
        <v>1</v>
      </c>
      <c r="E167" s="134">
        <f t="shared" si="43"/>
        <v>1</v>
      </c>
      <c r="F167" s="134">
        <f t="shared" si="43"/>
        <v>1</v>
      </c>
      <c r="G167" s="134">
        <f t="shared" si="43"/>
        <v>1</v>
      </c>
      <c r="H167" s="134">
        <f t="shared" si="43"/>
        <v>1</v>
      </c>
      <c r="I167" s="134">
        <f t="shared" si="43"/>
        <v>1</v>
      </c>
      <c r="J167" s="134">
        <f t="shared" si="43"/>
        <v>1</v>
      </c>
      <c r="K167" s="134">
        <f t="shared" si="43"/>
        <v>1</v>
      </c>
      <c r="L167" s="134">
        <f t="shared" si="43"/>
        <v>1</v>
      </c>
      <c r="M167" s="134">
        <f t="shared" si="43"/>
        <v>1</v>
      </c>
      <c r="N167" s="134">
        <f t="shared" si="43"/>
        <v>1</v>
      </c>
      <c r="O167" s="134">
        <f t="shared" si="43"/>
        <v>1</v>
      </c>
      <c r="P167" s="134">
        <f t="shared" si="43"/>
        <v>1</v>
      </c>
      <c r="Q167" s="134">
        <f t="shared" si="43"/>
        <v>1</v>
      </c>
      <c r="R167" s="134">
        <f t="shared" si="43"/>
        <v>1</v>
      </c>
      <c r="S167" s="134">
        <f t="shared" ref="R167:AF174" si="44">R167</f>
        <v>1</v>
      </c>
      <c r="T167" s="134">
        <f t="shared" si="44"/>
        <v>1</v>
      </c>
      <c r="U167" s="134">
        <f t="shared" si="44"/>
        <v>1</v>
      </c>
      <c r="V167" s="134">
        <f t="shared" si="44"/>
        <v>1</v>
      </c>
      <c r="W167" s="134">
        <f t="shared" si="44"/>
        <v>1</v>
      </c>
      <c r="X167" s="134">
        <f t="shared" si="44"/>
        <v>1</v>
      </c>
      <c r="Y167" s="134">
        <f t="shared" si="44"/>
        <v>1</v>
      </c>
      <c r="Z167" s="134">
        <f t="shared" si="44"/>
        <v>1</v>
      </c>
      <c r="AA167" s="134">
        <f t="shared" si="44"/>
        <v>1</v>
      </c>
      <c r="AB167" s="134">
        <f t="shared" si="44"/>
        <v>1</v>
      </c>
      <c r="AC167" s="134">
        <f t="shared" si="44"/>
        <v>1</v>
      </c>
      <c r="AD167" s="134">
        <f t="shared" si="44"/>
        <v>1</v>
      </c>
      <c r="AE167" s="134">
        <f t="shared" si="44"/>
        <v>1</v>
      </c>
      <c r="AF167" s="134">
        <f t="shared" si="44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3"/>
        <v>0.42</v>
      </c>
      <c r="D168" s="134">
        <f t="shared" si="43"/>
        <v>0.42</v>
      </c>
      <c r="E168" s="134">
        <f t="shared" si="43"/>
        <v>0.42</v>
      </c>
      <c r="F168" s="134">
        <f t="shared" si="43"/>
        <v>0.42</v>
      </c>
      <c r="G168" s="134">
        <f t="shared" si="43"/>
        <v>0.42</v>
      </c>
      <c r="H168" s="134">
        <f t="shared" si="43"/>
        <v>0.42</v>
      </c>
      <c r="I168" s="134">
        <f t="shared" si="43"/>
        <v>0.42</v>
      </c>
      <c r="J168" s="134">
        <f t="shared" si="43"/>
        <v>0.42</v>
      </c>
      <c r="K168" s="134">
        <f t="shared" si="43"/>
        <v>0.42</v>
      </c>
      <c r="L168" s="134">
        <f t="shared" si="43"/>
        <v>0.42</v>
      </c>
      <c r="M168" s="134">
        <f t="shared" si="43"/>
        <v>0.42</v>
      </c>
      <c r="N168" s="134">
        <f t="shared" si="43"/>
        <v>0.42</v>
      </c>
      <c r="O168" s="134">
        <f t="shared" si="43"/>
        <v>0.42</v>
      </c>
      <c r="P168" s="134">
        <f t="shared" si="43"/>
        <v>0.42</v>
      </c>
      <c r="Q168" s="134">
        <f t="shared" si="43"/>
        <v>0.42</v>
      </c>
      <c r="R168" s="134">
        <f t="shared" si="44"/>
        <v>0.42</v>
      </c>
      <c r="S168" s="134">
        <f t="shared" si="44"/>
        <v>0.42</v>
      </c>
      <c r="T168" s="134">
        <f t="shared" si="44"/>
        <v>0.42</v>
      </c>
      <c r="U168" s="134">
        <f t="shared" si="44"/>
        <v>0.42</v>
      </c>
      <c r="V168" s="134">
        <f t="shared" si="44"/>
        <v>0.42</v>
      </c>
      <c r="W168" s="134">
        <f t="shared" si="44"/>
        <v>0.42</v>
      </c>
      <c r="X168" s="134">
        <f t="shared" si="44"/>
        <v>0.42</v>
      </c>
      <c r="Y168" s="134">
        <f t="shared" si="44"/>
        <v>0.42</v>
      </c>
      <c r="Z168" s="134">
        <f t="shared" si="44"/>
        <v>0.42</v>
      </c>
      <c r="AA168" s="134">
        <f t="shared" si="44"/>
        <v>0.42</v>
      </c>
      <c r="AB168" s="134">
        <f t="shared" si="44"/>
        <v>0.42</v>
      </c>
      <c r="AC168" s="134">
        <f t="shared" si="44"/>
        <v>0.42</v>
      </c>
      <c r="AD168" s="134">
        <f t="shared" si="44"/>
        <v>0.42</v>
      </c>
      <c r="AE168" s="134">
        <f t="shared" si="44"/>
        <v>0.42</v>
      </c>
      <c r="AF168" s="134">
        <f t="shared" si="44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3"/>
        <v>0.46</v>
      </c>
      <c r="D169" s="134">
        <f t="shared" si="43"/>
        <v>0.46</v>
      </c>
      <c r="E169" s="134">
        <f t="shared" si="43"/>
        <v>0.46</v>
      </c>
      <c r="F169" s="134">
        <f t="shared" si="43"/>
        <v>0.46</v>
      </c>
      <c r="G169" s="134">
        <f t="shared" si="43"/>
        <v>0.46</v>
      </c>
      <c r="H169" s="134">
        <f t="shared" si="43"/>
        <v>0.46</v>
      </c>
      <c r="I169" s="134">
        <f t="shared" si="43"/>
        <v>0.46</v>
      </c>
      <c r="J169" s="134">
        <f t="shared" si="43"/>
        <v>0.46</v>
      </c>
      <c r="K169" s="134">
        <f t="shared" si="43"/>
        <v>0.46</v>
      </c>
      <c r="L169" s="134">
        <f t="shared" si="43"/>
        <v>0.46</v>
      </c>
      <c r="M169" s="134">
        <f t="shared" si="43"/>
        <v>0.46</v>
      </c>
      <c r="N169" s="134">
        <f t="shared" si="43"/>
        <v>0.46</v>
      </c>
      <c r="O169" s="134">
        <f t="shared" si="43"/>
        <v>0.46</v>
      </c>
      <c r="P169" s="134">
        <f t="shared" si="43"/>
        <v>0.46</v>
      </c>
      <c r="Q169" s="134">
        <f t="shared" si="43"/>
        <v>0.46</v>
      </c>
      <c r="R169" s="134">
        <f t="shared" si="44"/>
        <v>0.46</v>
      </c>
      <c r="S169" s="134">
        <f t="shared" si="44"/>
        <v>0.46</v>
      </c>
      <c r="T169" s="134">
        <f t="shared" si="44"/>
        <v>0.46</v>
      </c>
      <c r="U169" s="134">
        <f t="shared" si="44"/>
        <v>0.46</v>
      </c>
      <c r="V169" s="134">
        <f t="shared" si="44"/>
        <v>0.46</v>
      </c>
      <c r="W169" s="134">
        <f t="shared" si="44"/>
        <v>0.46</v>
      </c>
      <c r="X169" s="134">
        <f t="shared" si="44"/>
        <v>0.46</v>
      </c>
      <c r="Y169" s="134">
        <f t="shared" si="44"/>
        <v>0.46</v>
      </c>
      <c r="Z169" s="134">
        <f t="shared" si="44"/>
        <v>0.46</v>
      </c>
      <c r="AA169" s="134">
        <f t="shared" si="44"/>
        <v>0.46</v>
      </c>
      <c r="AB169" s="134">
        <f t="shared" si="44"/>
        <v>0.46</v>
      </c>
      <c r="AC169" s="134">
        <f t="shared" si="44"/>
        <v>0.46</v>
      </c>
      <c r="AD169" s="134">
        <f t="shared" si="44"/>
        <v>0.46</v>
      </c>
      <c r="AE169" s="134">
        <f t="shared" si="44"/>
        <v>0.46</v>
      </c>
      <c r="AF169" s="134">
        <f t="shared" si="44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3"/>
        <v>0.85</v>
      </c>
      <c r="D170" s="134">
        <f t="shared" si="43"/>
        <v>0.85</v>
      </c>
      <c r="E170" s="134">
        <f t="shared" si="43"/>
        <v>0.85</v>
      </c>
      <c r="F170" s="134">
        <f t="shared" si="43"/>
        <v>0.85</v>
      </c>
      <c r="G170" s="134">
        <f t="shared" si="43"/>
        <v>0.85</v>
      </c>
      <c r="H170" s="134">
        <f t="shared" si="43"/>
        <v>0.85</v>
      </c>
      <c r="I170" s="134">
        <f t="shared" si="43"/>
        <v>0.85</v>
      </c>
      <c r="J170" s="134">
        <f t="shared" si="43"/>
        <v>0.85</v>
      </c>
      <c r="K170" s="134">
        <f t="shared" si="43"/>
        <v>0.85</v>
      </c>
      <c r="L170" s="134">
        <f t="shared" si="43"/>
        <v>0.85</v>
      </c>
      <c r="M170" s="134">
        <f t="shared" si="43"/>
        <v>0.85</v>
      </c>
      <c r="N170" s="134">
        <f t="shared" si="43"/>
        <v>0.85</v>
      </c>
      <c r="O170" s="134">
        <f t="shared" si="43"/>
        <v>0.85</v>
      </c>
      <c r="P170" s="134">
        <f t="shared" si="43"/>
        <v>0.85</v>
      </c>
      <c r="Q170" s="134">
        <f t="shared" si="43"/>
        <v>0.85</v>
      </c>
      <c r="R170" s="134">
        <f t="shared" si="44"/>
        <v>0.85</v>
      </c>
      <c r="S170" s="134">
        <f t="shared" si="44"/>
        <v>0.85</v>
      </c>
      <c r="T170" s="134">
        <f t="shared" si="44"/>
        <v>0.85</v>
      </c>
      <c r="U170" s="134">
        <f t="shared" si="44"/>
        <v>0.85</v>
      </c>
      <c r="V170" s="134">
        <f t="shared" si="44"/>
        <v>0.85</v>
      </c>
      <c r="W170" s="134">
        <f t="shared" si="44"/>
        <v>0.85</v>
      </c>
      <c r="X170" s="134">
        <f t="shared" si="44"/>
        <v>0.85</v>
      </c>
      <c r="Y170" s="134">
        <f t="shared" si="44"/>
        <v>0.85</v>
      </c>
      <c r="Z170" s="134">
        <f t="shared" si="44"/>
        <v>0.85</v>
      </c>
      <c r="AA170" s="134">
        <f t="shared" si="44"/>
        <v>0.85</v>
      </c>
      <c r="AB170" s="134">
        <f t="shared" si="44"/>
        <v>0.85</v>
      </c>
      <c r="AC170" s="134">
        <f t="shared" si="44"/>
        <v>0.85</v>
      </c>
      <c r="AD170" s="134">
        <f t="shared" si="44"/>
        <v>0.85</v>
      </c>
      <c r="AE170" s="134">
        <f t="shared" si="44"/>
        <v>0.85</v>
      </c>
      <c r="AF170" s="134">
        <f t="shared" si="44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3"/>
        <v>0.9</v>
      </c>
      <c r="D171" s="134">
        <f t="shared" si="43"/>
        <v>0.9</v>
      </c>
      <c r="E171" s="134">
        <f t="shared" si="43"/>
        <v>0.9</v>
      </c>
      <c r="F171" s="134">
        <f t="shared" si="43"/>
        <v>0.9</v>
      </c>
      <c r="G171" s="134">
        <f t="shared" si="43"/>
        <v>0.9</v>
      </c>
      <c r="H171" s="134">
        <f t="shared" si="43"/>
        <v>0.9</v>
      </c>
      <c r="I171" s="134">
        <f t="shared" si="43"/>
        <v>0.9</v>
      </c>
      <c r="J171" s="134">
        <f t="shared" si="43"/>
        <v>0.9</v>
      </c>
      <c r="K171" s="134">
        <f t="shared" si="43"/>
        <v>0.9</v>
      </c>
      <c r="L171" s="134">
        <f t="shared" si="43"/>
        <v>0.9</v>
      </c>
      <c r="M171" s="134">
        <f t="shared" si="43"/>
        <v>0.9</v>
      </c>
      <c r="N171" s="134">
        <f t="shared" si="43"/>
        <v>0.9</v>
      </c>
      <c r="O171" s="134">
        <f t="shared" si="43"/>
        <v>0.9</v>
      </c>
      <c r="P171" s="134">
        <f t="shared" si="43"/>
        <v>0.9</v>
      </c>
      <c r="Q171" s="134">
        <f t="shared" si="43"/>
        <v>0.9</v>
      </c>
      <c r="R171" s="134">
        <f t="shared" si="44"/>
        <v>0.9</v>
      </c>
      <c r="S171" s="134">
        <f t="shared" si="44"/>
        <v>0.9</v>
      </c>
      <c r="T171" s="134">
        <f t="shared" si="44"/>
        <v>0.9</v>
      </c>
      <c r="U171" s="134">
        <f t="shared" si="44"/>
        <v>0.9</v>
      </c>
      <c r="V171" s="134">
        <f t="shared" si="44"/>
        <v>0.9</v>
      </c>
      <c r="W171" s="134">
        <f t="shared" si="44"/>
        <v>0.9</v>
      </c>
      <c r="X171" s="134">
        <f t="shared" si="44"/>
        <v>0.9</v>
      </c>
      <c r="Y171" s="134">
        <f t="shared" si="44"/>
        <v>0.9</v>
      </c>
      <c r="Z171" s="134">
        <f t="shared" si="44"/>
        <v>0.9</v>
      </c>
      <c r="AA171" s="134">
        <f t="shared" si="44"/>
        <v>0.9</v>
      </c>
      <c r="AB171" s="134">
        <f t="shared" si="44"/>
        <v>0.9</v>
      </c>
      <c r="AC171" s="134">
        <f t="shared" si="44"/>
        <v>0.9</v>
      </c>
      <c r="AD171" s="134">
        <f t="shared" si="44"/>
        <v>0.9</v>
      </c>
      <c r="AE171" s="134">
        <f t="shared" si="44"/>
        <v>0.9</v>
      </c>
      <c r="AF171" s="134">
        <f t="shared" si="44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3"/>
        <v>0.44</v>
      </c>
      <c r="D172" s="134">
        <f t="shared" si="43"/>
        <v>0.44</v>
      </c>
      <c r="E172" s="134">
        <f t="shared" si="43"/>
        <v>0.44</v>
      </c>
      <c r="F172" s="134">
        <f t="shared" si="43"/>
        <v>0.44</v>
      </c>
      <c r="G172" s="134">
        <f t="shared" si="43"/>
        <v>0.44</v>
      </c>
      <c r="H172" s="134">
        <f t="shared" si="43"/>
        <v>0.44</v>
      </c>
      <c r="I172" s="134">
        <f t="shared" si="43"/>
        <v>0.44</v>
      </c>
      <c r="J172" s="134">
        <f t="shared" si="43"/>
        <v>0.44</v>
      </c>
      <c r="K172" s="134">
        <f t="shared" si="43"/>
        <v>0.44</v>
      </c>
      <c r="L172" s="134">
        <f t="shared" si="43"/>
        <v>0.44</v>
      </c>
      <c r="M172" s="134">
        <f t="shared" si="43"/>
        <v>0.44</v>
      </c>
      <c r="N172" s="134">
        <f t="shared" si="43"/>
        <v>0.44</v>
      </c>
      <c r="O172" s="134">
        <f t="shared" si="43"/>
        <v>0.44</v>
      </c>
      <c r="P172" s="134">
        <f t="shared" si="43"/>
        <v>0.44</v>
      </c>
      <c r="Q172" s="134">
        <f t="shared" si="43"/>
        <v>0.44</v>
      </c>
      <c r="R172" s="134">
        <f t="shared" si="44"/>
        <v>0.44</v>
      </c>
      <c r="S172" s="134">
        <f t="shared" si="44"/>
        <v>0.44</v>
      </c>
      <c r="T172" s="134">
        <f t="shared" si="44"/>
        <v>0.44</v>
      </c>
      <c r="U172" s="134">
        <f t="shared" si="44"/>
        <v>0.44</v>
      </c>
      <c r="V172" s="134">
        <f t="shared" si="44"/>
        <v>0.44</v>
      </c>
      <c r="W172" s="134">
        <f t="shared" si="44"/>
        <v>0.44</v>
      </c>
      <c r="X172" s="134">
        <f t="shared" si="44"/>
        <v>0.44</v>
      </c>
      <c r="Y172" s="134">
        <f t="shared" si="44"/>
        <v>0.44</v>
      </c>
      <c r="Z172" s="134">
        <f t="shared" si="44"/>
        <v>0.44</v>
      </c>
      <c r="AA172" s="134">
        <f t="shared" si="44"/>
        <v>0.44</v>
      </c>
      <c r="AB172" s="134">
        <f t="shared" si="44"/>
        <v>0.44</v>
      </c>
      <c r="AC172" s="134">
        <f t="shared" si="44"/>
        <v>0.44</v>
      </c>
      <c r="AD172" s="134">
        <f t="shared" si="44"/>
        <v>0.44</v>
      </c>
      <c r="AE172" s="134">
        <f t="shared" si="44"/>
        <v>0.44</v>
      </c>
      <c r="AF172" s="134">
        <f t="shared" si="44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3"/>
        <v>2.1</v>
      </c>
      <c r="D173" s="134">
        <f t="shared" si="43"/>
        <v>2.1</v>
      </c>
      <c r="E173" s="134">
        <f t="shared" si="43"/>
        <v>2.1</v>
      </c>
      <c r="F173" s="134">
        <f t="shared" si="43"/>
        <v>2.1</v>
      </c>
      <c r="G173" s="134">
        <f t="shared" si="43"/>
        <v>2.1</v>
      </c>
      <c r="H173" s="134">
        <f t="shared" si="43"/>
        <v>2.1</v>
      </c>
      <c r="I173" s="134">
        <f t="shared" si="43"/>
        <v>2.1</v>
      </c>
      <c r="J173" s="134">
        <f t="shared" si="43"/>
        <v>2.1</v>
      </c>
      <c r="K173" s="134">
        <f t="shared" si="43"/>
        <v>2.1</v>
      </c>
      <c r="L173" s="134">
        <f t="shared" si="43"/>
        <v>2.1</v>
      </c>
      <c r="M173" s="134">
        <f t="shared" si="43"/>
        <v>2.1</v>
      </c>
      <c r="N173" s="134">
        <f t="shared" si="43"/>
        <v>2.1</v>
      </c>
      <c r="O173" s="134">
        <f t="shared" si="43"/>
        <v>2.1</v>
      </c>
      <c r="P173" s="134">
        <f t="shared" si="43"/>
        <v>2.1</v>
      </c>
      <c r="Q173" s="134">
        <f t="shared" si="43"/>
        <v>2.1</v>
      </c>
      <c r="R173" s="134">
        <f t="shared" si="44"/>
        <v>2.1</v>
      </c>
      <c r="S173" s="134">
        <f t="shared" si="44"/>
        <v>2.1</v>
      </c>
      <c r="T173" s="134">
        <f t="shared" si="44"/>
        <v>2.1</v>
      </c>
      <c r="U173" s="134">
        <f t="shared" si="44"/>
        <v>2.1</v>
      </c>
      <c r="V173" s="134">
        <f t="shared" si="44"/>
        <v>2.1</v>
      </c>
      <c r="W173" s="134">
        <f t="shared" si="44"/>
        <v>2.1</v>
      </c>
      <c r="X173" s="134">
        <f t="shared" si="44"/>
        <v>2.1</v>
      </c>
      <c r="Y173" s="134">
        <f t="shared" si="44"/>
        <v>2.1</v>
      </c>
      <c r="Z173" s="134">
        <f t="shared" si="44"/>
        <v>2.1</v>
      </c>
      <c r="AA173" s="134">
        <f t="shared" si="44"/>
        <v>2.1</v>
      </c>
      <c r="AB173" s="134">
        <f t="shared" si="44"/>
        <v>2.1</v>
      </c>
      <c r="AC173" s="134">
        <f t="shared" si="44"/>
        <v>2.1</v>
      </c>
      <c r="AD173" s="134">
        <f t="shared" si="44"/>
        <v>2.1</v>
      </c>
      <c r="AE173" s="134">
        <f t="shared" si="44"/>
        <v>2.1</v>
      </c>
      <c r="AF173" s="134">
        <f t="shared" si="44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3"/>
        <v>0.9</v>
      </c>
      <c r="D174" s="134">
        <f t="shared" si="43"/>
        <v>0.9</v>
      </c>
      <c r="E174" s="134">
        <f t="shared" si="43"/>
        <v>0.9</v>
      </c>
      <c r="F174" s="134">
        <f t="shared" si="43"/>
        <v>0.9</v>
      </c>
      <c r="G174" s="134">
        <f t="shared" si="43"/>
        <v>0.9</v>
      </c>
      <c r="H174" s="134">
        <f t="shared" si="43"/>
        <v>0.9</v>
      </c>
      <c r="I174" s="134">
        <f t="shared" si="43"/>
        <v>0.9</v>
      </c>
      <c r="J174" s="134">
        <f t="shared" si="43"/>
        <v>0.9</v>
      </c>
      <c r="K174" s="134">
        <f t="shared" si="43"/>
        <v>0.9</v>
      </c>
      <c r="L174" s="134">
        <f t="shared" si="43"/>
        <v>0.9</v>
      </c>
      <c r="M174" s="134">
        <f t="shared" si="43"/>
        <v>0.9</v>
      </c>
      <c r="N174" s="134">
        <f t="shared" si="43"/>
        <v>0.9</v>
      </c>
      <c r="O174" s="134">
        <f t="shared" si="43"/>
        <v>0.9</v>
      </c>
      <c r="P174" s="134">
        <f t="shared" si="43"/>
        <v>0.9</v>
      </c>
      <c r="Q174" s="134">
        <f t="shared" si="43"/>
        <v>0.9</v>
      </c>
      <c r="R174" s="134">
        <f t="shared" si="44"/>
        <v>0.9</v>
      </c>
      <c r="S174" s="134">
        <f t="shared" si="44"/>
        <v>0.9</v>
      </c>
      <c r="T174" s="134">
        <f t="shared" si="44"/>
        <v>0.9</v>
      </c>
      <c r="U174" s="134">
        <f t="shared" si="44"/>
        <v>0.9</v>
      </c>
      <c r="V174" s="134">
        <f t="shared" si="44"/>
        <v>0.9</v>
      </c>
      <c r="W174" s="134">
        <f t="shared" si="44"/>
        <v>0.9</v>
      </c>
      <c r="X174" s="134">
        <f t="shared" si="44"/>
        <v>0.9</v>
      </c>
      <c r="Y174" s="134">
        <f t="shared" si="44"/>
        <v>0.9</v>
      </c>
      <c r="Z174" s="134">
        <f t="shared" si="44"/>
        <v>0.9</v>
      </c>
      <c r="AA174" s="134">
        <f t="shared" si="44"/>
        <v>0.9</v>
      </c>
      <c r="AB174" s="134">
        <f t="shared" si="44"/>
        <v>0.9</v>
      </c>
      <c r="AC174" s="134">
        <f t="shared" si="44"/>
        <v>0.9</v>
      </c>
      <c r="AD174" s="134">
        <f t="shared" si="44"/>
        <v>0.9</v>
      </c>
      <c r="AE174" s="134">
        <f t="shared" si="44"/>
        <v>0.9</v>
      </c>
      <c r="AF174" s="134">
        <f t="shared" si="44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5">B176</f>
        <v>0.57999999999999996</v>
      </c>
      <c r="D176" s="134">
        <f t="shared" si="45"/>
        <v>0.57999999999999996</v>
      </c>
      <c r="E176" s="134">
        <f t="shared" si="45"/>
        <v>0.57999999999999996</v>
      </c>
      <c r="F176" s="134">
        <f t="shared" si="45"/>
        <v>0.57999999999999996</v>
      </c>
      <c r="G176" s="134">
        <f t="shared" si="45"/>
        <v>0.57999999999999996</v>
      </c>
      <c r="H176" s="134">
        <f t="shared" si="45"/>
        <v>0.57999999999999996</v>
      </c>
      <c r="I176" s="134">
        <f t="shared" si="45"/>
        <v>0.57999999999999996</v>
      </c>
      <c r="J176" s="134">
        <f t="shared" si="45"/>
        <v>0.57999999999999996</v>
      </c>
      <c r="K176" s="134">
        <f t="shared" si="45"/>
        <v>0.57999999999999996</v>
      </c>
      <c r="L176" s="134">
        <f t="shared" si="45"/>
        <v>0.57999999999999996</v>
      </c>
      <c r="M176" s="134">
        <f t="shared" si="45"/>
        <v>0.57999999999999996</v>
      </c>
      <c r="N176" s="134">
        <f t="shared" si="45"/>
        <v>0.57999999999999996</v>
      </c>
      <c r="O176" s="134">
        <f t="shared" si="45"/>
        <v>0.57999999999999996</v>
      </c>
      <c r="P176" s="134">
        <f t="shared" si="45"/>
        <v>0.57999999999999996</v>
      </c>
      <c r="Q176" s="134">
        <f t="shared" si="45"/>
        <v>0.57999999999999996</v>
      </c>
      <c r="R176" s="134">
        <f t="shared" si="45"/>
        <v>0.57999999999999996</v>
      </c>
      <c r="S176" s="134">
        <f t="shared" ref="R176:AF188" si="46">R176</f>
        <v>0.57999999999999996</v>
      </c>
      <c r="T176" s="134">
        <f t="shared" si="46"/>
        <v>0.57999999999999996</v>
      </c>
      <c r="U176" s="134">
        <f t="shared" si="46"/>
        <v>0.57999999999999996</v>
      </c>
      <c r="V176" s="134">
        <f t="shared" si="46"/>
        <v>0.57999999999999996</v>
      </c>
      <c r="W176" s="134">
        <f t="shared" si="46"/>
        <v>0.57999999999999996</v>
      </c>
      <c r="X176" s="134">
        <f t="shared" si="46"/>
        <v>0.57999999999999996</v>
      </c>
      <c r="Y176" s="134">
        <f t="shared" si="46"/>
        <v>0.57999999999999996</v>
      </c>
      <c r="Z176" s="134">
        <f t="shared" si="46"/>
        <v>0.57999999999999996</v>
      </c>
      <c r="AA176" s="134">
        <f t="shared" si="46"/>
        <v>0.57999999999999996</v>
      </c>
      <c r="AB176" s="134">
        <f t="shared" si="46"/>
        <v>0.57999999999999996</v>
      </c>
      <c r="AC176" s="134">
        <f t="shared" si="46"/>
        <v>0.57999999999999996</v>
      </c>
      <c r="AD176" s="134">
        <f t="shared" si="46"/>
        <v>0.57999999999999996</v>
      </c>
      <c r="AE176" s="134">
        <f t="shared" si="46"/>
        <v>0.57999999999999996</v>
      </c>
      <c r="AF176" s="134">
        <f t="shared" si="46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5"/>
        <v>0.8</v>
      </c>
      <c r="D177" s="134">
        <f t="shared" si="45"/>
        <v>0.8</v>
      </c>
      <c r="E177" s="134">
        <f t="shared" si="45"/>
        <v>0.8</v>
      </c>
      <c r="F177" s="134">
        <f t="shared" si="45"/>
        <v>0.8</v>
      </c>
      <c r="G177" s="134">
        <f t="shared" si="45"/>
        <v>0.8</v>
      </c>
      <c r="H177" s="134">
        <f t="shared" si="45"/>
        <v>0.8</v>
      </c>
      <c r="I177" s="134">
        <f t="shared" si="45"/>
        <v>0.8</v>
      </c>
      <c r="J177" s="134">
        <f t="shared" si="45"/>
        <v>0.8</v>
      </c>
      <c r="K177" s="134">
        <f t="shared" si="45"/>
        <v>0.8</v>
      </c>
      <c r="L177" s="134">
        <f t="shared" si="45"/>
        <v>0.8</v>
      </c>
      <c r="M177" s="134">
        <f t="shared" si="45"/>
        <v>0.8</v>
      </c>
      <c r="N177" s="134">
        <f t="shared" si="45"/>
        <v>0.8</v>
      </c>
      <c r="O177" s="134">
        <f t="shared" si="45"/>
        <v>0.8</v>
      </c>
      <c r="P177" s="134">
        <f t="shared" si="45"/>
        <v>0.8</v>
      </c>
      <c r="Q177" s="134">
        <f t="shared" si="45"/>
        <v>0.8</v>
      </c>
      <c r="R177" s="134">
        <f t="shared" si="45"/>
        <v>0.8</v>
      </c>
      <c r="S177" s="134">
        <f t="shared" si="46"/>
        <v>0.8</v>
      </c>
      <c r="T177" s="134">
        <f t="shared" si="46"/>
        <v>0.8</v>
      </c>
      <c r="U177" s="134">
        <f t="shared" si="46"/>
        <v>0.8</v>
      </c>
      <c r="V177" s="134">
        <f t="shared" si="46"/>
        <v>0.8</v>
      </c>
      <c r="W177" s="134">
        <f t="shared" si="46"/>
        <v>0.8</v>
      </c>
      <c r="X177" s="134">
        <f t="shared" si="46"/>
        <v>0.8</v>
      </c>
      <c r="Y177" s="134">
        <f t="shared" si="46"/>
        <v>0.8</v>
      </c>
      <c r="Z177" s="134">
        <f t="shared" si="46"/>
        <v>0.8</v>
      </c>
      <c r="AA177" s="134">
        <f t="shared" si="46"/>
        <v>0.8</v>
      </c>
      <c r="AB177" s="134">
        <f t="shared" si="46"/>
        <v>0.8</v>
      </c>
      <c r="AC177" s="134">
        <f t="shared" si="46"/>
        <v>0.8</v>
      </c>
      <c r="AD177" s="134">
        <f t="shared" si="46"/>
        <v>0.8</v>
      </c>
      <c r="AE177" s="134">
        <f t="shared" si="46"/>
        <v>0.8</v>
      </c>
      <c r="AF177" s="134">
        <f t="shared" si="46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5"/>
        <v>0</v>
      </c>
      <c r="D178" s="134">
        <f t="shared" si="45"/>
        <v>0</v>
      </c>
      <c r="E178" s="134">
        <f t="shared" si="45"/>
        <v>0</v>
      </c>
      <c r="F178" s="134">
        <f t="shared" si="45"/>
        <v>0</v>
      </c>
      <c r="G178" s="134">
        <f t="shared" si="45"/>
        <v>0</v>
      </c>
      <c r="H178" s="134">
        <f t="shared" si="45"/>
        <v>0</v>
      </c>
      <c r="I178" s="134">
        <f t="shared" si="45"/>
        <v>0</v>
      </c>
      <c r="J178" s="134">
        <f t="shared" si="45"/>
        <v>0</v>
      </c>
      <c r="K178" s="134">
        <f t="shared" si="45"/>
        <v>0</v>
      </c>
      <c r="L178" s="134">
        <f t="shared" si="45"/>
        <v>0</v>
      </c>
      <c r="M178" s="134">
        <f t="shared" si="45"/>
        <v>0</v>
      </c>
      <c r="N178" s="134">
        <f t="shared" si="45"/>
        <v>0</v>
      </c>
      <c r="O178" s="134">
        <f t="shared" si="45"/>
        <v>0</v>
      </c>
      <c r="P178" s="134">
        <f t="shared" si="45"/>
        <v>0</v>
      </c>
      <c r="Q178" s="134">
        <f t="shared" si="45"/>
        <v>0</v>
      </c>
      <c r="R178" s="134">
        <f t="shared" si="45"/>
        <v>0</v>
      </c>
      <c r="S178" s="134">
        <f t="shared" si="46"/>
        <v>0</v>
      </c>
      <c r="T178" s="134">
        <f t="shared" si="46"/>
        <v>0</v>
      </c>
      <c r="U178" s="134">
        <f t="shared" si="46"/>
        <v>0</v>
      </c>
      <c r="V178" s="134">
        <f t="shared" si="46"/>
        <v>0</v>
      </c>
      <c r="W178" s="134">
        <f t="shared" si="46"/>
        <v>0</v>
      </c>
      <c r="X178" s="134">
        <f t="shared" si="46"/>
        <v>0</v>
      </c>
      <c r="Y178" s="134">
        <f t="shared" si="46"/>
        <v>0</v>
      </c>
      <c r="Z178" s="134">
        <f t="shared" si="46"/>
        <v>0</v>
      </c>
      <c r="AA178" s="134">
        <f t="shared" si="46"/>
        <v>0</v>
      </c>
      <c r="AB178" s="134">
        <f t="shared" si="46"/>
        <v>0</v>
      </c>
      <c r="AC178" s="134">
        <f t="shared" si="46"/>
        <v>0</v>
      </c>
      <c r="AD178" s="134">
        <f t="shared" si="46"/>
        <v>0</v>
      </c>
      <c r="AE178" s="134">
        <f t="shared" si="46"/>
        <v>0</v>
      </c>
      <c r="AF178" s="134">
        <f t="shared" si="46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5"/>
        <v>0.6</v>
      </c>
      <c r="D179" s="134">
        <f t="shared" si="45"/>
        <v>0.6</v>
      </c>
      <c r="E179" s="134">
        <f t="shared" si="45"/>
        <v>0.6</v>
      </c>
      <c r="F179" s="134">
        <f t="shared" si="45"/>
        <v>0.6</v>
      </c>
      <c r="G179" s="134">
        <f t="shared" si="45"/>
        <v>0.6</v>
      </c>
      <c r="H179" s="134">
        <f t="shared" si="45"/>
        <v>0.6</v>
      </c>
      <c r="I179" s="134">
        <f t="shared" si="45"/>
        <v>0.6</v>
      </c>
      <c r="J179" s="134">
        <f t="shared" si="45"/>
        <v>0.6</v>
      </c>
      <c r="K179" s="134">
        <f t="shared" si="45"/>
        <v>0.6</v>
      </c>
      <c r="L179" s="134">
        <f t="shared" si="45"/>
        <v>0.6</v>
      </c>
      <c r="M179" s="134">
        <f t="shared" si="45"/>
        <v>0.6</v>
      </c>
      <c r="N179" s="134">
        <f t="shared" si="45"/>
        <v>0.6</v>
      </c>
      <c r="O179" s="134">
        <f t="shared" si="45"/>
        <v>0.6</v>
      </c>
      <c r="P179" s="134">
        <f t="shared" si="45"/>
        <v>0.6</v>
      </c>
      <c r="Q179" s="134">
        <f t="shared" si="45"/>
        <v>0.6</v>
      </c>
      <c r="R179" s="134">
        <f t="shared" si="45"/>
        <v>0.6</v>
      </c>
      <c r="S179" s="134">
        <f t="shared" si="46"/>
        <v>0.6</v>
      </c>
      <c r="T179" s="134">
        <f t="shared" si="46"/>
        <v>0.6</v>
      </c>
      <c r="U179" s="134">
        <f t="shared" si="46"/>
        <v>0.6</v>
      </c>
      <c r="V179" s="134">
        <f t="shared" si="46"/>
        <v>0.6</v>
      </c>
      <c r="W179" s="134">
        <f t="shared" si="46"/>
        <v>0.6</v>
      </c>
      <c r="X179" s="134">
        <f t="shared" si="46"/>
        <v>0.6</v>
      </c>
      <c r="Y179" s="134">
        <f t="shared" si="46"/>
        <v>0.6</v>
      </c>
      <c r="Z179" s="134">
        <f t="shared" si="46"/>
        <v>0.6</v>
      </c>
      <c r="AA179" s="134">
        <f t="shared" si="46"/>
        <v>0.6</v>
      </c>
      <c r="AB179" s="134">
        <f t="shared" si="46"/>
        <v>0.6</v>
      </c>
      <c r="AC179" s="134">
        <f t="shared" si="46"/>
        <v>0.6</v>
      </c>
      <c r="AD179" s="134">
        <f t="shared" si="46"/>
        <v>0.6</v>
      </c>
      <c r="AE179" s="134">
        <f t="shared" si="46"/>
        <v>0.6</v>
      </c>
      <c r="AF179" s="134">
        <f t="shared" si="46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5"/>
        <v>0.6</v>
      </c>
      <c r="D180" s="134">
        <f t="shared" si="45"/>
        <v>0.6</v>
      </c>
      <c r="E180" s="134">
        <f t="shared" si="45"/>
        <v>0.6</v>
      </c>
      <c r="F180" s="134">
        <f t="shared" si="45"/>
        <v>0.6</v>
      </c>
      <c r="G180" s="134">
        <f t="shared" si="45"/>
        <v>0.6</v>
      </c>
      <c r="H180" s="134">
        <f t="shared" si="45"/>
        <v>0.6</v>
      </c>
      <c r="I180" s="134">
        <f t="shared" si="45"/>
        <v>0.6</v>
      </c>
      <c r="J180" s="134">
        <f t="shared" si="45"/>
        <v>0.6</v>
      </c>
      <c r="K180" s="134">
        <f t="shared" si="45"/>
        <v>0.6</v>
      </c>
      <c r="L180" s="134">
        <f t="shared" si="45"/>
        <v>0.6</v>
      </c>
      <c r="M180" s="134">
        <f t="shared" si="45"/>
        <v>0.6</v>
      </c>
      <c r="N180" s="134">
        <f t="shared" si="45"/>
        <v>0.6</v>
      </c>
      <c r="O180" s="134">
        <f t="shared" si="45"/>
        <v>0.6</v>
      </c>
      <c r="P180" s="134">
        <f t="shared" si="45"/>
        <v>0.6</v>
      </c>
      <c r="Q180" s="134">
        <f t="shared" si="45"/>
        <v>0.6</v>
      </c>
      <c r="R180" s="134">
        <f t="shared" si="45"/>
        <v>0.6</v>
      </c>
      <c r="S180" s="134">
        <f t="shared" si="46"/>
        <v>0.6</v>
      </c>
      <c r="T180" s="134">
        <f t="shared" si="46"/>
        <v>0.6</v>
      </c>
      <c r="U180" s="134">
        <f t="shared" si="46"/>
        <v>0.6</v>
      </c>
      <c r="V180" s="134">
        <f t="shared" si="46"/>
        <v>0.6</v>
      </c>
      <c r="W180" s="134">
        <f t="shared" si="46"/>
        <v>0.6</v>
      </c>
      <c r="X180" s="134">
        <f t="shared" si="46"/>
        <v>0.6</v>
      </c>
      <c r="Y180" s="134">
        <f t="shared" si="46"/>
        <v>0.6</v>
      </c>
      <c r="Z180" s="134">
        <f t="shared" si="46"/>
        <v>0.6</v>
      </c>
      <c r="AA180" s="134">
        <f t="shared" si="46"/>
        <v>0.6</v>
      </c>
      <c r="AB180" s="134">
        <f t="shared" si="46"/>
        <v>0.6</v>
      </c>
      <c r="AC180" s="134">
        <f t="shared" si="46"/>
        <v>0.6</v>
      </c>
      <c r="AD180" s="134">
        <f t="shared" si="46"/>
        <v>0.6</v>
      </c>
      <c r="AE180" s="134">
        <f t="shared" si="46"/>
        <v>0.6</v>
      </c>
      <c r="AF180" s="134">
        <f t="shared" si="46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5"/>
        <v>0.35</v>
      </c>
      <c r="D181" s="134">
        <f t="shared" si="45"/>
        <v>0.35</v>
      </c>
      <c r="E181" s="134">
        <f t="shared" si="45"/>
        <v>0.35</v>
      </c>
      <c r="F181" s="134">
        <f t="shared" si="45"/>
        <v>0.35</v>
      </c>
      <c r="G181" s="134">
        <f t="shared" si="45"/>
        <v>0.35</v>
      </c>
      <c r="H181" s="134">
        <f t="shared" si="45"/>
        <v>0.35</v>
      </c>
      <c r="I181" s="134">
        <f t="shared" si="45"/>
        <v>0.35</v>
      </c>
      <c r="J181" s="134">
        <f t="shared" si="45"/>
        <v>0.35</v>
      </c>
      <c r="K181" s="134">
        <f t="shared" si="45"/>
        <v>0.35</v>
      </c>
      <c r="L181" s="134">
        <f t="shared" si="45"/>
        <v>0.35</v>
      </c>
      <c r="M181" s="134">
        <f t="shared" si="45"/>
        <v>0.35</v>
      </c>
      <c r="N181" s="134">
        <f t="shared" si="45"/>
        <v>0.35</v>
      </c>
      <c r="O181" s="134">
        <f t="shared" si="45"/>
        <v>0.35</v>
      </c>
      <c r="P181" s="134">
        <f t="shared" si="45"/>
        <v>0.35</v>
      </c>
      <c r="Q181" s="134">
        <f t="shared" si="45"/>
        <v>0.35</v>
      </c>
      <c r="R181" s="134">
        <f t="shared" si="45"/>
        <v>0.35</v>
      </c>
      <c r="S181" s="134">
        <f t="shared" si="46"/>
        <v>0.35</v>
      </c>
      <c r="T181" s="134">
        <f t="shared" si="46"/>
        <v>0.35</v>
      </c>
      <c r="U181" s="134">
        <f t="shared" si="46"/>
        <v>0.35</v>
      </c>
      <c r="V181" s="134">
        <f t="shared" si="46"/>
        <v>0.35</v>
      </c>
      <c r="W181" s="134">
        <f t="shared" si="46"/>
        <v>0.35</v>
      </c>
      <c r="X181" s="134">
        <f t="shared" si="46"/>
        <v>0.35</v>
      </c>
      <c r="Y181" s="134">
        <f t="shared" si="46"/>
        <v>0.35</v>
      </c>
      <c r="Z181" s="134">
        <f t="shared" si="46"/>
        <v>0.35</v>
      </c>
      <c r="AA181" s="134">
        <f t="shared" si="46"/>
        <v>0.35</v>
      </c>
      <c r="AB181" s="134">
        <f t="shared" si="46"/>
        <v>0.35</v>
      </c>
      <c r="AC181" s="134">
        <f t="shared" si="46"/>
        <v>0.35</v>
      </c>
      <c r="AD181" s="134">
        <f t="shared" si="46"/>
        <v>0.35</v>
      </c>
      <c r="AE181" s="134">
        <f t="shared" si="46"/>
        <v>0.35</v>
      </c>
      <c r="AF181" s="134">
        <f t="shared" si="46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5"/>
        <v>0.28999999999999998</v>
      </c>
      <c r="D182" s="134">
        <f t="shared" si="45"/>
        <v>0.28999999999999998</v>
      </c>
      <c r="E182" s="134">
        <f t="shared" si="45"/>
        <v>0.28999999999999998</v>
      </c>
      <c r="F182" s="134">
        <f t="shared" si="45"/>
        <v>0.28999999999999998</v>
      </c>
      <c r="G182" s="134">
        <f t="shared" si="45"/>
        <v>0.28999999999999998</v>
      </c>
      <c r="H182" s="134">
        <f t="shared" si="45"/>
        <v>0.28999999999999998</v>
      </c>
      <c r="I182" s="134">
        <f t="shared" si="45"/>
        <v>0.28999999999999998</v>
      </c>
      <c r="J182" s="134">
        <f t="shared" si="45"/>
        <v>0.28999999999999998</v>
      </c>
      <c r="K182" s="134">
        <f t="shared" si="45"/>
        <v>0.28999999999999998</v>
      </c>
      <c r="L182" s="134">
        <f t="shared" si="45"/>
        <v>0.28999999999999998</v>
      </c>
      <c r="M182" s="134">
        <f t="shared" si="45"/>
        <v>0.28999999999999998</v>
      </c>
      <c r="N182" s="134">
        <f t="shared" si="45"/>
        <v>0.28999999999999998</v>
      </c>
      <c r="O182" s="134">
        <f t="shared" si="45"/>
        <v>0.28999999999999998</v>
      </c>
      <c r="P182" s="134">
        <f t="shared" si="45"/>
        <v>0.28999999999999998</v>
      </c>
      <c r="Q182" s="134">
        <f t="shared" si="45"/>
        <v>0.28999999999999998</v>
      </c>
      <c r="R182" s="134">
        <f t="shared" si="45"/>
        <v>0.28999999999999998</v>
      </c>
      <c r="S182" s="134">
        <f t="shared" si="46"/>
        <v>0.28999999999999998</v>
      </c>
      <c r="T182" s="134">
        <f t="shared" si="46"/>
        <v>0.28999999999999998</v>
      </c>
      <c r="U182" s="134">
        <f t="shared" si="46"/>
        <v>0.28999999999999998</v>
      </c>
      <c r="V182" s="134">
        <f t="shared" si="46"/>
        <v>0.28999999999999998</v>
      </c>
      <c r="W182" s="134">
        <f t="shared" si="46"/>
        <v>0.28999999999999998</v>
      </c>
      <c r="X182" s="134">
        <f t="shared" si="46"/>
        <v>0.28999999999999998</v>
      </c>
      <c r="Y182" s="134">
        <f t="shared" si="46"/>
        <v>0.28999999999999998</v>
      </c>
      <c r="Z182" s="134">
        <f t="shared" si="46"/>
        <v>0.28999999999999998</v>
      </c>
      <c r="AA182" s="134">
        <f t="shared" si="46"/>
        <v>0.28999999999999998</v>
      </c>
      <c r="AB182" s="134">
        <f t="shared" si="46"/>
        <v>0.28999999999999998</v>
      </c>
      <c r="AC182" s="134">
        <f t="shared" si="46"/>
        <v>0.28999999999999998</v>
      </c>
      <c r="AD182" s="134">
        <f t="shared" si="46"/>
        <v>0.28999999999999998</v>
      </c>
      <c r="AE182" s="134">
        <f t="shared" si="46"/>
        <v>0.28999999999999998</v>
      </c>
      <c r="AF182" s="134">
        <f t="shared" si="46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5"/>
        <v>0.06</v>
      </c>
      <c r="D183" s="134">
        <f t="shared" si="45"/>
        <v>0.06</v>
      </c>
      <c r="E183" s="134">
        <f t="shared" si="45"/>
        <v>0.06</v>
      </c>
      <c r="F183" s="134">
        <f t="shared" si="45"/>
        <v>0.06</v>
      </c>
      <c r="G183" s="134">
        <f t="shared" si="45"/>
        <v>0.06</v>
      </c>
      <c r="H183" s="134">
        <f t="shared" si="45"/>
        <v>0.06</v>
      </c>
      <c r="I183" s="134">
        <f t="shared" si="45"/>
        <v>0.06</v>
      </c>
      <c r="J183" s="134">
        <f t="shared" si="45"/>
        <v>0.06</v>
      </c>
      <c r="K183" s="134">
        <f t="shared" si="45"/>
        <v>0.06</v>
      </c>
      <c r="L183" s="134">
        <f t="shared" si="45"/>
        <v>0.06</v>
      </c>
      <c r="M183" s="134">
        <f t="shared" si="45"/>
        <v>0.06</v>
      </c>
      <c r="N183" s="134">
        <f t="shared" si="45"/>
        <v>0.06</v>
      </c>
      <c r="O183" s="134">
        <f t="shared" si="45"/>
        <v>0.06</v>
      </c>
      <c r="P183" s="134">
        <f t="shared" si="45"/>
        <v>0.06</v>
      </c>
      <c r="Q183" s="134">
        <f t="shared" si="45"/>
        <v>0.06</v>
      </c>
      <c r="R183" s="134">
        <f t="shared" si="45"/>
        <v>0.06</v>
      </c>
      <c r="S183" s="134">
        <f t="shared" si="46"/>
        <v>0.06</v>
      </c>
      <c r="T183" s="134">
        <f t="shared" si="46"/>
        <v>0.06</v>
      </c>
      <c r="U183" s="134">
        <f t="shared" si="46"/>
        <v>0.06</v>
      </c>
      <c r="V183" s="134">
        <f t="shared" si="46"/>
        <v>0.06</v>
      </c>
      <c r="W183" s="134">
        <f t="shared" si="46"/>
        <v>0.06</v>
      </c>
      <c r="X183" s="134">
        <f t="shared" si="46"/>
        <v>0.06</v>
      </c>
      <c r="Y183" s="134">
        <f t="shared" si="46"/>
        <v>0.06</v>
      </c>
      <c r="Z183" s="134">
        <f t="shared" si="46"/>
        <v>0.06</v>
      </c>
      <c r="AA183" s="134">
        <f t="shared" si="46"/>
        <v>0.06</v>
      </c>
      <c r="AB183" s="134">
        <f t="shared" si="46"/>
        <v>0.06</v>
      </c>
      <c r="AC183" s="134">
        <f t="shared" si="46"/>
        <v>0.06</v>
      </c>
      <c r="AD183" s="134">
        <f t="shared" si="46"/>
        <v>0.06</v>
      </c>
      <c r="AE183" s="134">
        <f t="shared" si="46"/>
        <v>0.06</v>
      </c>
      <c r="AF183" s="134">
        <f t="shared" si="46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5"/>
        <v>0.11</v>
      </c>
      <c r="D184" s="134">
        <f t="shared" si="45"/>
        <v>0.11</v>
      </c>
      <c r="E184" s="134">
        <f t="shared" si="45"/>
        <v>0.11</v>
      </c>
      <c r="F184" s="134">
        <f t="shared" si="45"/>
        <v>0.11</v>
      </c>
      <c r="G184" s="134">
        <f t="shared" si="45"/>
        <v>0.11</v>
      </c>
      <c r="H184" s="134">
        <f t="shared" si="45"/>
        <v>0.11</v>
      </c>
      <c r="I184" s="134">
        <f t="shared" si="45"/>
        <v>0.11</v>
      </c>
      <c r="J184" s="134">
        <f t="shared" si="45"/>
        <v>0.11</v>
      </c>
      <c r="K184" s="134">
        <f t="shared" si="45"/>
        <v>0.11</v>
      </c>
      <c r="L184" s="134">
        <f t="shared" si="45"/>
        <v>0.11</v>
      </c>
      <c r="M184" s="134">
        <f t="shared" si="45"/>
        <v>0.11</v>
      </c>
      <c r="N184" s="134">
        <f t="shared" si="45"/>
        <v>0.11</v>
      </c>
      <c r="O184" s="134">
        <f t="shared" si="45"/>
        <v>0.11</v>
      </c>
      <c r="P184" s="134">
        <f t="shared" si="45"/>
        <v>0.11</v>
      </c>
      <c r="Q184" s="134">
        <f t="shared" si="45"/>
        <v>0.11</v>
      </c>
      <c r="R184" s="134">
        <f t="shared" si="45"/>
        <v>0.11</v>
      </c>
      <c r="S184" s="134">
        <f t="shared" si="46"/>
        <v>0.11</v>
      </c>
      <c r="T184" s="134">
        <f t="shared" si="46"/>
        <v>0.11</v>
      </c>
      <c r="U184" s="134">
        <f t="shared" si="46"/>
        <v>0.11</v>
      </c>
      <c r="V184" s="134">
        <f t="shared" si="46"/>
        <v>0.11</v>
      </c>
      <c r="W184" s="134">
        <f t="shared" si="46"/>
        <v>0.11</v>
      </c>
      <c r="X184" s="134">
        <f t="shared" si="46"/>
        <v>0.11</v>
      </c>
      <c r="Y184" s="134">
        <f t="shared" si="46"/>
        <v>0.11</v>
      </c>
      <c r="Z184" s="134">
        <f t="shared" si="46"/>
        <v>0.11</v>
      </c>
      <c r="AA184" s="134">
        <f t="shared" si="46"/>
        <v>0.11</v>
      </c>
      <c r="AB184" s="134">
        <f t="shared" si="46"/>
        <v>0.11</v>
      </c>
      <c r="AC184" s="134">
        <f t="shared" si="46"/>
        <v>0.11</v>
      </c>
      <c r="AD184" s="134">
        <f t="shared" si="46"/>
        <v>0.11</v>
      </c>
      <c r="AE184" s="134">
        <f t="shared" si="46"/>
        <v>0.11</v>
      </c>
      <c r="AF184" s="134">
        <f t="shared" si="46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5"/>
        <v>0.1</v>
      </c>
      <c r="D185" s="134">
        <f t="shared" si="45"/>
        <v>0.1</v>
      </c>
      <c r="E185" s="134">
        <f t="shared" si="45"/>
        <v>0.1</v>
      </c>
      <c r="F185" s="134">
        <f t="shared" si="45"/>
        <v>0.1</v>
      </c>
      <c r="G185" s="134">
        <f t="shared" si="45"/>
        <v>0.1</v>
      </c>
      <c r="H185" s="134">
        <f t="shared" si="45"/>
        <v>0.1</v>
      </c>
      <c r="I185" s="134">
        <f t="shared" si="45"/>
        <v>0.1</v>
      </c>
      <c r="J185" s="134">
        <f t="shared" si="45"/>
        <v>0.1</v>
      </c>
      <c r="K185" s="134">
        <f t="shared" si="45"/>
        <v>0.1</v>
      </c>
      <c r="L185" s="134">
        <f t="shared" si="45"/>
        <v>0.1</v>
      </c>
      <c r="M185" s="134">
        <f t="shared" si="45"/>
        <v>0.1</v>
      </c>
      <c r="N185" s="134">
        <f t="shared" si="45"/>
        <v>0.1</v>
      </c>
      <c r="O185" s="134">
        <f t="shared" si="45"/>
        <v>0.1</v>
      </c>
      <c r="P185" s="134">
        <f t="shared" si="45"/>
        <v>0.1</v>
      </c>
      <c r="Q185" s="134">
        <f t="shared" si="45"/>
        <v>0.1</v>
      </c>
      <c r="R185" s="134">
        <f t="shared" si="46"/>
        <v>0.1</v>
      </c>
      <c r="S185" s="134">
        <f t="shared" si="46"/>
        <v>0.1</v>
      </c>
      <c r="T185" s="134">
        <f t="shared" si="46"/>
        <v>0.1</v>
      </c>
      <c r="U185" s="134">
        <f t="shared" si="46"/>
        <v>0.1</v>
      </c>
      <c r="V185" s="134">
        <f t="shared" si="46"/>
        <v>0.1</v>
      </c>
      <c r="W185" s="134">
        <f t="shared" si="46"/>
        <v>0.1</v>
      </c>
      <c r="X185" s="134">
        <f t="shared" si="46"/>
        <v>0.1</v>
      </c>
      <c r="Y185" s="134">
        <f t="shared" si="46"/>
        <v>0.1</v>
      </c>
      <c r="Z185" s="134">
        <f t="shared" si="46"/>
        <v>0.1</v>
      </c>
      <c r="AA185" s="134">
        <f t="shared" si="46"/>
        <v>0.1</v>
      </c>
      <c r="AB185" s="134">
        <f t="shared" si="46"/>
        <v>0.1</v>
      </c>
      <c r="AC185" s="134">
        <f t="shared" si="46"/>
        <v>0.1</v>
      </c>
      <c r="AD185" s="134">
        <f t="shared" si="46"/>
        <v>0.1</v>
      </c>
      <c r="AE185" s="134">
        <f t="shared" si="46"/>
        <v>0.1</v>
      </c>
      <c r="AF185" s="134">
        <f t="shared" si="46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5"/>
        <v>0.09</v>
      </c>
      <c r="D186" s="134">
        <f t="shared" si="45"/>
        <v>0.09</v>
      </c>
      <c r="E186" s="134">
        <f t="shared" si="45"/>
        <v>0.09</v>
      </c>
      <c r="F186" s="134">
        <f t="shared" si="45"/>
        <v>0.09</v>
      </c>
      <c r="G186" s="134">
        <f t="shared" si="45"/>
        <v>0.09</v>
      </c>
      <c r="H186" s="134">
        <f t="shared" si="45"/>
        <v>0.09</v>
      </c>
      <c r="I186" s="134">
        <f t="shared" si="45"/>
        <v>0.09</v>
      </c>
      <c r="J186" s="134">
        <f t="shared" si="45"/>
        <v>0.09</v>
      </c>
      <c r="K186" s="134">
        <f t="shared" si="45"/>
        <v>0.09</v>
      </c>
      <c r="L186" s="134">
        <f t="shared" si="45"/>
        <v>0.09</v>
      </c>
      <c r="M186" s="134">
        <f t="shared" si="45"/>
        <v>0.09</v>
      </c>
      <c r="N186" s="134">
        <f t="shared" si="45"/>
        <v>0.09</v>
      </c>
      <c r="O186" s="134">
        <f t="shared" si="45"/>
        <v>0.09</v>
      </c>
      <c r="P186" s="134">
        <f t="shared" si="45"/>
        <v>0.09</v>
      </c>
      <c r="Q186" s="134">
        <f t="shared" si="45"/>
        <v>0.09</v>
      </c>
      <c r="R186" s="134">
        <f t="shared" si="46"/>
        <v>0.09</v>
      </c>
      <c r="S186" s="134">
        <f t="shared" si="46"/>
        <v>0.09</v>
      </c>
      <c r="T186" s="134">
        <f t="shared" si="46"/>
        <v>0.09</v>
      </c>
      <c r="U186" s="134">
        <f t="shared" si="46"/>
        <v>0.09</v>
      </c>
      <c r="V186" s="134">
        <f t="shared" si="46"/>
        <v>0.09</v>
      </c>
      <c r="W186" s="134">
        <f t="shared" si="46"/>
        <v>0.09</v>
      </c>
      <c r="X186" s="134">
        <f t="shared" si="46"/>
        <v>0.09</v>
      </c>
      <c r="Y186" s="134">
        <f t="shared" si="46"/>
        <v>0.09</v>
      </c>
      <c r="Z186" s="134">
        <f t="shared" si="46"/>
        <v>0.09</v>
      </c>
      <c r="AA186" s="134">
        <f t="shared" si="46"/>
        <v>0.09</v>
      </c>
      <c r="AB186" s="134">
        <f t="shared" si="46"/>
        <v>0.09</v>
      </c>
      <c r="AC186" s="134">
        <f t="shared" si="46"/>
        <v>0.09</v>
      </c>
      <c r="AD186" s="134">
        <f t="shared" si="46"/>
        <v>0.09</v>
      </c>
      <c r="AE186" s="134">
        <f t="shared" si="46"/>
        <v>0.09</v>
      </c>
      <c r="AF186" s="134">
        <f t="shared" si="46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5"/>
        <v>0.04</v>
      </c>
      <c r="D187" s="134">
        <f t="shared" si="45"/>
        <v>0.04</v>
      </c>
      <c r="E187" s="134">
        <f t="shared" si="45"/>
        <v>0.04</v>
      </c>
      <c r="F187" s="134">
        <f t="shared" si="45"/>
        <v>0.04</v>
      </c>
      <c r="G187" s="134">
        <f t="shared" si="45"/>
        <v>0.04</v>
      </c>
      <c r="H187" s="134">
        <f t="shared" si="45"/>
        <v>0.04</v>
      </c>
      <c r="I187" s="134">
        <f t="shared" si="45"/>
        <v>0.04</v>
      </c>
      <c r="J187" s="134">
        <f t="shared" si="45"/>
        <v>0.04</v>
      </c>
      <c r="K187" s="134">
        <f t="shared" si="45"/>
        <v>0.04</v>
      </c>
      <c r="L187" s="134">
        <f t="shared" si="45"/>
        <v>0.04</v>
      </c>
      <c r="M187" s="134">
        <f t="shared" si="45"/>
        <v>0.04</v>
      </c>
      <c r="N187" s="134">
        <f t="shared" si="45"/>
        <v>0.04</v>
      </c>
      <c r="O187" s="134">
        <f t="shared" si="45"/>
        <v>0.04</v>
      </c>
      <c r="P187" s="134">
        <f t="shared" si="45"/>
        <v>0.04</v>
      </c>
      <c r="Q187" s="134">
        <f t="shared" si="45"/>
        <v>0.04</v>
      </c>
      <c r="R187" s="134">
        <f t="shared" si="46"/>
        <v>0.04</v>
      </c>
      <c r="S187" s="134">
        <f t="shared" si="46"/>
        <v>0.04</v>
      </c>
      <c r="T187" s="134">
        <f t="shared" si="46"/>
        <v>0.04</v>
      </c>
      <c r="U187" s="134">
        <f t="shared" si="46"/>
        <v>0.04</v>
      </c>
      <c r="V187" s="134">
        <f t="shared" si="46"/>
        <v>0.04</v>
      </c>
      <c r="W187" s="134">
        <f t="shared" si="46"/>
        <v>0.04</v>
      </c>
      <c r="X187" s="134">
        <f t="shared" si="46"/>
        <v>0.04</v>
      </c>
      <c r="Y187" s="134">
        <f t="shared" si="46"/>
        <v>0.04</v>
      </c>
      <c r="Z187" s="134">
        <f t="shared" si="46"/>
        <v>0.04</v>
      </c>
      <c r="AA187" s="134">
        <f t="shared" si="46"/>
        <v>0.04</v>
      </c>
      <c r="AB187" s="134">
        <f t="shared" si="46"/>
        <v>0.04</v>
      </c>
      <c r="AC187" s="134">
        <f t="shared" si="46"/>
        <v>0.04</v>
      </c>
      <c r="AD187" s="134">
        <f t="shared" si="46"/>
        <v>0.04</v>
      </c>
      <c r="AE187" s="134">
        <f t="shared" si="46"/>
        <v>0.04</v>
      </c>
      <c r="AF187" s="134">
        <f t="shared" si="46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5"/>
        <v>2.3E-2</v>
      </c>
      <c r="E188" s="134">
        <f t="shared" si="45"/>
        <v>2.3E-2</v>
      </c>
      <c r="F188" s="134">
        <f t="shared" si="45"/>
        <v>2.3E-2</v>
      </c>
      <c r="G188" s="134">
        <f t="shared" si="45"/>
        <v>2.3E-2</v>
      </c>
      <c r="H188" s="134">
        <f t="shared" si="45"/>
        <v>2.3E-2</v>
      </c>
      <c r="I188" s="134">
        <f t="shared" si="45"/>
        <v>2.3E-2</v>
      </c>
      <c r="J188" s="134">
        <f t="shared" si="45"/>
        <v>2.3E-2</v>
      </c>
      <c r="K188" s="134">
        <f t="shared" si="45"/>
        <v>2.3E-2</v>
      </c>
      <c r="L188" s="134">
        <f t="shared" si="45"/>
        <v>2.3E-2</v>
      </c>
      <c r="M188" s="134">
        <f t="shared" si="45"/>
        <v>2.3E-2</v>
      </c>
      <c r="N188" s="134">
        <f t="shared" si="45"/>
        <v>2.3E-2</v>
      </c>
      <c r="O188" s="134">
        <f t="shared" si="45"/>
        <v>2.3E-2</v>
      </c>
      <c r="P188" s="134">
        <f t="shared" si="45"/>
        <v>2.3E-2</v>
      </c>
      <c r="Q188" s="134">
        <f t="shared" si="45"/>
        <v>2.3E-2</v>
      </c>
      <c r="R188" s="134">
        <f t="shared" si="46"/>
        <v>2.3E-2</v>
      </c>
      <c r="S188" s="134">
        <f t="shared" si="46"/>
        <v>2.3E-2</v>
      </c>
      <c r="T188" s="134">
        <f t="shared" si="46"/>
        <v>2.3E-2</v>
      </c>
      <c r="U188" s="134">
        <f t="shared" si="46"/>
        <v>2.3E-2</v>
      </c>
      <c r="V188" s="134">
        <f t="shared" si="46"/>
        <v>2.3E-2</v>
      </c>
      <c r="W188" s="134">
        <f t="shared" si="46"/>
        <v>2.3E-2</v>
      </c>
      <c r="X188" s="134">
        <f t="shared" si="46"/>
        <v>2.3E-2</v>
      </c>
      <c r="Y188" s="134">
        <f t="shared" si="46"/>
        <v>2.3E-2</v>
      </c>
      <c r="Z188" s="134">
        <f t="shared" si="46"/>
        <v>2.3E-2</v>
      </c>
      <c r="AA188" s="134">
        <f t="shared" si="46"/>
        <v>2.3E-2</v>
      </c>
      <c r="AB188" s="134">
        <f t="shared" si="46"/>
        <v>2.3E-2</v>
      </c>
      <c r="AC188" s="134">
        <f t="shared" si="46"/>
        <v>2.3E-2</v>
      </c>
      <c r="AD188" s="134">
        <f t="shared" si="46"/>
        <v>2.3E-2</v>
      </c>
      <c r="AE188" s="134">
        <f t="shared" si="46"/>
        <v>2.3E-2</v>
      </c>
      <c r="AF188" s="134">
        <f t="shared" si="46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7">SUM(B99:B188)</f>
        <v>194.70600000000002</v>
      </c>
      <c r="C189" s="138">
        <f t="shared" si="47"/>
        <v>194.70600000000002</v>
      </c>
      <c r="D189" s="138">
        <f t="shared" si="47"/>
        <v>194.70600000000002</v>
      </c>
      <c r="E189" s="138">
        <f t="shared" si="47"/>
        <v>194.70600000000002</v>
      </c>
      <c r="F189" s="138">
        <f t="shared" si="47"/>
        <v>194.70600000000002</v>
      </c>
      <c r="G189" s="138">
        <f t="shared" si="47"/>
        <v>194.70600000000002</v>
      </c>
      <c r="H189" s="138">
        <f t="shared" si="47"/>
        <v>194.70600000000002</v>
      </c>
      <c r="I189" s="138">
        <f t="shared" si="47"/>
        <v>192.10600000000005</v>
      </c>
      <c r="J189" s="138">
        <f t="shared" si="47"/>
        <v>192.10600000000005</v>
      </c>
      <c r="K189" s="138">
        <f t="shared" si="47"/>
        <v>192.10600000000005</v>
      </c>
      <c r="L189" s="138">
        <f t="shared" si="47"/>
        <v>192.10600000000005</v>
      </c>
      <c r="M189" s="138">
        <f t="shared" si="47"/>
        <v>192.10600000000005</v>
      </c>
      <c r="N189" s="138">
        <f t="shared" si="47"/>
        <v>192.10600000000005</v>
      </c>
      <c r="O189" s="138">
        <f t="shared" si="47"/>
        <v>192.10600000000005</v>
      </c>
      <c r="P189" s="138">
        <f t="shared" si="47"/>
        <v>192.10600000000005</v>
      </c>
      <c r="Q189" s="138">
        <f t="shared" si="47"/>
        <v>192.10600000000005</v>
      </c>
      <c r="R189" s="138">
        <f t="shared" si="47"/>
        <v>192.10600000000005</v>
      </c>
      <c r="S189" s="138">
        <f t="shared" si="47"/>
        <v>192.10600000000005</v>
      </c>
      <c r="T189" s="138">
        <f t="shared" si="47"/>
        <v>192.10600000000005</v>
      </c>
      <c r="U189" s="138">
        <f t="shared" si="47"/>
        <v>192.10600000000005</v>
      </c>
      <c r="V189" s="138">
        <f t="shared" si="47"/>
        <v>192.10600000000005</v>
      </c>
      <c r="W189" s="138">
        <f t="shared" si="47"/>
        <v>192.10600000000005</v>
      </c>
      <c r="X189" s="138">
        <f t="shared" si="47"/>
        <v>192.10600000000005</v>
      </c>
      <c r="Y189" s="138">
        <f t="shared" si="47"/>
        <v>192.10600000000005</v>
      </c>
      <c r="Z189" s="138">
        <f t="shared" si="47"/>
        <v>192.10600000000005</v>
      </c>
      <c r="AA189" s="138">
        <f t="shared" si="47"/>
        <v>192.10600000000005</v>
      </c>
      <c r="AB189" s="138">
        <f t="shared" si="47"/>
        <v>192.10600000000005</v>
      </c>
      <c r="AC189" s="138">
        <f t="shared" si="47"/>
        <v>192.10600000000005</v>
      </c>
      <c r="AD189" s="138">
        <f t="shared" si="47"/>
        <v>192.10600000000005</v>
      </c>
      <c r="AE189" s="138">
        <f t="shared" si="47"/>
        <v>192.10600000000005</v>
      </c>
      <c r="AF189" s="138">
        <f t="shared" si="47"/>
        <v>192.10600000000005</v>
      </c>
      <c r="AG189" s="139">
        <f t="shared" si="47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8">B191</f>
        <v>0.3</v>
      </c>
      <c r="D191" s="140">
        <f t="shared" si="48"/>
        <v>0.3</v>
      </c>
      <c r="E191" s="140">
        <f t="shared" si="48"/>
        <v>0.3</v>
      </c>
      <c r="F191" s="140">
        <f t="shared" si="48"/>
        <v>0.3</v>
      </c>
      <c r="G191" s="140">
        <f t="shared" si="48"/>
        <v>0.3</v>
      </c>
      <c r="H191" s="140">
        <f t="shared" si="48"/>
        <v>0.3</v>
      </c>
      <c r="I191" s="140">
        <f t="shared" si="48"/>
        <v>0.3</v>
      </c>
      <c r="J191" s="140">
        <f t="shared" si="48"/>
        <v>0.3</v>
      </c>
      <c r="K191" s="140">
        <f t="shared" si="48"/>
        <v>0.3</v>
      </c>
      <c r="L191" s="140">
        <f t="shared" si="48"/>
        <v>0.3</v>
      </c>
      <c r="M191" s="140">
        <f t="shared" si="48"/>
        <v>0.3</v>
      </c>
      <c r="N191" s="140">
        <f t="shared" si="48"/>
        <v>0.3</v>
      </c>
      <c r="O191" s="140">
        <f t="shared" si="48"/>
        <v>0.3</v>
      </c>
      <c r="P191" s="140">
        <f t="shared" si="48"/>
        <v>0.3</v>
      </c>
      <c r="Q191" s="140">
        <f t="shared" si="48"/>
        <v>0.3</v>
      </c>
      <c r="R191" s="140">
        <f t="shared" si="48"/>
        <v>0.3</v>
      </c>
      <c r="S191" s="140">
        <f t="shared" ref="S191:AF196" si="49">R191</f>
        <v>0.3</v>
      </c>
      <c r="T191" s="140">
        <f t="shared" si="49"/>
        <v>0.3</v>
      </c>
      <c r="U191" s="140">
        <f t="shared" si="49"/>
        <v>0.3</v>
      </c>
      <c r="V191" s="140">
        <f t="shared" si="49"/>
        <v>0.3</v>
      </c>
      <c r="W191" s="140">
        <f t="shared" si="49"/>
        <v>0.3</v>
      </c>
      <c r="X191" s="140">
        <f t="shared" si="49"/>
        <v>0.3</v>
      </c>
      <c r="Y191" s="140">
        <f t="shared" si="49"/>
        <v>0.3</v>
      </c>
      <c r="Z191" s="140">
        <f t="shared" si="49"/>
        <v>0.3</v>
      </c>
      <c r="AA191" s="140">
        <f t="shared" si="49"/>
        <v>0.3</v>
      </c>
      <c r="AB191" s="140">
        <f t="shared" si="49"/>
        <v>0.3</v>
      </c>
      <c r="AC191" s="140">
        <f t="shared" si="49"/>
        <v>0.3</v>
      </c>
      <c r="AD191" s="140">
        <f t="shared" si="49"/>
        <v>0.3</v>
      </c>
      <c r="AE191" s="140">
        <f t="shared" si="49"/>
        <v>0.3</v>
      </c>
      <c r="AF191" s="140">
        <f t="shared" si="49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8"/>
        <v>0.4</v>
      </c>
      <c r="D192" s="134">
        <f t="shared" si="48"/>
        <v>0.4</v>
      </c>
      <c r="E192" s="134">
        <f t="shared" si="48"/>
        <v>0.4</v>
      </c>
      <c r="F192" s="134">
        <f t="shared" si="48"/>
        <v>0.4</v>
      </c>
      <c r="G192" s="134">
        <f t="shared" si="48"/>
        <v>0.4</v>
      </c>
      <c r="H192" s="134">
        <f t="shared" si="48"/>
        <v>0.4</v>
      </c>
      <c r="I192" s="134">
        <f t="shared" si="48"/>
        <v>0.4</v>
      </c>
      <c r="J192" s="134">
        <f t="shared" si="48"/>
        <v>0.4</v>
      </c>
      <c r="K192" s="134">
        <f t="shared" si="48"/>
        <v>0.4</v>
      </c>
      <c r="L192" s="134">
        <f t="shared" si="48"/>
        <v>0.4</v>
      </c>
      <c r="M192" s="134">
        <f t="shared" si="48"/>
        <v>0.4</v>
      </c>
      <c r="N192" s="134">
        <f t="shared" si="48"/>
        <v>0.4</v>
      </c>
      <c r="O192" s="134">
        <f t="shared" si="48"/>
        <v>0.4</v>
      </c>
      <c r="P192" s="134">
        <f t="shared" si="48"/>
        <v>0.4</v>
      </c>
      <c r="Q192" s="134">
        <f t="shared" si="48"/>
        <v>0.4</v>
      </c>
      <c r="R192" s="134">
        <f t="shared" si="48"/>
        <v>0.4</v>
      </c>
      <c r="S192" s="134">
        <f t="shared" si="49"/>
        <v>0.4</v>
      </c>
      <c r="T192" s="134">
        <f t="shared" si="49"/>
        <v>0.4</v>
      </c>
      <c r="U192" s="134">
        <f t="shared" si="49"/>
        <v>0.4</v>
      </c>
      <c r="V192" s="134">
        <f>U192</f>
        <v>0.4</v>
      </c>
      <c r="W192" s="134">
        <f>V192</f>
        <v>0.4</v>
      </c>
      <c r="X192" s="134">
        <f t="shared" si="49"/>
        <v>0.4</v>
      </c>
      <c r="Y192" s="134">
        <f t="shared" si="49"/>
        <v>0.4</v>
      </c>
      <c r="Z192" s="134">
        <f t="shared" si="49"/>
        <v>0.4</v>
      </c>
      <c r="AA192" s="134">
        <f t="shared" si="49"/>
        <v>0.4</v>
      </c>
      <c r="AB192" s="134">
        <f t="shared" si="49"/>
        <v>0.4</v>
      </c>
      <c r="AC192" s="134">
        <f t="shared" si="49"/>
        <v>0.4</v>
      </c>
      <c r="AD192" s="134">
        <f t="shared" si="49"/>
        <v>0.4</v>
      </c>
      <c r="AE192" s="134">
        <f t="shared" si="49"/>
        <v>0.4</v>
      </c>
      <c r="AF192" s="134">
        <f t="shared" si="49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8"/>
        <v>1.5</v>
      </c>
      <c r="D193" s="134">
        <f t="shared" si="48"/>
        <v>1.5</v>
      </c>
      <c r="E193" s="134">
        <f t="shared" si="48"/>
        <v>1.5</v>
      </c>
      <c r="F193" s="134">
        <f t="shared" si="48"/>
        <v>1.5</v>
      </c>
      <c r="G193" s="134">
        <f t="shared" si="48"/>
        <v>1.5</v>
      </c>
      <c r="H193" s="134">
        <f t="shared" si="48"/>
        <v>1.5</v>
      </c>
      <c r="I193" s="134">
        <f t="shared" si="48"/>
        <v>1.5</v>
      </c>
      <c r="J193" s="134">
        <f t="shared" si="48"/>
        <v>1.5</v>
      </c>
      <c r="K193" s="134">
        <f t="shared" si="48"/>
        <v>1.5</v>
      </c>
      <c r="L193" s="134">
        <f t="shared" si="48"/>
        <v>1.5</v>
      </c>
      <c r="M193" s="134">
        <f t="shared" si="48"/>
        <v>1.5</v>
      </c>
      <c r="N193" s="134">
        <f t="shared" si="48"/>
        <v>1.5</v>
      </c>
      <c r="O193" s="134">
        <f t="shared" si="48"/>
        <v>1.5</v>
      </c>
      <c r="P193" s="134">
        <f t="shared" si="48"/>
        <v>1.5</v>
      </c>
      <c r="Q193" s="134">
        <f t="shared" si="48"/>
        <v>1.5</v>
      </c>
      <c r="R193" s="134">
        <f t="shared" si="48"/>
        <v>1.5</v>
      </c>
      <c r="S193" s="134">
        <f t="shared" si="49"/>
        <v>1.5</v>
      </c>
      <c r="T193" s="134">
        <f t="shared" si="49"/>
        <v>1.5</v>
      </c>
      <c r="U193" s="134">
        <f t="shared" si="49"/>
        <v>1.5</v>
      </c>
      <c r="V193" s="134">
        <f t="shared" si="49"/>
        <v>1.5</v>
      </c>
      <c r="W193" s="134">
        <f t="shared" si="49"/>
        <v>1.5</v>
      </c>
      <c r="X193" s="134">
        <f t="shared" si="49"/>
        <v>1.5</v>
      </c>
      <c r="Y193" s="134">
        <f t="shared" si="49"/>
        <v>1.5</v>
      </c>
      <c r="Z193" s="134">
        <f t="shared" si="49"/>
        <v>1.5</v>
      </c>
      <c r="AA193" s="134">
        <f t="shared" si="49"/>
        <v>1.5</v>
      </c>
      <c r="AB193" s="134">
        <f t="shared" si="49"/>
        <v>1.5</v>
      </c>
      <c r="AC193" s="134">
        <f t="shared" si="49"/>
        <v>1.5</v>
      </c>
      <c r="AD193" s="134">
        <f t="shared" si="49"/>
        <v>1.5</v>
      </c>
      <c r="AE193" s="134">
        <f t="shared" si="49"/>
        <v>1.5</v>
      </c>
      <c r="AF193" s="134">
        <f t="shared" si="49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8"/>
        <v>0.3</v>
      </c>
      <c r="D194" s="134">
        <f t="shared" si="48"/>
        <v>0.3</v>
      </c>
      <c r="E194" s="134">
        <f t="shared" si="48"/>
        <v>0.3</v>
      </c>
      <c r="F194" s="134">
        <f t="shared" si="48"/>
        <v>0.3</v>
      </c>
      <c r="G194" s="134">
        <f t="shared" si="48"/>
        <v>0.3</v>
      </c>
      <c r="H194" s="134">
        <f t="shared" si="48"/>
        <v>0.3</v>
      </c>
      <c r="I194" s="134">
        <f t="shared" si="48"/>
        <v>0.3</v>
      </c>
      <c r="J194" s="134">
        <f t="shared" si="48"/>
        <v>0.3</v>
      </c>
      <c r="K194" s="134">
        <f t="shared" si="48"/>
        <v>0.3</v>
      </c>
      <c r="L194" s="134">
        <f t="shared" si="48"/>
        <v>0.3</v>
      </c>
      <c r="M194" s="134">
        <f t="shared" si="48"/>
        <v>0.3</v>
      </c>
      <c r="N194" s="134">
        <f t="shared" si="48"/>
        <v>0.3</v>
      </c>
      <c r="O194" s="134">
        <f t="shared" si="48"/>
        <v>0.3</v>
      </c>
      <c r="P194" s="134">
        <f t="shared" si="48"/>
        <v>0.3</v>
      </c>
      <c r="Q194" s="134">
        <f t="shared" si="48"/>
        <v>0.3</v>
      </c>
      <c r="R194" s="134">
        <f t="shared" si="48"/>
        <v>0.3</v>
      </c>
      <c r="S194" s="134">
        <f t="shared" si="49"/>
        <v>0.3</v>
      </c>
      <c r="T194" s="134">
        <f t="shared" si="49"/>
        <v>0.3</v>
      </c>
      <c r="U194" s="134">
        <f t="shared" si="49"/>
        <v>0.3</v>
      </c>
      <c r="V194" s="134">
        <f t="shared" si="49"/>
        <v>0.3</v>
      </c>
      <c r="W194" s="134">
        <f t="shared" si="49"/>
        <v>0.3</v>
      </c>
      <c r="X194" s="134">
        <f t="shared" si="49"/>
        <v>0.3</v>
      </c>
      <c r="Y194" s="134">
        <f t="shared" si="49"/>
        <v>0.3</v>
      </c>
      <c r="Z194" s="134">
        <f t="shared" si="49"/>
        <v>0.3</v>
      </c>
      <c r="AA194" s="134">
        <f t="shared" si="49"/>
        <v>0.3</v>
      </c>
      <c r="AB194" s="134">
        <f t="shared" si="49"/>
        <v>0.3</v>
      </c>
      <c r="AC194" s="134">
        <f t="shared" si="49"/>
        <v>0.3</v>
      </c>
      <c r="AD194" s="134">
        <f t="shared" si="49"/>
        <v>0.3</v>
      </c>
      <c r="AE194" s="134">
        <f t="shared" si="49"/>
        <v>0.3</v>
      </c>
      <c r="AF194" s="134">
        <f t="shared" si="49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8"/>
        <v>0.4</v>
      </c>
      <c r="D195" s="134">
        <f t="shared" si="48"/>
        <v>0.4</v>
      </c>
      <c r="E195" s="134">
        <f t="shared" si="48"/>
        <v>0.4</v>
      </c>
      <c r="F195" s="134">
        <f t="shared" si="48"/>
        <v>0.4</v>
      </c>
      <c r="G195" s="134">
        <f t="shared" si="48"/>
        <v>0.4</v>
      </c>
      <c r="H195" s="134">
        <f t="shared" si="48"/>
        <v>0.4</v>
      </c>
      <c r="I195" s="134">
        <f t="shared" si="48"/>
        <v>0.4</v>
      </c>
      <c r="J195" s="134">
        <f t="shared" si="48"/>
        <v>0.4</v>
      </c>
      <c r="K195" s="134">
        <f t="shared" si="48"/>
        <v>0.4</v>
      </c>
      <c r="L195" s="134">
        <f t="shared" si="48"/>
        <v>0.4</v>
      </c>
      <c r="M195" s="134">
        <f t="shared" si="48"/>
        <v>0.4</v>
      </c>
      <c r="N195" s="134">
        <f t="shared" si="48"/>
        <v>0.4</v>
      </c>
      <c r="O195" s="134">
        <f t="shared" si="48"/>
        <v>0.4</v>
      </c>
      <c r="P195" s="134">
        <f t="shared" si="48"/>
        <v>0.4</v>
      </c>
      <c r="Q195" s="134">
        <f t="shared" si="48"/>
        <v>0.4</v>
      </c>
      <c r="R195" s="134">
        <f t="shared" si="48"/>
        <v>0.4</v>
      </c>
      <c r="S195" s="134">
        <f t="shared" si="49"/>
        <v>0.4</v>
      </c>
      <c r="T195" s="134">
        <f t="shared" si="49"/>
        <v>0.4</v>
      </c>
      <c r="U195" s="134">
        <f t="shared" si="49"/>
        <v>0.4</v>
      </c>
      <c r="V195" s="134">
        <f t="shared" si="49"/>
        <v>0.4</v>
      </c>
      <c r="W195" s="134">
        <f t="shared" si="49"/>
        <v>0.4</v>
      </c>
      <c r="X195" s="134">
        <f t="shared" si="49"/>
        <v>0.4</v>
      </c>
      <c r="Y195" s="134">
        <f t="shared" si="49"/>
        <v>0.4</v>
      </c>
      <c r="Z195" s="134">
        <f t="shared" si="49"/>
        <v>0.4</v>
      </c>
      <c r="AA195" s="134">
        <f t="shared" si="49"/>
        <v>0.4</v>
      </c>
      <c r="AB195" s="134">
        <f t="shared" si="49"/>
        <v>0.4</v>
      </c>
      <c r="AC195" s="134">
        <f t="shared" si="49"/>
        <v>0.4</v>
      </c>
      <c r="AD195" s="134">
        <f t="shared" si="49"/>
        <v>0.4</v>
      </c>
      <c r="AE195" s="134">
        <f t="shared" si="49"/>
        <v>0.4</v>
      </c>
      <c r="AF195" s="134">
        <f t="shared" si="49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8"/>
        <v>0.64</v>
      </c>
      <c r="D196" s="143">
        <f t="shared" si="48"/>
        <v>0.64</v>
      </c>
      <c r="E196" s="143">
        <f t="shared" si="48"/>
        <v>0.64</v>
      </c>
      <c r="F196" s="143">
        <f t="shared" si="48"/>
        <v>0.64</v>
      </c>
      <c r="G196" s="143">
        <f t="shared" si="48"/>
        <v>0.64</v>
      </c>
      <c r="H196" s="143">
        <f t="shared" si="48"/>
        <v>0.64</v>
      </c>
      <c r="I196" s="143">
        <f t="shared" si="48"/>
        <v>0.64</v>
      </c>
      <c r="J196" s="143">
        <f t="shared" si="48"/>
        <v>0.64</v>
      </c>
      <c r="K196" s="143">
        <f t="shared" si="48"/>
        <v>0.64</v>
      </c>
      <c r="L196" s="143">
        <f t="shared" si="48"/>
        <v>0.64</v>
      </c>
      <c r="M196" s="143">
        <f t="shared" si="48"/>
        <v>0.64</v>
      </c>
      <c r="N196" s="143">
        <f t="shared" si="48"/>
        <v>0.64</v>
      </c>
      <c r="O196" s="143">
        <f t="shared" si="48"/>
        <v>0.64</v>
      </c>
      <c r="P196" s="143">
        <f t="shared" si="48"/>
        <v>0.64</v>
      </c>
      <c r="Q196" s="143">
        <f t="shared" si="48"/>
        <v>0.64</v>
      </c>
      <c r="R196" s="143">
        <f t="shared" si="48"/>
        <v>0.64</v>
      </c>
      <c r="S196" s="143">
        <f t="shared" si="49"/>
        <v>0.64</v>
      </c>
      <c r="T196" s="143">
        <f t="shared" si="49"/>
        <v>0.64</v>
      </c>
      <c r="U196" s="143">
        <f t="shared" si="49"/>
        <v>0.64</v>
      </c>
      <c r="V196" s="143">
        <f t="shared" si="49"/>
        <v>0.64</v>
      </c>
      <c r="W196" s="143">
        <f t="shared" si="49"/>
        <v>0.64</v>
      </c>
      <c r="X196" s="143">
        <f t="shared" si="49"/>
        <v>0.64</v>
      </c>
      <c r="Y196" s="143">
        <f t="shared" si="49"/>
        <v>0.64</v>
      </c>
      <c r="Z196" s="143">
        <f t="shared" si="49"/>
        <v>0.64</v>
      </c>
      <c r="AA196" s="143">
        <f t="shared" si="49"/>
        <v>0.64</v>
      </c>
      <c r="AB196" s="143">
        <f t="shared" si="49"/>
        <v>0.64</v>
      </c>
      <c r="AC196" s="143">
        <f t="shared" si="49"/>
        <v>0.64</v>
      </c>
      <c r="AD196" s="143">
        <f t="shared" si="49"/>
        <v>0.64</v>
      </c>
      <c r="AE196" s="143">
        <f t="shared" si="49"/>
        <v>0.64</v>
      </c>
      <c r="AF196" s="143">
        <f t="shared" si="49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50">SUM(C191:C196)</f>
        <v>3.54</v>
      </c>
      <c r="D197" s="146">
        <f t="shared" si="50"/>
        <v>3.54</v>
      </c>
      <c r="E197" s="146">
        <f t="shared" si="50"/>
        <v>3.54</v>
      </c>
      <c r="F197" s="146">
        <f t="shared" si="50"/>
        <v>3.54</v>
      </c>
      <c r="G197" s="146">
        <f t="shared" si="50"/>
        <v>3.54</v>
      </c>
      <c r="H197" s="146">
        <f t="shared" si="50"/>
        <v>3.54</v>
      </c>
      <c r="I197" s="146">
        <f t="shared" si="50"/>
        <v>3.54</v>
      </c>
      <c r="J197" s="146">
        <f t="shared" si="50"/>
        <v>3.54</v>
      </c>
      <c r="K197" s="146">
        <f t="shared" si="50"/>
        <v>3.54</v>
      </c>
      <c r="L197" s="146">
        <f>SUM(L191:L196)</f>
        <v>3.54</v>
      </c>
      <c r="M197" s="146">
        <f t="shared" ref="M197:R197" si="51">SUM(M191:M196)</f>
        <v>3.54</v>
      </c>
      <c r="N197" s="146">
        <f t="shared" si="51"/>
        <v>3.54</v>
      </c>
      <c r="O197" s="146">
        <f t="shared" si="51"/>
        <v>3.54</v>
      </c>
      <c r="P197" s="146">
        <f t="shared" si="51"/>
        <v>3.54</v>
      </c>
      <c r="Q197" s="146">
        <f t="shared" si="51"/>
        <v>3.54</v>
      </c>
      <c r="R197" s="146">
        <f t="shared" si="51"/>
        <v>3.54</v>
      </c>
      <c r="S197" s="146">
        <f>SUM(S191:S196)</f>
        <v>3.54</v>
      </c>
      <c r="T197" s="146">
        <f t="shared" ref="T197:AG197" si="52">SUM(T191:T196)</f>
        <v>3.54</v>
      </c>
      <c r="U197" s="146">
        <f t="shared" si="52"/>
        <v>3.54</v>
      </c>
      <c r="V197" s="146">
        <f t="shared" si="52"/>
        <v>3.54</v>
      </c>
      <c r="W197" s="146">
        <f t="shared" si="52"/>
        <v>3.54</v>
      </c>
      <c r="X197" s="146">
        <f t="shared" si="52"/>
        <v>3.54</v>
      </c>
      <c r="Y197" s="146">
        <f t="shared" si="52"/>
        <v>3.54</v>
      </c>
      <c r="Z197" s="146">
        <f t="shared" si="52"/>
        <v>3.54</v>
      </c>
      <c r="AA197" s="146">
        <f t="shared" si="52"/>
        <v>3.54</v>
      </c>
      <c r="AB197" s="146">
        <f t="shared" si="52"/>
        <v>3.54</v>
      </c>
      <c r="AC197" s="146">
        <f t="shared" si="52"/>
        <v>3.54</v>
      </c>
      <c r="AD197" s="146">
        <f t="shared" si="52"/>
        <v>3.54</v>
      </c>
      <c r="AE197" s="146">
        <f t="shared" si="52"/>
        <v>3.54</v>
      </c>
      <c r="AF197" s="146">
        <f t="shared" si="52"/>
        <v>3.54</v>
      </c>
      <c r="AG197" s="147">
        <f t="shared" si="52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973.74</v>
      </c>
      <c r="C206" s="161">
        <f>INDEX(F9:M9,1,MATCH(MAX(F73:M73),F73:M73,0))</f>
        <v>0.22916666666666666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28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2078/04/28)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2078/04/28)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3">B73</f>
        <v>996.34</v>
      </c>
      <c r="U211" s="170">
        <f t="shared" si="53"/>
        <v>967.94</v>
      </c>
      <c r="V211" s="170">
        <f t="shared" si="53"/>
        <v>968.84000000000015</v>
      </c>
      <c r="W211" s="170">
        <f t="shared" si="53"/>
        <v>940.74000000000012</v>
      </c>
      <c r="X211" s="170">
        <f t="shared" si="53"/>
        <v>950.24000000000012</v>
      </c>
      <c r="Y211" s="170">
        <f t="shared" si="53"/>
        <v>973.74</v>
      </c>
      <c r="Z211" s="170">
        <f t="shared" si="53"/>
        <v>951.84000000000015</v>
      </c>
      <c r="AA211" s="170">
        <f t="shared" si="53"/>
        <v>907.1400000000001</v>
      </c>
      <c r="AB211" s="170">
        <f t="shared" si="53"/>
        <v>887.6400000000001</v>
      </c>
      <c r="AC211" s="170">
        <f t="shared" si="53"/>
        <v>892.6400000000001</v>
      </c>
      <c r="AD211" s="170">
        <f t="shared" si="53"/>
        <v>914.24</v>
      </c>
      <c r="AE211" s="170">
        <f t="shared" si="53"/>
        <v>906.04000000000008</v>
      </c>
      <c r="AF211" s="170">
        <f t="shared" si="53"/>
        <v>887.54000000000008</v>
      </c>
      <c r="AG211" s="170">
        <f t="shared" si="53"/>
        <v>879.04</v>
      </c>
      <c r="AH211" s="170">
        <f t="shared" si="53"/>
        <v>911.04</v>
      </c>
      <c r="AI211" s="170">
        <f t="shared" si="53"/>
        <v>938.24</v>
      </c>
      <c r="AJ211" s="170">
        <f t="shared" si="53"/>
        <v>911.14</v>
      </c>
      <c r="AK211" s="170">
        <f t="shared" si="53"/>
        <v>857.6400000000001</v>
      </c>
      <c r="AL211" s="170">
        <f t="shared" si="53"/>
        <v>871.34</v>
      </c>
      <c r="AM211" s="170">
        <f t="shared" si="53"/>
        <v>857.04</v>
      </c>
      <c r="AN211" s="170">
        <f t="shared" si="53"/>
        <v>1030.3400000000001</v>
      </c>
      <c r="AO211" s="170">
        <f t="shared" si="53"/>
        <v>1091.24</v>
      </c>
      <c r="AP211" s="170">
        <f t="shared" si="53"/>
        <v>1225.54</v>
      </c>
      <c r="AQ211" s="170">
        <f t="shared" si="53"/>
        <v>1214.04</v>
      </c>
      <c r="AR211" s="170">
        <f t="shared" si="53"/>
        <v>1201.3400000000001</v>
      </c>
      <c r="AS211" s="170">
        <f t="shared" si="53"/>
        <v>1197.2400000000002</v>
      </c>
      <c r="AT211" s="170">
        <f t="shared" si="53"/>
        <v>1160.3400000000001</v>
      </c>
      <c r="AU211" s="170">
        <f t="shared" si="53"/>
        <v>1149.7400000000002</v>
      </c>
      <c r="AV211" s="170">
        <f t="shared" si="53"/>
        <v>1067.5400000000002</v>
      </c>
      <c r="AW211" s="170">
        <f t="shared" si="53"/>
        <v>992.64</v>
      </c>
      <c r="AX211" s="170">
        <f t="shared" si="53"/>
        <v>1004.5400000000002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4">B196</f>
        <v>0.64</v>
      </c>
      <c r="C232" s="173">
        <f t="shared" si="54"/>
        <v>0.64</v>
      </c>
      <c r="D232" s="173">
        <f t="shared" si="54"/>
        <v>0.64</v>
      </c>
      <c r="E232" s="173">
        <f t="shared" si="54"/>
        <v>0.64</v>
      </c>
      <c r="F232" s="173">
        <f t="shared" si="54"/>
        <v>0.64</v>
      </c>
      <c r="G232" s="173">
        <f t="shared" si="54"/>
        <v>0.64</v>
      </c>
      <c r="H232" s="173">
        <f t="shared" si="54"/>
        <v>0.64</v>
      </c>
      <c r="I232" s="173">
        <f t="shared" si="54"/>
        <v>0.64</v>
      </c>
      <c r="J232" s="173">
        <f t="shared" si="54"/>
        <v>0.64</v>
      </c>
      <c r="K232" s="173">
        <f t="shared" si="54"/>
        <v>0.64</v>
      </c>
      <c r="L232" s="173">
        <f t="shared" si="54"/>
        <v>0.64</v>
      </c>
      <c r="M232" s="173">
        <f t="shared" si="54"/>
        <v>0.64</v>
      </c>
      <c r="N232" s="173">
        <f t="shared" si="54"/>
        <v>0.64</v>
      </c>
      <c r="O232" s="173">
        <f t="shared" si="54"/>
        <v>0.64</v>
      </c>
      <c r="P232" s="173">
        <f t="shared" si="54"/>
        <v>0.64</v>
      </c>
      <c r="Q232" s="173">
        <f t="shared" si="54"/>
        <v>0.64</v>
      </c>
      <c r="R232" s="173">
        <f t="shared" si="54"/>
        <v>0.64</v>
      </c>
      <c r="S232" s="173">
        <f t="shared" si="54"/>
        <v>0.64</v>
      </c>
      <c r="T232" s="173">
        <f t="shared" si="54"/>
        <v>0.64</v>
      </c>
      <c r="U232" s="173">
        <f t="shared" si="54"/>
        <v>0.64</v>
      </c>
      <c r="V232" s="173">
        <f t="shared" si="54"/>
        <v>0.64</v>
      </c>
      <c r="W232" s="173">
        <f t="shared" si="54"/>
        <v>0.64</v>
      </c>
      <c r="X232" s="173">
        <f t="shared" si="54"/>
        <v>0.64</v>
      </c>
      <c r="Y232" s="173">
        <f t="shared" si="54"/>
        <v>0.64</v>
      </c>
      <c r="Z232" s="173">
        <f t="shared" si="54"/>
        <v>0.64</v>
      </c>
      <c r="AA232" s="173">
        <f t="shared" si="54"/>
        <v>0.64</v>
      </c>
      <c r="AB232" s="173">
        <f t="shared" si="54"/>
        <v>0.64</v>
      </c>
      <c r="AC232" s="173">
        <f t="shared" si="54"/>
        <v>0.64</v>
      </c>
      <c r="AD232" s="173">
        <f t="shared" si="54"/>
        <v>0.64</v>
      </c>
      <c r="AE232" s="173">
        <f t="shared" si="54"/>
        <v>0.64</v>
      </c>
      <c r="AF232" s="173">
        <f t="shared" si="54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5">IF(C200&lt;100,"",C200-520)</f>
        <v/>
      </c>
      <c r="D233" s="117" t="str">
        <f t="shared" si="55"/>
        <v/>
      </c>
      <c r="E233" s="117" t="str">
        <f t="shared" si="55"/>
        <v/>
      </c>
      <c r="F233" s="117" t="str">
        <f t="shared" si="55"/>
        <v/>
      </c>
      <c r="G233" s="117" t="str">
        <f t="shared" si="55"/>
        <v/>
      </c>
      <c r="H233" s="117" t="str">
        <f t="shared" si="55"/>
        <v/>
      </c>
      <c r="I233" s="117" t="str">
        <f t="shared" si="55"/>
        <v/>
      </c>
      <c r="J233" s="117" t="str">
        <f t="shared" si="55"/>
        <v/>
      </c>
      <c r="K233" s="117" t="str">
        <f t="shared" si="55"/>
        <v/>
      </c>
      <c r="L233" s="117" t="str">
        <f t="shared" si="55"/>
        <v/>
      </c>
      <c r="M233" s="117" t="str">
        <f t="shared" si="55"/>
        <v/>
      </c>
      <c r="N233" s="117" t="str">
        <f t="shared" si="55"/>
        <v/>
      </c>
      <c r="O233" s="117" t="str">
        <f t="shared" si="55"/>
        <v/>
      </c>
      <c r="P233" s="117" t="str">
        <f t="shared" si="55"/>
        <v/>
      </c>
      <c r="Q233" s="117" t="str">
        <f t="shared" si="55"/>
        <v/>
      </c>
      <c r="R233" s="117" t="str">
        <f t="shared" si="55"/>
        <v/>
      </c>
      <c r="S233" s="117" t="str">
        <f t="shared" si="55"/>
        <v/>
      </c>
      <c r="T233" s="117" t="str">
        <f t="shared" si="55"/>
        <v/>
      </c>
      <c r="U233" s="117" t="str">
        <f t="shared" si="55"/>
        <v/>
      </c>
      <c r="V233" s="117" t="str">
        <f t="shared" si="55"/>
        <v/>
      </c>
      <c r="W233" s="117" t="str">
        <f t="shared" si="55"/>
        <v/>
      </c>
      <c r="X233" s="117" t="str">
        <f t="shared" si="55"/>
        <v/>
      </c>
      <c r="Y233" s="117" t="str">
        <f t="shared" si="55"/>
        <v/>
      </c>
      <c r="Z233" s="117" t="str">
        <f t="shared" si="55"/>
        <v/>
      </c>
      <c r="AA233" s="117" t="str">
        <f t="shared" si="55"/>
        <v/>
      </c>
      <c r="AB233" s="117" t="str">
        <f t="shared" si="55"/>
        <v/>
      </c>
      <c r="AC233" s="117" t="str">
        <f t="shared" si="55"/>
        <v/>
      </c>
      <c r="AD233" s="117" t="str">
        <f t="shared" si="55"/>
        <v/>
      </c>
      <c r="AE233" s="117" t="str">
        <f t="shared" si="55"/>
        <v/>
      </c>
      <c r="AF233" s="117" t="str">
        <f t="shared" si="55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6">IF(B201&lt;100,"",B201-620)</f>
        <v/>
      </c>
      <c r="C234" s="117" t="str">
        <f t="shared" si="56"/>
        <v/>
      </c>
      <c r="D234" s="117" t="str">
        <f t="shared" si="56"/>
        <v/>
      </c>
      <c r="E234" s="117" t="str">
        <f t="shared" si="56"/>
        <v/>
      </c>
      <c r="F234" s="117" t="str">
        <f t="shared" si="56"/>
        <v/>
      </c>
      <c r="G234" s="117" t="str">
        <f t="shared" si="56"/>
        <v/>
      </c>
      <c r="H234" s="117" t="str">
        <f t="shared" si="56"/>
        <v/>
      </c>
      <c r="I234" s="117" t="str">
        <f t="shared" si="56"/>
        <v/>
      </c>
      <c r="J234" s="117" t="str">
        <f t="shared" si="56"/>
        <v/>
      </c>
      <c r="K234" s="117" t="str">
        <f t="shared" si="56"/>
        <v/>
      </c>
      <c r="L234" s="117" t="str">
        <f t="shared" si="56"/>
        <v/>
      </c>
      <c r="M234" s="117" t="str">
        <f t="shared" si="56"/>
        <v/>
      </c>
      <c r="N234" s="117" t="str">
        <f t="shared" si="56"/>
        <v/>
      </c>
      <c r="O234" s="117" t="str">
        <f t="shared" si="56"/>
        <v/>
      </c>
      <c r="P234" s="117" t="str">
        <f t="shared" si="56"/>
        <v/>
      </c>
      <c r="Q234" s="117" t="str">
        <f t="shared" si="56"/>
        <v/>
      </c>
      <c r="R234" s="117" t="str">
        <f t="shared" si="56"/>
        <v/>
      </c>
      <c r="S234" s="117" t="str">
        <f t="shared" si="56"/>
        <v/>
      </c>
      <c r="T234" s="117" t="str">
        <f t="shared" si="56"/>
        <v/>
      </c>
      <c r="U234" s="117" t="str">
        <f t="shared" si="56"/>
        <v/>
      </c>
      <c r="V234" s="117" t="str">
        <f t="shared" si="56"/>
        <v/>
      </c>
      <c r="W234" s="117" t="str">
        <f t="shared" si="56"/>
        <v/>
      </c>
      <c r="X234" s="117" t="str">
        <f t="shared" si="56"/>
        <v/>
      </c>
      <c r="Y234" s="117" t="str">
        <f t="shared" si="56"/>
        <v/>
      </c>
      <c r="Z234" s="117" t="str">
        <f t="shared" si="56"/>
        <v/>
      </c>
      <c r="AA234" s="117" t="str">
        <f t="shared" si="56"/>
        <v/>
      </c>
      <c r="AB234" s="117" t="str">
        <f t="shared" si="56"/>
        <v/>
      </c>
      <c r="AC234" s="117" t="str">
        <f t="shared" si="56"/>
        <v/>
      </c>
      <c r="AD234" s="117" t="str">
        <f t="shared" si="56"/>
        <v/>
      </c>
      <c r="AE234" s="117" t="str">
        <f t="shared" si="56"/>
        <v/>
      </c>
      <c r="AF234" s="117" t="str">
        <f t="shared" si="56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7">IF(B202&lt;100,"",B202-330)</f>
        <v/>
      </c>
      <c r="C235" s="117" t="str">
        <f t="shared" si="57"/>
        <v/>
      </c>
      <c r="D235" s="117" t="str">
        <f t="shared" si="57"/>
        <v/>
      </c>
      <c r="E235" s="117" t="str">
        <f t="shared" si="57"/>
        <v/>
      </c>
      <c r="F235" s="117" t="str">
        <f t="shared" si="57"/>
        <v/>
      </c>
      <c r="G235" s="117" t="str">
        <f t="shared" si="57"/>
        <v/>
      </c>
      <c r="H235" s="117" t="str">
        <f t="shared" si="57"/>
        <v/>
      </c>
      <c r="I235" s="117" t="str">
        <f t="shared" si="57"/>
        <v/>
      </c>
      <c r="J235" s="117" t="str">
        <f t="shared" si="57"/>
        <v/>
      </c>
      <c r="K235" s="117" t="str">
        <f t="shared" si="57"/>
        <v/>
      </c>
      <c r="L235" s="117" t="str">
        <f t="shared" si="57"/>
        <v/>
      </c>
      <c r="M235" s="117" t="str">
        <f t="shared" si="57"/>
        <v/>
      </c>
      <c r="N235" s="117" t="str">
        <f t="shared" si="57"/>
        <v/>
      </c>
      <c r="O235" s="117" t="str">
        <f t="shared" si="57"/>
        <v/>
      </c>
      <c r="P235" s="117" t="str">
        <f t="shared" si="57"/>
        <v/>
      </c>
      <c r="Q235" s="117" t="str">
        <f t="shared" si="57"/>
        <v/>
      </c>
      <c r="R235" s="117" t="str">
        <f t="shared" si="57"/>
        <v/>
      </c>
      <c r="S235" s="117" t="str">
        <f t="shared" si="57"/>
        <v/>
      </c>
      <c r="T235" s="117" t="str">
        <f t="shared" si="57"/>
        <v/>
      </c>
      <c r="U235" s="117" t="str">
        <f t="shared" si="57"/>
        <v/>
      </c>
      <c r="V235" s="117" t="str">
        <f t="shared" si="57"/>
        <v/>
      </c>
      <c r="W235" s="117" t="str">
        <f t="shared" si="57"/>
        <v/>
      </c>
      <c r="X235" s="117" t="str">
        <f t="shared" si="57"/>
        <v/>
      </c>
      <c r="Y235" s="117" t="str">
        <f t="shared" si="57"/>
        <v/>
      </c>
      <c r="Z235" s="117" t="str">
        <f t="shared" si="57"/>
        <v/>
      </c>
      <c r="AA235" s="117" t="str">
        <f t="shared" si="57"/>
        <v/>
      </c>
      <c r="AB235" s="117" t="str">
        <f t="shared" si="57"/>
        <v/>
      </c>
      <c r="AC235" s="117" t="str">
        <f t="shared" si="57"/>
        <v/>
      </c>
      <c r="AD235" s="117" t="str">
        <f t="shared" si="57"/>
        <v/>
      </c>
      <c r="AE235" s="117" t="str">
        <f t="shared" si="57"/>
        <v/>
      </c>
      <c r="AF235" s="117" t="str">
        <f t="shared" si="57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8">IF(C203&lt;100,"",C203-1500)</f>
        <v/>
      </c>
      <c r="D236" s="117" t="str">
        <f t="shared" si="58"/>
        <v/>
      </c>
      <c r="E236" s="117" t="str">
        <f t="shared" si="58"/>
        <v/>
      </c>
      <c r="F236" s="117" t="str">
        <f t="shared" si="58"/>
        <v/>
      </c>
      <c r="G236" s="117" t="str">
        <f t="shared" si="58"/>
        <v/>
      </c>
      <c r="H236" s="117" t="str">
        <f t="shared" si="58"/>
        <v/>
      </c>
      <c r="I236" s="117" t="str">
        <f t="shared" si="58"/>
        <v/>
      </c>
      <c r="J236" s="117" t="str">
        <f t="shared" si="58"/>
        <v/>
      </c>
      <c r="K236" s="117" t="str">
        <f t="shared" si="58"/>
        <v/>
      </c>
      <c r="L236" s="117" t="str">
        <f t="shared" si="58"/>
        <v/>
      </c>
      <c r="M236" s="117" t="str">
        <f t="shared" si="58"/>
        <v/>
      </c>
      <c r="N236" s="117" t="str">
        <f t="shared" si="58"/>
        <v/>
      </c>
      <c r="O236" s="117" t="str">
        <f t="shared" si="58"/>
        <v/>
      </c>
      <c r="P236" s="117" t="str">
        <f t="shared" si="58"/>
        <v/>
      </c>
      <c r="Q236" s="117" t="str">
        <f t="shared" si="58"/>
        <v/>
      </c>
      <c r="R236" s="117" t="str">
        <f t="shared" si="58"/>
        <v/>
      </c>
      <c r="S236" s="117" t="str">
        <f t="shared" si="58"/>
        <v/>
      </c>
      <c r="T236" s="117" t="str">
        <f t="shared" si="58"/>
        <v/>
      </c>
      <c r="U236" s="117" t="str">
        <f t="shared" si="58"/>
        <v/>
      </c>
      <c r="V236" s="117" t="str">
        <f t="shared" si="58"/>
        <v/>
      </c>
      <c r="W236" s="117" t="str">
        <f t="shared" si="58"/>
        <v/>
      </c>
      <c r="X236" s="117" t="str">
        <f t="shared" si="58"/>
        <v/>
      </c>
      <c r="Y236" s="117" t="str">
        <f t="shared" si="58"/>
        <v/>
      </c>
      <c r="Z236" s="117" t="str">
        <f t="shared" si="58"/>
        <v/>
      </c>
      <c r="AA236" s="117" t="str">
        <f t="shared" si="58"/>
        <v/>
      </c>
      <c r="AB236" s="117" t="str">
        <f t="shared" si="58"/>
        <v/>
      </c>
      <c r="AC236" s="117" t="str">
        <f t="shared" si="58"/>
        <v/>
      </c>
      <c r="AD236" s="117" t="str">
        <f t="shared" si="58"/>
        <v/>
      </c>
      <c r="AE236" s="117" t="str">
        <f t="shared" si="58"/>
        <v/>
      </c>
      <c r="AF236" s="117" t="str">
        <f t="shared" si="58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810" priority="301">
      <formula>S$9&gt;=20/24</formula>
    </cfRule>
    <cfRule type="expression" dxfId="1809" priority="302">
      <formula>AND(S$9&gt;=14/24,S$9&lt;20/24)</formula>
    </cfRule>
    <cfRule type="expression" dxfId="1808" priority="303">
      <formula>AND(S$9&gt;=8/24,S$9&lt;14/24)</formula>
    </cfRule>
    <cfRule type="expression" dxfId="1807" priority="304">
      <formula>S$9&lt;8/24</formula>
    </cfRule>
  </conditionalFormatting>
  <conditionalFormatting sqref="B8:AF10 AA79:AF79 B79:Q79 B54:AF54 B80:AF80 C191:AF197 AE55:AF58 B66:AF70 B55:K57 M60:M65 T210:AX210 B61:C65 B58:N58 B59:M59 R38:S39 L56:P57 AD82:AF89 B72:AF76 B78:AF78 B22:L22 N59:N65 O58:P65 M35:Q35 L37:Q40 M43:Q46 R56:V57 Q56:Q65 M15:T31 M11:T13 R45:T46 R60:T65 U17:Z20 Q11:AD11 T38:AD40 Z83:AC89 AA12:AD13 Z41:AE41 AA15:AF20 AA27:AF30 AE13:AF13 L51:AF53 AA22:AF25 X22:Z29 U22:W31 U21:AF21">
    <cfRule type="expression" dxfId="1806" priority="297">
      <formula>B$9&gt;=20/24</formula>
    </cfRule>
    <cfRule type="expression" dxfId="1805" priority="298">
      <formula>AND(B$9&gt;=14/24,B$9&lt;20/24)</formula>
    </cfRule>
    <cfRule type="expression" dxfId="1804" priority="299">
      <formula>AND(B$9&gt;=8/24,B$9&lt;14/24)</formula>
    </cfRule>
    <cfRule type="expression" dxfId="1803" priority="300">
      <formula>B$9&lt;8/24</formula>
    </cfRule>
  </conditionalFormatting>
  <conditionalFormatting sqref="B189:AF189">
    <cfRule type="expression" dxfId="1802" priority="293">
      <formula>B$9&gt;=20/24</formula>
    </cfRule>
    <cfRule type="expression" dxfId="1801" priority="294">
      <formula>AND(B$9&gt;=14/24,B$9&lt;20/24)</formula>
    </cfRule>
    <cfRule type="expression" dxfId="1800" priority="295">
      <formula>AND(B$9&gt;=8/24,B$9&lt;14/24)</formula>
    </cfRule>
    <cfRule type="expression" dxfId="1799" priority="296">
      <formula>B$9&lt;8/24</formula>
    </cfRule>
  </conditionalFormatting>
  <conditionalFormatting sqref="AL4:AL6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1798" priority="288">
      <formula>L$9&gt;=20/24</formula>
    </cfRule>
    <cfRule type="expression" dxfId="1797" priority="289">
      <formula>AND(L$9&gt;=14/24,L$9&lt;20/24)</formula>
    </cfRule>
    <cfRule type="expression" dxfId="1796" priority="290">
      <formula>AND(L$9&gt;=8/24,L$9&lt;14/24)</formula>
    </cfRule>
    <cfRule type="expression" dxfId="1795" priority="291">
      <formula>L$9&lt;8/24</formula>
    </cfRule>
  </conditionalFormatting>
  <conditionalFormatting sqref="L41:Q41">
    <cfRule type="expression" dxfId="1794" priority="284">
      <formula>L$9&gt;=20/24</formula>
    </cfRule>
    <cfRule type="expression" dxfId="1793" priority="285">
      <formula>AND(L$9&gt;=14/24,L$9&lt;20/24)</formula>
    </cfRule>
    <cfRule type="expression" dxfId="1792" priority="286">
      <formula>AND(L$9&gt;=8/24,L$9&lt;14/24)</formula>
    </cfRule>
    <cfRule type="expression" dxfId="1791" priority="287">
      <formula>L$9&lt;8/24</formula>
    </cfRule>
  </conditionalFormatting>
  <conditionalFormatting sqref="AA31:AF31">
    <cfRule type="expression" dxfId="1790" priority="280">
      <formula>AA$9&gt;=20/24</formula>
    </cfRule>
    <cfRule type="expression" dxfId="1789" priority="281">
      <formula>AND(AA$9&gt;=14/24,AA$9&lt;20/24)</formula>
    </cfRule>
    <cfRule type="expression" dxfId="1788" priority="282">
      <formula>AND(AA$9&gt;=8/24,AA$9&lt;14/24)</formula>
    </cfRule>
    <cfRule type="expression" dxfId="1787" priority="283">
      <formula>AA$9&lt;8/24</formula>
    </cfRule>
  </conditionalFormatting>
  <conditionalFormatting sqref="R37:AD37">
    <cfRule type="expression" dxfId="1786" priority="276">
      <formula>R$9&gt;=20/24</formula>
    </cfRule>
    <cfRule type="expression" dxfId="1785" priority="277">
      <formula>AND(R$9&gt;=14/24,R$9&lt;20/24)</formula>
    </cfRule>
    <cfRule type="expression" dxfId="1784" priority="278">
      <formula>AND(R$9&gt;=8/24,R$9&lt;14/24)</formula>
    </cfRule>
    <cfRule type="expression" dxfId="1783" priority="279">
      <formula>R$9&lt;8/24</formula>
    </cfRule>
  </conditionalFormatting>
  <conditionalFormatting sqref="R55:AD55">
    <cfRule type="expression" dxfId="1782" priority="272">
      <formula>R$9&gt;=20/24</formula>
    </cfRule>
    <cfRule type="expression" dxfId="1781" priority="273">
      <formula>AND(R$9&gt;=14/24,R$9&lt;20/24)</formula>
    </cfRule>
    <cfRule type="expression" dxfId="1780" priority="274">
      <formula>AND(R$9&gt;=8/24,R$9&lt;14/24)</formula>
    </cfRule>
    <cfRule type="expression" dxfId="1779" priority="275">
      <formula>R$9&lt;8/24</formula>
    </cfRule>
  </conditionalFormatting>
  <conditionalFormatting sqref="R79:Z79">
    <cfRule type="expression" dxfId="1778" priority="268">
      <formula>R$9&gt;=20/24</formula>
    </cfRule>
    <cfRule type="expression" dxfId="1777" priority="269">
      <formula>AND(R$9&gt;=14/24,R$9&lt;20/24)</formula>
    </cfRule>
    <cfRule type="expression" dxfId="1776" priority="270">
      <formula>AND(R$9&gt;=8/24,R$9&lt;14/24)</formula>
    </cfRule>
    <cfRule type="expression" dxfId="1775" priority="271">
      <formula>R$9&lt;8/24</formula>
    </cfRule>
  </conditionalFormatting>
  <conditionalFormatting sqref="T82:AC82">
    <cfRule type="expression" dxfId="1774" priority="264">
      <formula>T$9&gt;=20/24</formula>
    </cfRule>
    <cfRule type="expression" dxfId="1773" priority="265">
      <formula>AND(T$9&gt;=14/24,T$9&lt;20/24)</formula>
    </cfRule>
    <cfRule type="expression" dxfId="1772" priority="266">
      <formula>AND(T$9&gt;=8/24,T$9&lt;14/24)</formula>
    </cfRule>
    <cfRule type="expression" dxfId="1771" priority="267">
      <formula>T$9&lt;8/24</formula>
    </cfRule>
  </conditionalFormatting>
  <conditionalFormatting sqref="M33:W33">
    <cfRule type="expression" dxfId="1770" priority="260">
      <formula>M$9&gt;=20/24</formula>
    </cfRule>
    <cfRule type="expression" dxfId="1769" priority="261">
      <formula>AND(M$9&gt;=14/24,M$9&lt;20/24)</formula>
    </cfRule>
    <cfRule type="expression" dxfId="1768" priority="262">
      <formula>AND(M$9&gt;=8/24,M$9&lt;14/24)</formula>
    </cfRule>
    <cfRule type="expression" dxfId="1767" priority="263">
      <formula>M$9&lt;8/24</formula>
    </cfRule>
  </conditionalFormatting>
  <conditionalFormatting sqref="L47:T47">
    <cfRule type="expression" dxfId="1766" priority="256">
      <formula>L$9&gt;=20/24</formula>
    </cfRule>
    <cfRule type="expression" dxfId="1765" priority="257">
      <formula>AND(L$9&gt;=14/24,L$9&lt;20/24)</formula>
    </cfRule>
    <cfRule type="expression" dxfId="1764" priority="258">
      <formula>AND(L$9&gt;=8/24,L$9&lt;14/24)</formula>
    </cfRule>
    <cfRule type="expression" dxfId="1763" priority="259">
      <formula>L$9&lt;8/24</formula>
    </cfRule>
  </conditionalFormatting>
  <conditionalFormatting sqref="L48:T48">
    <cfRule type="expression" dxfId="1762" priority="252">
      <formula>L$9&gt;=20/24</formula>
    </cfRule>
    <cfRule type="expression" dxfId="1761" priority="253">
      <formula>AND(L$9&gt;=14/24,L$9&lt;20/24)</formula>
    </cfRule>
    <cfRule type="expression" dxfId="1760" priority="254">
      <formula>AND(L$9&gt;=8/24,L$9&lt;14/24)</formula>
    </cfRule>
    <cfRule type="expression" dxfId="1759" priority="255">
      <formula>L$9&lt;8/24</formula>
    </cfRule>
  </conditionalFormatting>
  <conditionalFormatting sqref="L43:Q46 R45:T46">
    <cfRule type="expression" dxfId="1758" priority="248">
      <formula>L$9&gt;=20/24</formula>
    </cfRule>
    <cfRule type="expression" dxfId="1757" priority="249">
      <formula>AND(L$9&gt;=14/24,L$9&lt;20/24)</formula>
    </cfRule>
    <cfRule type="expression" dxfId="1756" priority="250">
      <formula>AND(L$9&gt;=8/24,L$9&lt;14/24)</formula>
    </cfRule>
    <cfRule type="expression" dxfId="1755" priority="251">
      <formula>L$9&lt;8/24</formula>
    </cfRule>
  </conditionalFormatting>
  <conditionalFormatting sqref="R35:AD35">
    <cfRule type="expression" dxfId="1754" priority="244">
      <formula>R$9&gt;=20/24</formula>
    </cfRule>
    <cfRule type="expression" dxfId="1753" priority="245">
      <formula>AND(R$9&gt;=14/24,R$9&lt;20/24)</formula>
    </cfRule>
    <cfRule type="expression" dxfId="1752" priority="246">
      <formula>AND(R$9&gt;=8/24,R$9&lt;14/24)</formula>
    </cfRule>
    <cfRule type="expression" dxfId="1751" priority="247">
      <formula>R$9&lt;8/24</formula>
    </cfRule>
  </conditionalFormatting>
  <conditionalFormatting sqref="X30:Z31 X33:AF33">
    <cfRule type="expression" dxfId="1750" priority="240">
      <formula>X$9&gt;=20/24</formula>
    </cfRule>
    <cfRule type="expression" dxfId="1749" priority="241">
      <formula>AND(X$9&gt;=14/24,X$9&lt;20/24)</formula>
    </cfRule>
    <cfRule type="expression" dxfId="1748" priority="242">
      <formula>AND(X$9&gt;=8/24,X$9&lt;14/24)</formula>
    </cfRule>
    <cfRule type="expression" dxfId="1747" priority="243">
      <formula>X$9&lt;8/24</formula>
    </cfRule>
  </conditionalFormatting>
  <conditionalFormatting sqref="R40:S41 T41:Y41 R43:AF46">
    <cfRule type="expression" dxfId="1746" priority="236">
      <formula>R$9&gt;=20/24</formula>
    </cfRule>
    <cfRule type="expression" dxfId="1745" priority="237">
      <formula>AND(R$9&gt;=14/24,R$9&lt;20/24)</formula>
    </cfRule>
    <cfRule type="expression" dxfId="1744" priority="238">
      <formula>AND(R$9&gt;=8/24,R$9&lt;14/24)</formula>
    </cfRule>
    <cfRule type="expression" dxfId="1743" priority="239">
      <formula>R$9&lt;8/24</formula>
    </cfRule>
  </conditionalFormatting>
  <conditionalFormatting sqref="R47:AF47">
    <cfRule type="expression" dxfId="1742" priority="232">
      <formula>R$9&gt;=20/24</formula>
    </cfRule>
    <cfRule type="expression" dxfId="1741" priority="233">
      <formula>AND(R$9&gt;=14/24,R$9&lt;20/24)</formula>
    </cfRule>
    <cfRule type="expression" dxfId="1740" priority="234">
      <formula>AND(R$9&gt;=8/24,R$9&lt;14/24)</formula>
    </cfRule>
    <cfRule type="expression" dxfId="1739" priority="235">
      <formula>R$9&lt;8/24</formula>
    </cfRule>
  </conditionalFormatting>
  <conditionalFormatting sqref="R48:AF48">
    <cfRule type="expression" dxfId="1738" priority="228">
      <formula>R$9&gt;=20/24</formula>
    </cfRule>
    <cfRule type="expression" dxfId="1737" priority="229">
      <formula>AND(R$9&gt;=14/24,R$9&lt;20/24)</formula>
    </cfRule>
    <cfRule type="expression" dxfId="1736" priority="230">
      <formula>AND(R$9&gt;=8/24,R$9&lt;14/24)</formula>
    </cfRule>
    <cfRule type="expression" dxfId="1735" priority="231">
      <formula>R$9&lt;8/24</formula>
    </cfRule>
  </conditionalFormatting>
  <conditionalFormatting sqref="R58:S59 W58:AD65 AE59:AF65">
    <cfRule type="expression" dxfId="1734" priority="224">
      <formula>R$9&gt;=20/24</formula>
    </cfRule>
    <cfRule type="expression" dxfId="1733" priority="225">
      <formula>AND(R$9&gt;=14/24,R$9&lt;20/24)</formula>
    </cfRule>
    <cfRule type="expression" dxfId="1732" priority="226">
      <formula>AND(R$9&gt;=8/24,R$9&lt;14/24)</formula>
    </cfRule>
    <cfRule type="expression" dxfId="1731" priority="227">
      <formula>R$9&lt;8/24</formula>
    </cfRule>
  </conditionalFormatting>
  <conditionalFormatting sqref="AD92:AF95">
    <cfRule type="expression" dxfId="1730" priority="220">
      <formula>AD$9&gt;=20/24</formula>
    </cfRule>
    <cfRule type="expression" dxfId="1729" priority="221">
      <formula>AND(AD$9&gt;=14/24,AD$9&lt;20/24)</formula>
    </cfRule>
    <cfRule type="expression" dxfId="1728" priority="222">
      <formula>AND(AD$9&gt;=8/24,AD$9&lt;14/24)</formula>
    </cfRule>
    <cfRule type="expression" dxfId="1727" priority="223">
      <formula>AD$9&lt;8/24</formula>
    </cfRule>
  </conditionalFormatting>
  <conditionalFormatting sqref="B60:H60 H61:H65 I60:K65">
    <cfRule type="expression" dxfId="1726" priority="216">
      <formula>B$9&gt;=20/24</formula>
    </cfRule>
    <cfRule type="expression" dxfId="1725" priority="217">
      <formula>AND(B$9&gt;=14/24,B$9&lt;20/24)</formula>
    </cfRule>
    <cfRule type="expression" dxfId="1724" priority="218">
      <formula>AND(B$9&gt;=8/24,B$9&lt;14/24)</formula>
    </cfRule>
    <cfRule type="expression" dxfId="1723" priority="219">
      <formula>B$9&lt;8/24</formula>
    </cfRule>
  </conditionalFormatting>
  <conditionalFormatting sqref="T92:AC95">
    <cfRule type="expression" dxfId="1722" priority="212">
      <formula>T$9&gt;=20/24</formula>
    </cfRule>
    <cfRule type="expression" dxfId="1721" priority="213">
      <formula>AND(T$9&gt;=14/24,T$9&lt;20/24)</formula>
    </cfRule>
    <cfRule type="expression" dxfId="1720" priority="214">
      <formula>AND(T$9&gt;=8/24,T$9&lt;14/24)</formula>
    </cfRule>
    <cfRule type="expression" dxfId="1719" priority="215">
      <formula>T$9&lt;8/24</formula>
    </cfRule>
  </conditionalFormatting>
  <conditionalFormatting sqref="AG49 B15:K21 B11:K13 B33:K34 B26:K31 B25:L25 B23:K24 B22:L22 M15:T31 M11:T13 U17:Z20 Q11:AF11 B35:AF41 AA15:AF20 M33:AF34 AA12:AF13 B43:AF54 U21:AF31">
    <cfRule type="expression" dxfId="1718" priority="211">
      <formula>B11&gt;$AG11</formula>
    </cfRule>
  </conditionalFormatting>
  <conditionalFormatting sqref="A98:A154 A82:A95 A11:A13 A15:A31 A43:A70 A78:A80 A72:A76 A33:A41 A167:A198">
    <cfRule type="expression" dxfId="1717" priority="210">
      <formula>$AH11=0</formula>
    </cfRule>
  </conditionalFormatting>
  <conditionalFormatting sqref="AD96:AF96">
    <cfRule type="expression" dxfId="1716" priority="206">
      <formula>AD$9&gt;=20/24</formula>
    </cfRule>
    <cfRule type="expression" dxfId="1715" priority="207">
      <formula>AND(AD$9&gt;=14/24,AD$9&lt;20/24)</formula>
    </cfRule>
    <cfRule type="expression" dxfId="1714" priority="208">
      <formula>AND(AD$9&gt;=8/24,AD$9&lt;14/24)</formula>
    </cfRule>
    <cfRule type="expression" dxfId="1713" priority="209">
      <formula>AD$9&lt;8/24</formula>
    </cfRule>
  </conditionalFormatting>
  <conditionalFormatting sqref="T96:AC96">
    <cfRule type="expression" dxfId="1712" priority="202">
      <formula>T$9&gt;=20/24</formula>
    </cfRule>
    <cfRule type="expression" dxfId="1711" priority="203">
      <formula>AND(T$9&gt;=14/24,T$9&lt;20/24)</formula>
    </cfRule>
    <cfRule type="expression" dxfId="1710" priority="204">
      <formula>AND(T$9&gt;=8/24,T$9&lt;14/24)</formula>
    </cfRule>
    <cfRule type="expression" dxfId="1709" priority="205">
      <formula>T$9&lt;8/24</formula>
    </cfRule>
  </conditionalFormatting>
  <conditionalFormatting sqref="A96">
    <cfRule type="expression" dxfId="1708" priority="201">
      <formula>$AH96=0</formula>
    </cfRule>
  </conditionalFormatting>
  <conditionalFormatting sqref="C34:K34 M34:AF34">
    <cfRule type="expression" dxfId="1707" priority="197">
      <formula>C$9&gt;=20/24</formula>
    </cfRule>
    <cfRule type="expression" dxfId="1706" priority="198">
      <formula>AND(C$9&gt;=14/24,C$9&lt;20/24)</formula>
    </cfRule>
    <cfRule type="expression" dxfId="1705" priority="199">
      <formula>AND(C$9&gt;=8/24,C$9&lt;14/24)</formula>
    </cfRule>
    <cfRule type="expression" dxfId="1704" priority="200">
      <formula>C$9&lt;8/24</formula>
    </cfRule>
  </conditionalFormatting>
  <conditionalFormatting sqref="X34:AF34">
    <cfRule type="expression" dxfId="1703" priority="193">
      <formula>X$9&gt;=20/24</formula>
    </cfRule>
    <cfRule type="expression" dxfId="1702" priority="194">
      <formula>AND(X$9&gt;=14/24,X$9&lt;20/24)</formula>
    </cfRule>
    <cfRule type="expression" dxfId="1701" priority="195">
      <formula>AND(X$9&gt;=8/24,X$9&lt;14/24)</formula>
    </cfRule>
    <cfRule type="expression" dxfId="1700" priority="196">
      <formula>X$9&lt;8/24</formula>
    </cfRule>
  </conditionalFormatting>
  <conditionalFormatting sqref="B34">
    <cfRule type="expression" dxfId="1699" priority="189">
      <formula>B$9&gt;=20/24</formula>
    </cfRule>
    <cfRule type="expression" dxfId="1698" priority="190">
      <formula>AND(B$9&gt;=14/24,B$9&lt;20/24)</formula>
    </cfRule>
    <cfRule type="expression" dxfId="1697" priority="191">
      <formula>AND(B$9&gt;=8/24,B$9&lt;14/24)</formula>
    </cfRule>
    <cfRule type="expression" dxfId="1696" priority="192">
      <formula>B$9&lt;8/24</formula>
    </cfRule>
  </conditionalFormatting>
  <conditionalFormatting sqref="D61:G65">
    <cfRule type="expression" dxfId="1695" priority="185">
      <formula>D$9&gt;=20/24</formula>
    </cfRule>
    <cfRule type="expression" dxfId="1694" priority="186">
      <formula>AND(D$9&gt;=14/24,D$9&lt;20/24)</formula>
    </cfRule>
    <cfRule type="expression" dxfId="1693" priority="187">
      <formula>AND(D$9&gt;=8/24,D$9&lt;14/24)</formula>
    </cfRule>
    <cfRule type="expression" dxfId="1692" priority="188">
      <formula>D$9&lt;8/24</formula>
    </cfRule>
  </conditionalFormatting>
  <conditionalFormatting sqref="L60:L65">
    <cfRule type="expression" dxfId="1691" priority="181">
      <formula>L$9&gt;=20/24</formula>
    </cfRule>
    <cfRule type="expression" dxfId="1690" priority="182">
      <formula>AND(L$9&gt;=14/24,L$9&lt;20/24)</formula>
    </cfRule>
    <cfRule type="expression" dxfId="1689" priority="183">
      <formula>AND(L$9&gt;=8/24,L$9&lt;14/24)</formula>
    </cfRule>
    <cfRule type="expression" dxfId="1688" priority="184">
      <formula>L$9&lt;8/24</formula>
    </cfRule>
  </conditionalFormatting>
  <conditionalFormatting sqref="AL31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32:AF32">
    <cfRule type="expression" dxfId="1687" priority="176">
      <formula>AA$9&gt;=20/24</formula>
    </cfRule>
    <cfRule type="expression" dxfId="1686" priority="177">
      <formula>AND(AA$9&gt;=14/24,AA$9&lt;20/24)</formula>
    </cfRule>
    <cfRule type="expression" dxfId="1685" priority="178">
      <formula>AND(AA$9&gt;=8/24,AA$9&lt;14/24)</formula>
    </cfRule>
    <cfRule type="expression" dxfId="1684" priority="179">
      <formula>AA$9&lt;8/24</formula>
    </cfRule>
  </conditionalFormatting>
  <conditionalFormatting sqref="M32:W32">
    <cfRule type="expression" dxfId="1683" priority="172">
      <formula>M$9&gt;=20/24</formula>
    </cfRule>
    <cfRule type="expression" dxfId="1682" priority="173">
      <formula>AND(M$9&gt;=14/24,M$9&lt;20/24)</formula>
    </cfRule>
    <cfRule type="expression" dxfId="1681" priority="174">
      <formula>AND(M$9&gt;=8/24,M$9&lt;14/24)</formula>
    </cfRule>
    <cfRule type="expression" dxfId="1680" priority="175">
      <formula>M$9&lt;8/24</formula>
    </cfRule>
  </conditionalFormatting>
  <conditionalFormatting sqref="X32:Z32">
    <cfRule type="expression" dxfId="1679" priority="168">
      <formula>X$9&gt;=20/24</formula>
    </cfRule>
    <cfRule type="expression" dxfId="1678" priority="169">
      <formula>AND(X$9&gt;=14/24,X$9&lt;20/24)</formula>
    </cfRule>
    <cfRule type="expression" dxfId="1677" priority="170">
      <formula>AND(X$9&gt;=8/24,X$9&lt;14/24)</formula>
    </cfRule>
    <cfRule type="expression" dxfId="1676" priority="171">
      <formula>X$9&lt;8/24</formula>
    </cfRule>
  </conditionalFormatting>
  <conditionalFormatting sqref="B32:K32 M32:AF32">
    <cfRule type="expression" dxfId="1675" priority="167">
      <formula>B32&gt;$AG32</formula>
    </cfRule>
  </conditionalFormatting>
  <conditionalFormatting sqref="A32">
    <cfRule type="expression" dxfId="1674" priority="166">
      <formula>$AH32=0</formula>
    </cfRule>
  </conditionalFormatting>
  <conditionalFormatting sqref="B81:AF81">
    <cfRule type="expression" dxfId="1673" priority="162">
      <formula>B$9&gt;=20/24</formula>
    </cfRule>
    <cfRule type="expression" dxfId="1672" priority="163">
      <formula>AND(B$9&gt;=14/24,B$9&lt;20/24)</formula>
    </cfRule>
    <cfRule type="expression" dxfId="1671" priority="164">
      <formula>AND(B$9&gt;=8/24,B$9&lt;14/24)</formula>
    </cfRule>
    <cfRule type="expression" dxfId="1670" priority="165">
      <formula>B$9&lt;8/24</formula>
    </cfRule>
  </conditionalFormatting>
  <conditionalFormatting sqref="A81">
    <cfRule type="expression" dxfId="1669" priority="161">
      <formula>$AH81=0</formula>
    </cfRule>
  </conditionalFormatting>
  <conditionalFormatting sqref="AA14:AF14">
    <cfRule type="expression" dxfId="1668" priority="157">
      <formula>AA$9&gt;=20/24</formula>
    </cfRule>
    <cfRule type="expression" dxfId="1667" priority="158">
      <formula>AND(AA$9&gt;=14/24,AA$9&lt;20/24)</formula>
    </cfRule>
    <cfRule type="expression" dxfId="1666" priority="159">
      <formula>AND(AA$9&gt;=8/24,AA$9&lt;14/24)</formula>
    </cfRule>
    <cfRule type="expression" dxfId="1665" priority="160">
      <formula>AA$9&lt;8/24</formula>
    </cfRule>
  </conditionalFormatting>
  <conditionalFormatting sqref="M14:T14">
    <cfRule type="expression" dxfId="1664" priority="153">
      <formula>M$9&gt;=20/24</formula>
    </cfRule>
    <cfRule type="expression" dxfId="1663" priority="154">
      <formula>AND(M$9&gt;=14/24,M$9&lt;20/24)</formula>
    </cfRule>
    <cfRule type="expression" dxfId="1662" priority="155">
      <formula>AND(M$9&gt;=8/24,M$9&lt;14/24)</formula>
    </cfRule>
    <cfRule type="expression" dxfId="1661" priority="156">
      <formula>M$9&lt;8/24</formula>
    </cfRule>
  </conditionalFormatting>
  <conditionalFormatting sqref="B14:K14 M14:T14 AA14:AF14">
    <cfRule type="expression" dxfId="1660" priority="152">
      <formula>B14&gt;$AG14</formula>
    </cfRule>
  </conditionalFormatting>
  <conditionalFormatting sqref="A14">
    <cfRule type="expression" dxfId="1659" priority="151">
      <formula>$AH14=0</formula>
    </cfRule>
  </conditionalFormatting>
  <conditionalFormatting sqref="A161:A166">
    <cfRule type="expression" dxfId="1658" priority="150">
      <formula>$AH161=0</formula>
    </cfRule>
  </conditionalFormatting>
  <conditionalFormatting sqref="A155:A160">
    <cfRule type="expression" dxfId="1657" priority="149">
      <formula>$AH155=0</formula>
    </cfRule>
  </conditionalFormatting>
  <conditionalFormatting sqref="Z42:AF42">
    <cfRule type="expression" dxfId="1656" priority="145">
      <formula>Z$9&gt;=20/24</formula>
    </cfRule>
    <cfRule type="expression" dxfId="1655" priority="146">
      <formula>AND(Z$9&gt;=14/24,Z$9&lt;20/24)</formula>
    </cfRule>
    <cfRule type="expression" dxfId="1654" priority="147">
      <formula>AND(Z$9&gt;=8/24,Z$9&lt;14/24)</formula>
    </cfRule>
    <cfRule type="expression" dxfId="1653" priority="148">
      <formula>Z$9&lt;8/24</formula>
    </cfRule>
  </conditionalFormatting>
  <conditionalFormatting sqref="L42:Q42">
    <cfRule type="expression" dxfId="1652" priority="141">
      <formula>L$9&gt;=20/24</formula>
    </cfRule>
    <cfRule type="expression" dxfId="1651" priority="142">
      <formula>AND(L$9&gt;=14/24,L$9&lt;20/24)</formula>
    </cfRule>
    <cfRule type="expression" dxfId="1650" priority="143">
      <formula>AND(L$9&gt;=8/24,L$9&lt;14/24)</formula>
    </cfRule>
    <cfRule type="expression" dxfId="1649" priority="144">
      <formula>L$9&lt;8/24</formula>
    </cfRule>
  </conditionalFormatting>
  <conditionalFormatting sqref="R42:Y42">
    <cfRule type="expression" dxfId="1648" priority="137">
      <formula>R$9&gt;=20/24</formula>
    </cfRule>
    <cfRule type="expression" dxfId="1647" priority="138">
      <formula>AND(R$9&gt;=14/24,R$9&lt;20/24)</formula>
    </cfRule>
    <cfRule type="expression" dxfId="1646" priority="139">
      <formula>AND(R$9&gt;=8/24,R$9&lt;14/24)</formula>
    </cfRule>
    <cfRule type="expression" dxfId="1645" priority="140">
      <formula>R$9&lt;8/24</formula>
    </cfRule>
  </conditionalFormatting>
  <conditionalFormatting sqref="B42:AF42">
    <cfRule type="expression" dxfId="1644" priority="136">
      <formula>B42&gt;$AG42</formula>
    </cfRule>
  </conditionalFormatting>
  <conditionalFormatting sqref="A42">
    <cfRule type="expression" dxfId="1643" priority="135">
      <formula>$AH42=0</formula>
    </cfRule>
  </conditionalFormatting>
  <conditionalFormatting sqref="B77:AF77">
    <cfRule type="expression" dxfId="1642" priority="131">
      <formula>B$9&gt;=20/24</formula>
    </cfRule>
    <cfRule type="expression" dxfId="1641" priority="132">
      <formula>AND(B$9&gt;=14/24,B$9&lt;20/24)</formula>
    </cfRule>
    <cfRule type="expression" dxfId="1640" priority="133">
      <formula>AND(B$9&gt;=8/24,B$9&lt;14/24)</formula>
    </cfRule>
    <cfRule type="expression" dxfId="1639" priority="134">
      <formula>B$9&lt;8/24</formula>
    </cfRule>
  </conditionalFormatting>
  <conditionalFormatting sqref="A77">
    <cfRule type="expression" dxfId="1638" priority="130">
      <formula>$AH77=0</formula>
    </cfRule>
  </conditionalFormatting>
  <conditionalFormatting sqref="B71:AG71">
    <cfRule type="expression" dxfId="1637" priority="126">
      <formula>B$9&gt;=20/24</formula>
    </cfRule>
    <cfRule type="expression" dxfId="1636" priority="127">
      <formula>AND(B$9&gt;=14/24,B$9&lt;20/24)</formula>
    </cfRule>
    <cfRule type="expression" dxfId="1635" priority="128">
      <formula>AND(B$9&gt;=8/24,B$9&lt;14/24)</formula>
    </cfRule>
    <cfRule type="expression" dxfId="1634" priority="129">
      <formula>B$9&lt;8/24</formula>
    </cfRule>
  </conditionalFormatting>
  <conditionalFormatting sqref="A71">
    <cfRule type="expression" dxfId="1633" priority="125">
      <formula>$AH71=0</formula>
    </cfRule>
  </conditionalFormatting>
  <conditionalFormatting sqref="AL32:AL33 AL7:AL30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T58:V59 U60:V65">
    <cfRule type="expression" dxfId="1632" priority="121">
      <formula>T$9&gt;=20/24</formula>
    </cfRule>
    <cfRule type="expression" dxfId="1631" priority="122">
      <formula>AND(T$9&gt;=14/24,T$9&lt;20/24)</formula>
    </cfRule>
    <cfRule type="expression" dxfId="1630" priority="123">
      <formula>AND(T$9&gt;=8/24,T$9&lt;14/24)</formula>
    </cfRule>
    <cfRule type="expression" dxfId="1629" priority="124">
      <formula>T$9&lt;8/24</formula>
    </cfRule>
  </conditionalFormatting>
  <conditionalFormatting sqref="T83:Y89">
    <cfRule type="expression" dxfId="1628" priority="117">
      <formula>T$9&gt;=20/24</formula>
    </cfRule>
    <cfRule type="expression" dxfId="1627" priority="118">
      <formula>AND(T$9&gt;=14/24,T$9&lt;20/24)</formula>
    </cfRule>
    <cfRule type="expression" dxfId="1626" priority="119">
      <formula>AND(T$9&gt;=8/24,T$9&lt;14/24)</formula>
    </cfRule>
    <cfRule type="expression" dxfId="1625" priority="120">
      <formula>T$9&lt;8/24</formula>
    </cfRule>
  </conditionalFormatting>
  <conditionalFormatting sqref="R83:S89 B82:Q89">
    <cfRule type="expression" dxfId="1624" priority="113">
      <formula>B$9&gt;=20/24</formula>
    </cfRule>
    <cfRule type="expression" dxfId="1623" priority="114">
      <formula>AND(B$9&gt;=14/24,B$9&lt;20/24)</formula>
    </cfRule>
    <cfRule type="expression" dxfId="1622" priority="115">
      <formula>AND(B$9&gt;=8/24,B$9&lt;14/24)</formula>
    </cfRule>
    <cfRule type="expression" dxfId="1621" priority="116">
      <formula>B$9&lt;8/24</formula>
    </cfRule>
  </conditionalFormatting>
  <conditionalFormatting sqref="R82:S82">
    <cfRule type="expression" dxfId="1620" priority="109">
      <formula>R$9&gt;=20/24</formula>
    </cfRule>
    <cfRule type="expression" dxfId="1619" priority="110">
      <formula>AND(R$9&gt;=14/24,R$9&lt;20/24)</formula>
    </cfRule>
    <cfRule type="expression" dxfId="1618" priority="111">
      <formula>AND(R$9&gt;=8/24,R$9&lt;14/24)</formula>
    </cfRule>
    <cfRule type="expression" dxfId="1617" priority="112">
      <formula>R$9&lt;8/24</formula>
    </cfRule>
  </conditionalFormatting>
  <conditionalFormatting sqref="F93:L95 B92:E95">
    <cfRule type="expression" dxfId="1616" priority="105">
      <formula>B$9&gt;=20/24</formula>
    </cfRule>
    <cfRule type="expression" dxfId="1615" priority="106">
      <formula>AND(B$9&gt;=14/24,B$9&lt;20/24)</formula>
    </cfRule>
    <cfRule type="expression" dxfId="1614" priority="107">
      <formula>AND(B$9&gt;=8/24,B$9&lt;14/24)</formula>
    </cfRule>
    <cfRule type="expression" dxfId="1613" priority="108">
      <formula>B$9&lt;8/24</formula>
    </cfRule>
  </conditionalFormatting>
  <conditionalFormatting sqref="M93:Q95 N92:Q92">
    <cfRule type="expression" dxfId="1612" priority="101">
      <formula>M$9&gt;=20/24</formula>
    </cfRule>
    <cfRule type="expression" dxfId="1611" priority="102">
      <formula>AND(M$9&gt;=14/24,M$9&lt;20/24)</formula>
    </cfRule>
    <cfRule type="expression" dxfId="1610" priority="103">
      <formula>AND(M$9&gt;=8/24,M$9&lt;14/24)</formula>
    </cfRule>
    <cfRule type="expression" dxfId="1609" priority="104">
      <formula>M$9&lt;8/24</formula>
    </cfRule>
  </conditionalFormatting>
  <conditionalFormatting sqref="R92:S95">
    <cfRule type="expression" dxfId="1608" priority="97">
      <formula>R$9&gt;=20/24</formula>
    </cfRule>
    <cfRule type="expression" dxfId="1607" priority="98">
      <formula>AND(R$9&gt;=14/24,R$9&lt;20/24)</formula>
    </cfRule>
    <cfRule type="expression" dxfId="1606" priority="99">
      <formula>AND(R$9&gt;=8/24,R$9&lt;14/24)</formula>
    </cfRule>
    <cfRule type="expression" dxfId="1605" priority="100">
      <formula>R$9&lt;8/24</formula>
    </cfRule>
  </conditionalFormatting>
  <conditionalFormatting sqref="B96:L96">
    <cfRule type="expression" dxfId="1604" priority="93">
      <formula>B$9&gt;=20/24</formula>
    </cfRule>
    <cfRule type="expression" dxfId="1603" priority="94">
      <formula>AND(B$9&gt;=14/24,B$9&lt;20/24)</formula>
    </cfRule>
    <cfRule type="expression" dxfId="1602" priority="95">
      <formula>AND(B$9&gt;=8/24,B$9&lt;14/24)</formula>
    </cfRule>
    <cfRule type="expression" dxfId="1601" priority="96">
      <formula>B$9&lt;8/24</formula>
    </cfRule>
  </conditionalFormatting>
  <conditionalFormatting sqref="M96:Q96">
    <cfRule type="expression" dxfId="1600" priority="89">
      <formula>M$9&gt;=20/24</formula>
    </cfRule>
    <cfRule type="expression" dxfId="1599" priority="90">
      <formula>AND(M$9&gt;=14/24,M$9&lt;20/24)</formula>
    </cfRule>
    <cfRule type="expression" dxfId="1598" priority="91">
      <formula>AND(M$9&gt;=8/24,M$9&lt;14/24)</formula>
    </cfRule>
    <cfRule type="expression" dxfId="1597" priority="92">
      <formula>M$9&lt;8/24</formula>
    </cfRule>
  </conditionalFormatting>
  <conditionalFormatting sqref="R96:S96">
    <cfRule type="expression" dxfId="1596" priority="85">
      <formula>R$9&gt;=20/24</formula>
    </cfRule>
    <cfRule type="expression" dxfId="1595" priority="86">
      <formula>AND(R$9&gt;=14/24,R$9&lt;20/24)</formula>
    </cfRule>
    <cfRule type="expression" dxfId="1594" priority="87">
      <formula>AND(R$9&gt;=8/24,R$9&lt;14/24)</formula>
    </cfRule>
    <cfRule type="expression" dxfId="1593" priority="88">
      <formula>R$9&lt;8/24</formula>
    </cfRule>
  </conditionalFormatting>
  <conditionalFormatting sqref="L92:M92">
    <cfRule type="expression" dxfId="1592" priority="81">
      <formula>L$9&gt;=20/24</formula>
    </cfRule>
    <cfRule type="expression" dxfId="1591" priority="82">
      <formula>AND(L$9&gt;=14/24,L$9&lt;20/24)</formula>
    </cfRule>
    <cfRule type="expression" dxfId="1590" priority="83">
      <formula>AND(L$9&gt;=8/24,L$9&lt;14/24)</formula>
    </cfRule>
    <cfRule type="expression" dxfId="1589" priority="84">
      <formula>L$9&lt;8/24</formula>
    </cfRule>
  </conditionalFormatting>
  <conditionalFormatting sqref="F92:K92">
    <cfRule type="expression" dxfId="1588" priority="77">
      <formula>F$9&gt;=20/24</formula>
    </cfRule>
    <cfRule type="expression" dxfId="1587" priority="78">
      <formula>AND(F$9&gt;=14/24,F$9&lt;20/24)</formula>
    </cfRule>
    <cfRule type="expression" dxfId="1586" priority="79">
      <formula>AND(F$9&gt;=8/24,F$9&lt;14/24)</formula>
    </cfRule>
    <cfRule type="expression" dxfId="1585" priority="80">
      <formula>F$9&lt;8/24</formula>
    </cfRule>
  </conditionalFormatting>
  <conditionalFormatting sqref="T92:V92">
    <cfRule type="expression" dxfId="1584" priority="73">
      <formula>T$9&gt;=20/24</formula>
    </cfRule>
    <cfRule type="expression" dxfId="1583" priority="74">
      <formula>AND(T$9&gt;=14/24,T$9&lt;20/24)</formula>
    </cfRule>
    <cfRule type="expression" dxfId="1582" priority="75">
      <formula>AND(T$9&gt;=8/24,T$9&lt;14/24)</formula>
    </cfRule>
    <cfRule type="expression" dxfId="1581" priority="76">
      <formula>T$9&lt;8/24</formula>
    </cfRule>
  </conditionalFormatting>
  <conditionalFormatting sqref="M92:S92">
    <cfRule type="expression" dxfId="1580" priority="69">
      <formula>M$9&gt;=20/24</formula>
    </cfRule>
    <cfRule type="expression" dxfId="1579" priority="70">
      <formula>AND(M$9&gt;=14/24,M$9&lt;20/24)</formula>
    </cfRule>
    <cfRule type="expression" dxfId="1578" priority="71">
      <formula>AND(M$9&gt;=8/24,M$9&lt;14/24)</formula>
    </cfRule>
    <cfRule type="expression" dxfId="1577" priority="72">
      <formula>M$9&lt;8/24</formula>
    </cfRule>
  </conditionalFormatting>
  <conditionalFormatting sqref="AD97:AF97">
    <cfRule type="expression" dxfId="1576" priority="65">
      <formula>AD$9&gt;=20/24</formula>
    </cfRule>
    <cfRule type="expression" dxfId="1575" priority="66">
      <formula>AND(AD$9&gt;=14/24,AD$9&lt;20/24)</formula>
    </cfRule>
    <cfRule type="expression" dxfId="1574" priority="67">
      <formula>AND(AD$9&gt;=8/24,AD$9&lt;14/24)</formula>
    </cfRule>
    <cfRule type="expression" dxfId="1573" priority="68">
      <formula>AD$9&lt;8/24</formula>
    </cfRule>
  </conditionalFormatting>
  <conditionalFormatting sqref="T97:AC97">
    <cfRule type="expression" dxfId="1572" priority="61">
      <formula>T$9&gt;=20/24</formula>
    </cfRule>
    <cfRule type="expression" dxfId="1571" priority="62">
      <formula>AND(T$9&gt;=14/24,T$9&lt;20/24)</formula>
    </cfRule>
    <cfRule type="expression" dxfId="1570" priority="63">
      <formula>AND(T$9&gt;=8/24,T$9&lt;14/24)</formula>
    </cfRule>
    <cfRule type="expression" dxfId="1569" priority="64">
      <formula>T$9&lt;8/24</formula>
    </cfRule>
  </conditionalFormatting>
  <conditionalFormatting sqref="A97">
    <cfRule type="expression" dxfId="1568" priority="60">
      <formula>$AH97=0</formula>
    </cfRule>
  </conditionalFormatting>
  <conditionalFormatting sqref="B97:L97">
    <cfRule type="expression" dxfId="1567" priority="56">
      <formula>B$9&gt;=20/24</formula>
    </cfRule>
    <cfRule type="expression" dxfId="1566" priority="57">
      <formula>AND(B$9&gt;=14/24,B$9&lt;20/24)</formula>
    </cfRule>
    <cfRule type="expression" dxfId="1565" priority="58">
      <formula>AND(B$9&gt;=8/24,B$9&lt;14/24)</formula>
    </cfRule>
    <cfRule type="expression" dxfId="1564" priority="59">
      <formula>B$9&lt;8/24</formula>
    </cfRule>
  </conditionalFormatting>
  <conditionalFormatting sqref="M97:Q97">
    <cfRule type="expression" dxfId="1563" priority="52">
      <formula>M$9&gt;=20/24</formula>
    </cfRule>
    <cfRule type="expression" dxfId="1562" priority="53">
      <formula>AND(M$9&gt;=14/24,M$9&lt;20/24)</formula>
    </cfRule>
    <cfRule type="expression" dxfId="1561" priority="54">
      <formula>AND(M$9&gt;=8/24,M$9&lt;14/24)</formula>
    </cfRule>
    <cfRule type="expression" dxfId="1560" priority="55">
      <formula>M$9&lt;8/24</formula>
    </cfRule>
  </conditionalFormatting>
  <conditionalFormatting sqref="R97:S97">
    <cfRule type="expression" dxfId="1559" priority="48">
      <formula>R$9&gt;=20/24</formula>
    </cfRule>
    <cfRule type="expression" dxfId="1558" priority="49">
      <formula>AND(R$9&gt;=14/24,R$9&lt;20/24)</formula>
    </cfRule>
    <cfRule type="expression" dxfId="1557" priority="50">
      <formula>AND(R$9&gt;=8/24,R$9&lt;14/24)</formula>
    </cfRule>
    <cfRule type="expression" dxfId="1556" priority="51">
      <formula>R$9&lt;8/24</formula>
    </cfRule>
  </conditionalFormatting>
  <conditionalFormatting sqref="U12:Z15">
    <cfRule type="expression" dxfId="1555" priority="44">
      <formula>U$9&gt;=20/24</formula>
    </cfRule>
    <cfRule type="expression" dxfId="1554" priority="45">
      <formula>AND(U$9&gt;=14/24,U$9&lt;20/24)</formula>
    </cfRule>
    <cfRule type="expression" dxfId="1553" priority="46">
      <formula>AND(U$9&gt;=8/24,U$9&lt;14/24)</formula>
    </cfRule>
    <cfRule type="expression" dxfId="1552" priority="47">
      <formula>U$9&lt;8/24</formula>
    </cfRule>
  </conditionalFormatting>
  <conditionalFormatting sqref="U16:Z16">
    <cfRule type="expression" dxfId="1551" priority="40">
      <formula>U$9&gt;=20/24</formula>
    </cfRule>
    <cfRule type="expression" dxfId="1550" priority="41">
      <formula>AND(U$9&gt;=14/24,U$9&lt;20/24)</formula>
    </cfRule>
    <cfRule type="expression" dxfId="1549" priority="42">
      <formula>AND(U$9&gt;=8/24,U$9&lt;14/24)</formula>
    </cfRule>
    <cfRule type="expression" dxfId="1548" priority="43">
      <formula>U$9&lt;8/24</formula>
    </cfRule>
  </conditionalFormatting>
  <conditionalFormatting sqref="U12:Z12">
    <cfRule type="expression" dxfId="1547" priority="36">
      <formula>U$9&gt;=20/24</formula>
    </cfRule>
    <cfRule type="expression" dxfId="1546" priority="37">
      <formula>AND(U$9&gt;=14/24,U$9&lt;20/24)</formula>
    </cfRule>
    <cfRule type="expression" dxfId="1545" priority="38">
      <formula>AND(U$9&gt;=8/24,U$9&lt;14/24)</formula>
    </cfRule>
    <cfRule type="expression" dxfId="1544" priority="39">
      <formula>U$9&lt;8/24</formula>
    </cfRule>
  </conditionalFormatting>
  <conditionalFormatting sqref="AA56:AD57">
    <cfRule type="expression" dxfId="1543" priority="32">
      <formula>AA$9&gt;=20/24</formula>
    </cfRule>
    <cfRule type="expression" dxfId="1542" priority="33">
      <formula>AND(AA$9&gt;=14/24,AA$9&lt;20/24)</formula>
    </cfRule>
    <cfRule type="expression" dxfId="1541" priority="34">
      <formula>AND(AA$9&gt;=8/24,AA$9&lt;14/24)</formula>
    </cfRule>
    <cfRule type="expression" dxfId="1540" priority="35">
      <formula>AA$9&lt;8/24</formula>
    </cfRule>
  </conditionalFormatting>
  <conditionalFormatting sqref="L11:L13 L15:L21 L26:L31 L23:L24">
    <cfRule type="expression" dxfId="1539" priority="28">
      <formula>L$9&gt;=20/24</formula>
    </cfRule>
    <cfRule type="expression" dxfId="1538" priority="29">
      <formula>AND(L$9&gt;=14/24,L$9&lt;20/24)</formula>
    </cfRule>
    <cfRule type="expression" dxfId="1537" priority="30">
      <formula>AND(L$9&gt;=8/24,L$9&lt;14/24)</formula>
    </cfRule>
    <cfRule type="expression" dxfId="1536" priority="31">
      <formula>L$9&lt;8/24</formula>
    </cfRule>
  </conditionalFormatting>
  <conditionalFormatting sqref="L33">
    <cfRule type="expression" dxfId="1535" priority="24">
      <formula>L$9&gt;=20/24</formula>
    </cfRule>
    <cfRule type="expression" dxfId="1534" priority="25">
      <formula>AND(L$9&gt;=14/24,L$9&lt;20/24)</formula>
    </cfRule>
    <cfRule type="expression" dxfId="1533" priority="26">
      <formula>AND(L$9&gt;=8/24,L$9&lt;14/24)</formula>
    </cfRule>
    <cfRule type="expression" dxfId="1532" priority="27">
      <formula>L$9&lt;8/24</formula>
    </cfRule>
  </conditionalFormatting>
  <conditionalFormatting sqref="L15:L21 L11:L13 L33:L34 L26:L31 L23:L24">
    <cfRule type="expression" dxfId="1531" priority="23">
      <formula>L11&gt;$AG11</formula>
    </cfRule>
  </conditionalFormatting>
  <conditionalFormatting sqref="L34">
    <cfRule type="expression" dxfId="1530" priority="19">
      <formula>L$9&gt;=20/24</formula>
    </cfRule>
    <cfRule type="expression" dxfId="1529" priority="20">
      <formula>AND(L$9&gt;=14/24,L$9&lt;20/24)</formula>
    </cfRule>
    <cfRule type="expression" dxfId="1528" priority="21">
      <formula>AND(L$9&gt;=8/24,L$9&lt;14/24)</formula>
    </cfRule>
    <cfRule type="expression" dxfId="1527" priority="22">
      <formula>L$9&lt;8/24</formula>
    </cfRule>
  </conditionalFormatting>
  <conditionalFormatting sqref="L32">
    <cfRule type="expression" dxfId="1526" priority="15">
      <formula>L$9&gt;=20/24</formula>
    </cfRule>
    <cfRule type="expression" dxfId="1525" priority="16">
      <formula>AND(L$9&gt;=14/24,L$9&lt;20/24)</formula>
    </cfRule>
    <cfRule type="expression" dxfId="1524" priority="17">
      <formula>AND(L$9&gt;=8/24,L$9&lt;14/24)</formula>
    </cfRule>
    <cfRule type="expression" dxfId="1523" priority="18">
      <formula>L$9&lt;8/24</formula>
    </cfRule>
  </conditionalFormatting>
  <conditionalFormatting sqref="L32">
    <cfRule type="expression" dxfId="1522" priority="14">
      <formula>L32&gt;$AG32</formula>
    </cfRule>
  </conditionalFormatting>
  <conditionalFormatting sqref="L14">
    <cfRule type="expression" dxfId="1521" priority="10">
      <formula>L$9&gt;=20/24</formula>
    </cfRule>
    <cfRule type="expression" dxfId="1520" priority="11">
      <formula>AND(L$9&gt;=14/24,L$9&lt;20/24)</formula>
    </cfRule>
    <cfRule type="expression" dxfId="1519" priority="12">
      <formula>AND(L$9&gt;=8/24,L$9&lt;14/24)</formula>
    </cfRule>
    <cfRule type="expression" dxfId="1518" priority="13">
      <formula>L$9&lt;8/24</formula>
    </cfRule>
  </conditionalFormatting>
  <conditionalFormatting sqref="L14">
    <cfRule type="expression" dxfId="1517" priority="9">
      <formula>L14&gt;$AG14</formula>
    </cfRule>
  </conditionalFormatting>
  <conditionalFormatting sqref="L35">
    <cfRule type="expression" dxfId="1516" priority="5">
      <formula>L$9&gt;=20/24</formula>
    </cfRule>
    <cfRule type="expression" dxfId="1515" priority="6">
      <formula>AND(L$9&gt;=14/24,L$9&lt;20/24)</formula>
    </cfRule>
    <cfRule type="expression" dxfId="1514" priority="7">
      <formula>AND(L$9&gt;=8/24,L$9&lt;14/24)</formula>
    </cfRule>
    <cfRule type="expression" dxfId="1513" priority="8">
      <formula>L$9&lt;8/24</formula>
    </cfRule>
  </conditionalFormatting>
  <conditionalFormatting sqref="L25">
    <cfRule type="expression" dxfId="1512" priority="1">
      <formula>L$9&gt;=20/24</formula>
    </cfRule>
    <cfRule type="expression" dxfId="1511" priority="2">
      <formula>AND(L$9&gt;=14/24,L$9&lt;20/24)</formula>
    </cfRule>
    <cfRule type="expression" dxfId="1510" priority="3">
      <formula>AND(L$9&gt;=8/24,L$9&lt;14/24)</formula>
    </cfRule>
    <cfRule type="expression" dxfId="1509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18" sqref="Y1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2078/04/29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-300.5</v>
      </c>
      <c r="C5" s="32">
        <f t="shared" ref="C5:AF5" si="0">C66</f>
        <v>-312.89999999999998</v>
      </c>
      <c r="D5" s="32">
        <f t="shared" si="0"/>
        <v>-56.599999999999994</v>
      </c>
      <c r="E5" s="32">
        <f t="shared" si="0"/>
        <v>-249.10000000000002</v>
      </c>
      <c r="F5" s="32">
        <f t="shared" si="0"/>
        <v>-280.39999999999998</v>
      </c>
      <c r="G5" s="32">
        <f t="shared" si="0"/>
        <v>-284.60000000000002</v>
      </c>
      <c r="H5" s="32">
        <f t="shared" si="0"/>
        <v>-316.20000000000005</v>
      </c>
      <c r="I5" s="32">
        <f t="shared" si="0"/>
        <v>-288.3</v>
      </c>
      <c r="J5" s="32">
        <f t="shared" si="0"/>
        <v>-290.39999999999998</v>
      </c>
      <c r="K5" s="32">
        <f t="shared" si="0"/>
        <v>-192.39999999999998</v>
      </c>
      <c r="L5" s="32">
        <f t="shared" si="0"/>
        <v>-204.9</v>
      </c>
      <c r="M5" s="32">
        <f t="shared" si="0"/>
        <v>-187.9</v>
      </c>
      <c r="N5" s="32">
        <f t="shared" si="0"/>
        <v>-177.5</v>
      </c>
      <c r="O5" s="32">
        <f t="shared" si="0"/>
        <v>-201.39999999999998</v>
      </c>
      <c r="P5" s="32">
        <f t="shared" si="0"/>
        <v>0</v>
      </c>
      <c r="Q5" s="32">
        <f t="shared" si="0"/>
        <v>-292.10000000000002</v>
      </c>
      <c r="R5" s="32">
        <f t="shared" si="0"/>
        <v>0</v>
      </c>
      <c r="S5" s="32">
        <f t="shared" si="0"/>
        <v>-303.89999999999998</v>
      </c>
      <c r="T5" s="32">
        <f t="shared" si="0"/>
        <v>-262.2</v>
      </c>
      <c r="U5" s="32">
        <f t="shared" si="0"/>
        <v>-263.5</v>
      </c>
      <c r="V5" s="32">
        <f t="shared" si="0"/>
        <v>-186.5</v>
      </c>
      <c r="W5" s="32">
        <f t="shared" si="0"/>
        <v>-155.6</v>
      </c>
      <c r="X5" s="32">
        <f t="shared" si="0"/>
        <v>-129.9</v>
      </c>
      <c r="Y5" s="32">
        <f t="shared" si="0"/>
        <v>-143.9</v>
      </c>
      <c r="Z5" s="32">
        <f t="shared" si="0"/>
        <v>-145.69999999999999</v>
      </c>
      <c r="AA5" s="32">
        <f t="shared" si="0"/>
        <v>-166.1</v>
      </c>
      <c r="AB5" s="32">
        <f t="shared" si="0"/>
        <v>-207.1</v>
      </c>
      <c r="AC5" s="32">
        <f t="shared" si="0"/>
        <v>-209.4</v>
      </c>
      <c r="AD5" s="32">
        <f t="shared" si="0"/>
        <v>-153.5</v>
      </c>
      <c r="AE5" s="32">
        <f t="shared" si="0"/>
        <v>-176.1</v>
      </c>
      <c r="AF5" s="32">
        <f t="shared" si="0"/>
        <v>-152.19999999999999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951MW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B73</f>
        <v>983.04000000000019</v>
      </c>
      <c r="C7" s="37">
        <f t="shared" si="1"/>
        <v>958.6400000000001</v>
      </c>
      <c r="D7" s="37">
        <f t="shared" si="1"/>
        <v>903.24</v>
      </c>
      <c r="E7" s="37">
        <f t="shared" si="1"/>
        <v>919.14</v>
      </c>
      <c r="F7" s="37">
        <f t="shared" si="1"/>
        <v>951.34000000000015</v>
      </c>
      <c r="G7" s="37">
        <f t="shared" si="1"/>
        <v>945.24000000000012</v>
      </c>
      <c r="H7" s="37">
        <f t="shared" si="1"/>
        <v>906.74</v>
      </c>
      <c r="I7" s="37">
        <f t="shared" si="1"/>
        <v>879.84000000000015</v>
      </c>
      <c r="J7" s="37">
        <f t="shared" si="1"/>
        <v>868.04000000000019</v>
      </c>
      <c r="K7" s="37">
        <f t="shared" si="1"/>
        <v>866.54</v>
      </c>
      <c r="L7" s="37">
        <f>L73</f>
        <v>854.04</v>
      </c>
      <c r="M7" s="37">
        <f t="shared" si="1"/>
        <v>868.94</v>
      </c>
      <c r="N7" s="37">
        <f t="shared" si="1"/>
        <v>879.24000000000012</v>
      </c>
      <c r="O7" s="37">
        <f t="shared" si="1"/>
        <v>858.94000000000017</v>
      </c>
      <c r="P7" s="37">
        <f t="shared" si="1"/>
        <v>3.54</v>
      </c>
      <c r="Q7" s="37">
        <f t="shared" si="1"/>
        <v>877.34000000000015</v>
      </c>
      <c r="R7" s="37">
        <f t="shared" si="1"/>
        <v>3.54</v>
      </c>
      <c r="S7" s="37">
        <f t="shared" si="1"/>
        <v>891.54</v>
      </c>
      <c r="T7" s="37">
        <f t="shared" si="1"/>
        <v>862.6400000000001</v>
      </c>
      <c r="U7" s="37">
        <f t="shared" si="1"/>
        <v>877.34000000000015</v>
      </c>
      <c r="V7" s="37">
        <f t="shared" si="1"/>
        <v>969.1400000000001</v>
      </c>
      <c r="W7" s="37">
        <f t="shared" si="1"/>
        <v>1109.3400000000001</v>
      </c>
      <c r="X7" s="37">
        <f t="shared" si="1"/>
        <v>1177.6400000000001</v>
      </c>
      <c r="Y7" s="37">
        <f t="shared" si="1"/>
        <v>1159.6400000000001</v>
      </c>
      <c r="Z7" s="37">
        <f t="shared" si="1"/>
        <v>1164.94</v>
      </c>
      <c r="AA7" s="37">
        <f t="shared" si="1"/>
        <v>1148.44</v>
      </c>
      <c r="AB7" s="37">
        <f t="shared" si="1"/>
        <v>1157.44</v>
      </c>
      <c r="AC7" s="37">
        <f t="shared" si="1"/>
        <v>1128.1400000000001</v>
      </c>
      <c r="AD7" s="37">
        <f t="shared" si="1"/>
        <v>1076.44</v>
      </c>
      <c r="AE7" s="37">
        <f t="shared" si="1"/>
        <v>1011.5400000000001</v>
      </c>
      <c r="AF7" s="37">
        <f t="shared" si="1"/>
        <v>994.34000000000015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350</v>
      </c>
      <c r="C11" s="49">
        <v>350</v>
      </c>
      <c r="D11" s="49">
        <v>180</v>
      </c>
      <c r="E11" s="49">
        <v>280</v>
      </c>
      <c r="F11" s="49">
        <v>330</v>
      </c>
      <c r="G11" s="49">
        <v>330</v>
      </c>
      <c r="H11" s="49">
        <v>330</v>
      </c>
      <c r="I11" s="49">
        <v>280</v>
      </c>
      <c r="J11" s="49">
        <v>280</v>
      </c>
      <c r="K11" s="49">
        <v>200</v>
      </c>
      <c r="L11" s="50">
        <v>200</v>
      </c>
      <c r="M11" s="50">
        <v>200</v>
      </c>
      <c r="N11" s="50">
        <v>200</v>
      </c>
      <c r="O11" s="50">
        <v>200</v>
      </c>
      <c r="P11" s="50" t="s">
        <v>219</v>
      </c>
      <c r="Q11" s="51">
        <v>200</v>
      </c>
      <c r="R11" s="52" t="s">
        <v>238</v>
      </c>
      <c r="S11" s="52">
        <v>200</v>
      </c>
      <c r="T11" s="52">
        <v>200</v>
      </c>
      <c r="U11" s="52">
        <v>200</v>
      </c>
      <c r="V11" s="52">
        <v>200</v>
      </c>
      <c r="W11" s="52">
        <v>220</v>
      </c>
      <c r="X11" s="52">
        <v>220</v>
      </c>
      <c r="Y11" s="53">
        <v>220</v>
      </c>
      <c r="Z11" s="53">
        <v>220</v>
      </c>
      <c r="AA11" s="53">
        <v>220</v>
      </c>
      <c r="AB11" s="115">
        <v>270</v>
      </c>
      <c r="AC11" s="115">
        <v>268</v>
      </c>
      <c r="AD11" s="115">
        <v>200</v>
      </c>
      <c r="AE11" s="115">
        <v>200</v>
      </c>
      <c r="AF11" s="115">
        <v>200</v>
      </c>
      <c r="AG11" s="54">
        <v>456</v>
      </c>
      <c r="AH11" s="55">
        <f>MAX(B11:AF11)</f>
        <v>350</v>
      </c>
      <c r="AI11" s="56">
        <f>MIN(B11:AF11)</f>
        <v>180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 t="s">
        <v>235</v>
      </c>
      <c r="Q12" s="49">
        <v>60</v>
      </c>
      <c r="R12" s="59" t="s">
        <v>216</v>
      </c>
      <c r="S12" s="59">
        <v>60</v>
      </c>
      <c r="T12" s="59">
        <v>60</v>
      </c>
      <c r="U12" s="59">
        <v>60</v>
      </c>
      <c r="V12" s="59">
        <v>60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 t="s">
        <v>219</v>
      </c>
      <c r="Q13" s="50">
        <v>0</v>
      </c>
      <c r="R13" s="61"/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45.5</v>
      </c>
      <c r="C14" s="62">
        <v>45.5</v>
      </c>
      <c r="D14" s="62">
        <v>45.5</v>
      </c>
      <c r="E14" s="62">
        <v>45.5</v>
      </c>
      <c r="F14" s="62">
        <v>45.9</v>
      </c>
      <c r="G14" s="62">
        <v>45.9</v>
      </c>
      <c r="H14" s="62">
        <v>45.9</v>
      </c>
      <c r="I14" s="62">
        <v>45.8</v>
      </c>
      <c r="J14" s="62">
        <v>45.8</v>
      </c>
      <c r="K14" s="62">
        <v>45.6</v>
      </c>
      <c r="L14" s="50">
        <v>45.6</v>
      </c>
      <c r="M14" s="50">
        <v>45.6</v>
      </c>
      <c r="N14" s="50">
        <v>45.1</v>
      </c>
      <c r="O14" s="50">
        <v>45.1</v>
      </c>
      <c r="P14" s="50" t="s">
        <v>217</v>
      </c>
      <c r="Q14" s="50">
        <v>45.1</v>
      </c>
      <c r="R14" s="61" t="s">
        <v>221</v>
      </c>
      <c r="S14" s="61">
        <v>38.5</v>
      </c>
      <c r="T14" s="61">
        <v>38.700000000000003</v>
      </c>
      <c r="U14" s="61">
        <v>38.700000000000003</v>
      </c>
      <c r="V14" s="61">
        <v>38.700000000000003</v>
      </c>
      <c r="W14" s="61">
        <v>38.700000000000003</v>
      </c>
      <c r="X14" s="61">
        <v>38.700000000000003</v>
      </c>
      <c r="Y14" s="50">
        <v>38.700000000000003</v>
      </c>
      <c r="Z14" s="50">
        <v>38.700000000000003</v>
      </c>
      <c r="AA14" s="50">
        <v>38.700000000000003</v>
      </c>
      <c r="AB14" s="50">
        <v>38.700000000000003</v>
      </c>
      <c r="AC14" s="50">
        <v>38.700000000000003</v>
      </c>
      <c r="AD14" s="50">
        <v>38.700000000000003</v>
      </c>
      <c r="AE14" s="50">
        <v>38.700000000000003</v>
      </c>
      <c r="AF14" s="50">
        <v>38.700000000000003</v>
      </c>
      <c r="AG14" s="63">
        <v>45</v>
      </c>
      <c r="AH14" s="55">
        <f t="shared" si="2"/>
        <v>45.9</v>
      </c>
      <c r="AI14" s="56">
        <f t="shared" si="3"/>
        <v>38.5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24</v>
      </c>
      <c r="C15" s="49">
        <v>24</v>
      </c>
      <c r="D15" s="49">
        <v>24</v>
      </c>
      <c r="E15" s="49">
        <v>22</v>
      </c>
      <c r="F15" s="49">
        <v>22</v>
      </c>
      <c r="G15" s="49">
        <v>22</v>
      </c>
      <c r="H15" s="49">
        <v>22</v>
      </c>
      <c r="I15" s="49">
        <v>22</v>
      </c>
      <c r="J15" s="49">
        <v>22</v>
      </c>
      <c r="K15" s="49">
        <v>22</v>
      </c>
      <c r="L15" s="50">
        <v>22</v>
      </c>
      <c r="M15" s="50">
        <v>22</v>
      </c>
      <c r="N15" s="50">
        <v>22</v>
      </c>
      <c r="O15" s="50">
        <v>22</v>
      </c>
      <c r="P15" s="50" t="s">
        <v>236</v>
      </c>
      <c r="Q15" s="50">
        <v>26</v>
      </c>
      <c r="R15" s="84" t="s">
        <v>217</v>
      </c>
      <c r="S15" s="84">
        <v>26</v>
      </c>
      <c r="T15" s="84">
        <v>26</v>
      </c>
      <c r="U15" s="84">
        <v>26</v>
      </c>
      <c r="V15" s="84">
        <v>26</v>
      </c>
      <c r="W15" s="84">
        <v>26</v>
      </c>
      <c r="X15" s="84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26</v>
      </c>
      <c r="AI15" s="56">
        <f t="shared" si="3"/>
        <v>22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15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 t="s">
        <v>237</v>
      </c>
      <c r="Q16" s="50">
        <v>25</v>
      </c>
      <c r="R16" s="61" t="s">
        <v>218</v>
      </c>
      <c r="S16" s="61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15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/>
      <c r="Q17" s="50">
        <v>25</v>
      </c>
      <c r="R17" s="50" t="s">
        <v>216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25.7</v>
      </c>
      <c r="C18" s="49">
        <v>25.7</v>
      </c>
      <c r="D18" s="49">
        <v>25.7</v>
      </c>
      <c r="E18" s="49">
        <v>25.7</v>
      </c>
      <c r="F18" s="49">
        <v>25.7</v>
      </c>
      <c r="G18" s="49">
        <v>25.7</v>
      </c>
      <c r="H18" s="49">
        <v>25.7</v>
      </c>
      <c r="I18" s="49">
        <v>25.7</v>
      </c>
      <c r="J18" s="49">
        <v>25.7</v>
      </c>
      <c r="K18" s="49">
        <v>25.7</v>
      </c>
      <c r="L18" s="50">
        <v>25.7</v>
      </c>
      <c r="M18" s="50">
        <v>25.7</v>
      </c>
      <c r="N18" s="50">
        <v>26.1</v>
      </c>
      <c r="O18" s="50">
        <v>26.1</v>
      </c>
      <c r="P18" s="50" t="s">
        <v>215</v>
      </c>
      <c r="Q18" s="50">
        <v>25.1</v>
      </c>
      <c r="R18" s="50" t="s">
        <v>239</v>
      </c>
      <c r="S18" s="50">
        <v>25.2</v>
      </c>
      <c r="T18" s="50">
        <v>25.8</v>
      </c>
      <c r="U18" s="50">
        <v>25.8</v>
      </c>
      <c r="V18" s="50">
        <v>25.8</v>
      </c>
      <c r="W18" s="50">
        <v>25.8</v>
      </c>
      <c r="X18" s="50">
        <v>25.8</v>
      </c>
      <c r="Y18" s="50">
        <v>25.8</v>
      </c>
      <c r="Z18" s="50">
        <v>25.8</v>
      </c>
      <c r="AA18" s="50">
        <v>25.8</v>
      </c>
      <c r="AB18" s="50">
        <v>25.8</v>
      </c>
      <c r="AC18" s="50">
        <v>25.8</v>
      </c>
      <c r="AD18" s="50">
        <v>25.8</v>
      </c>
      <c r="AE18" s="50">
        <v>25.8</v>
      </c>
      <c r="AF18" s="50">
        <v>25.8</v>
      </c>
      <c r="AG18" s="60">
        <v>30</v>
      </c>
      <c r="AH18" s="55">
        <f t="shared" si="2"/>
        <v>26.1</v>
      </c>
      <c r="AI18" s="56">
        <f t="shared" si="3"/>
        <v>25.1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 t="s">
        <v>218</v>
      </c>
      <c r="Q19" s="50">
        <v>6.2</v>
      </c>
      <c r="R19" s="50" t="s">
        <v>240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 t="s">
        <v>219</v>
      </c>
      <c r="Q20" s="50">
        <v>11</v>
      </c>
      <c r="R20" s="50" t="s">
        <v>235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 t="s">
        <v>217</v>
      </c>
      <c r="Q21" s="50">
        <v>22</v>
      </c>
      <c r="R21" s="50" t="s">
        <v>219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22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15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50">
        <v>15</v>
      </c>
      <c r="M22" s="50">
        <v>15</v>
      </c>
      <c r="N22" s="50">
        <v>15</v>
      </c>
      <c r="O22" s="50">
        <v>15</v>
      </c>
      <c r="P22" s="50" t="s">
        <v>220</v>
      </c>
      <c r="Q22" s="50">
        <v>15</v>
      </c>
      <c r="R22" s="50" t="s">
        <v>217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60">
        <v>25</v>
      </c>
      <c r="AH22" s="55">
        <f t="shared" si="2"/>
        <v>15</v>
      </c>
      <c r="AI22" s="56">
        <f t="shared" si="3"/>
        <v>15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20</v>
      </c>
      <c r="C23" s="49">
        <v>20</v>
      </c>
      <c r="D23" s="49">
        <v>20</v>
      </c>
      <c r="E23" s="49">
        <v>20</v>
      </c>
      <c r="F23" s="49">
        <v>20</v>
      </c>
      <c r="G23" s="49">
        <v>20</v>
      </c>
      <c r="H23" s="49">
        <v>20</v>
      </c>
      <c r="I23" s="49">
        <v>20</v>
      </c>
      <c r="J23" s="49">
        <v>20</v>
      </c>
      <c r="K23" s="49">
        <v>20</v>
      </c>
      <c r="L23" s="50">
        <v>20</v>
      </c>
      <c r="M23" s="50">
        <v>20</v>
      </c>
      <c r="N23" s="50">
        <v>20</v>
      </c>
      <c r="O23" s="50">
        <v>20</v>
      </c>
      <c r="P23" s="50" t="s">
        <v>221</v>
      </c>
      <c r="Q23" s="50">
        <v>20</v>
      </c>
      <c r="R23" s="50" t="s">
        <v>236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20</v>
      </c>
      <c r="Y23" s="50">
        <v>20</v>
      </c>
      <c r="Z23" s="50">
        <v>20</v>
      </c>
      <c r="AA23" s="50">
        <v>20</v>
      </c>
      <c r="AB23" s="50">
        <v>20</v>
      </c>
      <c r="AC23" s="50">
        <v>20</v>
      </c>
      <c r="AD23" s="50">
        <v>20</v>
      </c>
      <c r="AE23" s="50">
        <v>20</v>
      </c>
      <c r="AF23" s="50">
        <v>20</v>
      </c>
      <c r="AG23" s="60">
        <v>25</v>
      </c>
      <c r="AH23" s="55">
        <f t="shared" si="2"/>
        <v>20</v>
      </c>
      <c r="AI23" s="56">
        <f t="shared" si="3"/>
        <v>10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 t="s">
        <v>222</v>
      </c>
      <c r="Q24" s="50">
        <v>22</v>
      </c>
      <c r="R24" s="50" t="s">
        <v>237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15</v>
      </c>
      <c r="C25" s="49">
        <v>15</v>
      </c>
      <c r="D25" s="49">
        <v>15</v>
      </c>
      <c r="E25" s="49">
        <v>15</v>
      </c>
      <c r="F25" s="49">
        <v>15</v>
      </c>
      <c r="G25" s="49">
        <v>15</v>
      </c>
      <c r="H25" s="49">
        <v>15</v>
      </c>
      <c r="I25" s="49">
        <v>15</v>
      </c>
      <c r="J25" s="49">
        <v>15</v>
      </c>
      <c r="K25" s="49">
        <v>15</v>
      </c>
      <c r="L25" s="50">
        <v>15</v>
      </c>
      <c r="M25" s="50">
        <v>15</v>
      </c>
      <c r="N25" s="50">
        <v>15</v>
      </c>
      <c r="O25" s="50">
        <v>15</v>
      </c>
      <c r="P25" s="50"/>
      <c r="Q25" s="50">
        <v>15</v>
      </c>
      <c r="R25" s="50"/>
      <c r="S25" s="50">
        <v>15</v>
      </c>
      <c r="T25" s="50">
        <v>15</v>
      </c>
      <c r="U25" s="50">
        <v>15</v>
      </c>
      <c r="V25" s="50">
        <v>15</v>
      </c>
      <c r="W25" s="50">
        <v>15</v>
      </c>
      <c r="X25" s="50">
        <v>20</v>
      </c>
      <c r="Y25" s="50">
        <v>15</v>
      </c>
      <c r="Z25" s="50">
        <v>15</v>
      </c>
      <c r="AA25" s="50">
        <v>15</v>
      </c>
      <c r="AB25" s="50">
        <v>15</v>
      </c>
      <c r="AC25" s="50">
        <v>15</v>
      </c>
      <c r="AD25" s="50">
        <v>15</v>
      </c>
      <c r="AE25" s="50">
        <v>15</v>
      </c>
      <c r="AF25" s="50">
        <v>5</v>
      </c>
      <c r="AG25" s="60">
        <v>20</v>
      </c>
      <c r="AH25" s="55">
        <f>MAX(B25:AF25)</f>
        <v>20</v>
      </c>
      <c r="AI25" s="56">
        <f>MIN(B25:AF25)</f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8</v>
      </c>
      <c r="C26" s="49">
        <v>8</v>
      </c>
      <c r="D26" s="49">
        <v>8</v>
      </c>
      <c r="E26" s="49">
        <v>8</v>
      </c>
      <c r="F26" s="49">
        <v>8</v>
      </c>
      <c r="G26" s="49">
        <v>8</v>
      </c>
      <c r="H26" s="49">
        <v>8</v>
      </c>
      <c r="I26" s="49">
        <v>8</v>
      </c>
      <c r="J26" s="49">
        <v>8</v>
      </c>
      <c r="K26" s="49">
        <v>8</v>
      </c>
      <c r="L26" s="50">
        <v>8</v>
      </c>
      <c r="M26" s="50">
        <v>8</v>
      </c>
      <c r="N26" s="50">
        <v>8</v>
      </c>
      <c r="O26" s="50">
        <v>8</v>
      </c>
      <c r="P26" s="50"/>
      <c r="Q26" s="50">
        <v>8</v>
      </c>
      <c r="R26" s="50" t="s">
        <v>215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8</v>
      </c>
      <c r="Y26" s="50">
        <v>8</v>
      </c>
      <c r="Z26" s="50">
        <v>8</v>
      </c>
      <c r="AA26" s="50">
        <v>8</v>
      </c>
      <c r="AB26" s="50">
        <v>8</v>
      </c>
      <c r="AC26" s="50">
        <v>8</v>
      </c>
      <c r="AD26" s="50">
        <v>8</v>
      </c>
      <c r="AE26" s="50">
        <v>8</v>
      </c>
      <c r="AF26" s="50">
        <v>8</v>
      </c>
      <c r="AG26" s="60">
        <v>23.5</v>
      </c>
      <c r="AH26" s="55">
        <f t="shared" si="2"/>
        <v>8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/>
      <c r="Q27" s="50">
        <v>10</v>
      </c>
      <c r="R27" s="50" t="s">
        <v>218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10</v>
      </c>
      <c r="C28" s="49">
        <v>10</v>
      </c>
      <c r="D28" s="49">
        <v>10</v>
      </c>
      <c r="E28" s="49">
        <v>10</v>
      </c>
      <c r="F28" s="49">
        <v>10</v>
      </c>
      <c r="G28" s="49">
        <v>10</v>
      </c>
      <c r="H28" s="49">
        <v>10</v>
      </c>
      <c r="I28" s="49">
        <v>10</v>
      </c>
      <c r="J28" s="49">
        <v>10</v>
      </c>
      <c r="K28" s="49">
        <v>10</v>
      </c>
      <c r="L28" s="50">
        <v>10</v>
      </c>
      <c r="M28" s="50">
        <v>10</v>
      </c>
      <c r="N28" s="50">
        <v>10</v>
      </c>
      <c r="O28" s="50">
        <v>10</v>
      </c>
      <c r="P28" s="50"/>
      <c r="Q28" s="50">
        <v>10</v>
      </c>
      <c r="R28" s="50" t="s">
        <v>219</v>
      </c>
      <c r="S28" s="50">
        <v>10</v>
      </c>
      <c r="T28" s="50">
        <v>10</v>
      </c>
      <c r="U28" s="50">
        <v>10</v>
      </c>
      <c r="V28" s="50">
        <v>10</v>
      </c>
      <c r="W28" s="50">
        <v>10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0">
        <v>22.1</v>
      </c>
      <c r="AH28" s="55">
        <f t="shared" si="2"/>
        <v>10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9</v>
      </c>
      <c r="C29" s="49">
        <v>9</v>
      </c>
      <c r="D29" s="49">
        <v>9</v>
      </c>
      <c r="E29" s="49">
        <v>9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/>
      <c r="Q29" s="50">
        <v>12</v>
      </c>
      <c r="R29" s="50" t="s">
        <v>217</v>
      </c>
      <c r="S29" s="50">
        <v>9</v>
      </c>
      <c r="T29" s="50">
        <v>9</v>
      </c>
      <c r="U29" s="50">
        <v>9</v>
      </c>
      <c r="V29" s="50">
        <v>9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9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/>
      <c r="Q30" s="50">
        <v>12</v>
      </c>
      <c r="R30" s="50" t="s">
        <v>220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/>
      <c r="Q31" s="50">
        <v>0</v>
      </c>
      <c r="R31" s="50" t="s">
        <v>221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/>
      <c r="Q32" s="50">
        <v>0</v>
      </c>
      <c r="R32" s="50" t="s">
        <v>222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/>
      <c r="Q33" s="50">
        <v>0</v>
      </c>
      <c r="R33" s="50"/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/>
      <c r="Q34" s="62">
        <v>200</v>
      </c>
      <c r="R34" s="62"/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62">
        <v>147</v>
      </c>
      <c r="C35" s="62">
        <v>147</v>
      </c>
      <c r="D35" s="62">
        <v>131.19999999999999</v>
      </c>
      <c r="E35" s="62">
        <v>143.1</v>
      </c>
      <c r="F35" s="62">
        <v>143.1</v>
      </c>
      <c r="G35" s="62">
        <v>145</v>
      </c>
      <c r="H35" s="62">
        <v>145.1</v>
      </c>
      <c r="I35" s="62">
        <v>144.5</v>
      </c>
      <c r="J35" s="62">
        <v>144.9</v>
      </c>
      <c r="K35" s="62">
        <v>144.9</v>
      </c>
      <c r="L35" s="70">
        <v>144</v>
      </c>
      <c r="M35" s="70">
        <v>144</v>
      </c>
      <c r="N35" s="70">
        <f>64.3+82.6</f>
        <v>146.89999999999998</v>
      </c>
      <c r="O35" s="70">
        <f>64.3+82.7</f>
        <v>147</v>
      </c>
      <c r="P35" s="70"/>
      <c r="Q35" s="70">
        <f>60.8+81.7</f>
        <v>142.5</v>
      </c>
      <c r="R35" s="70"/>
      <c r="S35" s="70">
        <v>143</v>
      </c>
      <c r="T35" s="70">
        <v>141.4</v>
      </c>
      <c r="U35" s="70">
        <v>143.19999999999999</v>
      </c>
      <c r="V35" s="70">
        <v>143.19999999999999</v>
      </c>
      <c r="W35" s="70">
        <v>140.19999999999999</v>
      </c>
      <c r="X35" s="70">
        <v>140.19999999999999</v>
      </c>
      <c r="Y35" s="70">
        <v>140.19999999999999</v>
      </c>
      <c r="Z35" s="70">
        <v>140.19999999999999</v>
      </c>
      <c r="AA35" s="70">
        <v>138.30000000000001</v>
      </c>
      <c r="AB35" s="70">
        <v>138.30000000000001</v>
      </c>
      <c r="AC35" s="70">
        <v>138.30000000000001</v>
      </c>
      <c r="AD35" s="70">
        <f>63.8+80.4</f>
        <v>144.19999999999999</v>
      </c>
      <c r="AE35" s="70">
        <f>64.1+80.6</f>
        <v>144.69999999999999</v>
      </c>
      <c r="AF35" s="70">
        <f>64.1+80.6</f>
        <v>144.69999999999999</v>
      </c>
      <c r="AG35" s="67">
        <v>240</v>
      </c>
      <c r="AH35" s="55">
        <f t="shared" si="2"/>
        <v>147</v>
      </c>
      <c r="AI35" s="56">
        <f t="shared" si="3"/>
        <v>131.19999999999999</v>
      </c>
      <c r="AK35" s="57"/>
    </row>
    <row r="36" spans="1:88" ht="15.75" thickBot="1" x14ac:dyDescent="0.3">
      <c r="A36" s="71" t="s">
        <v>43</v>
      </c>
      <c r="B36" s="72">
        <f t="shared" ref="B36" si="4">SUM(B11:B34)</f>
        <v>915.40000000000009</v>
      </c>
      <c r="C36" s="72">
        <f t="shared" ref="C36:AF36" si="5">SUM(C11:C34)</f>
        <v>915.40000000000009</v>
      </c>
      <c r="D36" s="72">
        <f t="shared" si="5"/>
        <v>735.4</v>
      </c>
      <c r="E36" s="72">
        <f t="shared" si="5"/>
        <v>843.4</v>
      </c>
      <c r="F36" s="72">
        <f t="shared" si="5"/>
        <v>896.80000000000007</v>
      </c>
      <c r="G36" s="72">
        <f t="shared" si="5"/>
        <v>896.80000000000007</v>
      </c>
      <c r="H36" s="72">
        <f t="shared" si="5"/>
        <v>896.80000000000007</v>
      </c>
      <c r="I36" s="72">
        <f t="shared" si="5"/>
        <v>846.7</v>
      </c>
      <c r="J36" s="72">
        <f t="shared" si="5"/>
        <v>846.7</v>
      </c>
      <c r="K36" s="72">
        <f t="shared" si="5"/>
        <v>766.5</v>
      </c>
      <c r="L36" s="72">
        <f t="shared" si="5"/>
        <v>766.5</v>
      </c>
      <c r="M36" s="72">
        <f t="shared" si="5"/>
        <v>766.5</v>
      </c>
      <c r="N36" s="72">
        <f t="shared" si="5"/>
        <v>766.40000000000009</v>
      </c>
      <c r="O36" s="72">
        <f t="shared" si="5"/>
        <v>766.40000000000009</v>
      </c>
      <c r="P36" s="72">
        <f t="shared" si="5"/>
        <v>0</v>
      </c>
      <c r="Q36" s="72">
        <f t="shared" si="5"/>
        <v>769.40000000000009</v>
      </c>
      <c r="R36" s="72">
        <f t="shared" si="5"/>
        <v>0</v>
      </c>
      <c r="S36" s="72">
        <f t="shared" si="5"/>
        <v>749.9</v>
      </c>
      <c r="T36" s="72">
        <f t="shared" si="5"/>
        <v>750.7</v>
      </c>
      <c r="U36" s="72">
        <f t="shared" si="5"/>
        <v>750.7</v>
      </c>
      <c r="V36" s="72">
        <f t="shared" si="5"/>
        <v>750.7</v>
      </c>
      <c r="W36" s="72">
        <f t="shared" si="5"/>
        <v>773.7</v>
      </c>
      <c r="X36" s="72">
        <f t="shared" si="5"/>
        <v>778.7</v>
      </c>
      <c r="Y36" s="72">
        <f t="shared" si="5"/>
        <v>773.7</v>
      </c>
      <c r="Z36" s="72">
        <f t="shared" si="5"/>
        <v>773.7</v>
      </c>
      <c r="AA36" s="72">
        <f t="shared" si="5"/>
        <v>773.7</v>
      </c>
      <c r="AB36" s="72">
        <f t="shared" si="5"/>
        <v>823.7</v>
      </c>
      <c r="AC36" s="72">
        <f t="shared" si="5"/>
        <v>821.7</v>
      </c>
      <c r="AD36" s="72">
        <f t="shared" si="5"/>
        <v>753.7</v>
      </c>
      <c r="AE36" s="72">
        <f t="shared" si="5"/>
        <v>753.7</v>
      </c>
      <c r="AF36" s="72">
        <f t="shared" si="5"/>
        <v>743.7</v>
      </c>
      <c r="AG36" s="67">
        <f>SUM(AG11:AG35)</f>
        <v>1431.83</v>
      </c>
      <c r="AH36" s="55">
        <f t="shared" si="2"/>
        <v>915.40000000000009</v>
      </c>
      <c r="AI36" s="56">
        <f t="shared" si="3"/>
        <v>0</v>
      </c>
      <c r="AK36" s="57"/>
    </row>
    <row r="37" spans="1:88" x14ac:dyDescent="0.25">
      <c r="A37" s="58" t="s">
        <v>44</v>
      </c>
      <c r="B37" s="62">
        <v>111.2</v>
      </c>
      <c r="C37" s="62">
        <v>111.1</v>
      </c>
      <c r="D37" s="62">
        <v>70.7</v>
      </c>
      <c r="E37" s="62">
        <v>101.7</v>
      </c>
      <c r="F37" s="62">
        <v>101.3</v>
      </c>
      <c r="G37" s="62">
        <v>101.3</v>
      </c>
      <c r="H37" s="62">
        <v>101.2</v>
      </c>
      <c r="I37" s="62">
        <v>101</v>
      </c>
      <c r="J37" s="62">
        <v>101.3</v>
      </c>
      <c r="K37" s="62">
        <v>81.3</v>
      </c>
      <c r="L37" s="50">
        <v>81.3</v>
      </c>
      <c r="M37" s="50">
        <v>80</v>
      </c>
      <c r="N37" s="50">
        <v>80</v>
      </c>
      <c r="O37" s="50">
        <v>80.900000000000006</v>
      </c>
      <c r="P37" s="50"/>
      <c r="Q37" s="50">
        <v>100</v>
      </c>
      <c r="R37" s="50"/>
      <c r="S37" s="50">
        <v>142.1</v>
      </c>
      <c r="T37" s="50">
        <v>131</v>
      </c>
      <c r="U37" s="50">
        <v>127.6</v>
      </c>
      <c r="V37" s="50">
        <v>130</v>
      </c>
      <c r="W37" s="50">
        <v>130</v>
      </c>
      <c r="X37" s="50">
        <v>142.5</v>
      </c>
      <c r="Y37" s="50">
        <v>142.5</v>
      </c>
      <c r="Z37" s="50">
        <v>142.5</v>
      </c>
      <c r="AA37" s="50">
        <v>145.4</v>
      </c>
      <c r="AB37" s="50">
        <v>145.4</v>
      </c>
      <c r="AC37" s="50">
        <v>145.6</v>
      </c>
      <c r="AD37" s="50">
        <v>145.4</v>
      </c>
      <c r="AE37" s="49">
        <v>139</v>
      </c>
      <c r="AF37" s="49">
        <v>130</v>
      </c>
      <c r="AG37" s="63">
        <v>144</v>
      </c>
      <c r="AH37" s="55">
        <f t="shared" si="2"/>
        <v>145.6</v>
      </c>
      <c r="AI37" s="56">
        <f t="shared" si="3"/>
        <v>70.7</v>
      </c>
      <c r="AK37" s="57"/>
    </row>
    <row r="38" spans="1:88" x14ac:dyDescent="0.25">
      <c r="A38" s="66" t="s">
        <v>45</v>
      </c>
      <c r="B38" s="62">
        <v>53.2</v>
      </c>
      <c r="C38" s="62">
        <v>51.3</v>
      </c>
      <c r="D38" s="62">
        <v>25</v>
      </c>
      <c r="E38" s="62">
        <v>46</v>
      </c>
      <c r="F38" s="62">
        <v>54.9</v>
      </c>
      <c r="G38" s="62">
        <v>54.5</v>
      </c>
      <c r="H38" s="62">
        <v>50</v>
      </c>
      <c r="I38" s="62">
        <v>46.8</v>
      </c>
      <c r="J38" s="62">
        <v>46</v>
      </c>
      <c r="K38" s="62">
        <v>45.8</v>
      </c>
      <c r="L38" s="52">
        <v>45.8</v>
      </c>
      <c r="M38" s="52">
        <v>45.6</v>
      </c>
      <c r="N38" s="52">
        <v>45.6</v>
      </c>
      <c r="O38" s="52">
        <v>46.5</v>
      </c>
      <c r="P38" s="52"/>
      <c r="Q38" s="52">
        <v>62.8</v>
      </c>
      <c r="R38" s="52"/>
      <c r="S38" s="52">
        <v>70.5</v>
      </c>
      <c r="T38" s="52">
        <v>53.5</v>
      </c>
      <c r="U38" s="52">
        <v>60.6</v>
      </c>
      <c r="V38" s="52">
        <v>65.099999999999994</v>
      </c>
      <c r="W38" s="52">
        <v>65.099999999999994</v>
      </c>
      <c r="X38" s="52">
        <v>70.2</v>
      </c>
      <c r="Y38" s="52">
        <v>70.2</v>
      </c>
      <c r="Z38" s="52">
        <v>70.2</v>
      </c>
      <c r="AA38" s="52">
        <v>71.2</v>
      </c>
      <c r="AB38" s="52">
        <v>71.2</v>
      </c>
      <c r="AC38" s="52">
        <v>70.2</v>
      </c>
      <c r="AD38" s="52">
        <v>68.5</v>
      </c>
      <c r="AE38" s="62">
        <v>56</v>
      </c>
      <c r="AF38" s="62">
        <v>50.5</v>
      </c>
      <c r="AG38" s="67">
        <v>70</v>
      </c>
      <c r="AH38" s="55">
        <f t="shared" si="2"/>
        <v>71.2</v>
      </c>
      <c r="AI38" s="56">
        <f t="shared" si="3"/>
        <v>25</v>
      </c>
      <c r="AK38" s="57"/>
    </row>
    <row r="39" spans="1:88" x14ac:dyDescent="0.25">
      <c r="A39" s="66" t="s">
        <v>46</v>
      </c>
      <c r="B39" s="62">
        <v>59.2</v>
      </c>
      <c r="C39" s="62">
        <v>55.5</v>
      </c>
      <c r="D39" s="62">
        <v>50</v>
      </c>
      <c r="E39" s="62">
        <v>49.1</v>
      </c>
      <c r="F39" s="62">
        <v>50.9</v>
      </c>
      <c r="G39" s="62">
        <v>49.4</v>
      </c>
      <c r="H39" s="62">
        <v>48.3</v>
      </c>
      <c r="I39" s="62">
        <v>47</v>
      </c>
      <c r="J39" s="62">
        <v>48</v>
      </c>
      <c r="K39" s="62">
        <v>48.3</v>
      </c>
      <c r="L39" s="52">
        <v>48.3</v>
      </c>
      <c r="M39" s="52">
        <v>48.3</v>
      </c>
      <c r="N39" s="52">
        <v>48.3</v>
      </c>
      <c r="O39" s="52">
        <v>47.1</v>
      </c>
      <c r="P39" s="52"/>
      <c r="Q39" s="52">
        <v>50</v>
      </c>
      <c r="R39" s="52"/>
      <c r="S39" s="52">
        <v>67.099999999999994</v>
      </c>
      <c r="T39" s="52">
        <v>60</v>
      </c>
      <c r="U39" s="52">
        <v>62.5</v>
      </c>
      <c r="V39" s="52">
        <v>65</v>
      </c>
      <c r="W39" s="52">
        <v>65</v>
      </c>
      <c r="X39" s="52">
        <v>70.2</v>
      </c>
      <c r="Y39" s="52">
        <v>70.2</v>
      </c>
      <c r="Z39" s="52">
        <v>70.2</v>
      </c>
      <c r="AA39" s="52">
        <v>70.099999999999994</v>
      </c>
      <c r="AB39" s="52">
        <v>70.099999999999994</v>
      </c>
      <c r="AC39" s="52">
        <v>69.599999999999994</v>
      </c>
      <c r="AD39" s="52">
        <v>69.900000000000006</v>
      </c>
      <c r="AE39" s="62">
        <v>57.1</v>
      </c>
      <c r="AF39" s="62">
        <v>61.9</v>
      </c>
      <c r="AG39" s="67">
        <v>69</v>
      </c>
      <c r="AH39" s="55">
        <f t="shared" si="2"/>
        <v>70.2</v>
      </c>
      <c r="AI39" s="56">
        <f t="shared" si="3"/>
        <v>47</v>
      </c>
      <c r="AK39" s="57"/>
    </row>
    <row r="40" spans="1:88" x14ac:dyDescent="0.25">
      <c r="A40" s="66" t="s">
        <v>47</v>
      </c>
      <c r="B40" s="62">
        <v>50.4</v>
      </c>
      <c r="C40" s="62">
        <v>50.4</v>
      </c>
      <c r="D40" s="62">
        <v>14.4</v>
      </c>
      <c r="E40" s="62">
        <v>40</v>
      </c>
      <c r="F40" s="62">
        <v>39.799999999999997</v>
      </c>
      <c r="G40" s="62">
        <v>39.799999999999997</v>
      </c>
      <c r="H40" s="62">
        <v>38.799999999999997</v>
      </c>
      <c r="I40" s="62">
        <v>38.799999999999997</v>
      </c>
      <c r="J40" s="62">
        <v>40</v>
      </c>
      <c r="K40" s="62">
        <v>40.6</v>
      </c>
      <c r="L40" s="52">
        <v>40.6</v>
      </c>
      <c r="M40" s="52">
        <v>40</v>
      </c>
      <c r="N40" s="52">
        <v>40</v>
      </c>
      <c r="O40" s="52">
        <v>43.3</v>
      </c>
      <c r="P40" s="52"/>
      <c r="Q40" s="52">
        <v>44</v>
      </c>
      <c r="R40" s="52"/>
      <c r="S40" s="52">
        <v>49.9</v>
      </c>
      <c r="T40" s="52">
        <v>51.4</v>
      </c>
      <c r="U40" s="52">
        <v>51.1</v>
      </c>
      <c r="V40" s="52">
        <v>55.9</v>
      </c>
      <c r="W40" s="52">
        <v>55.9</v>
      </c>
      <c r="X40" s="52">
        <v>60.4</v>
      </c>
      <c r="Y40" s="52">
        <v>60.4</v>
      </c>
      <c r="Z40" s="52">
        <v>60.4</v>
      </c>
      <c r="AA40" s="52">
        <v>60.4</v>
      </c>
      <c r="AB40" s="52">
        <v>60.4</v>
      </c>
      <c r="AC40" s="52">
        <v>60.4</v>
      </c>
      <c r="AD40" s="52">
        <v>60.9</v>
      </c>
      <c r="AE40" s="62">
        <v>60.9</v>
      </c>
      <c r="AF40" s="62">
        <v>50</v>
      </c>
      <c r="AG40" s="67">
        <v>60</v>
      </c>
      <c r="AH40" s="55">
        <f t="shared" si="2"/>
        <v>60.9</v>
      </c>
      <c r="AI40" s="56">
        <f t="shared" si="3"/>
        <v>14.4</v>
      </c>
      <c r="AK40" s="57"/>
    </row>
    <row r="41" spans="1:88" x14ac:dyDescent="0.25">
      <c r="A41" s="66" t="s">
        <v>48</v>
      </c>
      <c r="B41" s="62">
        <v>29.7</v>
      </c>
      <c r="C41" s="62">
        <v>23.4</v>
      </c>
      <c r="D41" s="62">
        <v>24</v>
      </c>
      <c r="E41" s="62">
        <v>23.6</v>
      </c>
      <c r="F41" s="62">
        <v>23.6</v>
      </c>
      <c r="G41" s="62">
        <v>23.6</v>
      </c>
      <c r="H41" s="62">
        <v>23.4</v>
      </c>
      <c r="I41" s="62">
        <v>23.4</v>
      </c>
      <c r="J41" s="62">
        <v>15</v>
      </c>
      <c r="K41" s="62">
        <v>15</v>
      </c>
      <c r="L41" s="50">
        <v>15</v>
      </c>
      <c r="M41" s="50">
        <v>15</v>
      </c>
      <c r="N41" s="50">
        <v>15</v>
      </c>
      <c r="O41" s="50">
        <v>14.9</v>
      </c>
      <c r="P41" s="50"/>
      <c r="Q41" s="50">
        <v>15</v>
      </c>
      <c r="R41" s="50"/>
      <c r="S41" s="50">
        <v>0</v>
      </c>
      <c r="T41" s="50">
        <v>14.9</v>
      </c>
      <c r="U41" s="50">
        <v>25</v>
      </c>
      <c r="V41" s="50">
        <v>25.6</v>
      </c>
      <c r="W41" s="50">
        <v>25.6</v>
      </c>
      <c r="X41" s="50">
        <v>29.5</v>
      </c>
      <c r="Y41" s="52">
        <v>29.5</v>
      </c>
      <c r="Z41" s="52">
        <v>29.5</v>
      </c>
      <c r="AA41" s="52">
        <v>29.6</v>
      </c>
      <c r="AB41" s="52">
        <v>29.6</v>
      </c>
      <c r="AC41" s="52">
        <v>29.6</v>
      </c>
      <c r="AD41" s="52">
        <v>29.6</v>
      </c>
      <c r="AE41" s="62">
        <v>29.6</v>
      </c>
      <c r="AF41" s="62">
        <v>29.6</v>
      </c>
      <c r="AG41" s="67">
        <v>30</v>
      </c>
      <c r="AH41" s="55">
        <f t="shared" si="2"/>
        <v>29.7</v>
      </c>
      <c r="AI41" s="56">
        <f t="shared" si="3"/>
        <v>0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/>
      <c r="Q42" s="50">
        <v>0</v>
      </c>
      <c r="R42" s="50"/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>
        <v>15</v>
      </c>
      <c r="C43" s="73">
        <v>15</v>
      </c>
      <c r="D43" s="73">
        <v>10</v>
      </c>
      <c r="E43" s="73">
        <v>15</v>
      </c>
      <c r="F43" s="73">
        <v>15</v>
      </c>
      <c r="G43" s="73">
        <v>15</v>
      </c>
      <c r="H43" s="73">
        <v>15</v>
      </c>
      <c r="I43" s="73">
        <v>15</v>
      </c>
      <c r="J43" s="73">
        <v>16</v>
      </c>
      <c r="K43" s="73">
        <v>16</v>
      </c>
      <c r="L43" s="50">
        <v>16</v>
      </c>
      <c r="M43" s="50">
        <v>16</v>
      </c>
      <c r="N43" s="50">
        <v>16</v>
      </c>
      <c r="O43" s="50">
        <v>15.8</v>
      </c>
      <c r="P43" s="50"/>
      <c r="Q43" s="50">
        <v>16.2</v>
      </c>
      <c r="R43" s="50"/>
      <c r="S43" s="50">
        <v>16.2</v>
      </c>
      <c r="T43" s="50">
        <v>15</v>
      </c>
      <c r="U43" s="50">
        <v>15</v>
      </c>
      <c r="V43" s="50">
        <v>15</v>
      </c>
      <c r="W43" s="50">
        <v>15</v>
      </c>
      <c r="X43" s="50">
        <v>16.7</v>
      </c>
      <c r="Y43" s="50">
        <v>16.7</v>
      </c>
      <c r="Z43" s="50">
        <v>16.7</v>
      </c>
      <c r="AA43" s="50">
        <v>16.7</v>
      </c>
      <c r="AB43" s="50">
        <v>16.7</v>
      </c>
      <c r="AC43" s="50">
        <v>16.7</v>
      </c>
      <c r="AD43" s="50">
        <v>16.8</v>
      </c>
      <c r="AE43" s="62">
        <v>16.8</v>
      </c>
      <c r="AF43" s="62">
        <v>16.8</v>
      </c>
      <c r="AG43" s="67">
        <v>24</v>
      </c>
      <c r="AH43" s="55">
        <f t="shared" si="2"/>
        <v>16.8</v>
      </c>
      <c r="AI43" s="56">
        <f t="shared" si="3"/>
        <v>10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/>
      <c r="Q44" s="50">
        <v>3.2</v>
      </c>
      <c r="R44" s="50"/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>
        <v>3.2</v>
      </c>
      <c r="AB44" s="50">
        <v>3.2</v>
      </c>
      <c r="AC44" s="50">
        <v>3.2</v>
      </c>
      <c r="AD44" s="50">
        <v>3.2</v>
      </c>
      <c r="AE44" s="62">
        <v>3.2</v>
      </c>
      <c r="AF44" s="62">
        <v>3.2</v>
      </c>
      <c r="AG44" s="67">
        <v>15</v>
      </c>
      <c r="AH44" s="55">
        <f t="shared" si="2"/>
        <v>3.2</v>
      </c>
      <c r="AI44" s="56">
        <f t="shared" si="3"/>
        <v>3.2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13.1</v>
      </c>
      <c r="C45" s="62">
        <v>13.1</v>
      </c>
      <c r="D45" s="62">
        <v>7</v>
      </c>
      <c r="E45" s="62">
        <v>13.1</v>
      </c>
      <c r="F45" s="62">
        <v>13.1</v>
      </c>
      <c r="G45" s="62">
        <v>13.1</v>
      </c>
      <c r="H45" s="62">
        <v>13.1</v>
      </c>
      <c r="I45" s="62">
        <v>13.1</v>
      </c>
      <c r="J45" s="62">
        <v>13.1</v>
      </c>
      <c r="K45" s="62">
        <v>13.1</v>
      </c>
      <c r="L45" s="50">
        <v>13.1</v>
      </c>
      <c r="M45" s="50">
        <v>13.1</v>
      </c>
      <c r="N45" s="50">
        <v>13.1</v>
      </c>
      <c r="O45" s="50">
        <v>13.1</v>
      </c>
      <c r="P45" s="50"/>
      <c r="Q45" s="50">
        <v>13.1</v>
      </c>
      <c r="R45" s="50"/>
      <c r="S45" s="50">
        <v>13.1</v>
      </c>
      <c r="T45" s="50">
        <v>12</v>
      </c>
      <c r="U45" s="50">
        <v>12</v>
      </c>
      <c r="V45" s="50">
        <v>12</v>
      </c>
      <c r="W45" s="50">
        <v>12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13.1</v>
      </c>
      <c r="AC45" s="50">
        <v>13.1</v>
      </c>
      <c r="AD45" s="50">
        <v>13</v>
      </c>
      <c r="AE45" s="62">
        <v>13</v>
      </c>
      <c r="AF45" s="62">
        <v>13</v>
      </c>
      <c r="AG45" s="67">
        <v>14.1</v>
      </c>
      <c r="AH45" s="55">
        <f t="shared" si="2"/>
        <v>13.1</v>
      </c>
      <c r="AI45" s="56">
        <f t="shared" si="3"/>
        <v>7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>
        <v>14</v>
      </c>
      <c r="C46" s="73">
        <v>14</v>
      </c>
      <c r="D46" s="73">
        <v>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10</v>
      </c>
      <c r="K46" s="73">
        <v>10</v>
      </c>
      <c r="L46" s="50">
        <v>10</v>
      </c>
      <c r="M46" s="50">
        <v>10</v>
      </c>
      <c r="N46" s="50">
        <v>10</v>
      </c>
      <c r="O46" s="50">
        <v>10</v>
      </c>
      <c r="P46" s="50"/>
      <c r="Q46" s="50">
        <v>14</v>
      </c>
      <c r="R46" s="50"/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2">
        <v>14</v>
      </c>
      <c r="AF46" s="62">
        <v>14</v>
      </c>
      <c r="AG46" s="67">
        <v>14</v>
      </c>
      <c r="AH46" s="55">
        <f t="shared" si="2"/>
        <v>14</v>
      </c>
      <c r="AI46" s="56">
        <f t="shared" si="3"/>
        <v>4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/>
      <c r="Q47" s="50">
        <v>9.6</v>
      </c>
      <c r="R47" s="50"/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2">
        <v>9.6</v>
      </c>
      <c r="AF47" s="62">
        <v>9.6</v>
      </c>
      <c r="AG47" s="67">
        <v>10.050000000000001</v>
      </c>
      <c r="AH47" s="55">
        <f t="shared" si="2"/>
        <v>9.6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3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/>
      <c r="Q48" s="50">
        <v>6</v>
      </c>
      <c r="R48" s="50"/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62">
        <v>6</v>
      </c>
      <c r="AF48" s="62">
        <v>6</v>
      </c>
      <c r="AG48" s="67">
        <v>6.2</v>
      </c>
      <c r="AH48" s="55">
        <f t="shared" si="2"/>
        <v>6</v>
      </c>
      <c r="AI48" s="56">
        <f t="shared" si="3"/>
        <v>3</v>
      </c>
      <c r="AK48" s="57"/>
    </row>
    <row r="49" spans="1:37" ht="15.75" thickBot="1" x14ac:dyDescent="0.3">
      <c r="A49" s="68" t="s">
        <v>56</v>
      </c>
      <c r="B49" s="76">
        <f t="shared" ref="B49" si="6"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7">T197</f>
        <v>3.54</v>
      </c>
      <c r="U49" s="76">
        <f t="shared" si="7"/>
        <v>3.54</v>
      </c>
      <c r="V49" s="76">
        <f t="shared" si="7"/>
        <v>3.54</v>
      </c>
      <c r="W49" s="76">
        <f t="shared" si="7"/>
        <v>3.54</v>
      </c>
      <c r="X49" s="76">
        <v>3.54</v>
      </c>
      <c r="Y49" s="76">
        <v>3.54</v>
      </c>
      <c r="Z49" s="76">
        <f t="shared" si="7"/>
        <v>3.54</v>
      </c>
      <c r="AA49" s="76">
        <f t="shared" si="7"/>
        <v>3.54</v>
      </c>
      <c r="AB49" s="76">
        <f t="shared" si="7"/>
        <v>3.54</v>
      </c>
      <c r="AC49" s="76">
        <f t="shared" si="7"/>
        <v>3.54</v>
      </c>
      <c r="AD49" s="76">
        <f t="shared" si="7"/>
        <v>3.54</v>
      </c>
      <c r="AE49" s="76">
        <f t="shared" si="7"/>
        <v>3.54</v>
      </c>
      <c r="AF49" s="76">
        <f t="shared" si="7"/>
        <v>3.54</v>
      </c>
      <c r="AG49" s="76">
        <f t="shared" si="7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" si="8">SUM(B37:B49)</f>
        <v>368.14000000000004</v>
      </c>
      <c r="C50" s="72">
        <f t="shared" ref="C50:AF50" si="9">SUM(C37:C49)</f>
        <v>356.14</v>
      </c>
      <c r="D50" s="72">
        <f t="shared" si="9"/>
        <v>224.43999999999997</v>
      </c>
      <c r="E50" s="72">
        <f t="shared" si="9"/>
        <v>324.84000000000003</v>
      </c>
      <c r="F50" s="72">
        <f t="shared" si="9"/>
        <v>334.94000000000005</v>
      </c>
      <c r="G50" s="72">
        <f t="shared" si="9"/>
        <v>333.04000000000008</v>
      </c>
      <c r="H50" s="72">
        <f t="shared" si="9"/>
        <v>326.14000000000004</v>
      </c>
      <c r="I50" s="72">
        <f t="shared" si="9"/>
        <v>321.44000000000005</v>
      </c>
      <c r="J50" s="72">
        <f t="shared" si="9"/>
        <v>311.74000000000007</v>
      </c>
      <c r="K50" s="72">
        <f t="shared" si="9"/>
        <v>292.44</v>
      </c>
      <c r="L50" s="72">
        <f t="shared" si="9"/>
        <v>292.44</v>
      </c>
      <c r="M50" s="72">
        <f t="shared" si="9"/>
        <v>290.34000000000003</v>
      </c>
      <c r="N50" s="72">
        <f t="shared" si="9"/>
        <v>290.34000000000003</v>
      </c>
      <c r="O50" s="72">
        <f t="shared" si="9"/>
        <v>293.94000000000005</v>
      </c>
      <c r="P50" s="72">
        <f t="shared" si="9"/>
        <v>3.54</v>
      </c>
      <c r="Q50" s="72">
        <f t="shared" si="9"/>
        <v>337.44000000000005</v>
      </c>
      <c r="R50" s="72">
        <f t="shared" si="9"/>
        <v>3.54</v>
      </c>
      <c r="S50" s="72">
        <f t="shared" si="9"/>
        <v>395.24</v>
      </c>
      <c r="T50" s="72">
        <f t="shared" si="9"/>
        <v>374.14</v>
      </c>
      <c r="U50" s="72">
        <f t="shared" si="9"/>
        <v>390.14000000000004</v>
      </c>
      <c r="V50" s="72">
        <f t="shared" si="9"/>
        <v>404.94000000000005</v>
      </c>
      <c r="W50" s="72">
        <f t="shared" si="9"/>
        <v>404.94000000000005</v>
      </c>
      <c r="X50" s="72">
        <f t="shared" si="9"/>
        <v>438.94</v>
      </c>
      <c r="Y50" s="72">
        <f t="shared" si="9"/>
        <v>438.94</v>
      </c>
      <c r="Z50" s="72">
        <f t="shared" si="9"/>
        <v>438.94</v>
      </c>
      <c r="AA50" s="72">
        <f t="shared" si="9"/>
        <v>442.84000000000009</v>
      </c>
      <c r="AB50" s="72">
        <f t="shared" si="9"/>
        <v>442.84000000000009</v>
      </c>
      <c r="AC50" s="72">
        <f t="shared" si="9"/>
        <v>441.54</v>
      </c>
      <c r="AD50" s="72">
        <f t="shared" si="9"/>
        <v>440.44000000000005</v>
      </c>
      <c r="AE50" s="72">
        <f t="shared" si="9"/>
        <v>408.74000000000007</v>
      </c>
      <c r="AF50" s="72">
        <f t="shared" si="9"/>
        <v>388.14000000000004</v>
      </c>
      <c r="AG50" s="77">
        <f>SUM(AG37:AG49)</f>
        <v>489.91</v>
      </c>
      <c r="AH50" s="55">
        <f t="shared" si="2"/>
        <v>442.84000000000009</v>
      </c>
      <c r="AI50" s="56">
        <f t="shared" si="3"/>
        <v>3.54</v>
      </c>
      <c r="AK50" s="57"/>
    </row>
    <row r="51" spans="1:37" x14ac:dyDescent="0.25">
      <c r="A51" s="58" t="s">
        <v>58</v>
      </c>
      <c r="B51" s="62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174">
        <v>0</v>
      </c>
      <c r="M51" s="174">
        <v>0</v>
      </c>
      <c r="N51" s="174">
        <v>0</v>
      </c>
      <c r="O51" s="174">
        <v>0</v>
      </c>
      <c r="P51" s="50"/>
      <c r="Q51" s="50">
        <v>40.200000000000003</v>
      </c>
      <c r="R51" s="50"/>
      <c r="S51" s="50">
        <v>30</v>
      </c>
      <c r="T51" s="50">
        <v>0</v>
      </c>
      <c r="U51" s="50">
        <v>0</v>
      </c>
      <c r="V51" s="50">
        <v>0</v>
      </c>
      <c r="W51" s="50">
        <v>53.8</v>
      </c>
      <c r="X51" s="50">
        <v>53.8</v>
      </c>
      <c r="Y51" s="50">
        <v>54.2</v>
      </c>
      <c r="Z51" s="50">
        <v>58.7</v>
      </c>
      <c r="AA51" s="50">
        <v>58.8</v>
      </c>
      <c r="AB51" s="50">
        <v>58.8</v>
      </c>
      <c r="AC51" s="50">
        <v>45</v>
      </c>
      <c r="AD51" s="50">
        <v>20</v>
      </c>
      <c r="AE51" s="50">
        <v>15</v>
      </c>
      <c r="AF51" s="50">
        <v>10.3</v>
      </c>
      <c r="AG51" s="63">
        <v>60</v>
      </c>
      <c r="AH51" s="55">
        <f t="shared" si="2"/>
        <v>58.8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174">
        <v>0</v>
      </c>
      <c r="M52" s="174">
        <v>0</v>
      </c>
      <c r="N52" s="174">
        <v>0</v>
      </c>
      <c r="O52" s="174">
        <v>0</v>
      </c>
      <c r="P52" s="52"/>
      <c r="Q52" s="52">
        <v>16.399999999999999</v>
      </c>
      <c r="R52" s="50"/>
      <c r="S52" s="50">
        <v>14.9</v>
      </c>
      <c r="T52" s="50">
        <v>0</v>
      </c>
      <c r="U52" s="50">
        <v>0</v>
      </c>
      <c r="V52" s="50">
        <v>0</v>
      </c>
      <c r="W52" s="52">
        <v>23.7</v>
      </c>
      <c r="X52" s="52">
        <v>26.5</v>
      </c>
      <c r="Y52" s="52">
        <v>26.9</v>
      </c>
      <c r="Z52" s="52">
        <v>28.8</v>
      </c>
      <c r="AA52" s="52">
        <v>28.7</v>
      </c>
      <c r="AB52" s="52">
        <v>28.7</v>
      </c>
      <c r="AC52" s="52">
        <v>21.5</v>
      </c>
      <c r="AD52" s="52">
        <v>10.199999999999999</v>
      </c>
      <c r="AE52" s="52">
        <v>7.8</v>
      </c>
      <c r="AF52" s="52">
        <v>3.2</v>
      </c>
      <c r="AG52" s="67">
        <v>32</v>
      </c>
      <c r="AH52" s="55">
        <f t="shared" si="2"/>
        <v>28.8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175">
        <v>0</v>
      </c>
      <c r="M53" s="175">
        <v>0</v>
      </c>
      <c r="N53" s="175">
        <v>0</v>
      </c>
      <c r="O53" s="175">
        <v>0</v>
      </c>
      <c r="P53" s="78"/>
      <c r="Q53" s="78">
        <v>6</v>
      </c>
      <c r="R53" s="50"/>
      <c r="S53" s="50">
        <v>5.4</v>
      </c>
      <c r="T53" s="50">
        <v>0</v>
      </c>
      <c r="U53" s="50">
        <v>0</v>
      </c>
      <c r="V53" s="50">
        <v>0</v>
      </c>
      <c r="W53" s="78">
        <v>8.8000000000000007</v>
      </c>
      <c r="X53" s="78">
        <v>9.6</v>
      </c>
      <c r="Y53" s="78">
        <v>9.8000000000000007</v>
      </c>
      <c r="Z53" s="78">
        <v>10.5</v>
      </c>
      <c r="AA53" s="78">
        <v>10.5</v>
      </c>
      <c r="AB53" s="78">
        <v>10.5</v>
      </c>
      <c r="AC53" s="78">
        <v>7.8</v>
      </c>
      <c r="AD53" s="78">
        <v>5.6</v>
      </c>
      <c r="AE53" s="78">
        <v>2.4</v>
      </c>
      <c r="AF53" s="78">
        <v>1.2</v>
      </c>
      <c r="AG53" s="79">
        <v>14</v>
      </c>
      <c r="AH53" s="55">
        <f t="shared" si="2"/>
        <v>10.5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 t="shared" ref="B54" si="10">SUM(B51:B53)</f>
        <v>0</v>
      </c>
      <c r="C54" s="72">
        <f t="shared" ref="C54:AF54" si="11">SUM(C51:C53)</f>
        <v>0</v>
      </c>
      <c r="D54" s="72">
        <f t="shared" si="11"/>
        <v>0</v>
      </c>
      <c r="E54" s="72">
        <f t="shared" si="11"/>
        <v>0</v>
      </c>
      <c r="F54" s="72">
        <f t="shared" si="11"/>
        <v>0</v>
      </c>
      <c r="G54" s="72">
        <f t="shared" si="11"/>
        <v>0</v>
      </c>
      <c r="H54" s="72">
        <f t="shared" si="11"/>
        <v>0</v>
      </c>
      <c r="I54" s="72">
        <f t="shared" si="11"/>
        <v>0</v>
      </c>
      <c r="J54" s="72">
        <f t="shared" si="11"/>
        <v>0</v>
      </c>
      <c r="K54" s="72">
        <f t="shared" si="11"/>
        <v>0</v>
      </c>
      <c r="L54" s="72">
        <f t="shared" si="11"/>
        <v>0</v>
      </c>
      <c r="M54" s="72">
        <f t="shared" si="11"/>
        <v>0</v>
      </c>
      <c r="N54" s="72">
        <f t="shared" si="11"/>
        <v>0</v>
      </c>
      <c r="O54" s="72">
        <f t="shared" si="11"/>
        <v>0</v>
      </c>
      <c r="P54" s="72">
        <f t="shared" si="11"/>
        <v>0</v>
      </c>
      <c r="Q54" s="72">
        <f t="shared" si="11"/>
        <v>62.6</v>
      </c>
      <c r="R54" s="72">
        <f t="shared" si="11"/>
        <v>0</v>
      </c>
      <c r="S54" s="72">
        <f t="shared" si="11"/>
        <v>50.3</v>
      </c>
      <c r="T54" s="72">
        <f t="shared" si="11"/>
        <v>0</v>
      </c>
      <c r="U54" s="72">
        <f t="shared" si="11"/>
        <v>0</v>
      </c>
      <c r="V54" s="72">
        <f t="shared" si="11"/>
        <v>0</v>
      </c>
      <c r="W54" s="72">
        <f t="shared" si="11"/>
        <v>86.3</v>
      </c>
      <c r="X54" s="72">
        <f t="shared" si="11"/>
        <v>89.899999999999991</v>
      </c>
      <c r="Y54" s="72">
        <f t="shared" si="11"/>
        <v>90.899999999999991</v>
      </c>
      <c r="Z54" s="72">
        <f t="shared" si="11"/>
        <v>98</v>
      </c>
      <c r="AA54" s="72">
        <f t="shared" si="11"/>
        <v>98</v>
      </c>
      <c r="AB54" s="72">
        <f t="shared" si="11"/>
        <v>98</v>
      </c>
      <c r="AC54" s="72">
        <f t="shared" si="11"/>
        <v>74.3</v>
      </c>
      <c r="AD54" s="72">
        <f t="shared" si="11"/>
        <v>35.799999999999997</v>
      </c>
      <c r="AE54" s="72">
        <f t="shared" si="11"/>
        <v>25.2</v>
      </c>
      <c r="AF54" s="72">
        <f t="shared" si="11"/>
        <v>14.7</v>
      </c>
      <c r="AG54" s="77">
        <f>SUM(AG51:AG53)</f>
        <v>106</v>
      </c>
      <c r="AH54" s="55">
        <f t="shared" si="2"/>
        <v>98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/>
      <c r="Q55" s="50">
        <v>0</v>
      </c>
      <c r="R55" s="50"/>
      <c r="S55" s="50">
        <v>0</v>
      </c>
      <c r="T55" s="50">
        <v>0</v>
      </c>
      <c r="U55" s="50">
        <v>0</v>
      </c>
      <c r="V55" s="50">
        <v>0</v>
      </c>
      <c r="W55" s="50">
        <v>36.9</v>
      </c>
      <c r="X55" s="50">
        <v>45.1</v>
      </c>
      <c r="Y55" s="50">
        <v>28</v>
      </c>
      <c r="Z55" s="50">
        <v>20.5</v>
      </c>
      <c r="AA55" s="50">
        <v>9.1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45.1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-16.7</v>
      </c>
      <c r="C56" s="52">
        <v>-14.7</v>
      </c>
      <c r="D56" s="52">
        <v>-15.9</v>
      </c>
      <c r="E56" s="52">
        <v>-16.3</v>
      </c>
      <c r="F56" s="52">
        <v>-15</v>
      </c>
      <c r="G56" s="52">
        <v>-13.1</v>
      </c>
      <c r="H56" s="52">
        <v>-9.1</v>
      </c>
      <c r="I56" s="52">
        <v>-4.8</v>
      </c>
      <c r="J56" s="52">
        <v>-6.9</v>
      </c>
      <c r="K56" s="52">
        <v>-6.7</v>
      </c>
      <c r="L56" s="50">
        <v>-7.3</v>
      </c>
      <c r="M56" s="50">
        <v>-9.9</v>
      </c>
      <c r="N56" s="50">
        <v>-31.9</v>
      </c>
      <c r="O56" s="50">
        <v>-39.799999999999997</v>
      </c>
      <c r="P56" s="50"/>
      <c r="Q56" s="50">
        <v>-60.1</v>
      </c>
      <c r="R56" s="50"/>
      <c r="S56" s="50">
        <v>-52</v>
      </c>
      <c r="T56" s="50">
        <v>-43.7</v>
      </c>
      <c r="U56" s="50">
        <v>-37.700000000000003</v>
      </c>
      <c r="V56" s="50">
        <v>-40.6</v>
      </c>
      <c r="W56" s="80">
        <v>-51.6</v>
      </c>
      <c r="X56" s="80">
        <v>-52.5</v>
      </c>
      <c r="Y56" s="80">
        <v>-27.8</v>
      </c>
      <c r="Z56" s="80">
        <v>-28.8</v>
      </c>
      <c r="AA56" s="52">
        <v>-34.6</v>
      </c>
      <c r="AB56" s="52">
        <v>-80</v>
      </c>
      <c r="AC56" s="52">
        <v>-94</v>
      </c>
      <c r="AD56" s="52">
        <v>-41.3</v>
      </c>
      <c r="AE56" s="52">
        <v>-69.8</v>
      </c>
      <c r="AF56" s="52">
        <v>-75.3</v>
      </c>
      <c r="AG56" s="67"/>
      <c r="AH56" s="55">
        <f t="shared" si="2"/>
        <v>-4.8</v>
      </c>
      <c r="AI56" s="56">
        <f t="shared" si="3"/>
        <v>-94</v>
      </c>
      <c r="AK56" s="57"/>
    </row>
    <row r="57" spans="1:37" x14ac:dyDescent="0.25">
      <c r="A57" s="66" t="s">
        <v>64</v>
      </c>
      <c r="B57" s="52">
        <v>-245.3</v>
      </c>
      <c r="C57" s="52">
        <v>-260</v>
      </c>
      <c r="D57" s="52">
        <v>-4.8</v>
      </c>
      <c r="E57" s="52">
        <v>-197.3</v>
      </c>
      <c r="F57" s="52">
        <v>-232</v>
      </c>
      <c r="G57" s="52">
        <v>-235</v>
      </c>
      <c r="H57" s="52">
        <v>-275.5</v>
      </c>
      <c r="I57" s="52">
        <v>-259</v>
      </c>
      <c r="J57" s="52">
        <v>-259</v>
      </c>
      <c r="K57" s="52">
        <v>-175</v>
      </c>
      <c r="L57" s="52">
        <v>-177</v>
      </c>
      <c r="M57" s="52">
        <v>-150</v>
      </c>
      <c r="N57" s="52">
        <v>-74</v>
      </c>
      <c r="O57" s="52">
        <v>-94.1</v>
      </c>
      <c r="P57" s="52"/>
      <c r="Q57" s="52">
        <v>-150</v>
      </c>
      <c r="R57" s="52"/>
      <c r="S57" s="52">
        <v>-152</v>
      </c>
      <c r="T57" s="52">
        <v>-129</v>
      </c>
      <c r="U57" s="52">
        <v>-145.80000000000001</v>
      </c>
      <c r="V57" s="52">
        <v>-124.1</v>
      </c>
      <c r="W57" s="81">
        <v>-15.9</v>
      </c>
      <c r="X57" s="81">
        <v>-10</v>
      </c>
      <c r="Y57" s="81">
        <v>-28.4</v>
      </c>
      <c r="Z57" s="81">
        <v>-22.2</v>
      </c>
      <c r="AA57" s="52">
        <v>-25.2</v>
      </c>
      <c r="AB57" s="52">
        <v>-69</v>
      </c>
      <c r="AC57" s="52">
        <v>-58</v>
      </c>
      <c r="AD57" s="52">
        <v>-55</v>
      </c>
      <c r="AE57" s="52">
        <v>-48.8</v>
      </c>
      <c r="AF57" s="52">
        <v>-20</v>
      </c>
      <c r="AG57" s="82"/>
      <c r="AH57" s="55">
        <f t="shared" si="2"/>
        <v>-4.8</v>
      </c>
      <c r="AI57" s="56">
        <f t="shared" si="3"/>
        <v>-275.5</v>
      </c>
      <c r="AK57" s="57"/>
    </row>
    <row r="58" spans="1:37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-28</v>
      </c>
      <c r="O58" s="52">
        <v>-21</v>
      </c>
      <c r="P58" s="52"/>
      <c r="Q58" s="52">
        <v>-32</v>
      </c>
      <c r="R58" s="52"/>
      <c r="S58" s="52">
        <v>-35</v>
      </c>
      <c r="T58" s="52">
        <v>-31.6</v>
      </c>
      <c r="U58" s="52">
        <v>-24.4</v>
      </c>
      <c r="V58" s="52">
        <v>31.5</v>
      </c>
      <c r="W58" s="52">
        <v>-55</v>
      </c>
      <c r="X58" s="52">
        <v>-60</v>
      </c>
      <c r="Y58" s="52">
        <v>-63</v>
      </c>
      <c r="Z58" s="52">
        <v>-64</v>
      </c>
      <c r="AA58" s="52">
        <v>-58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31.5</v>
      </c>
      <c r="AI58" s="56">
        <f t="shared" si="3"/>
        <v>-64</v>
      </c>
      <c r="AK58" s="57"/>
    </row>
    <row r="59" spans="1:37" x14ac:dyDescent="0.25">
      <c r="A59" s="66" t="s">
        <v>66</v>
      </c>
      <c r="B59" s="59">
        <v>-38.5</v>
      </c>
      <c r="C59" s="59">
        <v>-38.200000000000003</v>
      </c>
      <c r="D59" s="59">
        <v>-35.9</v>
      </c>
      <c r="E59" s="59">
        <v>-35.5</v>
      </c>
      <c r="F59" s="59">
        <v>-33.4</v>
      </c>
      <c r="G59" s="59">
        <v>-36.5</v>
      </c>
      <c r="H59" s="59">
        <v>-31.6</v>
      </c>
      <c r="I59" s="59">
        <v>-24.5</v>
      </c>
      <c r="J59" s="59">
        <v>-24.5</v>
      </c>
      <c r="K59" s="59">
        <v>-10.7</v>
      </c>
      <c r="L59" s="50">
        <v>-20.6</v>
      </c>
      <c r="M59" s="50">
        <v>-28</v>
      </c>
      <c r="N59" s="50">
        <v>-43.6</v>
      </c>
      <c r="O59" s="50">
        <v>-46.5</v>
      </c>
      <c r="P59" s="50"/>
      <c r="Q59" s="50">
        <v>-50</v>
      </c>
      <c r="R59" s="50"/>
      <c r="S59" s="50">
        <v>-64.900000000000006</v>
      </c>
      <c r="T59" s="50">
        <v>-57.9</v>
      </c>
      <c r="U59" s="50">
        <v>-55.6</v>
      </c>
      <c r="V59" s="50">
        <v>-53.3</v>
      </c>
      <c r="W59" s="50">
        <v>-70</v>
      </c>
      <c r="X59" s="50">
        <v>-52.5</v>
      </c>
      <c r="Y59" s="50">
        <v>-52.7</v>
      </c>
      <c r="Z59" s="50">
        <v>-51.2</v>
      </c>
      <c r="AA59" s="50">
        <v>-57.4</v>
      </c>
      <c r="AB59" s="50">
        <v>-58.1</v>
      </c>
      <c r="AC59" s="50">
        <v>-57.4</v>
      </c>
      <c r="AD59" s="50">
        <v>-57.2</v>
      </c>
      <c r="AE59" s="50">
        <v>-57.5</v>
      </c>
      <c r="AF59" s="50">
        <v>-56.9</v>
      </c>
      <c r="AG59" s="82"/>
      <c r="AH59" s="55">
        <f t="shared" si="2"/>
        <v>-10.7</v>
      </c>
      <c r="AI59" s="56">
        <f t="shared" si="3"/>
        <v>-70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1">
        <v>0</v>
      </c>
      <c r="N60" s="61">
        <v>0</v>
      </c>
      <c r="O60" s="61">
        <v>0</v>
      </c>
      <c r="P60" s="61"/>
      <c r="Q60" s="61">
        <v>0</v>
      </c>
      <c r="R60" s="61"/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61">
        <v>0</v>
      </c>
      <c r="N61" s="61">
        <v>0</v>
      </c>
      <c r="O61" s="61">
        <v>0</v>
      </c>
      <c r="P61" s="61"/>
      <c r="Q61" s="61">
        <v>0</v>
      </c>
      <c r="R61" s="61"/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/>
      <c r="Q62" s="59">
        <v>0</v>
      </c>
      <c r="R62" s="59"/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/>
      <c r="Q63" s="59">
        <v>0</v>
      </c>
      <c r="R63" s="59"/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0</v>
      </c>
      <c r="M64" s="84">
        <v>0</v>
      </c>
      <c r="N64" s="84">
        <v>0</v>
      </c>
      <c r="O64" s="84">
        <v>0</v>
      </c>
      <c r="P64" s="84"/>
      <c r="Q64" s="84">
        <v>0</v>
      </c>
      <c r="R64" s="84"/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84">
        <v>0</v>
      </c>
      <c r="N65" s="84">
        <v>0</v>
      </c>
      <c r="O65" s="84">
        <v>0</v>
      </c>
      <c r="P65" s="84"/>
      <c r="Q65" s="84">
        <v>0</v>
      </c>
      <c r="R65" s="84"/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/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 t="shared" ref="B66" si="12">SUM(B55:B65)</f>
        <v>-300.5</v>
      </c>
      <c r="C66" s="72">
        <f t="shared" ref="C66:AF66" si="13">SUM(C55:C65)</f>
        <v>-312.89999999999998</v>
      </c>
      <c r="D66" s="72">
        <f t="shared" si="13"/>
        <v>-56.599999999999994</v>
      </c>
      <c r="E66" s="72">
        <f t="shared" si="13"/>
        <v>-249.10000000000002</v>
      </c>
      <c r="F66" s="72">
        <f t="shared" si="13"/>
        <v>-280.39999999999998</v>
      </c>
      <c r="G66" s="72">
        <f t="shared" si="13"/>
        <v>-284.60000000000002</v>
      </c>
      <c r="H66" s="72">
        <f t="shared" si="13"/>
        <v>-316.20000000000005</v>
      </c>
      <c r="I66" s="72">
        <f t="shared" si="13"/>
        <v>-288.3</v>
      </c>
      <c r="J66" s="72">
        <f t="shared" si="13"/>
        <v>-290.39999999999998</v>
      </c>
      <c r="K66" s="72">
        <f t="shared" si="13"/>
        <v>-192.39999999999998</v>
      </c>
      <c r="L66" s="72">
        <f t="shared" si="13"/>
        <v>-204.9</v>
      </c>
      <c r="M66" s="72">
        <f t="shared" si="13"/>
        <v>-187.9</v>
      </c>
      <c r="N66" s="72">
        <f t="shared" si="13"/>
        <v>-177.5</v>
      </c>
      <c r="O66" s="72">
        <f t="shared" si="13"/>
        <v>-201.39999999999998</v>
      </c>
      <c r="P66" s="72">
        <f t="shared" si="13"/>
        <v>0</v>
      </c>
      <c r="Q66" s="72">
        <f t="shared" si="13"/>
        <v>-292.10000000000002</v>
      </c>
      <c r="R66" s="72">
        <f t="shared" si="13"/>
        <v>0</v>
      </c>
      <c r="S66" s="72">
        <f t="shared" si="13"/>
        <v>-303.89999999999998</v>
      </c>
      <c r="T66" s="72">
        <f t="shared" si="13"/>
        <v>-262.2</v>
      </c>
      <c r="U66" s="72">
        <f t="shared" si="13"/>
        <v>-263.5</v>
      </c>
      <c r="V66" s="72">
        <f t="shared" si="13"/>
        <v>-186.5</v>
      </c>
      <c r="W66" s="72">
        <f t="shared" si="13"/>
        <v>-155.6</v>
      </c>
      <c r="X66" s="72">
        <f t="shared" si="13"/>
        <v>-129.9</v>
      </c>
      <c r="Y66" s="72">
        <f t="shared" si="13"/>
        <v>-143.9</v>
      </c>
      <c r="Z66" s="72">
        <f t="shared" si="13"/>
        <v>-145.69999999999999</v>
      </c>
      <c r="AA66" s="72">
        <f t="shared" si="13"/>
        <v>-166.1</v>
      </c>
      <c r="AB66" s="72">
        <f t="shared" si="13"/>
        <v>-207.1</v>
      </c>
      <c r="AC66" s="72">
        <f t="shared" si="13"/>
        <v>-209.4</v>
      </c>
      <c r="AD66" s="72">
        <f t="shared" si="13"/>
        <v>-153.5</v>
      </c>
      <c r="AE66" s="72">
        <f t="shared" si="13"/>
        <v>-176.1</v>
      </c>
      <c r="AF66" s="72">
        <f t="shared" si="13"/>
        <v>-152.19999999999999</v>
      </c>
      <c r="AG66" s="77">
        <f>SUM(AG55:AG65)</f>
        <v>0</v>
      </c>
      <c r="AH66" s="55">
        <f t="shared" si="2"/>
        <v>0</v>
      </c>
      <c r="AI66" s="56">
        <f t="shared" si="3"/>
        <v>-316.20000000000005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 t="shared" ref="B70" si="14">SUM(B67:B69)</f>
        <v>0</v>
      </c>
      <c r="C70" s="72">
        <f t="shared" ref="C70:AF70" si="15">SUM(C67:C69)</f>
        <v>0</v>
      </c>
      <c r="D70" s="72">
        <f t="shared" si="15"/>
        <v>0</v>
      </c>
      <c r="E70" s="72">
        <f t="shared" si="15"/>
        <v>0</v>
      </c>
      <c r="F70" s="72">
        <f t="shared" si="15"/>
        <v>0</v>
      </c>
      <c r="G70" s="72">
        <f t="shared" si="15"/>
        <v>0</v>
      </c>
      <c r="H70" s="72">
        <f t="shared" si="15"/>
        <v>0</v>
      </c>
      <c r="I70" s="72">
        <f t="shared" si="15"/>
        <v>0</v>
      </c>
      <c r="J70" s="72">
        <f t="shared" si="15"/>
        <v>0</v>
      </c>
      <c r="K70" s="72">
        <f t="shared" si="15"/>
        <v>0</v>
      </c>
      <c r="L70" s="72">
        <f t="shared" si="15"/>
        <v>0</v>
      </c>
      <c r="M70" s="72">
        <f t="shared" si="15"/>
        <v>0</v>
      </c>
      <c r="N70" s="72">
        <f t="shared" si="15"/>
        <v>0</v>
      </c>
      <c r="O70" s="72">
        <f t="shared" si="15"/>
        <v>0</v>
      </c>
      <c r="P70" s="72">
        <f t="shared" si="15"/>
        <v>0</v>
      </c>
      <c r="Q70" s="72">
        <f t="shared" si="15"/>
        <v>0</v>
      </c>
      <c r="R70" s="72">
        <f t="shared" si="15"/>
        <v>0</v>
      </c>
      <c r="S70" s="72">
        <f t="shared" si="15"/>
        <v>0</v>
      </c>
      <c r="T70" s="72">
        <f t="shared" si="15"/>
        <v>0</v>
      </c>
      <c r="U70" s="72">
        <f t="shared" si="15"/>
        <v>0</v>
      </c>
      <c r="V70" s="72">
        <f t="shared" si="15"/>
        <v>0</v>
      </c>
      <c r="W70" s="72">
        <f t="shared" si="15"/>
        <v>0</v>
      </c>
      <c r="X70" s="72">
        <f t="shared" si="15"/>
        <v>0</v>
      </c>
      <c r="Y70" s="72">
        <f t="shared" si="15"/>
        <v>0</v>
      </c>
      <c r="Z70" s="72">
        <f t="shared" si="15"/>
        <v>0</v>
      </c>
      <c r="AA70" s="72">
        <f t="shared" si="15"/>
        <v>0</v>
      </c>
      <c r="AB70" s="72">
        <f t="shared" si="15"/>
        <v>0</v>
      </c>
      <c r="AC70" s="72">
        <f t="shared" si="15"/>
        <v>0</v>
      </c>
      <c r="AD70" s="72">
        <f t="shared" si="15"/>
        <v>0</v>
      </c>
      <c r="AE70" s="72">
        <f t="shared" si="15"/>
        <v>0</v>
      </c>
      <c r="AF70" s="72">
        <f t="shared" si="15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 t="shared" ref="B71" si="16">B66+B54+B50+B36+B70</f>
        <v>983.04000000000019</v>
      </c>
      <c r="C71" s="87">
        <f t="shared" ref="C71:AG71" si="17">C66+C54+C50+C36+C70</f>
        <v>958.6400000000001</v>
      </c>
      <c r="D71" s="87">
        <f t="shared" si="17"/>
        <v>903.24</v>
      </c>
      <c r="E71" s="87">
        <f t="shared" si="17"/>
        <v>919.14</v>
      </c>
      <c r="F71" s="87">
        <f t="shared" si="17"/>
        <v>951.34000000000015</v>
      </c>
      <c r="G71" s="87">
        <f t="shared" si="17"/>
        <v>945.24000000000012</v>
      </c>
      <c r="H71" s="87">
        <f t="shared" si="17"/>
        <v>906.74</v>
      </c>
      <c r="I71" s="87">
        <f t="shared" si="17"/>
        <v>879.84000000000015</v>
      </c>
      <c r="J71" s="87">
        <f t="shared" si="17"/>
        <v>868.04000000000019</v>
      </c>
      <c r="K71" s="87">
        <f t="shared" si="17"/>
        <v>866.54</v>
      </c>
      <c r="L71" s="87">
        <f t="shared" si="17"/>
        <v>854.04</v>
      </c>
      <c r="M71" s="87">
        <f t="shared" si="17"/>
        <v>868.94</v>
      </c>
      <c r="N71" s="87">
        <f t="shared" si="17"/>
        <v>879.24000000000012</v>
      </c>
      <c r="O71" s="87">
        <f t="shared" si="17"/>
        <v>858.94000000000017</v>
      </c>
      <c r="P71" s="87">
        <f t="shared" si="17"/>
        <v>3.54</v>
      </c>
      <c r="Q71" s="87">
        <f t="shared" si="17"/>
        <v>877.34000000000015</v>
      </c>
      <c r="R71" s="87">
        <f t="shared" si="17"/>
        <v>3.54</v>
      </c>
      <c r="S71" s="87">
        <f t="shared" si="17"/>
        <v>891.54</v>
      </c>
      <c r="T71" s="87">
        <f t="shared" si="17"/>
        <v>862.6400000000001</v>
      </c>
      <c r="U71" s="87">
        <f t="shared" si="17"/>
        <v>877.34000000000015</v>
      </c>
      <c r="V71" s="87">
        <f t="shared" si="17"/>
        <v>969.1400000000001</v>
      </c>
      <c r="W71" s="87">
        <f t="shared" si="17"/>
        <v>1109.3400000000001</v>
      </c>
      <c r="X71" s="87">
        <f t="shared" si="17"/>
        <v>1177.6400000000001</v>
      </c>
      <c r="Y71" s="87">
        <f t="shared" si="17"/>
        <v>1159.6400000000001</v>
      </c>
      <c r="Z71" s="87">
        <f t="shared" si="17"/>
        <v>1164.94</v>
      </c>
      <c r="AA71" s="87">
        <f t="shared" si="17"/>
        <v>1148.44</v>
      </c>
      <c r="AB71" s="87">
        <f t="shared" si="17"/>
        <v>1157.44</v>
      </c>
      <c r="AC71" s="87">
        <f t="shared" si="17"/>
        <v>1128.1400000000001</v>
      </c>
      <c r="AD71" s="87">
        <f t="shared" si="17"/>
        <v>1076.44</v>
      </c>
      <c r="AE71" s="87">
        <f t="shared" si="17"/>
        <v>1011.5400000000001</v>
      </c>
      <c r="AF71" s="87">
        <f t="shared" si="17"/>
        <v>994.34000000000015</v>
      </c>
      <c r="AG71" s="87">
        <f t="shared" si="17"/>
        <v>2083.14</v>
      </c>
      <c r="AH71" s="55">
        <f t="shared" si="2"/>
        <v>1177.6400000000001</v>
      </c>
      <c r="AI71" s="56">
        <f t="shared" si="3"/>
        <v>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 t="shared" ref="B73" si="18">B70+B66+B54+B50+B36+B72</f>
        <v>983.04000000000019</v>
      </c>
      <c r="C73" s="87">
        <f t="shared" ref="C73:AF73" si="19">C70+C66+C54+C50+C36+C72</f>
        <v>958.6400000000001</v>
      </c>
      <c r="D73" s="87">
        <f t="shared" si="19"/>
        <v>903.24</v>
      </c>
      <c r="E73" s="87">
        <f t="shared" si="19"/>
        <v>919.14</v>
      </c>
      <c r="F73" s="87">
        <f t="shared" si="19"/>
        <v>951.34000000000015</v>
      </c>
      <c r="G73" s="87">
        <f t="shared" si="19"/>
        <v>945.24000000000012</v>
      </c>
      <c r="H73" s="87">
        <f t="shared" si="19"/>
        <v>906.74</v>
      </c>
      <c r="I73" s="87">
        <f t="shared" si="19"/>
        <v>879.84000000000015</v>
      </c>
      <c r="J73" s="87">
        <f t="shared" si="19"/>
        <v>868.04000000000019</v>
      </c>
      <c r="K73" s="87">
        <f t="shared" si="19"/>
        <v>866.54</v>
      </c>
      <c r="L73" s="87">
        <f t="shared" si="19"/>
        <v>854.04</v>
      </c>
      <c r="M73" s="87">
        <f t="shared" si="19"/>
        <v>868.94</v>
      </c>
      <c r="N73" s="87">
        <f t="shared" si="19"/>
        <v>879.24000000000012</v>
      </c>
      <c r="O73" s="87">
        <f t="shared" si="19"/>
        <v>858.94000000000017</v>
      </c>
      <c r="P73" s="87">
        <f t="shared" si="19"/>
        <v>3.54</v>
      </c>
      <c r="Q73" s="87">
        <f t="shared" si="19"/>
        <v>877.34000000000015</v>
      </c>
      <c r="R73" s="87">
        <f t="shared" si="19"/>
        <v>3.54</v>
      </c>
      <c r="S73" s="87">
        <f t="shared" si="19"/>
        <v>891.54</v>
      </c>
      <c r="T73" s="87">
        <f t="shared" si="19"/>
        <v>862.6400000000001</v>
      </c>
      <c r="U73" s="87">
        <f t="shared" si="19"/>
        <v>877.34000000000015</v>
      </c>
      <c r="V73" s="87">
        <f t="shared" si="19"/>
        <v>969.1400000000001</v>
      </c>
      <c r="W73" s="87">
        <f t="shared" si="19"/>
        <v>1109.3400000000001</v>
      </c>
      <c r="X73" s="87">
        <f t="shared" si="19"/>
        <v>1177.6400000000001</v>
      </c>
      <c r="Y73" s="87">
        <f t="shared" si="19"/>
        <v>1159.6400000000001</v>
      </c>
      <c r="Z73" s="87">
        <f t="shared" si="19"/>
        <v>1164.94</v>
      </c>
      <c r="AA73" s="87">
        <f t="shared" si="19"/>
        <v>1148.44</v>
      </c>
      <c r="AB73" s="87">
        <f t="shared" si="19"/>
        <v>1157.44</v>
      </c>
      <c r="AC73" s="87">
        <f t="shared" si="19"/>
        <v>1128.1400000000001</v>
      </c>
      <c r="AD73" s="87">
        <f t="shared" si="19"/>
        <v>1076.44</v>
      </c>
      <c r="AE73" s="87">
        <f t="shared" si="19"/>
        <v>1011.5400000000001</v>
      </c>
      <c r="AF73" s="87">
        <f t="shared" si="19"/>
        <v>994.34000000000015</v>
      </c>
      <c r="AG73" s="77">
        <f>AG70+AG66+AG54+AG50+AG36+AG72</f>
        <v>2083.14</v>
      </c>
      <c r="AH73" s="55">
        <f t="shared" si="2"/>
        <v>1177.6400000000001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 t="shared" ref="B74" si="20">IF(B58&lt;0,B58*-1,0)</f>
        <v>0</v>
      </c>
      <c r="C74" s="59">
        <f t="shared" ref="C74:AF74" si="21">IF(C58&lt;0,C58*-1,0)</f>
        <v>0</v>
      </c>
      <c r="D74" s="59">
        <f t="shared" si="21"/>
        <v>0</v>
      </c>
      <c r="E74" s="59">
        <f t="shared" si="21"/>
        <v>0</v>
      </c>
      <c r="F74" s="59">
        <f t="shared" si="21"/>
        <v>0</v>
      </c>
      <c r="G74" s="59">
        <f t="shared" si="21"/>
        <v>0</v>
      </c>
      <c r="H74" s="59">
        <f t="shared" si="21"/>
        <v>0</v>
      </c>
      <c r="I74" s="59">
        <f t="shared" si="21"/>
        <v>0</v>
      </c>
      <c r="J74" s="59">
        <f t="shared" si="21"/>
        <v>0</v>
      </c>
      <c r="K74" s="59">
        <f t="shared" si="21"/>
        <v>0</v>
      </c>
      <c r="L74" s="59">
        <f t="shared" si="21"/>
        <v>0</v>
      </c>
      <c r="M74" s="59">
        <f t="shared" si="21"/>
        <v>0</v>
      </c>
      <c r="N74" s="59">
        <f t="shared" si="21"/>
        <v>28</v>
      </c>
      <c r="O74" s="59">
        <f t="shared" si="21"/>
        <v>21</v>
      </c>
      <c r="P74" s="59">
        <f t="shared" si="21"/>
        <v>0</v>
      </c>
      <c r="Q74" s="59">
        <f t="shared" si="21"/>
        <v>32</v>
      </c>
      <c r="R74" s="59">
        <f t="shared" si="21"/>
        <v>0</v>
      </c>
      <c r="S74" s="59">
        <f t="shared" si="21"/>
        <v>35</v>
      </c>
      <c r="T74" s="59">
        <f t="shared" si="21"/>
        <v>31.6</v>
      </c>
      <c r="U74" s="59">
        <f t="shared" si="21"/>
        <v>24.4</v>
      </c>
      <c r="V74" s="59">
        <f t="shared" si="21"/>
        <v>0</v>
      </c>
      <c r="W74" s="59">
        <f t="shared" si="21"/>
        <v>55</v>
      </c>
      <c r="X74" s="59">
        <f t="shared" si="21"/>
        <v>60</v>
      </c>
      <c r="Y74" s="59">
        <f t="shared" si="21"/>
        <v>63</v>
      </c>
      <c r="Z74" s="59">
        <f t="shared" si="21"/>
        <v>64</v>
      </c>
      <c r="AA74" s="59">
        <f t="shared" si="21"/>
        <v>58</v>
      </c>
      <c r="AB74" s="59">
        <f t="shared" si="21"/>
        <v>0</v>
      </c>
      <c r="AC74" s="59">
        <f t="shared" si="21"/>
        <v>0</v>
      </c>
      <c r="AD74" s="59">
        <f t="shared" si="21"/>
        <v>0</v>
      </c>
      <c r="AE74" s="59">
        <f t="shared" si="21"/>
        <v>0</v>
      </c>
      <c r="AF74" s="59">
        <f t="shared" si="21"/>
        <v>0</v>
      </c>
      <c r="AG74" s="63"/>
      <c r="AH74" s="55">
        <f t="shared" si="2"/>
        <v>64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 t="shared" ref="B75" si="22">IF(B56&lt;0,B56*-1,0)</f>
        <v>16.7</v>
      </c>
      <c r="C75" s="59">
        <f t="shared" ref="C75:AF75" si="23">IF(C56&lt;0,C56*-1,0)</f>
        <v>14.7</v>
      </c>
      <c r="D75" s="59">
        <f t="shared" si="23"/>
        <v>15.9</v>
      </c>
      <c r="E75" s="59">
        <f t="shared" si="23"/>
        <v>16.3</v>
      </c>
      <c r="F75" s="59">
        <f t="shared" si="23"/>
        <v>15</v>
      </c>
      <c r="G75" s="59">
        <f t="shared" si="23"/>
        <v>13.1</v>
      </c>
      <c r="H75" s="59">
        <f t="shared" si="23"/>
        <v>9.1</v>
      </c>
      <c r="I75" s="59">
        <f t="shared" si="23"/>
        <v>4.8</v>
      </c>
      <c r="J75" s="59">
        <f t="shared" si="23"/>
        <v>6.9</v>
      </c>
      <c r="K75" s="59">
        <f t="shared" si="23"/>
        <v>6.7</v>
      </c>
      <c r="L75" s="59">
        <f t="shared" si="23"/>
        <v>7.3</v>
      </c>
      <c r="M75" s="59">
        <f t="shared" si="23"/>
        <v>9.9</v>
      </c>
      <c r="N75" s="59">
        <f t="shared" si="23"/>
        <v>31.9</v>
      </c>
      <c r="O75" s="59">
        <f t="shared" si="23"/>
        <v>39.799999999999997</v>
      </c>
      <c r="P75" s="59">
        <f t="shared" si="23"/>
        <v>0</v>
      </c>
      <c r="Q75" s="59">
        <f t="shared" si="23"/>
        <v>60.1</v>
      </c>
      <c r="R75" s="59">
        <f t="shared" si="23"/>
        <v>0</v>
      </c>
      <c r="S75" s="59">
        <f t="shared" si="23"/>
        <v>52</v>
      </c>
      <c r="T75" s="59">
        <f t="shared" si="23"/>
        <v>43.7</v>
      </c>
      <c r="U75" s="59">
        <f t="shared" si="23"/>
        <v>37.700000000000003</v>
      </c>
      <c r="V75" s="59">
        <f t="shared" si="23"/>
        <v>40.6</v>
      </c>
      <c r="W75" s="59">
        <f t="shared" si="23"/>
        <v>51.6</v>
      </c>
      <c r="X75" s="59">
        <f t="shared" si="23"/>
        <v>52.5</v>
      </c>
      <c r="Y75" s="59">
        <f t="shared" si="23"/>
        <v>27.8</v>
      </c>
      <c r="Z75" s="59">
        <f t="shared" si="23"/>
        <v>28.8</v>
      </c>
      <c r="AA75" s="59">
        <f t="shared" si="23"/>
        <v>34.6</v>
      </c>
      <c r="AB75" s="59">
        <f t="shared" si="23"/>
        <v>80</v>
      </c>
      <c r="AC75" s="59">
        <f t="shared" si="23"/>
        <v>94</v>
      </c>
      <c r="AD75" s="59">
        <f t="shared" si="23"/>
        <v>41.3</v>
      </c>
      <c r="AE75" s="59">
        <f t="shared" si="23"/>
        <v>69.8</v>
      </c>
      <c r="AF75" s="59">
        <f t="shared" si="23"/>
        <v>75.3</v>
      </c>
      <c r="AG75" s="67"/>
      <c r="AH75" s="55">
        <f t="shared" si="2"/>
        <v>94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 t="shared" ref="B76" si="24">IF(B59&lt;0,B59*-1,0)</f>
        <v>38.5</v>
      </c>
      <c r="C76" s="59">
        <f t="shared" ref="C76:AF76" si="25">IF(C59&lt;0,C59*-1,0)</f>
        <v>38.200000000000003</v>
      </c>
      <c r="D76" s="59">
        <f t="shared" si="25"/>
        <v>35.9</v>
      </c>
      <c r="E76" s="59">
        <f t="shared" si="25"/>
        <v>35.5</v>
      </c>
      <c r="F76" s="59">
        <f t="shared" si="25"/>
        <v>33.4</v>
      </c>
      <c r="G76" s="59">
        <f t="shared" si="25"/>
        <v>36.5</v>
      </c>
      <c r="H76" s="59">
        <f t="shared" si="25"/>
        <v>31.6</v>
      </c>
      <c r="I76" s="59">
        <f t="shared" si="25"/>
        <v>24.5</v>
      </c>
      <c r="J76" s="59">
        <f t="shared" si="25"/>
        <v>24.5</v>
      </c>
      <c r="K76" s="59">
        <f t="shared" si="25"/>
        <v>10.7</v>
      </c>
      <c r="L76" s="59">
        <f t="shared" si="25"/>
        <v>20.6</v>
      </c>
      <c r="M76" s="59">
        <f t="shared" si="25"/>
        <v>28</v>
      </c>
      <c r="N76" s="59">
        <f t="shared" si="25"/>
        <v>43.6</v>
      </c>
      <c r="O76" s="59">
        <f t="shared" si="25"/>
        <v>46.5</v>
      </c>
      <c r="P76" s="59">
        <f t="shared" si="25"/>
        <v>0</v>
      </c>
      <c r="Q76" s="59">
        <f t="shared" si="25"/>
        <v>50</v>
      </c>
      <c r="R76" s="59">
        <f t="shared" si="25"/>
        <v>0</v>
      </c>
      <c r="S76" s="59">
        <f t="shared" si="25"/>
        <v>64.900000000000006</v>
      </c>
      <c r="T76" s="59">
        <f t="shared" si="25"/>
        <v>57.9</v>
      </c>
      <c r="U76" s="59">
        <f t="shared" si="25"/>
        <v>55.6</v>
      </c>
      <c r="V76" s="59">
        <f t="shared" si="25"/>
        <v>53.3</v>
      </c>
      <c r="W76" s="59">
        <f t="shared" si="25"/>
        <v>70</v>
      </c>
      <c r="X76" s="59">
        <f t="shared" si="25"/>
        <v>52.5</v>
      </c>
      <c r="Y76" s="59">
        <f t="shared" si="25"/>
        <v>52.7</v>
      </c>
      <c r="Z76" s="59">
        <f t="shared" si="25"/>
        <v>51.2</v>
      </c>
      <c r="AA76" s="59">
        <f t="shared" si="25"/>
        <v>57.4</v>
      </c>
      <c r="AB76" s="59">
        <f t="shared" si="25"/>
        <v>58.1</v>
      </c>
      <c r="AC76" s="59">
        <f t="shared" si="25"/>
        <v>57.4</v>
      </c>
      <c r="AD76" s="59">
        <f t="shared" si="25"/>
        <v>57.2</v>
      </c>
      <c r="AE76" s="59">
        <f t="shared" si="25"/>
        <v>57.5</v>
      </c>
      <c r="AF76" s="59">
        <f t="shared" si="25"/>
        <v>56.9</v>
      </c>
      <c r="AG76" s="90"/>
      <c r="AH76" s="55">
        <f t="shared" si="2"/>
        <v>70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 t="shared" ref="B77" si="26">IF(B57&lt;0,B57*-1,0)</f>
        <v>245.3</v>
      </c>
      <c r="C77" s="59">
        <f t="shared" ref="C77:AF77" si="27">IF(C57&lt;0,C57*-1,0)</f>
        <v>260</v>
      </c>
      <c r="D77" s="59">
        <f t="shared" si="27"/>
        <v>4.8</v>
      </c>
      <c r="E77" s="59">
        <f t="shared" si="27"/>
        <v>197.3</v>
      </c>
      <c r="F77" s="59">
        <f t="shared" si="27"/>
        <v>232</v>
      </c>
      <c r="G77" s="59">
        <f t="shared" si="27"/>
        <v>235</v>
      </c>
      <c r="H77" s="59">
        <f t="shared" si="27"/>
        <v>275.5</v>
      </c>
      <c r="I77" s="59">
        <f t="shared" si="27"/>
        <v>259</v>
      </c>
      <c r="J77" s="59">
        <f t="shared" si="27"/>
        <v>259</v>
      </c>
      <c r="K77" s="59">
        <f t="shared" si="27"/>
        <v>175</v>
      </c>
      <c r="L77" s="59">
        <f t="shared" si="27"/>
        <v>177</v>
      </c>
      <c r="M77" s="59">
        <f t="shared" si="27"/>
        <v>150</v>
      </c>
      <c r="N77" s="59">
        <f t="shared" si="27"/>
        <v>74</v>
      </c>
      <c r="O77" s="59">
        <f t="shared" si="27"/>
        <v>94.1</v>
      </c>
      <c r="P77" s="59">
        <f t="shared" si="27"/>
        <v>0</v>
      </c>
      <c r="Q77" s="59">
        <f t="shared" si="27"/>
        <v>150</v>
      </c>
      <c r="R77" s="59">
        <f t="shared" si="27"/>
        <v>0</v>
      </c>
      <c r="S77" s="59">
        <f t="shared" si="27"/>
        <v>152</v>
      </c>
      <c r="T77" s="59">
        <f t="shared" si="27"/>
        <v>129</v>
      </c>
      <c r="U77" s="59">
        <f t="shared" si="27"/>
        <v>145.80000000000001</v>
      </c>
      <c r="V77" s="59">
        <f t="shared" si="27"/>
        <v>124.1</v>
      </c>
      <c r="W77" s="59">
        <f t="shared" si="27"/>
        <v>15.9</v>
      </c>
      <c r="X77" s="59">
        <f t="shared" si="27"/>
        <v>10</v>
      </c>
      <c r="Y77" s="59">
        <f t="shared" si="27"/>
        <v>28.4</v>
      </c>
      <c r="Z77" s="59">
        <f t="shared" si="27"/>
        <v>22.2</v>
      </c>
      <c r="AA77" s="59">
        <f t="shared" si="27"/>
        <v>25.2</v>
      </c>
      <c r="AB77" s="59">
        <f t="shared" si="27"/>
        <v>69</v>
      </c>
      <c r="AC77" s="59">
        <f t="shared" si="27"/>
        <v>58</v>
      </c>
      <c r="AD77" s="59">
        <f t="shared" si="27"/>
        <v>55</v>
      </c>
      <c r="AE77" s="59">
        <f t="shared" si="27"/>
        <v>48.8</v>
      </c>
      <c r="AF77" s="59">
        <f t="shared" si="27"/>
        <v>20</v>
      </c>
      <c r="AG77" s="90"/>
      <c r="AH77" s="55">
        <f t="shared" ref="AH77:AH89" si="28">MAX(B77:AF77)</f>
        <v>275.5</v>
      </c>
      <c r="AI77" s="56">
        <f t="shared" ref="AI77:AI89" si="29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 t="shared" ref="B78" si="30">IF(B55&lt;0,B55*-1,0)</f>
        <v>0</v>
      </c>
      <c r="C78" s="59">
        <f t="shared" ref="C78:AF78" si="31">IF(C55&lt;0,C55*-1,0)</f>
        <v>0</v>
      </c>
      <c r="D78" s="59">
        <f t="shared" si="31"/>
        <v>0</v>
      </c>
      <c r="E78" s="59">
        <f t="shared" si="31"/>
        <v>0</v>
      </c>
      <c r="F78" s="59">
        <f t="shared" si="31"/>
        <v>0</v>
      </c>
      <c r="G78" s="59">
        <f t="shared" si="31"/>
        <v>0</v>
      </c>
      <c r="H78" s="59">
        <f t="shared" si="31"/>
        <v>0</v>
      </c>
      <c r="I78" s="59">
        <f t="shared" si="31"/>
        <v>0</v>
      </c>
      <c r="J78" s="59">
        <f t="shared" si="31"/>
        <v>0</v>
      </c>
      <c r="K78" s="59">
        <f t="shared" si="31"/>
        <v>0</v>
      </c>
      <c r="L78" s="59">
        <f t="shared" si="31"/>
        <v>0</v>
      </c>
      <c r="M78" s="59">
        <f t="shared" si="31"/>
        <v>0</v>
      </c>
      <c r="N78" s="59">
        <f t="shared" si="31"/>
        <v>0</v>
      </c>
      <c r="O78" s="59">
        <f t="shared" si="31"/>
        <v>0</v>
      </c>
      <c r="P78" s="59">
        <f t="shared" si="31"/>
        <v>0</v>
      </c>
      <c r="Q78" s="59">
        <f t="shared" si="31"/>
        <v>0</v>
      </c>
      <c r="R78" s="59">
        <f t="shared" si="31"/>
        <v>0</v>
      </c>
      <c r="S78" s="59">
        <f t="shared" si="31"/>
        <v>0</v>
      </c>
      <c r="T78" s="59">
        <f t="shared" si="31"/>
        <v>0</v>
      </c>
      <c r="U78" s="59">
        <f t="shared" si="31"/>
        <v>0</v>
      </c>
      <c r="V78" s="59">
        <f t="shared" si="31"/>
        <v>0</v>
      </c>
      <c r="W78" s="59">
        <f t="shared" si="31"/>
        <v>0</v>
      </c>
      <c r="X78" s="59">
        <f t="shared" si="31"/>
        <v>0</v>
      </c>
      <c r="Y78" s="59">
        <f t="shared" si="31"/>
        <v>0</v>
      </c>
      <c r="Z78" s="59">
        <f t="shared" si="31"/>
        <v>0</v>
      </c>
      <c r="AA78" s="59">
        <f t="shared" si="31"/>
        <v>0</v>
      </c>
      <c r="AB78" s="59">
        <f t="shared" si="31"/>
        <v>0</v>
      </c>
      <c r="AC78" s="59">
        <f t="shared" si="31"/>
        <v>0</v>
      </c>
      <c r="AD78" s="59">
        <f t="shared" si="31"/>
        <v>0</v>
      </c>
      <c r="AE78" s="59">
        <f t="shared" si="31"/>
        <v>0</v>
      </c>
      <c r="AF78" s="59">
        <f t="shared" si="31"/>
        <v>0</v>
      </c>
      <c r="AG78" s="90"/>
      <c r="AH78" s="55">
        <f t="shared" si="28"/>
        <v>0</v>
      </c>
      <c r="AI78" s="56">
        <f t="shared" si="2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28"/>
        <v>0</v>
      </c>
      <c r="AI79" s="56">
        <f t="shared" si="2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" si="32">SUM(B74:B79)</f>
        <v>300.5</v>
      </c>
      <c r="C80" s="72">
        <f t="shared" ref="C80:AG80" si="33">SUM(C74:C79)</f>
        <v>312.89999999999998</v>
      </c>
      <c r="D80" s="72">
        <f t="shared" si="33"/>
        <v>56.599999999999994</v>
      </c>
      <c r="E80" s="72">
        <f t="shared" si="33"/>
        <v>249.10000000000002</v>
      </c>
      <c r="F80" s="72">
        <f t="shared" si="33"/>
        <v>280.39999999999998</v>
      </c>
      <c r="G80" s="72">
        <f t="shared" si="33"/>
        <v>284.60000000000002</v>
      </c>
      <c r="H80" s="72">
        <f t="shared" si="33"/>
        <v>316.2</v>
      </c>
      <c r="I80" s="72">
        <f t="shared" si="33"/>
        <v>288.3</v>
      </c>
      <c r="J80" s="72">
        <f t="shared" si="33"/>
        <v>290.39999999999998</v>
      </c>
      <c r="K80" s="72">
        <f t="shared" si="33"/>
        <v>192.4</v>
      </c>
      <c r="L80" s="72">
        <f t="shared" si="33"/>
        <v>204.9</v>
      </c>
      <c r="M80" s="72">
        <f t="shared" si="33"/>
        <v>187.9</v>
      </c>
      <c r="N80" s="72">
        <f t="shared" si="33"/>
        <v>177.5</v>
      </c>
      <c r="O80" s="72">
        <f t="shared" si="33"/>
        <v>201.39999999999998</v>
      </c>
      <c r="P80" s="72">
        <f t="shared" si="33"/>
        <v>0</v>
      </c>
      <c r="Q80" s="72">
        <f t="shared" si="33"/>
        <v>292.10000000000002</v>
      </c>
      <c r="R80" s="72">
        <f t="shared" si="33"/>
        <v>0</v>
      </c>
      <c r="S80" s="72">
        <f t="shared" si="33"/>
        <v>303.89999999999998</v>
      </c>
      <c r="T80" s="72">
        <f t="shared" si="33"/>
        <v>262.20000000000005</v>
      </c>
      <c r="U80" s="72">
        <f t="shared" si="33"/>
        <v>263.5</v>
      </c>
      <c r="V80" s="72">
        <f t="shared" si="33"/>
        <v>218</v>
      </c>
      <c r="W80" s="72">
        <f t="shared" si="33"/>
        <v>192.5</v>
      </c>
      <c r="X80" s="72">
        <f t="shared" si="33"/>
        <v>175</v>
      </c>
      <c r="Y80" s="72">
        <f t="shared" si="33"/>
        <v>171.9</v>
      </c>
      <c r="Z80" s="72">
        <f t="shared" si="33"/>
        <v>166.2</v>
      </c>
      <c r="AA80" s="72">
        <f t="shared" si="33"/>
        <v>175.2</v>
      </c>
      <c r="AB80" s="72">
        <f t="shared" si="33"/>
        <v>207.1</v>
      </c>
      <c r="AC80" s="72">
        <f t="shared" si="33"/>
        <v>209.4</v>
      </c>
      <c r="AD80" s="72">
        <f t="shared" si="33"/>
        <v>153.5</v>
      </c>
      <c r="AE80" s="72">
        <f t="shared" si="33"/>
        <v>176.1</v>
      </c>
      <c r="AF80" s="72">
        <f t="shared" si="33"/>
        <v>152.19999999999999</v>
      </c>
      <c r="AG80" s="77">
        <f t="shared" si="33"/>
        <v>0</v>
      </c>
      <c r="AH80" s="55">
        <f t="shared" si="28"/>
        <v>316.2</v>
      </c>
      <c r="AI80" s="56">
        <f t="shared" si="29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" si="34">SUM(B68:B80)</f>
        <v>2567.0800000000004</v>
      </c>
      <c r="C81" s="72">
        <f t="shared" ref="C81:AG81" si="35">SUM(C68:C80)</f>
        <v>2543.0800000000004</v>
      </c>
      <c r="D81" s="72">
        <f t="shared" si="35"/>
        <v>1919.68</v>
      </c>
      <c r="E81" s="72">
        <f t="shared" si="35"/>
        <v>2336.48</v>
      </c>
      <c r="F81" s="72">
        <f t="shared" si="35"/>
        <v>2463.4800000000005</v>
      </c>
      <c r="G81" s="72">
        <f t="shared" si="35"/>
        <v>2459.6799999999998</v>
      </c>
      <c r="H81" s="72">
        <f t="shared" si="35"/>
        <v>2445.8799999999997</v>
      </c>
      <c r="I81" s="72">
        <f t="shared" si="35"/>
        <v>2336.2800000000002</v>
      </c>
      <c r="J81" s="72">
        <f t="shared" si="35"/>
        <v>2316.8800000000006</v>
      </c>
      <c r="K81" s="72">
        <f t="shared" si="35"/>
        <v>2117.88</v>
      </c>
      <c r="L81" s="72">
        <f t="shared" si="35"/>
        <v>2117.8799999999997</v>
      </c>
      <c r="M81" s="72">
        <f t="shared" si="35"/>
        <v>2113.6800000000003</v>
      </c>
      <c r="N81" s="72">
        <f t="shared" si="35"/>
        <v>2113.4800000000005</v>
      </c>
      <c r="O81" s="72">
        <f t="shared" si="35"/>
        <v>2120.6800000000003</v>
      </c>
      <c r="P81" s="72">
        <f t="shared" si="35"/>
        <v>7.08</v>
      </c>
      <c r="Q81" s="72">
        <f t="shared" si="35"/>
        <v>2338.88</v>
      </c>
      <c r="R81" s="72">
        <f t="shared" si="35"/>
        <v>7.08</v>
      </c>
      <c r="S81" s="72">
        <f t="shared" si="35"/>
        <v>2390.88</v>
      </c>
      <c r="T81" s="72">
        <f t="shared" si="35"/>
        <v>2249.6800000000003</v>
      </c>
      <c r="U81" s="72">
        <f t="shared" si="35"/>
        <v>2281.6800000000003</v>
      </c>
      <c r="V81" s="72">
        <f t="shared" si="35"/>
        <v>2374.2800000000002</v>
      </c>
      <c r="W81" s="72">
        <f t="shared" si="35"/>
        <v>2603.6800000000003</v>
      </c>
      <c r="X81" s="72">
        <f t="shared" si="35"/>
        <v>2705.28</v>
      </c>
      <c r="Y81" s="72">
        <f t="shared" si="35"/>
        <v>2663.0800000000004</v>
      </c>
      <c r="Z81" s="72">
        <f t="shared" si="35"/>
        <v>2662.2799999999997</v>
      </c>
      <c r="AA81" s="72">
        <f t="shared" si="35"/>
        <v>2647.2799999999997</v>
      </c>
      <c r="AB81" s="72">
        <f t="shared" si="35"/>
        <v>2729.08</v>
      </c>
      <c r="AC81" s="72">
        <f t="shared" si="35"/>
        <v>2675.0800000000004</v>
      </c>
      <c r="AD81" s="72">
        <f t="shared" si="35"/>
        <v>2459.88</v>
      </c>
      <c r="AE81" s="72">
        <f t="shared" si="35"/>
        <v>2375.2800000000002</v>
      </c>
      <c r="AF81" s="72">
        <f t="shared" si="35"/>
        <v>2293.0800000000004</v>
      </c>
      <c r="AG81" s="77">
        <f t="shared" si="35"/>
        <v>4238.08</v>
      </c>
      <c r="AH81" s="55">
        <f t="shared" si="28"/>
        <v>2729.08</v>
      </c>
      <c r="AI81" s="56">
        <f t="shared" si="29"/>
        <v>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49.905999999999999</v>
      </c>
      <c r="C82" s="93">
        <v>50.054000000000002</v>
      </c>
      <c r="D82" s="93">
        <v>49.97</v>
      </c>
      <c r="E82" s="93">
        <v>50.05</v>
      </c>
      <c r="F82" s="93">
        <v>50</v>
      </c>
      <c r="G82" s="93">
        <v>50.05</v>
      </c>
      <c r="H82" s="93">
        <v>50.1</v>
      </c>
      <c r="I82" s="93">
        <v>50.02</v>
      </c>
      <c r="J82" s="93">
        <v>50.05</v>
      </c>
      <c r="K82" s="93">
        <v>50.08</v>
      </c>
      <c r="L82" s="93">
        <v>50.07</v>
      </c>
      <c r="M82" s="93">
        <v>50.097000000000001</v>
      </c>
      <c r="N82" s="93">
        <v>49.89</v>
      </c>
      <c r="O82" s="93">
        <v>50.037999999999997</v>
      </c>
      <c r="P82" s="93"/>
      <c r="Q82" s="93">
        <v>50.037999999999997</v>
      </c>
      <c r="R82" s="93"/>
      <c r="S82" s="93">
        <v>50.037999999999997</v>
      </c>
      <c r="T82" s="93">
        <v>50.08</v>
      </c>
      <c r="U82" s="93">
        <v>49.96</v>
      </c>
      <c r="V82" s="93">
        <v>50.02</v>
      </c>
      <c r="W82" s="93">
        <v>50.1</v>
      </c>
      <c r="X82" s="93">
        <v>50.051000000000002</v>
      </c>
      <c r="Y82" s="93">
        <v>49.991999999999997</v>
      </c>
      <c r="Z82" s="93">
        <v>50.023000000000003</v>
      </c>
      <c r="AA82" s="93">
        <v>49.948999999999998</v>
      </c>
      <c r="AB82" s="93">
        <v>49.933</v>
      </c>
      <c r="AC82" s="93">
        <v>49.878999999999998</v>
      </c>
      <c r="AD82" s="93">
        <v>50</v>
      </c>
      <c r="AE82" s="93">
        <v>49.87</v>
      </c>
      <c r="AF82" s="94">
        <v>50.02</v>
      </c>
      <c r="AG82" s="95"/>
      <c r="AH82" s="55">
        <f t="shared" si="28"/>
        <v>50.1</v>
      </c>
      <c r="AI82" s="56">
        <f t="shared" si="29"/>
        <v>49.87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125.5</v>
      </c>
      <c r="C83" s="52">
        <v>125.4</v>
      </c>
      <c r="D83" s="52">
        <v>126.7</v>
      </c>
      <c r="E83" s="52">
        <v>126.1</v>
      </c>
      <c r="F83" s="52">
        <v>125.1</v>
      </c>
      <c r="G83" s="52">
        <v>126.6</v>
      </c>
      <c r="H83" s="52">
        <v>125.9</v>
      </c>
      <c r="I83" s="52">
        <v>126.5</v>
      </c>
      <c r="J83" s="52">
        <v>125.8</v>
      </c>
      <c r="K83" s="52">
        <v>126.9</v>
      </c>
      <c r="L83" s="52">
        <v>126.5</v>
      </c>
      <c r="M83" s="52">
        <v>125.6</v>
      </c>
      <c r="N83" s="52">
        <v>124.9</v>
      </c>
      <c r="O83" s="52">
        <v>125.5</v>
      </c>
      <c r="P83" s="52"/>
      <c r="Q83" s="52">
        <v>125.5</v>
      </c>
      <c r="R83" s="97"/>
      <c r="S83" s="52">
        <v>125.5</v>
      </c>
      <c r="T83" s="52">
        <v>123.3</v>
      </c>
      <c r="U83" s="52">
        <v>121.9</v>
      </c>
      <c r="V83" s="52">
        <v>122</v>
      </c>
      <c r="W83" s="97">
        <v>122.1</v>
      </c>
      <c r="X83" s="52">
        <v>121.9</v>
      </c>
      <c r="Y83" s="97">
        <v>123.5</v>
      </c>
      <c r="Z83" s="97">
        <v>123.7</v>
      </c>
      <c r="AA83" s="52">
        <v>123.9</v>
      </c>
      <c r="AB83" s="52">
        <v>123.9</v>
      </c>
      <c r="AC83" s="52">
        <v>121.7</v>
      </c>
      <c r="AD83" s="52">
        <v>121.1</v>
      </c>
      <c r="AE83" s="52">
        <v>120.7</v>
      </c>
      <c r="AF83" s="98">
        <v>121.7</v>
      </c>
      <c r="AG83" s="99"/>
      <c r="AH83" s="55">
        <f t="shared" si="28"/>
        <v>126.9</v>
      </c>
      <c r="AI83" s="56">
        <f t="shared" si="29"/>
        <v>120.7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129.9</v>
      </c>
      <c r="C84" s="52">
        <v>129.9</v>
      </c>
      <c r="D84" s="52">
        <v>130.30000000000001</v>
      </c>
      <c r="E84" s="52">
        <v>128.80000000000001</v>
      </c>
      <c r="F84" s="52">
        <v>128.9</v>
      </c>
      <c r="G84" s="52">
        <v>129.69999999999999</v>
      </c>
      <c r="H84" s="52">
        <v>128.80000000000001</v>
      </c>
      <c r="I84" s="52">
        <v>128.80000000000001</v>
      </c>
      <c r="J84" s="52">
        <v>128.5</v>
      </c>
      <c r="K84" s="52">
        <v>129.69999999999999</v>
      </c>
      <c r="L84" s="52">
        <v>129.5</v>
      </c>
      <c r="M84" s="52">
        <v>129</v>
      </c>
      <c r="N84" s="52">
        <v>128.30000000000001</v>
      </c>
      <c r="O84" s="52">
        <v>129</v>
      </c>
      <c r="P84" s="52"/>
      <c r="Q84" s="52">
        <v>129</v>
      </c>
      <c r="R84" s="97"/>
      <c r="S84" s="52">
        <v>129</v>
      </c>
      <c r="T84" s="52">
        <v>128.19999999999999</v>
      </c>
      <c r="U84" s="52">
        <v>127.3</v>
      </c>
      <c r="V84" s="52">
        <v>127.3</v>
      </c>
      <c r="W84" s="97">
        <v>127.7</v>
      </c>
      <c r="X84" s="52">
        <v>127.3</v>
      </c>
      <c r="Y84" s="97">
        <v>127.9</v>
      </c>
      <c r="Z84" s="97">
        <v>128.19999999999999</v>
      </c>
      <c r="AA84" s="52">
        <v>128.19999999999999</v>
      </c>
      <c r="AB84" s="52">
        <v>128.19999999999999</v>
      </c>
      <c r="AC84" s="52">
        <v>128</v>
      </c>
      <c r="AD84" s="52">
        <v>127.9</v>
      </c>
      <c r="AE84" s="52">
        <v>128.30000000000001</v>
      </c>
      <c r="AF84" s="98">
        <v>127.7</v>
      </c>
      <c r="AG84" s="99"/>
      <c r="AH84" s="55">
        <f t="shared" si="28"/>
        <v>130.30000000000001</v>
      </c>
      <c r="AI84" s="56">
        <f t="shared" si="29"/>
        <v>127.3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130.1</v>
      </c>
      <c r="C85" s="52">
        <v>130.5</v>
      </c>
      <c r="D85" s="52">
        <v>131.19999999999999</v>
      </c>
      <c r="E85" s="52">
        <v>130.6</v>
      </c>
      <c r="F85" s="52">
        <v>130.6</v>
      </c>
      <c r="G85" s="52">
        <v>131</v>
      </c>
      <c r="H85" s="52">
        <v>130.9</v>
      </c>
      <c r="I85" s="52">
        <v>131.4</v>
      </c>
      <c r="J85" s="52">
        <v>129.30000000000001</v>
      </c>
      <c r="K85" s="52">
        <v>128.6</v>
      </c>
      <c r="L85" s="52">
        <v>128.6</v>
      </c>
      <c r="M85" s="52">
        <v>126.3</v>
      </c>
      <c r="N85" s="52">
        <v>128.4</v>
      </c>
      <c r="O85" s="52">
        <v>128.5</v>
      </c>
      <c r="P85" s="52"/>
      <c r="Q85" s="52">
        <v>128.5</v>
      </c>
      <c r="R85" s="52"/>
      <c r="S85" s="52">
        <v>128.5</v>
      </c>
      <c r="T85" s="52">
        <v>130.6</v>
      </c>
      <c r="U85" s="52">
        <v>130.5</v>
      </c>
      <c r="V85" s="52">
        <v>130.6</v>
      </c>
      <c r="W85" s="97">
        <v>128</v>
      </c>
      <c r="X85" s="52">
        <v>130.5</v>
      </c>
      <c r="Y85" s="97">
        <v>130.69999999999999</v>
      </c>
      <c r="Z85" s="97">
        <v>129.4</v>
      </c>
      <c r="AA85" s="52">
        <v>129.80000000000001</v>
      </c>
      <c r="AB85" s="52">
        <v>129.80000000000001</v>
      </c>
      <c r="AC85" s="52">
        <v>124.2</v>
      </c>
      <c r="AD85" s="52">
        <v>128.4</v>
      </c>
      <c r="AE85" s="52">
        <v>128.1</v>
      </c>
      <c r="AF85" s="98">
        <v>130.30000000000001</v>
      </c>
      <c r="AG85" s="99"/>
      <c r="AH85" s="55">
        <f t="shared" si="28"/>
        <v>131.4</v>
      </c>
      <c r="AI85" s="56">
        <f t="shared" si="29"/>
        <v>124.2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134.1</v>
      </c>
      <c r="C86" s="52">
        <v>134.5</v>
      </c>
      <c r="D86" s="52">
        <v>135.9</v>
      </c>
      <c r="E86" s="52">
        <v>135.5</v>
      </c>
      <c r="F86" s="52">
        <v>135.5</v>
      </c>
      <c r="G86" s="52">
        <v>136.19999999999999</v>
      </c>
      <c r="H86" s="52">
        <v>133.6</v>
      </c>
      <c r="I86" s="52">
        <v>134.1</v>
      </c>
      <c r="J86" s="52">
        <v>130.6</v>
      </c>
      <c r="K86" s="52">
        <v>131.80000000000001</v>
      </c>
      <c r="L86" s="52">
        <v>131.80000000000001</v>
      </c>
      <c r="M86" s="52">
        <v>129.6</v>
      </c>
      <c r="N86" s="52">
        <v>131.6</v>
      </c>
      <c r="O86" s="52">
        <v>131.69999999999999</v>
      </c>
      <c r="P86" s="52"/>
      <c r="Q86" s="52">
        <v>131.69999999999999</v>
      </c>
      <c r="R86" s="52"/>
      <c r="S86" s="52">
        <v>131.69999999999999</v>
      </c>
      <c r="T86" s="52">
        <v>132.30000000000001</v>
      </c>
      <c r="U86" s="52">
        <v>132.1</v>
      </c>
      <c r="V86" s="52">
        <v>132.1</v>
      </c>
      <c r="W86" s="97">
        <v>130.69999999999999</v>
      </c>
      <c r="X86" s="52">
        <v>132.1</v>
      </c>
      <c r="Y86" s="97">
        <v>133.19999999999999</v>
      </c>
      <c r="Z86" s="97">
        <v>132.1</v>
      </c>
      <c r="AA86" s="52">
        <v>132.5</v>
      </c>
      <c r="AB86" s="52">
        <v>132.5</v>
      </c>
      <c r="AC86" s="52">
        <v>128.5</v>
      </c>
      <c r="AD86" s="52">
        <v>130</v>
      </c>
      <c r="AE86" s="52">
        <v>131.1</v>
      </c>
      <c r="AF86" s="98">
        <v>132.30000000000001</v>
      </c>
      <c r="AG86" s="99"/>
      <c r="AH86" s="55">
        <f t="shared" si="28"/>
        <v>136.19999999999999</v>
      </c>
      <c r="AI86" s="56">
        <f t="shared" si="29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133.6</v>
      </c>
      <c r="C87" s="101">
        <v>133.4</v>
      </c>
      <c r="D87" s="101">
        <v>130.6</v>
      </c>
      <c r="E87" s="101">
        <v>131.1</v>
      </c>
      <c r="F87" s="101">
        <v>131.1</v>
      </c>
      <c r="G87" s="101">
        <v>131.1</v>
      </c>
      <c r="H87" s="101">
        <v>133.1</v>
      </c>
      <c r="I87" s="101">
        <v>133.5</v>
      </c>
      <c r="J87" s="101">
        <v>135</v>
      </c>
      <c r="K87" s="101">
        <v>131.69999999999999</v>
      </c>
      <c r="L87" s="101">
        <v>131.69999999999999</v>
      </c>
      <c r="M87" s="101">
        <v>131.30000000000001</v>
      </c>
      <c r="N87" s="101">
        <v>131.9</v>
      </c>
      <c r="O87" s="101">
        <v>133</v>
      </c>
      <c r="P87" s="101"/>
      <c r="Q87" s="101">
        <v>133</v>
      </c>
      <c r="R87" s="101"/>
      <c r="S87" s="101">
        <v>133</v>
      </c>
      <c r="T87" s="101">
        <v>133.80000000000001</v>
      </c>
      <c r="U87" s="101">
        <v>134.30000000000001</v>
      </c>
      <c r="V87" s="101">
        <v>133.80000000000001</v>
      </c>
      <c r="W87" s="97">
        <v>133.6</v>
      </c>
      <c r="X87" s="101">
        <v>134.30000000000001</v>
      </c>
      <c r="Y87" s="97">
        <v>131.6</v>
      </c>
      <c r="Z87" s="97">
        <v>134.69999999999999</v>
      </c>
      <c r="AA87" s="101">
        <v>134.80000000000001</v>
      </c>
      <c r="AB87" s="101">
        <v>134.80000000000001</v>
      </c>
      <c r="AC87" s="101">
        <v>134.69999999999999</v>
      </c>
      <c r="AD87" s="101">
        <v>134.4</v>
      </c>
      <c r="AE87" s="101">
        <v>134.69999999999999</v>
      </c>
      <c r="AF87" s="102">
        <v>135.5</v>
      </c>
      <c r="AG87" s="103"/>
      <c r="AH87" s="55">
        <f t="shared" si="28"/>
        <v>135.5</v>
      </c>
      <c r="AI87" s="56">
        <f t="shared" si="29"/>
        <v>130.6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135.5</v>
      </c>
      <c r="C88" s="52">
        <v>133.5</v>
      </c>
      <c r="D88" s="52">
        <v>133.19999999999999</v>
      </c>
      <c r="E88" s="52">
        <v>132.69999999999999</v>
      </c>
      <c r="F88" s="52">
        <v>132.19999999999999</v>
      </c>
      <c r="G88" s="52">
        <v>132</v>
      </c>
      <c r="H88" s="52">
        <v>134.5</v>
      </c>
      <c r="I88" s="52">
        <v>135.1</v>
      </c>
      <c r="J88" s="52">
        <v>136</v>
      </c>
      <c r="K88" s="52">
        <v>133.69999999999999</v>
      </c>
      <c r="L88" s="52">
        <v>133.69999999999999</v>
      </c>
      <c r="M88" s="52">
        <v>133.9</v>
      </c>
      <c r="N88" s="52">
        <v>132.1</v>
      </c>
      <c r="O88" s="52">
        <v>133.4</v>
      </c>
      <c r="P88" s="52"/>
      <c r="Q88" s="52">
        <v>133.4</v>
      </c>
      <c r="R88" s="52"/>
      <c r="S88" s="52">
        <v>133.4</v>
      </c>
      <c r="T88" s="52">
        <v>134.1</v>
      </c>
      <c r="U88" s="52">
        <v>133.30000000000001</v>
      </c>
      <c r="V88" s="52">
        <v>133.30000000000001</v>
      </c>
      <c r="W88" s="97">
        <v>136</v>
      </c>
      <c r="X88" s="52">
        <v>133.30000000000001</v>
      </c>
      <c r="Y88" s="97">
        <v>126.7</v>
      </c>
      <c r="Z88" s="97">
        <v>132.80000000000001</v>
      </c>
      <c r="AA88" s="52">
        <v>134</v>
      </c>
      <c r="AB88" s="52">
        <v>134</v>
      </c>
      <c r="AC88" s="52">
        <v>132.6</v>
      </c>
      <c r="AD88" s="52">
        <v>131.4</v>
      </c>
      <c r="AE88" s="52">
        <v>132.5</v>
      </c>
      <c r="AF88" s="98">
        <v>133.80000000000001</v>
      </c>
      <c r="AG88" s="99"/>
      <c r="AH88" s="55">
        <f t="shared" si="28"/>
        <v>136</v>
      </c>
      <c r="AI88" s="56">
        <f t="shared" si="29"/>
        <v>126.7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66.3</v>
      </c>
      <c r="C89" s="104">
        <v>66.400000000000006</v>
      </c>
      <c r="D89" s="104">
        <v>67</v>
      </c>
      <c r="E89" s="104">
        <v>65.900000000000006</v>
      </c>
      <c r="F89" s="104">
        <v>65.8</v>
      </c>
      <c r="G89" s="104">
        <v>66.3</v>
      </c>
      <c r="H89" s="104">
        <v>65.7</v>
      </c>
      <c r="I89" s="104">
        <v>65.599999999999994</v>
      </c>
      <c r="J89" s="104">
        <v>65.5</v>
      </c>
      <c r="K89" s="104">
        <v>66.099999999999994</v>
      </c>
      <c r="L89" s="104">
        <v>66.099999999999994</v>
      </c>
      <c r="M89" s="104">
        <v>65.5</v>
      </c>
      <c r="N89" s="104">
        <v>65.400000000000006</v>
      </c>
      <c r="O89" s="104">
        <v>65.7</v>
      </c>
      <c r="P89" s="104"/>
      <c r="Q89" s="104">
        <v>65.7</v>
      </c>
      <c r="R89" s="104"/>
      <c r="S89" s="104">
        <v>65.7</v>
      </c>
      <c r="T89" s="104">
        <v>65.7</v>
      </c>
      <c r="U89" s="104">
        <v>65.099999999999994</v>
      </c>
      <c r="V89" s="104">
        <v>65.3</v>
      </c>
      <c r="W89" s="104">
        <v>65.5</v>
      </c>
      <c r="X89" s="104">
        <v>65.099999999999994</v>
      </c>
      <c r="Y89" s="104">
        <v>65.400000000000006</v>
      </c>
      <c r="Z89" s="104">
        <v>65.599999999999994</v>
      </c>
      <c r="AA89" s="104">
        <v>65.7</v>
      </c>
      <c r="AB89" s="104">
        <v>65.7</v>
      </c>
      <c r="AC89" s="104">
        <v>65.599999999999994</v>
      </c>
      <c r="AD89" s="104">
        <v>65.5</v>
      </c>
      <c r="AE89" s="104">
        <v>65.8</v>
      </c>
      <c r="AF89" s="105">
        <v>65.7</v>
      </c>
      <c r="AG89" s="106"/>
      <c r="AH89" s="55">
        <f t="shared" si="28"/>
        <v>67</v>
      </c>
      <c r="AI89" s="56">
        <f t="shared" si="29"/>
        <v>65.099999999999994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 t="shared" ref="B91" si="36">SUM(B14,B17,B20:B21,B40,B42:B43,B45,B47,B92:B95,B100,B106,B112,B121,B123,B135,B142,B145:B146,B153,B155,B157,B161:B163,B165:B167,B172,B178:B179,B181:B183,B191,B196)</f>
        <v>134.93999999999997</v>
      </c>
      <c r="C91" s="178">
        <f t="shared" ref="C91:AF91" si="37">SUM(C14,C17,C20:C21,C40,C42:C43,C45,C47,C92:C95,C100,C106,C112,C121,C123,C135,C142,C145:C146,C153,C155,C157,C161:C163,C165:C167,C172,C178:C179,C181:C183,C191,C196)</f>
        <v>127.74</v>
      </c>
      <c r="D91" s="178">
        <f t="shared" si="37"/>
        <v>116.74</v>
      </c>
      <c r="E91" s="178">
        <f t="shared" si="37"/>
        <v>134.83999999999997</v>
      </c>
      <c r="F91" s="111">
        <f t="shared" si="37"/>
        <v>148.83999999999995</v>
      </c>
      <c r="G91" s="111">
        <f t="shared" si="37"/>
        <v>156.93999999999997</v>
      </c>
      <c r="H91" s="111">
        <f t="shared" si="37"/>
        <v>179.53999999999996</v>
      </c>
      <c r="I91" s="111">
        <f t="shared" si="37"/>
        <v>188.73999999999995</v>
      </c>
      <c r="J91" s="111">
        <f t="shared" si="37"/>
        <v>186.64</v>
      </c>
      <c r="K91" s="111">
        <f t="shared" si="37"/>
        <v>179.43999999999997</v>
      </c>
      <c r="L91" s="111">
        <f t="shared" si="37"/>
        <v>184.03999999999996</v>
      </c>
      <c r="M91" s="111">
        <f t="shared" si="37"/>
        <v>171.13999999999993</v>
      </c>
      <c r="N91" s="111">
        <f t="shared" si="37"/>
        <v>160.23999999999998</v>
      </c>
      <c r="O91" s="111">
        <f t="shared" si="37"/>
        <v>153.63999999999996</v>
      </c>
      <c r="P91" s="111">
        <f t="shared" si="37"/>
        <v>34.840000000000003</v>
      </c>
      <c r="Q91" s="111">
        <f t="shared" si="37"/>
        <v>161.83999999999995</v>
      </c>
      <c r="R91" s="111">
        <f t="shared" si="37"/>
        <v>34.840000000000003</v>
      </c>
      <c r="S91" s="111">
        <f t="shared" si="37"/>
        <v>161.13999999999996</v>
      </c>
      <c r="T91" s="111">
        <f t="shared" si="37"/>
        <v>149.54</v>
      </c>
      <c r="U91" s="111">
        <f t="shared" si="37"/>
        <v>176.64</v>
      </c>
      <c r="V91" s="111">
        <f t="shared" si="37"/>
        <v>182.63999999999996</v>
      </c>
      <c r="W91" s="111">
        <f t="shared" si="37"/>
        <v>245.53999999999996</v>
      </c>
      <c r="X91" s="111">
        <f t="shared" si="37"/>
        <v>252.83999999999997</v>
      </c>
      <c r="Y91" s="111">
        <f t="shared" si="37"/>
        <v>264.14</v>
      </c>
      <c r="Z91" s="111">
        <f t="shared" si="37"/>
        <v>246.33999999999992</v>
      </c>
      <c r="AA91" s="111">
        <f t="shared" si="37"/>
        <v>226.03999999999994</v>
      </c>
      <c r="AB91" s="111">
        <f t="shared" si="37"/>
        <v>215.13999999999993</v>
      </c>
      <c r="AC91" s="111">
        <f t="shared" si="37"/>
        <v>209.93999999999997</v>
      </c>
      <c r="AD91" s="111">
        <f t="shared" si="37"/>
        <v>172.04</v>
      </c>
      <c r="AE91" s="111">
        <f t="shared" si="37"/>
        <v>143.54</v>
      </c>
      <c r="AF91" s="111">
        <f t="shared" si="37"/>
        <v>147.63999999999999</v>
      </c>
      <c r="AG91" s="112"/>
      <c r="AH91" s="55">
        <f>MAX(B91:AF91)</f>
        <v>264.14</v>
      </c>
      <c r="AI91" s="56">
        <f>MIN(B91:AF91)</f>
        <v>34.840000000000003</v>
      </c>
    </row>
    <row r="92" spans="1:88" x14ac:dyDescent="0.25">
      <c r="A92" s="113" t="s">
        <v>95</v>
      </c>
      <c r="B92" s="59">
        <v>0</v>
      </c>
      <c r="C92" s="59">
        <v>0</v>
      </c>
      <c r="D92" s="59">
        <v>0</v>
      </c>
      <c r="E92" s="59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v>0</v>
      </c>
      <c r="K92" s="114">
        <v>0</v>
      </c>
      <c r="L92" s="115">
        <v>0</v>
      </c>
      <c r="M92" s="114">
        <v>0</v>
      </c>
      <c r="N92" s="114">
        <v>0</v>
      </c>
      <c r="O92" s="114">
        <v>0</v>
      </c>
      <c r="P92" s="114"/>
      <c r="Q92" s="114">
        <v>0</v>
      </c>
      <c r="R92" s="114"/>
      <c r="S92" s="114">
        <v>0</v>
      </c>
      <c r="T92" s="114">
        <v>35.799999999999997</v>
      </c>
      <c r="U92" s="114">
        <v>47.9</v>
      </c>
      <c r="V92" s="114">
        <v>50</v>
      </c>
      <c r="W92" s="114">
        <v>28.3</v>
      </c>
      <c r="X92" s="114">
        <v>28.3</v>
      </c>
      <c r="Y92" s="114">
        <v>22.6</v>
      </c>
      <c r="Z92" s="114">
        <v>11.7</v>
      </c>
      <c r="AA92" s="115">
        <v>14.5</v>
      </c>
      <c r="AB92" s="115">
        <v>40.6</v>
      </c>
      <c r="AC92" s="115">
        <v>43</v>
      </c>
      <c r="AD92" s="115">
        <v>46.8</v>
      </c>
      <c r="AE92" s="115">
        <v>38.200000000000003</v>
      </c>
      <c r="AF92" s="116">
        <v>33.4</v>
      </c>
      <c r="AG92" s="117">
        <v>75</v>
      </c>
      <c r="AH92" s="55">
        <f t="shared" ref="AH92:AH97" si="38">IF(ABS(MAX(B92:AF92))&gt;ABS(MIN(B92:AF92)),MAX(B92:AF92),MIN(B92:AF92))</f>
        <v>50</v>
      </c>
      <c r="AI92" s="118">
        <f t="shared" ref="AI92:AI97" si="39">INDEX($B$9:$AF$9,1,MATCH(AH92,B92:AF92,0))</f>
        <v>0.72916666666666663</v>
      </c>
    </row>
    <row r="93" spans="1:88" x14ac:dyDescent="0.25">
      <c r="A93" s="119" t="s">
        <v>96</v>
      </c>
      <c r="B93" s="61">
        <v>-88</v>
      </c>
      <c r="C93" s="61">
        <v>-89</v>
      </c>
      <c r="D93" s="61">
        <f>-27.6-33.7</f>
        <v>-61.300000000000004</v>
      </c>
      <c r="E93" s="61">
        <f>-33.3-40.2</f>
        <v>-73.5</v>
      </c>
      <c r="F93" s="61">
        <f>-29-35</f>
        <v>-64</v>
      </c>
      <c r="G93" s="61">
        <f>-25.2-29.8</f>
        <v>-55</v>
      </c>
      <c r="H93" s="61">
        <f>-23.2-19.3</f>
        <v>-42.5</v>
      </c>
      <c r="I93" s="61">
        <f>-14.5-17.7</f>
        <v>-32.200000000000003</v>
      </c>
      <c r="J93" s="61">
        <f>-16-19.7</f>
        <v>-35.700000000000003</v>
      </c>
      <c r="K93" s="61">
        <f>-19.5-23.2</f>
        <v>-42.7</v>
      </c>
      <c r="L93" s="61">
        <v>-46.6</v>
      </c>
      <c r="M93" s="61">
        <v>-57.2</v>
      </c>
      <c r="N93" s="61">
        <v>-67.3</v>
      </c>
      <c r="O93" s="61">
        <v>-70</v>
      </c>
      <c r="P93" s="61"/>
      <c r="Q93" s="61">
        <v>-65</v>
      </c>
      <c r="R93" s="61"/>
      <c r="S93" s="61">
        <v>-65</v>
      </c>
      <c r="T93" s="61">
        <f>-52.4-62.6</f>
        <v>-115</v>
      </c>
      <c r="U93" s="61">
        <f>-49.5-59.8</f>
        <v>-109.3</v>
      </c>
      <c r="V93" s="61">
        <f>-50.2-60</f>
        <v>-110.2</v>
      </c>
      <c r="W93" s="61">
        <v>-116</v>
      </c>
      <c r="X93" s="61">
        <v>-116</v>
      </c>
      <c r="Y93" s="61">
        <v>-105</v>
      </c>
      <c r="Z93" s="61">
        <v>-103</v>
      </c>
      <c r="AA93" s="52">
        <v>-99</v>
      </c>
      <c r="AB93" s="52">
        <v>-106</v>
      </c>
      <c r="AC93" s="52">
        <v>-102</v>
      </c>
      <c r="AD93" s="52">
        <f>-52.9-67.5</f>
        <v>-120.4</v>
      </c>
      <c r="AE93" s="52">
        <f>-54.3-66.6</f>
        <v>-120.89999999999999</v>
      </c>
      <c r="AF93" s="120">
        <f>-60.7-73.5</f>
        <v>-134.19999999999999</v>
      </c>
      <c r="AG93" s="117">
        <v>240</v>
      </c>
      <c r="AH93" s="55">
        <f t="shared" si="38"/>
        <v>-134.19999999999999</v>
      </c>
      <c r="AI93" s="118">
        <f t="shared" si="39"/>
        <v>1</v>
      </c>
    </row>
    <row r="94" spans="1:88" x14ac:dyDescent="0.25">
      <c r="A94" s="119" t="s">
        <v>97</v>
      </c>
      <c r="B94" s="61">
        <v>-6.7</v>
      </c>
      <c r="C94" s="61">
        <v>-7.5</v>
      </c>
      <c r="D94" s="61">
        <v>-1.3</v>
      </c>
      <c r="E94" s="61">
        <v>-7.7</v>
      </c>
      <c r="F94" s="61">
        <v>-3.4</v>
      </c>
      <c r="G94" s="61">
        <v>-4.3</v>
      </c>
      <c r="H94" s="61">
        <v>6.8</v>
      </c>
      <c r="I94" s="61">
        <v>5.8</v>
      </c>
      <c r="J94" s="61">
        <v>5</v>
      </c>
      <c r="K94" s="61">
        <v>4.4000000000000004</v>
      </c>
      <c r="L94" s="61">
        <v>4.5999999999999996</v>
      </c>
      <c r="M94" s="61">
        <v>3</v>
      </c>
      <c r="N94" s="61">
        <v>-1</v>
      </c>
      <c r="O94" s="61">
        <v>0.9</v>
      </c>
      <c r="P94" s="61"/>
      <c r="Q94" s="61">
        <v>1</v>
      </c>
      <c r="R94" s="61"/>
      <c r="S94" s="61">
        <v>1</v>
      </c>
      <c r="T94" s="61">
        <v>-7.6</v>
      </c>
      <c r="U94" s="61">
        <v>-11.4</v>
      </c>
      <c r="V94" s="61">
        <v>-11.4</v>
      </c>
      <c r="W94" s="61">
        <v>18.7</v>
      </c>
      <c r="X94" s="61">
        <v>18.7</v>
      </c>
      <c r="Y94" s="61">
        <v>18.100000000000001</v>
      </c>
      <c r="Z94" s="61">
        <v>23</v>
      </c>
      <c r="AA94" s="52">
        <v>27.7</v>
      </c>
      <c r="AB94" s="52">
        <v>15.1</v>
      </c>
      <c r="AC94" s="52">
        <v>16.8</v>
      </c>
      <c r="AD94" s="52">
        <v>-3.8</v>
      </c>
      <c r="AE94" s="52">
        <v>-3.6</v>
      </c>
      <c r="AF94" s="120">
        <v>-8.8000000000000007</v>
      </c>
      <c r="AG94" s="117">
        <v>60</v>
      </c>
      <c r="AH94" s="55">
        <f t="shared" si="38"/>
        <v>27.7</v>
      </c>
      <c r="AI94" s="118">
        <f t="shared" si="39"/>
        <v>0.83333333333333337</v>
      </c>
    </row>
    <row r="95" spans="1:88" x14ac:dyDescent="0.25">
      <c r="A95" s="121" t="s">
        <v>98</v>
      </c>
      <c r="B95" s="84">
        <v>3.2</v>
      </c>
      <c r="C95" s="84">
        <v>-2.2000000000000002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8.3000000000000007</v>
      </c>
      <c r="M95" s="84">
        <v>8.1999999999999993</v>
      </c>
      <c r="N95" s="84">
        <v>11.9</v>
      </c>
      <c r="O95" s="84">
        <v>3</v>
      </c>
      <c r="P95" s="84"/>
      <c r="Q95" s="84">
        <v>5</v>
      </c>
      <c r="R95" s="84"/>
      <c r="S95" s="84">
        <v>5</v>
      </c>
      <c r="T95" s="84">
        <v>16.8</v>
      </c>
      <c r="U95" s="84">
        <v>30.2</v>
      </c>
      <c r="V95" s="84">
        <v>30.2</v>
      </c>
      <c r="W95" s="84">
        <v>90.5</v>
      </c>
      <c r="X95" s="84">
        <v>90.5</v>
      </c>
      <c r="Y95" s="84">
        <v>97.1</v>
      </c>
      <c r="Z95" s="84">
        <v>83.3</v>
      </c>
      <c r="AA95" s="122">
        <v>51.5</v>
      </c>
      <c r="AB95" s="122">
        <v>34.1</v>
      </c>
      <c r="AC95" s="122">
        <v>20.8</v>
      </c>
      <c r="AD95" s="122">
        <v>17.600000000000001</v>
      </c>
      <c r="AE95" s="122">
        <v>-2</v>
      </c>
      <c r="AF95" s="123">
        <v>36.299999999999997</v>
      </c>
      <c r="AG95" s="124">
        <v>120</v>
      </c>
      <c r="AH95" s="55">
        <f t="shared" si="38"/>
        <v>97.1</v>
      </c>
      <c r="AI95" s="118">
        <f t="shared" si="39"/>
        <v>0.79166666666666663</v>
      </c>
    </row>
    <row r="96" spans="1:88" x14ac:dyDescent="0.25">
      <c r="A96" s="121" t="s">
        <v>99</v>
      </c>
      <c r="B96" s="84">
        <v>12.2</v>
      </c>
      <c r="C96" s="84">
        <v>7.1</v>
      </c>
      <c r="D96" s="84">
        <v>48.9</v>
      </c>
      <c r="E96" s="84">
        <v>12.1</v>
      </c>
      <c r="F96" s="84">
        <v>21.8</v>
      </c>
      <c r="G96" s="84">
        <v>26.1</v>
      </c>
      <c r="H96" s="84">
        <v>17</v>
      </c>
      <c r="I96" s="84">
        <v>14.9</v>
      </c>
      <c r="J96" s="84">
        <v>12.9</v>
      </c>
      <c r="K96" s="84">
        <v>16</v>
      </c>
      <c r="L96" s="84">
        <v>11</v>
      </c>
      <c r="M96" s="84">
        <v>20.100000000000001</v>
      </c>
      <c r="N96" s="84">
        <v>31.4</v>
      </c>
      <c r="O96" s="84">
        <v>32</v>
      </c>
      <c r="P96" s="84"/>
      <c r="Q96" s="84">
        <v>22.6</v>
      </c>
      <c r="R96" s="84"/>
      <c r="S96" s="84">
        <v>22.6</v>
      </c>
      <c r="T96" s="84">
        <v>0</v>
      </c>
      <c r="U96" s="84">
        <v>0</v>
      </c>
      <c r="V96" s="84">
        <v>0</v>
      </c>
      <c r="W96" s="84">
        <v>0</v>
      </c>
      <c r="X96" s="84">
        <v>0</v>
      </c>
      <c r="Y96" s="84">
        <v>0</v>
      </c>
      <c r="Z96" s="84">
        <v>0</v>
      </c>
      <c r="AA96" s="122">
        <v>0</v>
      </c>
      <c r="AB96" s="122">
        <v>0</v>
      </c>
      <c r="AC96" s="122">
        <v>0</v>
      </c>
      <c r="AD96" s="122">
        <v>0</v>
      </c>
      <c r="AE96" s="122">
        <v>0</v>
      </c>
      <c r="AF96" s="123">
        <v>0</v>
      </c>
      <c r="AG96" s="124"/>
      <c r="AH96" s="55">
        <f t="shared" si="38"/>
        <v>48.9</v>
      </c>
      <c r="AI96" s="118">
        <f t="shared" si="39"/>
        <v>0.125</v>
      </c>
    </row>
    <row r="97" spans="1:37" ht="15.75" thickBot="1" x14ac:dyDescent="0.3">
      <c r="A97" s="121" t="s">
        <v>100</v>
      </c>
      <c r="B97" s="84">
        <v>5.0999999999999996</v>
      </c>
      <c r="C97" s="84">
        <v>-0.9</v>
      </c>
      <c r="D97" s="84">
        <v>56</v>
      </c>
      <c r="E97" s="84">
        <v>79.900000000000006</v>
      </c>
      <c r="F97" s="84">
        <v>1.6</v>
      </c>
      <c r="G97" s="84">
        <v>12.8</v>
      </c>
      <c r="H97" s="84">
        <v>10.6</v>
      </c>
      <c r="I97" s="84">
        <v>-18.8</v>
      </c>
      <c r="J97" s="84">
        <v>-17.7</v>
      </c>
      <c r="K97" s="84">
        <v>-56.1</v>
      </c>
      <c r="L97" s="84">
        <v>-3.7</v>
      </c>
      <c r="M97" s="84">
        <v>-4.5</v>
      </c>
      <c r="N97" s="84">
        <v>21.3</v>
      </c>
      <c r="O97" s="84">
        <v>7.9</v>
      </c>
      <c r="P97" s="84"/>
      <c r="Q97" s="84">
        <v>15.8</v>
      </c>
      <c r="R97" s="84"/>
      <c r="S97" s="84">
        <v>15.8</v>
      </c>
      <c r="T97" s="84">
        <v>43.9</v>
      </c>
      <c r="U97" s="84">
        <v>31.7</v>
      </c>
      <c r="V97" s="84">
        <v>31.7</v>
      </c>
      <c r="W97" s="84">
        <v>55.4</v>
      </c>
      <c r="X97" s="84">
        <v>55.4</v>
      </c>
      <c r="Y97" s="84">
        <v>60.7</v>
      </c>
      <c r="Z97" s="84">
        <v>63.2</v>
      </c>
      <c r="AA97" s="122">
        <v>58.3</v>
      </c>
      <c r="AB97" s="122">
        <v>57.7</v>
      </c>
      <c r="AC97" s="122">
        <v>-6.6</v>
      </c>
      <c r="AD97" s="122">
        <v>-16.600000000000001</v>
      </c>
      <c r="AE97" s="122">
        <v>-24.4</v>
      </c>
      <c r="AF97" s="123">
        <v>-14.6</v>
      </c>
      <c r="AG97" s="125"/>
      <c r="AH97" s="55">
        <f t="shared" si="38"/>
        <v>79.900000000000006</v>
      </c>
      <c r="AI97" s="118">
        <f t="shared" si="39"/>
        <v>0.16666666666666699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40">B99</f>
        <v>9.9</v>
      </c>
      <c r="D99" s="131">
        <f t="shared" si="40"/>
        <v>9.9</v>
      </c>
      <c r="E99" s="131">
        <f t="shared" si="40"/>
        <v>9.9</v>
      </c>
      <c r="F99" s="131">
        <f t="shared" si="40"/>
        <v>9.9</v>
      </c>
      <c r="G99" s="131">
        <f t="shared" si="40"/>
        <v>9.9</v>
      </c>
      <c r="H99" s="131">
        <f t="shared" si="40"/>
        <v>9.9</v>
      </c>
      <c r="I99" s="131">
        <f t="shared" si="40"/>
        <v>9.9</v>
      </c>
      <c r="J99" s="131">
        <f t="shared" si="40"/>
        <v>9.9</v>
      </c>
      <c r="K99" s="131">
        <f t="shared" si="40"/>
        <v>9.9</v>
      </c>
      <c r="L99" s="131">
        <f t="shared" si="40"/>
        <v>9.9</v>
      </c>
      <c r="M99" s="131">
        <f t="shared" si="40"/>
        <v>9.9</v>
      </c>
      <c r="N99" s="131">
        <f t="shared" si="40"/>
        <v>9.9</v>
      </c>
      <c r="O99" s="131">
        <f t="shared" si="40"/>
        <v>9.9</v>
      </c>
      <c r="P99" s="131">
        <f t="shared" si="40"/>
        <v>9.9</v>
      </c>
      <c r="Q99" s="131">
        <f t="shared" si="40"/>
        <v>9.9</v>
      </c>
      <c r="R99" s="131">
        <f t="shared" si="40"/>
        <v>9.9</v>
      </c>
      <c r="S99" s="131">
        <f t="shared" ref="S99:AF104" si="41">R99</f>
        <v>9.9</v>
      </c>
      <c r="T99" s="131">
        <f t="shared" si="41"/>
        <v>9.9</v>
      </c>
      <c r="U99" s="131">
        <f t="shared" si="41"/>
        <v>9.9</v>
      </c>
      <c r="V99" s="131">
        <f t="shared" si="41"/>
        <v>9.9</v>
      </c>
      <c r="W99" s="131">
        <f t="shared" si="41"/>
        <v>9.9</v>
      </c>
      <c r="X99" s="131">
        <f t="shared" si="41"/>
        <v>9.9</v>
      </c>
      <c r="Y99" s="131">
        <f t="shared" si="41"/>
        <v>9.9</v>
      </c>
      <c r="Z99" s="131">
        <f t="shared" si="41"/>
        <v>9.9</v>
      </c>
      <c r="AA99" s="131">
        <f t="shared" si="41"/>
        <v>9.9</v>
      </c>
      <c r="AB99" s="131">
        <f t="shared" si="41"/>
        <v>9.9</v>
      </c>
      <c r="AC99" s="131">
        <f t="shared" si="41"/>
        <v>9.9</v>
      </c>
      <c r="AD99" s="131">
        <f t="shared" si="41"/>
        <v>9.9</v>
      </c>
      <c r="AE99" s="131">
        <f t="shared" si="41"/>
        <v>9.9</v>
      </c>
      <c r="AF99" s="131">
        <f t="shared" si="41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40"/>
        <v>9.6</v>
      </c>
      <c r="D100" s="134">
        <f t="shared" si="40"/>
        <v>9.6</v>
      </c>
      <c r="E100" s="134">
        <f t="shared" si="40"/>
        <v>9.6</v>
      </c>
      <c r="F100" s="134">
        <f t="shared" si="40"/>
        <v>9.6</v>
      </c>
      <c r="G100" s="134">
        <f t="shared" si="40"/>
        <v>9.6</v>
      </c>
      <c r="H100" s="134">
        <f t="shared" si="40"/>
        <v>9.6</v>
      </c>
      <c r="I100" s="134">
        <f t="shared" si="40"/>
        <v>9.6</v>
      </c>
      <c r="J100" s="134">
        <f t="shared" si="40"/>
        <v>9.6</v>
      </c>
      <c r="K100" s="134">
        <f t="shared" si="40"/>
        <v>9.6</v>
      </c>
      <c r="L100" s="134">
        <f t="shared" si="40"/>
        <v>9.6</v>
      </c>
      <c r="M100" s="134">
        <f t="shared" si="40"/>
        <v>9.6</v>
      </c>
      <c r="N100" s="134">
        <f t="shared" si="40"/>
        <v>9.6</v>
      </c>
      <c r="O100" s="134">
        <f t="shared" si="40"/>
        <v>9.6</v>
      </c>
      <c r="P100" s="134">
        <f t="shared" si="40"/>
        <v>9.6</v>
      </c>
      <c r="Q100" s="134">
        <f t="shared" si="40"/>
        <v>9.6</v>
      </c>
      <c r="R100" s="134">
        <f t="shared" si="40"/>
        <v>9.6</v>
      </c>
      <c r="S100" s="134">
        <f t="shared" si="41"/>
        <v>9.6</v>
      </c>
      <c r="T100" s="134">
        <f t="shared" si="41"/>
        <v>9.6</v>
      </c>
      <c r="U100" s="134">
        <f t="shared" si="41"/>
        <v>9.6</v>
      </c>
      <c r="V100" s="134">
        <f t="shared" si="41"/>
        <v>9.6</v>
      </c>
      <c r="W100" s="134">
        <f t="shared" si="41"/>
        <v>9.6</v>
      </c>
      <c r="X100" s="134">
        <f t="shared" si="41"/>
        <v>9.6</v>
      </c>
      <c r="Y100" s="134">
        <f t="shared" si="41"/>
        <v>9.6</v>
      </c>
      <c r="Z100" s="134">
        <f t="shared" si="41"/>
        <v>9.6</v>
      </c>
      <c r="AA100" s="134">
        <f t="shared" si="41"/>
        <v>9.6</v>
      </c>
      <c r="AB100" s="134">
        <f t="shared" si="41"/>
        <v>9.6</v>
      </c>
      <c r="AC100" s="134">
        <f t="shared" si="41"/>
        <v>9.6</v>
      </c>
      <c r="AD100" s="134">
        <f t="shared" si="41"/>
        <v>9.6</v>
      </c>
      <c r="AE100" s="134">
        <f t="shared" si="41"/>
        <v>9.6</v>
      </c>
      <c r="AF100" s="134">
        <f t="shared" si="41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40"/>
        <v>9.98</v>
      </c>
      <c r="D101" s="134">
        <f t="shared" si="40"/>
        <v>9.98</v>
      </c>
      <c r="E101" s="134">
        <f t="shared" si="40"/>
        <v>9.98</v>
      </c>
      <c r="F101" s="134">
        <f t="shared" si="40"/>
        <v>9.98</v>
      </c>
      <c r="G101" s="134">
        <f t="shared" si="40"/>
        <v>9.98</v>
      </c>
      <c r="H101" s="134">
        <f t="shared" si="40"/>
        <v>9.98</v>
      </c>
      <c r="I101" s="134">
        <f t="shared" si="40"/>
        <v>9.98</v>
      </c>
      <c r="J101" s="134">
        <f t="shared" si="40"/>
        <v>9.98</v>
      </c>
      <c r="K101" s="134">
        <f t="shared" si="40"/>
        <v>9.98</v>
      </c>
      <c r="L101" s="134">
        <f t="shared" si="40"/>
        <v>9.98</v>
      </c>
      <c r="M101" s="134">
        <f t="shared" si="40"/>
        <v>9.98</v>
      </c>
      <c r="N101" s="134">
        <f t="shared" si="40"/>
        <v>9.98</v>
      </c>
      <c r="O101" s="134">
        <f t="shared" si="40"/>
        <v>9.98</v>
      </c>
      <c r="P101" s="134">
        <f t="shared" si="40"/>
        <v>9.98</v>
      </c>
      <c r="Q101" s="134">
        <f t="shared" si="40"/>
        <v>9.98</v>
      </c>
      <c r="R101" s="134">
        <f t="shared" si="40"/>
        <v>9.98</v>
      </c>
      <c r="S101" s="134">
        <f t="shared" si="41"/>
        <v>9.98</v>
      </c>
      <c r="T101" s="134">
        <f t="shared" si="41"/>
        <v>9.98</v>
      </c>
      <c r="U101" s="134">
        <f t="shared" si="41"/>
        <v>9.98</v>
      </c>
      <c r="V101" s="134">
        <f t="shared" si="41"/>
        <v>9.98</v>
      </c>
      <c r="W101" s="134">
        <f t="shared" si="41"/>
        <v>9.98</v>
      </c>
      <c r="X101" s="134">
        <f t="shared" si="41"/>
        <v>9.98</v>
      </c>
      <c r="Y101" s="134">
        <f t="shared" si="41"/>
        <v>9.98</v>
      </c>
      <c r="Z101" s="134">
        <f t="shared" si="41"/>
        <v>9.98</v>
      </c>
      <c r="AA101" s="134">
        <f t="shared" si="41"/>
        <v>9.98</v>
      </c>
      <c r="AB101" s="134">
        <f t="shared" si="41"/>
        <v>9.98</v>
      </c>
      <c r="AC101" s="134">
        <f t="shared" si="41"/>
        <v>9.98</v>
      </c>
      <c r="AD101" s="134">
        <f t="shared" si="41"/>
        <v>9.98</v>
      </c>
      <c r="AE101" s="134">
        <f t="shared" si="41"/>
        <v>9.98</v>
      </c>
      <c r="AF101" s="134">
        <f t="shared" si="41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40"/>
        <v>9.1</v>
      </c>
      <c r="D102" s="134">
        <f t="shared" si="40"/>
        <v>9.1</v>
      </c>
      <c r="E102" s="134">
        <f t="shared" si="40"/>
        <v>9.1</v>
      </c>
      <c r="F102" s="134">
        <f t="shared" si="40"/>
        <v>9.1</v>
      </c>
      <c r="G102" s="134">
        <f t="shared" si="40"/>
        <v>9.1</v>
      </c>
      <c r="H102" s="134">
        <f t="shared" si="40"/>
        <v>9.1</v>
      </c>
      <c r="I102" s="134">
        <f t="shared" si="40"/>
        <v>9.1</v>
      </c>
      <c r="J102" s="134">
        <f t="shared" si="40"/>
        <v>9.1</v>
      </c>
      <c r="K102" s="134">
        <f t="shared" si="40"/>
        <v>9.1</v>
      </c>
      <c r="L102" s="134">
        <f t="shared" si="40"/>
        <v>9.1</v>
      </c>
      <c r="M102" s="134">
        <f t="shared" si="40"/>
        <v>9.1</v>
      </c>
      <c r="N102" s="134">
        <f t="shared" si="40"/>
        <v>9.1</v>
      </c>
      <c r="O102" s="134">
        <f t="shared" si="40"/>
        <v>9.1</v>
      </c>
      <c r="P102" s="134">
        <f t="shared" si="40"/>
        <v>9.1</v>
      </c>
      <c r="Q102" s="134">
        <f t="shared" si="40"/>
        <v>9.1</v>
      </c>
      <c r="R102" s="134">
        <f t="shared" si="40"/>
        <v>9.1</v>
      </c>
      <c r="S102" s="134">
        <f t="shared" si="41"/>
        <v>9.1</v>
      </c>
      <c r="T102" s="134">
        <f t="shared" si="41"/>
        <v>9.1</v>
      </c>
      <c r="U102" s="134">
        <f t="shared" si="41"/>
        <v>9.1</v>
      </c>
      <c r="V102" s="134">
        <f t="shared" si="41"/>
        <v>9.1</v>
      </c>
      <c r="W102" s="134">
        <f t="shared" si="41"/>
        <v>9.1</v>
      </c>
      <c r="X102" s="134">
        <f t="shared" si="41"/>
        <v>9.1</v>
      </c>
      <c r="Y102" s="134">
        <f t="shared" si="41"/>
        <v>9.1</v>
      </c>
      <c r="Z102" s="134">
        <f t="shared" si="41"/>
        <v>9.1</v>
      </c>
      <c r="AA102" s="134">
        <f t="shared" si="41"/>
        <v>9.1</v>
      </c>
      <c r="AB102" s="134">
        <f t="shared" si="41"/>
        <v>9.1</v>
      </c>
      <c r="AC102" s="134">
        <f t="shared" si="41"/>
        <v>9.1</v>
      </c>
      <c r="AD102" s="134">
        <f t="shared" si="41"/>
        <v>9.1</v>
      </c>
      <c r="AE102" s="134">
        <f t="shared" si="41"/>
        <v>9.1</v>
      </c>
      <c r="AF102" s="134">
        <f t="shared" si="41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40"/>
        <v>9.18</v>
      </c>
      <c r="D103" s="134">
        <f t="shared" si="40"/>
        <v>9.18</v>
      </c>
      <c r="E103" s="134">
        <f t="shared" si="40"/>
        <v>9.18</v>
      </c>
      <c r="F103" s="134">
        <f t="shared" si="40"/>
        <v>9.18</v>
      </c>
      <c r="G103" s="134">
        <f t="shared" si="40"/>
        <v>9.18</v>
      </c>
      <c r="H103" s="134">
        <f t="shared" si="40"/>
        <v>9.18</v>
      </c>
      <c r="I103" s="134">
        <f t="shared" si="40"/>
        <v>9.18</v>
      </c>
      <c r="J103" s="134">
        <f t="shared" si="40"/>
        <v>9.18</v>
      </c>
      <c r="K103" s="134">
        <f t="shared" si="40"/>
        <v>9.18</v>
      </c>
      <c r="L103" s="134">
        <f t="shared" si="40"/>
        <v>9.18</v>
      </c>
      <c r="M103" s="134">
        <f t="shared" si="40"/>
        <v>9.18</v>
      </c>
      <c r="N103" s="134">
        <f t="shared" si="40"/>
        <v>9.18</v>
      </c>
      <c r="O103" s="134">
        <f t="shared" si="40"/>
        <v>9.18</v>
      </c>
      <c r="P103" s="134">
        <f t="shared" si="40"/>
        <v>9.18</v>
      </c>
      <c r="Q103" s="134">
        <f t="shared" si="40"/>
        <v>9.18</v>
      </c>
      <c r="R103" s="134">
        <f t="shared" si="40"/>
        <v>9.18</v>
      </c>
      <c r="S103" s="134">
        <f t="shared" si="41"/>
        <v>9.18</v>
      </c>
      <c r="T103" s="134">
        <f t="shared" si="41"/>
        <v>9.18</v>
      </c>
      <c r="U103" s="134">
        <f t="shared" si="41"/>
        <v>9.18</v>
      </c>
      <c r="V103" s="134">
        <f t="shared" si="41"/>
        <v>9.18</v>
      </c>
      <c r="W103" s="134">
        <f t="shared" si="41"/>
        <v>9.18</v>
      </c>
      <c r="X103" s="134">
        <f t="shared" si="41"/>
        <v>9.18</v>
      </c>
      <c r="Y103" s="134">
        <f t="shared" si="41"/>
        <v>9.18</v>
      </c>
      <c r="Z103" s="134">
        <f t="shared" si="41"/>
        <v>9.18</v>
      </c>
      <c r="AA103" s="134">
        <f t="shared" si="41"/>
        <v>9.18</v>
      </c>
      <c r="AB103" s="134">
        <f t="shared" si="41"/>
        <v>9.18</v>
      </c>
      <c r="AC103" s="134">
        <f t="shared" si="41"/>
        <v>9.18</v>
      </c>
      <c r="AD103" s="134">
        <f t="shared" si="41"/>
        <v>9.18</v>
      </c>
      <c r="AE103" s="134">
        <f t="shared" si="41"/>
        <v>9.18</v>
      </c>
      <c r="AF103" s="134">
        <f t="shared" si="41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40"/>
        <v>7</v>
      </c>
      <c r="D104" s="134">
        <f t="shared" si="40"/>
        <v>7</v>
      </c>
      <c r="E104" s="134">
        <f t="shared" si="40"/>
        <v>7</v>
      </c>
      <c r="F104" s="134">
        <f t="shared" si="40"/>
        <v>7</v>
      </c>
      <c r="G104" s="134">
        <f t="shared" si="40"/>
        <v>7</v>
      </c>
      <c r="H104" s="134">
        <f t="shared" si="40"/>
        <v>7</v>
      </c>
      <c r="I104" s="134">
        <f t="shared" si="40"/>
        <v>7</v>
      </c>
      <c r="J104" s="134">
        <f t="shared" si="40"/>
        <v>7</v>
      </c>
      <c r="K104" s="134">
        <f t="shared" si="40"/>
        <v>7</v>
      </c>
      <c r="L104" s="134">
        <f t="shared" si="40"/>
        <v>7</v>
      </c>
      <c r="M104" s="134">
        <f t="shared" si="40"/>
        <v>7</v>
      </c>
      <c r="N104" s="134">
        <f t="shared" si="40"/>
        <v>7</v>
      </c>
      <c r="O104" s="134">
        <f t="shared" si="40"/>
        <v>7</v>
      </c>
      <c r="P104" s="134">
        <f t="shared" si="40"/>
        <v>7</v>
      </c>
      <c r="Q104" s="134">
        <f t="shared" si="40"/>
        <v>7</v>
      </c>
      <c r="R104" s="134">
        <f t="shared" si="40"/>
        <v>7</v>
      </c>
      <c r="S104" s="134">
        <f t="shared" si="41"/>
        <v>7</v>
      </c>
      <c r="T104" s="134">
        <f t="shared" si="41"/>
        <v>7</v>
      </c>
      <c r="U104" s="134">
        <f t="shared" si="41"/>
        <v>7</v>
      </c>
      <c r="V104" s="134">
        <f t="shared" si="41"/>
        <v>7</v>
      </c>
      <c r="W104" s="134">
        <f t="shared" si="41"/>
        <v>7</v>
      </c>
      <c r="X104" s="134">
        <f t="shared" si="41"/>
        <v>7</v>
      </c>
      <c r="Y104" s="134">
        <f t="shared" si="41"/>
        <v>7</v>
      </c>
      <c r="Z104" s="134">
        <f t="shared" si="41"/>
        <v>7</v>
      </c>
      <c r="AA104" s="134">
        <f t="shared" si="41"/>
        <v>7</v>
      </c>
      <c r="AB104" s="134">
        <f t="shared" si="41"/>
        <v>7</v>
      </c>
      <c r="AC104" s="134">
        <f t="shared" si="41"/>
        <v>7</v>
      </c>
      <c r="AD104" s="134">
        <f t="shared" si="41"/>
        <v>7</v>
      </c>
      <c r="AE104" s="134">
        <f t="shared" si="41"/>
        <v>7</v>
      </c>
      <c r="AF104" s="134">
        <f t="shared" si="41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42">B106</f>
        <v>2.25</v>
      </c>
      <c r="D106" s="134">
        <f t="shared" si="42"/>
        <v>2.25</v>
      </c>
      <c r="E106" s="134">
        <f t="shared" si="42"/>
        <v>2.25</v>
      </c>
      <c r="F106" s="134">
        <f t="shared" si="42"/>
        <v>2.25</v>
      </c>
      <c r="G106" s="134">
        <f t="shared" si="42"/>
        <v>2.25</v>
      </c>
      <c r="H106" s="134">
        <f t="shared" si="42"/>
        <v>2.25</v>
      </c>
      <c r="I106" s="134">
        <f t="shared" si="42"/>
        <v>2.25</v>
      </c>
      <c r="J106" s="134">
        <f t="shared" si="42"/>
        <v>2.25</v>
      </c>
      <c r="K106" s="134">
        <f t="shared" si="42"/>
        <v>2.25</v>
      </c>
      <c r="L106" s="134">
        <f t="shared" si="42"/>
        <v>2.25</v>
      </c>
      <c r="M106" s="134">
        <f t="shared" si="42"/>
        <v>2.25</v>
      </c>
      <c r="N106" s="134">
        <f t="shared" si="42"/>
        <v>2.25</v>
      </c>
      <c r="O106" s="134">
        <f t="shared" si="42"/>
        <v>2.25</v>
      </c>
      <c r="P106" s="134">
        <f t="shared" si="42"/>
        <v>2.25</v>
      </c>
      <c r="Q106" s="134">
        <f t="shared" si="42"/>
        <v>2.25</v>
      </c>
      <c r="R106" s="134">
        <f t="shared" si="42"/>
        <v>2.25</v>
      </c>
      <c r="S106" s="134">
        <f t="shared" ref="S106:AF107" si="43">R106</f>
        <v>2.25</v>
      </c>
      <c r="T106" s="134">
        <f t="shared" si="43"/>
        <v>2.25</v>
      </c>
      <c r="U106" s="134">
        <f t="shared" si="43"/>
        <v>2.25</v>
      </c>
      <c r="V106" s="134">
        <f t="shared" si="43"/>
        <v>2.25</v>
      </c>
      <c r="W106" s="134">
        <f t="shared" si="43"/>
        <v>2.25</v>
      </c>
      <c r="X106" s="134">
        <f t="shared" si="43"/>
        <v>2.25</v>
      </c>
      <c r="Y106" s="134">
        <f t="shared" si="43"/>
        <v>2.25</v>
      </c>
      <c r="Z106" s="134">
        <f t="shared" si="43"/>
        <v>2.25</v>
      </c>
      <c r="AA106" s="134">
        <f t="shared" si="43"/>
        <v>2.25</v>
      </c>
      <c r="AB106" s="134">
        <f t="shared" si="43"/>
        <v>2.25</v>
      </c>
      <c r="AC106" s="134">
        <f t="shared" si="43"/>
        <v>2.25</v>
      </c>
      <c r="AD106" s="134">
        <f t="shared" si="43"/>
        <v>2.25</v>
      </c>
      <c r="AE106" s="134">
        <f t="shared" si="43"/>
        <v>2.25</v>
      </c>
      <c r="AF106" s="134">
        <f t="shared" si="43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42"/>
        <v>1.64</v>
      </c>
      <c r="D107" s="134">
        <f t="shared" si="42"/>
        <v>1.64</v>
      </c>
      <c r="E107" s="134">
        <f t="shared" si="42"/>
        <v>1.64</v>
      </c>
      <c r="F107" s="134">
        <f t="shared" si="42"/>
        <v>1.64</v>
      </c>
      <c r="G107" s="134">
        <f t="shared" si="42"/>
        <v>1.64</v>
      </c>
      <c r="H107" s="134">
        <f t="shared" si="42"/>
        <v>1.64</v>
      </c>
      <c r="I107" s="134">
        <f t="shared" si="42"/>
        <v>1.64</v>
      </c>
      <c r="J107" s="134">
        <f t="shared" si="42"/>
        <v>1.64</v>
      </c>
      <c r="K107" s="134">
        <f t="shared" si="42"/>
        <v>1.64</v>
      </c>
      <c r="L107" s="134">
        <f t="shared" si="42"/>
        <v>1.64</v>
      </c>
      <c r="M107" s="134">
        <f t="shared" si="42"/>
        <v>1.64</v>
      </c>
      <c r="N107" s="134">
        <f t="shared" si="42"/>
        <v>1.64</v>
      </c>
      <c r="O107" s="134">
        <f t="shared" si="42"/>
        <v>1.64</v>
      </c>
      <c r="P107" s="134">
        <f t="shared" si="42"/>
        <v>1.64</v>
      </c>
      <c r="Q107" s="134">
        <f t="shared" si="42"/>
        <v>1.64</v>
      </c>
      <c r="R107" s="134">
        <f t="shared" si="42"/>
        <v>1.64</v>
      </c>
      <c r="S107" s="134">
        <f t="shared" si="43"/>
        <v>1.64</v>
      </c>
      <c r="T107" s="134">
        <f t="shared" si="43"/>
        <v>1.64</v>
      </c>
      <c r="U107" s="134">
        <f t="shared" si="43"/>
        <v>1.64</v>
      </c>
      <c r="V107" s="134">
        <f t="shared" si="43"/>
        <v>1.64</v>
      </c>
      <c r="W107" s="134">
        <f t="shared" si="43"/>
        <v>1.64</v>
      </c>
      <c r="X107" s="134">
        <f t="shared" si="43"/>
        <v>1.64</v>
      </c>
      <c r="Y107" s="134">
        <f t="shared" si="43"/>
        <v>1.64</v>
      </c>
      <c r="Z107" s="134">
        <f t="shared" si="43"/>
        <v>1.64</v>
      </c>
      <c r="AA107" s="134">
        <f t="shared" si="43"/>
        <v>1.64</v>
      </c>
      <c r="AB107" s="134">
        <f t="shared" si="43"/>
        <v>1.64</v>
      </c>
      <c r="AC107" s="134">
        <f t="shared" si="43"/>
        <v>1.64</v>
      </c>
      <c r="AD107" s="134">
        <f t="shared" si="43"/>
        <v>1.64</v>
      </c>
      <c r="AE107" s="134">
        <f t="shared" si="43"/>
        <v>1.64</v>
      </c>
      <c r="AF107" s="134">
        <f t="shared" si="43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44">B109</f>
        <v>1.62</v>
      </c>
      <c r="D109" s="134">
        <f t="shared" si="44"/>
        <v>1.62</v>
      </c>
      <c r="E109" s="134">
        <f t="shared" si="44"/>
        <v>1.62</v>
      </c>
      <c r="F109" s="134">
        <f t="shared" si="44"/>
        <v>1.62</v>
      </c>
      <c r="G109" s="134">
        <f t="shared" si="44"/>
        <v>1.62</v>
      </c>
      <c r="H109" s="134">
        <f t="shared" si="44"/>
        <v>1.62</v>
      </c>
      <c r="I109" s="134">
        <f t="shared" si="44"/>
        <v>1.62</v>
      </c>
      <c r="J109" s="134">
        <f t="shared" si="44"/>
        <v>1.62</v>
      </c>
      <c r="K109" s="134">
        <f t="shared" si="44"/>
        <v>1.62</v>
      </c>
      <c r="L109" s="134">
        <f t="shared" si="44"/>
        <v>1.62</v>
      </c>
      <c r="M109" s="134">
        <f t="shared" si="44"/>
        <v>1.62</v>
      </c>
      <c r="N109" s="134">
        <f t="shared" si="44"/>
        <v>1.62</v>
      </c>
      <c r="O109" s="134">
        <f t="shared" si="44"/>
        <v>1.62</v>
      </c>
      <c r="P109" s="134">
        <f t="shared" si="44"/>
        <v>1.62</v>
      </c>
      <c r="Q109" s="134">
        <f t="shared" si="44"/>
        <v>1.62</v>
      </c>
      <c r="R109" s="134">
        <f t="shared" si="44"/>
        <v>1.62</v>
      </c>
      <c r="S109" s="134">
        <f t="shared" ref="S109:AF124" si="45">R109</f>
        <v>1.62</v>
      </c>
      <c r="T109" s="134">
        <f t="shared" si="45"/>
        <v>1.62</v>
      </c>
      <c r="U109" s="134">
        <f t="shared" si="45"/>
        <v>1.62</v>
      </c>
      <c r="V109" s="134">
        <f t="shared" si="45"/>
        <v>1.62</v>
      </c>
      <c r="W109" s="134">
        <f t="shared" si="45"/>
        <v>1.62</v>
      </c>
      <c r="X109" s="134">
        <f t="shared" si="45"/>
        <v>1.62</v>
      </c>
      <c r="Y109" s="134">
        <f t="shared" si="45"/>
        <v>1.62</v>
      </c>
      <c r="Z109" s="134">
        <f t="shared" si="45"/>
        <v>1.62</v>
      </c>
      <c r="AA109" s="134">
        <f t="shared" si="45"/>
        <v>1.62</v>
      </c>
      <c r="AB109" s="134">
        <f t="shared" si="45"/>
        <v>1.62</v>
      </c>
      <c r="AC109" s="134">
        <f t="shared" si="45"/>
        <v>1.62</v>
      </c>
      <c r="AD109" s="134">
        <f t="shared" si="45"/>
        <v>1.62</v>
      </c>
      <c r="AE109" s="134">
        <f t="shared" si="45"/>
        <v>1.62</v>
      </c>
      <c r="AF109" s="134">
        <f t="shared" si="45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44"/>
        <v>8.36</v>
      </c>
      <c r="D110" s="134">
        <f t="shared" si="44"/>
        <v>8.36</v>
      </c>
      <c r="E110" s="134">
        <f t="shared" si="44"/>
        <v>8.36</v>
      </c>
      <c r="F110" s="134">
        <f t="shared" si="44"/>
        <v>8.36</v>
      </c>
      <c r="G110" s="134">
        <f t="shared" si="44"/>
        <v>8.36</v>
      </c>
      <c r="H110" s="134">
        <f t="shared" si="44"/>
        <v>8.36</v>
      </c>
      <c r="I110" s="134">
        <f t="shared" si="44"/>
        <v>8.36</v>
      </c>
      <c r="J110" s="134">
        <f t="shared" si="44"/>
        <v>8.36</v>
      </c>
      <c r="K110" s="134">
        <f t="shared" si="44"/>
        <v>8.36</v>
      </c>
      <c r="L110" s="134">
        <f t="shared" si="44"/>
        <v>8.36</v>
      </c>
      <c r="M110" s="134">
        <f t="shared" si="44"/>
        <v>8.36</v>
      </c>
      <c r="N110" s="134">
        <f t="shared" si="44"/>
        <v>8.36</v>
      </c>
      <c r="O110" s="134">
        <f t="shared" si="44"/>
        <v>8.36</v>
      </c>
      <c r="P110" s="134">
        <f t="shared" si="44"/>
        <v>8.36</v>
      </c>
      <c r="Q110" s="134">
        <f t="shared" si="44"/>
        <v>8.36</v>
      </c>
      <c r="R110" s="134">
        <f t="shared" si="44"/>
        <v>8.36</v>
      </c>
      <c r="S110" s="134">
        <f t="shared" si="45"/>
        <v>8.36</v>
      </c>
      <c r="T110" s="134">
        <f t="shared" si="45"/>
        <v>8.36</v>
      </c>
      <c r="U110" s="134">
        <f t="shared" si="45"/>
        <v>8.36</v>
      </c>
      <c r="V110" s="134">
        <f t="shared" si="45"/>
        <v>8.36</v>
      </c>
      <c r="W110" s="134">
        <f t="shared" si="45"/>
        <v>8.36</v>
      </c>
      <c r="X110" s="134">
        <f t="shared" si="45"/>
        <v>8.36</v>
      </c>
      <c r="Y110" s="134">
        <f t="shared" si="45"/>
        <v>8.36</v>
      </c>
      <c r="Z110" s="134">
        <f t="shared" si="45"/>
        <v>8.36</v>
      </c>
      <c r="AA110" s="134">
        <f t="shared" si="45"/>
        <v>8.36</v>
      </c>
      <c r="AB110" s="134">
        <f t="shared" si="45"/>
        <v>8.36</v>
      </c>
      <c r="AC110" s="134">
        <f t="shared" si="45"/>
        <v>8.36</v>
      </c>
      <c r="AD110" s="134">
        <f t="shared" si="45"/>
        <v>8.36</v>
      </c>
      <c r="AE110" s="134">
        <f t="shared" si="45"/>
        <v>8.36</v>
      </c>
      <c r="AF110" s="134">
        <f t="shared" si="45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44"/>
        <v>8</v>
      </c>
      <c r="D111" s="134">
        <f t="shared" si="44"/>
        <v>8</v>
      </c>
      <c r="E111" s="134">
        <f t="shared" si="44"/>
        <v>8</v>
      </c>
      <c r="F111" s="134">
        <f t="shared" si="44"/>
        <v>8</v>
      </c>
      <c r="G111" s="134">
        <f t="shared" si="44"/>
        <v>8</v>
      </c>
      <c r="H111" s="134">
        <f t="shared" si="44"/>
        <v>8</v>
      </c>
      <c r="I111" s="134">
        <v>5.4</v>
      </c>
      <c r="J111" s="134">
        <f t="shared" si="44"/>
        <v>5.4</v>
      </c>
      <c r="K111" s="134">
        <f t="shared" si="44"/>
        <v>5.4</v>
      </c>
      <c r="L111" s="134">
        <f t="shared" si="44"/>
        <v>5.4</v>
      </c>
      <c r="M111" s="134">
        <f t="shared" si="44"/>
        <v>5.4</v>
      </c>
      <c r="N111" s="134">
        <f t="shared" si="44"/>
        <v>5.4</v>
      </c>
      <c r="O111" s="134">
        <f t="shared" si="44"/>
        <v>5.4</v>
      </c>
      <c r="P111" s="134">
        <f t="shared" si="44"/>
        <v>5.4</v>
      </c>
      <c r="Q111" s="134">
        <f t="shared" si="44"/>
        <v>5.4</v>
      </c>
      <c r="R111" s="134">
        <f t="shared" si="44"/>
        <v>5.4</v>
      </c>
      <c r="S111" s="134">
        <f t="shared" si="45"/>
        <v>5.4</v>
      </c>
      <c r="T111" s="134">
        <f t="shared" si="45"/>
        <v>5.4</v>
      </c>
      <c r="U111" s="134">
        <f t="shared" si="45"/>
        <v>5.4</v>
      </c>
      <c r="V111" s="134">
        <f t="shared" si="45"/>
        <v>5.4</v>
      </c>
      <c r="W111" s="134">
        <f t="shared" si="45"/>
        <v>5.4</v>
      </c>
      <c r="X111" s="134">
        <f t="shared" si="45"/>
        <v>5.4</v>
      </c>
      <c r="Y111" s="134">
        <f t="shared" si="45"/>
        <v>5.4</v>
      </c>
      <c r="Z111" s="134">
        <f t="shared" si="45"/>
        <v>5.4</v>
      </c>
      <c r="AA111" s="134">
        <f t="shared" si="45"/>
        <v>5.4</v>
      </c>
      <c r="AB111" s="134">
        <f t="shared" si="45"/>
        <v>5.4</v>
      </c>
      <c r="AC111" s="134">
        <f t="shared" si="45"/>
        <v>5.4</v>
      </c>
      <c r="AD111" s="134">
        <f t="shared" si="45"/>
        <v>5.4</v>
      </c>
      <c r="AE111" s="134">
        <f t="shared" si="45"/>
        <v>5.4</v>
      </c>
      <c r="AF111" s="134">
        <f t="shared" si="45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44"/>
        <v>6.57</v>
      </c>
      <c r="D112" s="134">
        <f t="shared" si="44"/>
        <v>6.57</v>
      </c>
      <c r="E112" s="134">
        <f t="shared" si="44"/>
        <v>6.57</v>
      </c>
      <c r="F112" s="134">
        <f t="shared" si="44"/>
        <v>6.57</v>
      </c>
      <c r="G112" s="134">
        <f t="shared" si="44"/>
        <v>6.57</v>
      </c>
      <c r="H112" s="134">
        <f t="shared" si="44"/>
        <v>6.57</v>
      </c>
      <c r="I112" s="134">
        <f t="shared" si="44"/>
        <v>6.57</v>
      </c>
      <c r="J112" s="134">
        <f t="shared" si="44"/>
        <v>6.57</v>
      </c>
      <c r="K112" s="134">
        <f t="shared" si="44"/>
        <v>6.57</v>
      </c>
      <c r="L112" s="134">
        <f t="shared" si="44"/>
        <v>6.57</v>
      </c>
      <c r="M112" s="134">
        <f t="shared" si="44"/>
        <v>6.57</v>
      </c>
      <c r="N112" s="134">
        <f t="shared" si="44"/>
        <v>6.57</v>
      </c>
      <c r="O112" s="134">
        <f t="shared" si="44"/>
        <v>6.57</v>
      </c>
      <c r="P112" s="134">
        <f t="shared" si="44"/>
        <v>6.57</v>
      </c>
      <c r="Q112" s="134">
        <f t="shared" si="44"/>
        <v>6.57</v>
      </c>
      <c r="R112" s="134">
        <f t="shared" si="44"/>
        <v>6.57</v>
      </c>
      <c r="S112" s="134">
        <f t="shared" si="45"/>
        <v>6.57</v>
      </c>
      <c r="T112" s="134">
        <f t="shared" si="45"/>
        <v>6.57</v>
      </c>
      <c r="U112" s="134">
        <f t="shared" si="45"/>
        <v>6.57</v>
      </c>
      <c r="V112" s="134">
        <f t="shared" si="45"/>
        <v>6.57</v>
      </c>
      <c r="W112" s="134">
        <f t="shared" si="45"/>
        <v>6.57</v>
      </c>
      <c r="X112" s="134">
        <f t="shared" si="45"/>
        <v>6.57</v>
      </c>
      <c r="Y112" s="134">
        <f t="shared" si="45"/>
        <v>6.57</v>
      </c>
      <c r="Z112" s="134">
        <f t="shared" si="45"/>
        <v>6.57</v>
      </c>
      <c r="AA112" s="134">
        <f t="shared" si="45"/>
        <v>6.57</v>
      </c>
      <c r="AB112" s="134">
        <f t="shared" si="45"/>
        <v>6.57</v>
      </c>
      <c r="AC112" s="134">
        <f t="shared" si="45"/>
        <v>6.57</v>
      </c>
      <c r="AD112" s="134">
        <f t="shared" si="45"/>
        <v>6.57</v>
      </c>
      <c r="AE112" s="134">
        <f t="shared" si="45"/>
        <v>6.57</v>
      </c>
      <c r="AF112" s="134">
        <f t="shared" si="45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44"/>
        <v>3.43</v>
      </c>
      <c r="D113" s="134">
        <f t="shared" si="44"/>
        <v>3.43</v>
      </c>
      <c r="E113" s="134">
        <f t="shared" si="44"/>
        <v>3.43</v>
      </c>
      <c r="F113" s="134">
        <f t="shared" si="44"/>
        <v>3.43</v>
      </c>
      <c r="G113" s="134">
        <f t="shared" si="44"/>
        <v>3.43</v>
      </c>
      <c r="H113" s="134">
        <f t="shared" si="44"/>
        <v>3.43</v>
      </c>
      <c r="I113" s="134">
        <f t="shared" si="44"/>
        <v>3.43</v>
      </c>
      <c r="J113" s="134">
        <f t="shared" si="44"/>
        <v>3.43</v>
      </c>
      <c r="K113" s="134">
        <f t="shared" si="44"/>
        <v>3.43</v>
      </c>
      <c r="L113" s="134">
        <f t="shared" si="44"/>
        <v>3.43</v>
      </c>
      <c r="M113" s="134">
        <f t="shared" si="44"/>
        <v>3.43</v>
      </c>
      <c r="N113" s="134">
        <f t="shared" si="44"/>
        <v>3.43</v>
      </c>
      <c r="O113" s="134">
        <f t="shared" si="44"/>
        <v>3.43</v>
      </c>
      <c r="P113" s="134">
        <f t="shared" si="44"/>
        <v>3.43</v>
      </c>
      <c r="Q113" s="134">
        <f t="shared" si="44"/>
        <v>3.43</v>
      </c>
      <c r="R113" s="134">
        <f t="shared" si="44"/>
        <v>3.43</v>
      </c>
      <c r="S113" s="134">
        <f t="shared" si="45"/>
        <v>3.43</v>
      </c>
      <c r="T113" s="134">
        <f t="shared" si="45"/>
        <v>3.43</v>
      </c>
      <c r="U113" s="134">
        <f t="shared" si="45"/>
        <v>3.43</v>
      </c>
      <c r="V113" s="134">
        <f t="shared" si="45"/>
        <v>3.43</v>
      </c>
      <c r="W113" s="134">
        <f t="shared" si="45"/>
        <v>3.43</v>
      </c>
      <c r="X113" s="134">
        <f t="shared" si="45"/>
        <v>3.43</v>
      </c>
      <c r="Y113" s="134">
        <f t="shared" si="45"/>
        <v>3.43</v>
      </c>
      <c r="Z113" s="134">
        <f t="shared" si="45"/>
        <v>3.43</v>
      </c>
      <c r="AA113" s="134">
        <f t="shared" si="45"/>
        <v>3.43</v>
      </c>
      <c r="AB113" s="134">
        <f t="shared" si="45"/>
        <v>3.43</v>
      </c>
      <c r="AC113" s="134">
        <f t="shared" si="45"/>
        <v>3.43</v>
      </c>
      <c r="AD113" s="134">
        <f t="shared" si="45"/>
        <v>3.43</v>
      </c>
      <c r="AE113" s="134">
        <f t="shared" si="45"/>
        <v>3.43</v>
      </c>
      <c r="AF113" s="134">
        <f t="shared" si="45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44"/>
        <v>2.96</v>
      </c>
      <c r="D114" s="134">
        <f t="shared" si="44"/>
        <v>2.96</v>
      </c>
      <c r="E114" s="134">
        <f t="shared" si="44"/>
        <v>2.96</v>
      </c>
      <c r="F114" s="134">
        <f t="shared" si="44"/>
        <v>2.96</v>
      </c>
      <c r="G114" s="134">
        <f t="shared" si="44"/>
        <v>2.96</v>
      </c>
      <c r="H114" s="134">
        <f t="shared" si="44"/>
        <v>2.96</v>
      </c>
      <c r="I114" s="134">
        <f t="shared" si="44"/>
        <v>2.96</v>
      </c>
      <c r="J114" s="134">
        <f t="shared" si="44"/>
        <v>2.96</v>
      </c>
      <c r="K114" s="134">
        <f t="shared" si="44"/>
        <v>2.96</v>
      </c>
      <c r="L114" s="134">
        <f t="shared" si="44"/>
        <v>2.96</v>
      </c>
      <c r="M114" s="134">
        <f t="shared" si="44"/>
        <v>2.96</v>
      </c>
      <c r="N114" s="134">
        <f t="shared" si="44"/>
        <v>2.96</v>
      </c>
      <c r="O114" s="134">
        <f t="shared" si="44"/>
        <v>2.96</v>
      </c>
      <c r="P114" s="134">
        <f t="shared" si="44"/>
        <v>2.96</v>
      </c>
      <c r="Q114" s="134">
        <f t="shared" si="44"/>
        <v>2.96</v>
      </c>
      <c r="R114" s="134">
        <f t="shared" si="44"/>
        <v>2.96</v>
      </c>
      <c r="S114" s="134">
        <f t="shared" si="45"/>
        <v>2.96</v>
      </c>
      <c r="T114" s="134">
        <f t="shared" si="45"/>
        <v>2.96</v>
      </c>
      <c r="U114" s="134">
        <f t="shared" si="45"/>
        <v>2.96</v>
      </c>
      <c r="V114" s="134">
        <f t="shared" si="45"/>
        <v>2.96</v>
      </c>
      <c r="W114" s="134">
        <f t="shared" si="45"/>
        <v>2.96</v>
      </c>
      <c r="X114" s="134">
        <f t="shared" si="45"/>
        <v>2.96</v>
      </c>
      <c r="Y114" s="134">
        <f t="shared" si="45"/>
        <v>2.96</v>
      </c>
      <c r="Z114" s="134">
        <f t="shared" si="45"/>
        <v>2.96</v>
      </c>
      <c r="AA114" s="134">
        <f t="shared" si="45"/>
        <v>2.96</v>
      </c>
      <c r="AB114" s="134">
        <f t="shared" si="45"/>
        <v>2.96</v>
      </c>
      <c r="AC114" s="134">
        <f t="shared" si="45"/>
        <v>2.96</v>
      </c>
      <c r="AD114" s="134">
        <f t="shared" si="45"/>
        <v>2.96</v>
      </c>
      <c r="AE114" s="134">
        <f t="shared" si="45"/>
        <v>2.96</v>
      </c>
      <c r="AF114" s="134">
        <f t="shared" si="45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44"/>
        <v>8</v>
      </c>
      <c r="D115" s="134">
        <f t="shared" si="44"/>
        <v>8</v>
      </c>
      <c r="E115" s="134">
        <f t="shared" si="44"/>
        <v>8</v>
      </c>
      <c r="F115" s="134">
        <f t="shared" si="44"/>
        <v>8</v>
      </c>
      <c r="G115" s="134">
        <f t="shared" si="44"/>
        <v>8</v>
      </c>
      <c r="H115" s="134">
        <f t="shared" si="44"/>
        <v>8</v>
      </c>
      <c r="I115" s="134">
        <f t="shared" si="44"/>
        <v>8</v>
      </c>
      <c r="J115" s="134">
        <f t="shared" si="44"/>
        <v>8</v>
      </c>
      <c r="K115" s="134">
        <f t="shared" si="44"/>
        <v>8</v>
      </c>
      <c r="L115" s="134">
        <f t="shared" si="44"/>
        <v>8</v>
      </c>
      <c r="M115" s="134">
        <f t="shared" si="44"/>
        <v>8</v>
      </c>
      <c r="N115" s="134">
        <f t="shared" si="44"/>
        <v>8</v>
      </c>
      <c r="O115" s="134">
        <f t="shared" si="44"/>
        <v>8</v>
      </c>
      <c r="P115" s="134">
        <f t="shared" si="44"/>
        <v>8</v>
      </c>
      <c r="Q115" s="134">
        <f t="shared" si="44"/>
        <v>8</v>
      </c>
      <c r="R115" s="134">
        <f t="shared" si="44"/>
        <v>8</v>
      </c>
      <c r="S115" s="134">
        <f t="shared" si="45"/>
        <v>8</v>
      </c>
      <c r="T115" s="134">
        <f t="shared" si="45"/>
        <v>8</v>
      </c>
      <c r="U115" s="134">
        <f t="shared" si="45"/>
        <v>8</v>
      </c>
      <c r="V115" s="134">
        <f t="shared" si="45"/>
        <v>8</v>
      </c>
      <c r="W115" s="134">
        <f t="shared" si="45"/>
        <v>8</v>
      </c>
      <c r="X115" s="134">
        <f t="shared" si="45"/>
        <v>8</v>
      </c>
      <c r="Y115" s="134">
        <f t="shared" si="45"/>
        <v>8</v>
      </c>
      <c r="Z115" s="134">
        <f t="shared" si="45"/>
        <v>8</v>
      </c>
      <c r="AA115" s="134">
        <f t="shared" si="45"/>
        <v>8</v>
      </c>
      <c r="AB115" s="134">
        <f t="shared" si="45"/>
        <v>8</v>
      </c>
      <c r="AC115" s="134">
        <f t="shared" si="45"/>
        <v>8</v>
      </c>
      <c r="AD115" s="134">
        <f t="shared" si="45"/>
        <v>8</v>
      </c>
      <c r="AE115" s="134">
        <f t="shared" si="45"/>
        <v>8</v>
      </c>
      <c r="AF115" s="134">
        <f t="shared" si="45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44"/>
        <v>7</v>
      </c>
      <c r="E116" s="134">
        <f t="shared" si="44"/>
        <v>7</v>
      </c>
      <c r="F116" s="134">
        <f t="shared" si="44"/>
        <v>7</v>
      </c>
      <c r="G116" s="134">
        <f t="shared" si="44"/>
        <v>7</v>
      </c>
      <c r="H116" s="134">
        <f t="shared" si="44"/>
        <v>7</v>
      </c>
      <c r="I116" s="134">
        <f t="shared" si="44"/>
        <v>7</v>
      </c>
      <c r="J116" s="134">
        <f t="shared" si="44"/>
        <v>7</v>
      </c>
      <c r="K116" s="134">
        <f t="shared" si="44"/>
        <v>7</v>
      </c>
      <c r="L116" s="134">
        <f t="shared" si="44"/>
        <v>7</v>
      </c>
      <c r="M116" s="134">
        <f t="shared" si="44"/>
        <v>7</v>
      </c>
      <c r="N116" s="134">
        <f t="shared" si="44"/>
        <v>7</v>
      </c>
      <c r="O116" s="134">
        <f t="shared" si="44"/>
        <v>7</v>
      </c>
      <c r="P116" s="134">
        <f t="shared" si="44"/>
        <v>7</v>
      </c>
      <c r="Q116" s="134">
        <f t="shared" si="44"/>
        <v>7</v>
      </c>
      <c r="R116" s="134">
        <f t="shared" si="44"/>
        <v>7</v>
      </c>
      <c r="S116" s="134">
        <f t="shared" si="45"/>
        <v>7</v>
      </c>
      <c r="T116" s="134">
        <f t="shared" si="45"/>
        <v>7</v>
      </c>
      <c r="U116" s="134">
        <f t="shared" si="45"/>
        <v>7</v>
      </c>
      <c r="V116" s="134">
        <f t="shared" si="45"/>
        <v>7</v>
      </c>
      <c r="W116" s="134">
        <f t="shared" si="45"/>
        <v>7</v>
      </c>
      <c r="X116" s="134">
        <f t="shared" si="45"/>
        <v>7</v>
      </c>
      <c r="Y116" s="134">
        <f t="shared" si="45"/>
        <v>7</v>
      </c>
      <c r="Z116" s="134">
        <f t="shared" si="45"/>
        <v>7</v>
      </c>
      <c r="AA116" s="134">
        <f t="shared" si="45"/>
        <v>7</v>
      </c>
      <c r="AB116" s="134">
        <f t="shared" si="45"/>
        <v>7</v>
      </c>
      <c r="AC116" s="134">
        <f t="shared" si="45"/>
        <v>7</v>
      </c>
      <c r="AD116" s="134">
        <f t="shared" si="45"/>
        <v>7</v>
      </c>
      <c r="AE116" s="134">
        <f t="shared" si="45"/>
        <v>7</v>
      </c>
      <c r="AF116" s="134">
        <f t="shared" si="45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46">B117</f>
        <v>3.47</v>
      </c>
      <c r="D117" s="134">
        <f t="shared" si="46"/>
        <v>3.47</v>
      </c>
      <c r="E117" s="134">
        <f t="shared" si="46"/>
        <v>3.47</v>
      </c>
      <c r="F117" s="134">
        <f t="shared" si="46"/>
        <v>3.47</v>
      </c>
      <c r="G117" s="134">
        <f t="shared" si="46"/>
        <v>3.47</v>
      </c>
      <c r="H117" s="134">
        <f t="shared" si="46"/>
        <v>3.47</v>
      </c>
      <c r="I117" s="134">
        <f t="shared" si="46"/>
        <v>3.47</v>
      </c>
      <c r="J117" s="134">
        <f t="shared" si="46"/>
        <v>3.47</v>
      </c>
      <c r="K117" s="134">
        <f t="shared" si="46"/>
        <v>3.47</v>
      </c>
      <c r="L117" s="134">
        <f t="shared" si="46"/>
        <v>3.47</v>
      </c>
      <c r="M117" s="134">
        <f t="shared" si="46"/>
        <v>3.47</v>
      </c>
      <c r="N117" s="134">
        <f t="shared" si="46"/>
        <v>3.47</v>
      </c>
      <c r="O117" s="134">
        <f t="shared" si="46"/>
        <v>3.47</v>
      </c>
      <c r="P117" s="134">
        <f t="shared" si="46"/>
        <v>3.47</v>
      </c>
      <c r="Q117" s="134">
        <f t="shared" si="46"/>
        <v>3.47</v>
      </c>
      <c r="R117" s="134">
        <f t="shared" si="46"/>
        <v>3.47</v>
      </c>
      <c r="S117" s="134">
        <f t="shared" si="45"/>
        <v>3.47</v>
      </c>
      <c r="T117" s="134">
        <f t="shared" si="45"/>
        <v>3.47</v>
      </c>
      <c r="U117" s="134">
        <f t="shared" si="45"/>
        <v>3.47</v>
      </c>
      <c r="V117" s="134">
        <f t="shared" si="45"/>
        <v>3.47</v>
      </c>
      <c r="W117" s="134">
        <f t="shared" si="45"/>
        <v>3.47</v>
      </c>
      <c r="X117" s="134">
        <f t="shared" si="45"/>
        <v>3.47</v>
      </c>
      <c r="Y117" s="134">
        <f t="shared" si="45"/>
        <v>3.47</v>
      </c>
      <c r="Z117" s="134">
        <f t="shared" si="45"/>
        <v>3.47</v>
      </c>
      <c r="AA117" s="134">
        <f t="shared" si="45"/>
        <v>3.47</v>
      </c>
      <c r="AB117" s="134">
        <f t="shared" si="45"/>
        <v>3.47</v>
      </c>
      <c r="AC117" s="134">
        <f t="shared" si="45"/>
        <v>3.47</v>
      </c>
      <c r="AD117" s="134">
        <f t="shared" si="45"/>
        <v>3.47</v>
      </c>
      <c r="AE117" s="134">
        <f t="shared" si="45"/>
        <v>3.47</v>
      </c>
      <c r="AF117" s="134">
        <f t="shared" si="45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46"/>
        <v>2.1</v>
      </c>
      <c r="D118" s="134">
        <f t="shared" si="46"/>
        <v>2.1</v>
      </c>
      <c r="E118" s="134">
        <f t="shared" si="46"/>
        <v>2.1</v>
      </c>
      <c r="F118" s="134">
        <f t="shared" si="46"/>
        <v>2.1</v>
      </c>
      <c r="G118" s="134">
        <f t="shared" si="46"/>
        <v>2.1</v>
      </c>
      <c r="H118" s="134">
        <f t="shared" si="46"/>
        <v>2.1</v>
      </c>
      <c r="I118" s="134">
        <f t="shared" si="46"/>
        <v>2.1</v>
      </c>
      <c r="J118" s="134">
        <f t="shared" si="46"/>
        <v>2.1</v>
      </c>
      <c r="K118" s="134">
        <f t="shared" si="46"/>
        <v>2.1</v>
      </c>
      <c r="L118" s="134">
        <f t="shared" si="46"/>
        <v>2.1</v>
      </c>
      <c r="M118" s="134">
        <f t="shared" si="46"/>
        <v>2.1</v>
      </c>
      <c r="N118" s="134">
        <f t="shared" si="46"/>
        <v>2.1</v>
      </c>
      <c r="O118" s="134">
        <f t="shared" si="46"/>
        <v>2.1</v>
      </c>
      <c r="P118" s="134">
        <f t="shared" si="46"/>
        <v>2.1</v>
      </c>
      <c r="Q118" s="134">
        <f t="shared" si="46"/>
        <v>2.1</v>
      </c>
      <c r="R118" s="134">
        <f t="shared" si="46"/>
        <v>2.1</v>
      </c>
      <c r="S118" s="134">
        <f t="shared" si="45"/>
        <v>2.1</v>
      </c>
      <c r="T118" s="134">
        <f t="shared" si="45"/>
        <v>2.1</v>
      </c>
      <c r="U118" s="134">
        <f t="shared" si="45"/>
        <v>2.1</v>
      </c>
      <c r="V118" s="134">
        <f t="shared" si="45"/>
        <v>2.1</v>
      </c>
      <c r="W118" s="134">
        <f t="shared" si="45"/>
        <v>2.1</v>
      </c>
      <c r="X118" s="134">
        <f t="shared" si="45"/>
        <v>2.1</v>
      </c>
      <c r="Y118" s="134">
        <f t="shared" si="45"/>
        <v>2.1</v>
      </c>
      <c r="Z118" s="134">
        <f t="shared" si="45"/>
        <v>2.1</v>
      </c>
      <c r="AA118" s="134">
        <f t="shared" si="45"/>
        <v>2.1</v>
      </c>
      <c r="AB118" s="134">
        <f t="shared" si="45"/>
        <v>2.1</v>
      </c>
      <c r="AC118" s="134">
        <f t="shared" si="45"/>
        <v>2.1</v>
      </c>
      <c r="AD118" s="134">
        <f t="shared" si="45"/>
        <v>2.1</v>
      </c>
      <c r="AE118" s="134">
        <f t="shared" si="45"/>
        <v>2.1</v>
      </c>
      <c r="AF118" s="134">
        <f t="shared" si="45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46"/>
        <v>9.3000000000000007</v>
      </c>
      <c r="D119" s="134">
        <f t="shared" si="46"/>
        <v>9.3000000000000007</v>
      </c>
      <c r="E119" s="134">
        <f t="shared" si="46"/>
        <v>9.3000000000000007</v>
      </c>
      <c r="F119" s="134">
        <f t="shared" si="46"/>
        <v>9.3000000000000007</v>
      </c>
      <c r="G119" s="134">
        <f t="shared" si="46"/>
        <v>9.3000000000000007</v>
      </c>
      <c r="H119" s="134">
        <f t="shared" si="46"/>
        <v>9.3000000000000007</v>
      </c>
      <c r="I119" s="134">
        <f t="shared" si="46"/>
        <v>9.3000000000000007</v>
      </c>
      <c r="J119" s="134">
        <f t="shared" si="46"/>
        <v>9.3000000000000007</v>
      </c>
      <c r="K119" s="134">
        <f t="shared" si="46"/>
        <v>9.3000000000000007</v>
      </c>
      <c r="L119" s="134">
        <f t="shared" si="46"/>
        <v>9.3000000000000007</v>
      </c>
      <c r="M119" s="134">
        <f t="shared" si="46"/>
        <v>9.3000000000000007</v>
      </c>
      <c r="N119" s="134">
        <f t="shared" si="46"/>
        <v>9.3000000000000007</v>
      </c>
      <c r="O119" s="134">
        <f t="shared" si="46"/>
        <v>9.3000000000000007</v>
      </c>
      <c r="P119" s="134">
        <f t="shared" si="46"/>
        <v>9.3000000000000007</v>
      </c>
      <c r="Q119" s="134">
        <f t="shared" si="46"/>
        <v>9.3000000000000007</v>
      </c>
      <c r="R119" s="134">
        <f t="shared" si="46"/>
        <v>9.3000000000000007</v>
      </c>
      <c r="S119" s="134">
        <f t="shared" si="45"/>
        <v>9.3000000000000007</v>
      </c>
      <c r="T119" s="134">
        <f t="shared" si="45"/>
        <v>9.3000000000000007</v>
      </c>
      <c r="U119" s="134">
        <f t="shared" si="45"/>
        <v>9.3000000000000007</v>
      </c>
      <c r="V119" s="134">
        <f t="shared" si="45"/>
        <v>9.3000000000000007</v>
      </c>
      <c r="W119" s="134">
        <f t="shared" si="45"/>
        <v>9.3000000000000007</v>
      </c>
      <c r="X119" s="134">
        <f t="shared" si="45"/>
        <v>9.3000000000000007</v>
      </c>
      <c r="Y119" s="134">
        <f t="shared" si="45"/>
        <v>9.3000000000000007</v>
      </c>
      <c r="Z119" s="134">
        <f t="shared" si="45"/>
        <v>9.3000000000000007</v>
      </c>
      <c r="AA119" s="134">
        <f t="shared" si="45"/>
        <v>9.3000000000000007</v>
      </c>
      <c r="AB119" s="134">
        <f t="shared" si="45"/>
        <v>9.3000000000000007</v>
      </c>
      <c r="AC119" s="134">
        <f t="shared" si="45"/>
        <v>9.3000000000000007</v>
      </c>
      <c r="AD119" s="134">
        <f t="shared" si="45"/>
        <v>9.3000000000000007</v>
      </c>
      <c r="AE119" s="134">
        <f t="shared" si="45"/>
        <v>9.3000000000000007</v>
      </c>
      <c r="AF119" s="134">
        <f t="shared" si="45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46"/>
        <v>0</v>
      </c>
      <c r="D120" s="134">
        <f t="shared" si="46"/>
        <v>0</v>
      </c>
      <c r="E120" s="134">
        <f t="shared" si="46"/>
        <v>0</v>
      </c>
      <c r="F120" s="134">
        <f t="shared" si="46"/>
        <v>0</v>
      </c>
      <c r="G120" s="134">
        <f t="shared" si="46"/>
        <v>0</v>
      </c>
      <c r="H120" s="134">
        <f t="shared" si="46"/>
        <v>0</v>
      </c>
      <c r="I120" s="134">
        <f t="shared" si="46"/>
        <v>0</v>
      </c>
      <c r="J120" s="134">
        <f t="shared" si="46"/>
        <v>0</v>
      </c>
      <c r="K120" s="134">
        <f t="shared" si="46"/>
        <v>0</v>
      </c>
      <c r="L120" s="134">
        <f t="shared" si="46"/>
        <v>0</v>
      </c>
      <c r="M120" s="134">
        <f t="shared" si="46"/>
        <v>0</v>
      </c>
      <c r="N120" s="134">
        <f t="shared" si="46"/>
        <v>0</v>
      </c>
      <c r="O120" s="134">
        <f t="shared" si="46"/>
        <v>0</v>
      </c>
      <c r="P120" s="134">
        <f t="shared" si="46"/>
        <v>0</v>
      </c>
      <c r="Q120" s="134">
        <f t="shared" si="46"/>
        <v>0</v>
      </c>
      <c r="R120" s="134">
        <f t="shared" si="46"/>
        <v>0</v>
      </c>
      <c r="S120" s="134">
        <f t="shared" si="45"/>
        <v>0</v>
      </c>
      <c r="T120" s="134">
        <f t="shared" si="45"/>
        <v>0</v>
      </c>
      <c r="U120" s="134">
        <f t="shared" si="45"/>
        <v>0</v>
      </c>
      <c r="V120" s="134">
        <f t="shared" si="45"/>
        <v>0</v>
      </c>
      <c r="W120" s="134">
        <f t="shared" si="45"/>
        <v>0</v>
      </c>
      <c r="X120" s="134">
        <f t="shared" si="45"/>
        <v>0</v>
      </c>
      <c r="Y120" s="134">
        <f t="shared" si="45"/>
        <v>0</v>
      </c>
      <c r="Z120" s="134">
        <f t="shared" si="45"/>
        <v>0</v>
      </c>
      <c r="AA120" s="134">
        <f t="shared" si="45"/>
        <v>0</v>
      </c>
      <c r="AB120" s="134">
        <f t="shared" si="45"/>
        <v>0</v>
      </c>
      <c r="AC120" s="134">
        <f t="shared" si="45"/>
        <v>0</v>
      </c>
      <c r="AD120" s="134">
        <f t="shared" si="45"/>
        <v>0</v>
      </c>
      <c r="AE120" s="134">
        <f t="shared" si="45"/>
        <v>0</v>
      </c>
      <c r="AF120" s="134">
        <f t="shared" si="45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46"/>
        <v>0</v>
      </c>
      <c r="D121" s="134">
        <f t="shared" si="46"/>
        <v>0</v>
      </c>
      <c r="E121" s="134">
        <f t="shared" si="46"/>
        <v>0</v>
      </c>
      <c r="F121" s="134">
        <f t="shared" si="46"/>
        <v>0</v>
      </c>
      <c r="G121" s="134">
        <f t="shared" si="46"/>
        <v>0</v>
      </c>
      <c r="H121" s="134">
        <f t="shared" si="46"/>
        <v>0</v>
      </c>
      <c r="I121" s="134">
        <f t="shared" si="46"/>
        <v>0</v>
      </c>
      <c r="J121" s="134">
        <f t="shared" si="46"/>
        <v>0</v>
      </c>
      <c r="K121" s="134">
        <f t="shared" si="46"/>
        <v>0</v>
      </c>
      <c r="L121" s="134">
        <f t="shared" si="46"/>
        <v>0</v>
      </c>
      <c r="M121" s="134">
        <f t="shared" si="46"/>
        <v>0</v>
      </c>
      <c r="N121" s="134">
        <f t="shared" si="46"/>
        <v>0</v>
      </c>
      <c r="O121" s="134">
        <f t="shared" si="46"/>
        <v>0</v>
      </c>
      <c r="P121" s="134">
        <f t="shared" si="46"/>
        <v>0</v>
      </c>
      <c r="Q121" s="134">
        <f t="shared" si="46"/>
        <v>0</v>
      </c>
      <c r="R121" s="134">
        <f t="shared" si="46"/>
        <v>0</v>
      </c>
      <c r="S121" s="134">
        <f t="shared" si="45"/>
        <v>0</v>
      </c>
      <c r="T121" s="134">
        <f t="shared" si="45"/>
        <v>0</v>
      </c>
      <c r="U121" s="134">
        <f t="shared" si="45"/>
        <v>0</v>
      </c>
      <c r="V121" s="134">
        <f t="shared" si="45"/>
        <v>0</v>
      </c>
      <c r="W121" s="134">
        <f t="shared" si="45"/>
        <v>0</v>
      </c>
      <c r="X121" s="134">
        <f t="shared" si="45"/>
        <v>0</v>
      </c>
      <c r="Y121" s="134">
        <f t="shared" si="45"/>
        <v>0</v>
      </c>
      <c r="Z121" s="134">
        <f t="shared" si="45"/>
        <v>0</v>
      </c>
      <c r="AA121" s="134">
        <f t="shared" si="45"/>
        <v>0</v>
      </c>
      <c r="AB121" s="134">
        <f t="shared" si="45"/>
        <v>0</v>
      </c>
      <c r="AC121" s="134">
        <f t="shared" si="45"/>
        <v>0</v>
      </c>
      <c r="AD121" s="134">
        <f t="shared" si="45"/>
        <v>0</v>
      </c>
      <c r="AE121" s="134">
        <f t="shared" si="45"/>
        <v>0</v>
      </c>
      <c r="AF121" s="134">
        <f t="shared" si="45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46"/>
        <v>5</v>
      </c>
      <c r="D122" s="134">
        <f t="shared" si="46"/>
        <v>5</v>
      </c>
      <c r="E122" s="134">
        <f t="shared" si="46"/>
        <v>5</v>
      </c>
      <c r="F122" s="134">
        <f t="shared" si="46"/>
        <v>5</v>
      </c>
      <c r="G122" s="134">
        <f t="shared" si="46"/>
        <v>5</v>
      </c>
      <c r="H122" s="134">
        <f t="shared" si="46"/>
        <v>5</v>
      </c>
      <c r="I122" s="134">
        <f t="shared" si="46"/>
        <v>5</v>
      </c>
      <c r="J122" s="134">
        <f t="shared" si="46"/>
        <v>5</v>
      </c>
      <c r="K122" s="134">
        <f t="shared" si="46"/>
        <v>5</v>
      </c>
      <c r="L122" s="134">
        <f t="shared" si="46"/>
        <v>5</v>
      </c>
      <c r="M122" s="134">
        <f t="shared" si="46"/>
        <v>5</v>
      </c>
      <c r="N122" s="134">
        <f t="shared" si="46"/>
        <v>5</v>
      </c>
      <c r="O122" s="134">
        <f t="shared" si="46"/>
        <v>5</v>
      </c>
      <c r="P122" s="134">
        <f t="shared" si="46"/>
        <v>5</v>
      </c>
      <c r="Q122" s="134">
        <f t="shared" si="46"/>
        <v>5</v>
      </c>
      <c r="R122" s="134">
        <f t="shared" si="46"/>
        <v>5</v>
      </c>
      <c r="S122" s="134">
        <f t="shared" si="45"/>
        <v>5</v>
      </c>
      <c r="T122" s="134">
        <f t="shared" si="45"/>
        <v>5</v>
      </c>
      <c r="U122" s="134">
        <f t="shared" si="45"/>
        <v>5</v>
      </c>
      <c r="V122" s="134">
        <f t="shared" si="45"/>
        <v>5</v>
      </c>
      <c r="W122" s="134">
        <f t="shared" si="45"/>
        <v>5</v>
      </c>
      <c r="X122" s="134">
        <f t="shared" si="45"/>
        <v>5</v>
      </c>
      <c r="Y122" s="134">
        <f t="shared" si="45"/>
        <v>5</v>
      </c>
      <c r="Z122" s="134">
        <f t="shared" si="45"/>
        <v>5</v>
      </c>
      <c r="AA122" s="134">
        <f t="shared" si="45"/>
        <v>5</v>
      </c>
      <c r="AB122" s="134">
        <f t="shared" si="45"/>
        <v>5</v>
      </c>
      <c r="AC122" s="134">
        <f t="shared" si="45"/>
        <v>5</v>
      </c>
      <c r="AD122" s="134">
        <f t="shared" si="45"/>
        <v>5</v>
      </c>
      <c r="AE122" s="134">
        <f t="shared" si="45"/>
        <v>5</v>
      </c>
      <c r="AF122" s="134">
        <f t="shared" si="45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46"/>
        <v>1</v>
      </c>
      <c r="D123" s="134">
        <f t="shared" si="46"/>
        <v>1</v>
      </c>
      <c r="E123" s="134">
        <f t="shared" si="46"/>
        <v>1</v>
      </c>
      <c r="F123" s="134">
        <f t="shared" si="46"/>
        <v>1</v>
      </c>
      <c r="G123" s="134">
        <f t="shared" si="46"/>
        <v>1</v>
      </c>
      <c r="H123" s="134">
        <f t="shared" si="46"/>
        <v>1</v>
      </c>
      <c r="I123" s="134">
        <f t="shared" si="46"/>
        <v>1</v>
      </c>
      <c r="J123" s="134">
        <f t="shared" si="46"/>
        <v>1</v>
      </c>
      <c r="K123" s="134">
        <f t="shared" si="46"/>
        <v>1</v>
      </c>
      <c r="L123" s="134">
        <f t="shared" si="46"/>
        <v>1</v>
      </c>
      <c r="M123" s="134">
        <f t="shared" si="46"/>
        <v>1</v>
      </c>
      <c r="N123" s="134">
        <f t="shared" si="46"/>
        <v>1</v>
      </c>
      <c r="O123" s="134">
        <f t="shared" si="46"/>
        <v>1</v>
      </c>
      <c r="P123" s="134">
        <f t="shared" si="46"/>
        <v>1</v>
      </c>
      <c r="Q123" s="134">
        <f t="shared" si="46"/>
        <v>1</v>
      </c>
      <c r="R123" s="134">
        <f t="shared" si="46"/>
        <v>1</v>
      </c>
      <c r="S123" s="134">
        <f t="shared" si="45"/>
        <v>1</v>
      </c>
      <c r="T123" s="134">
        <f t="shared" si="45"/>
        <v>1</v>
      </c>
      <c r="U123" s="134">
        <f t="shared" si="45"/>
        <v>1</v>
      </c>
      <c r="V123" s="134">
        <f t="shared" si="45"/>
        <v>1</v>
      </c>
      <c r="W123" s="134">
        <f t="shared" si="45"/>
        <v>1</v>
      </c>
      <c r="X123" s="134">
        <f t="shared" si="45"/>
        <v>1</v>
      </c>
      <c r="Y123" s="134">
        <f t="shared" si="45"/>
        <v>1</v>
      </c>
      <c r="Z123" s="134">
        <f t="shared" si="45"/>
        <v>1</v>
      </c>
      <c r="AA123" s="134">
        <f t="shared" si="45"/>
        <v>1</v>
      </c>
      <c r="AB123" s="134">
        <f t="shared" si="45"/>
        <v>1</v>
      </c>
      <c r="AC123" s="134">
        <f t="shared" si="45"/>
        <v>1</v>
      </c>
      <c r="AD123" s="134">
        <f t="shared" si="45"/>
        <v>1</v>
      </c>
      <c r="AE123" s="134">
        <f t="shared" si="45"/>
        <v>1</v>
      </c>
      <c r="AF123" s="134">
        <f t="shared" si="45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46"/>
        <v>1.58</v>
      </c>
      <c r="D124" s="134">
        <f t="shared" si="46"/>
        <v>1.58</v>
      </c>
      <c r="E124" s="134">
        <f t="shared" si="46"/>
        <v>1.58</v>
      </c>
      <c r="F124" s="134">
        <f t="shared" si="46"/>
        <v>1.58</v>
      </c>
      <c r="G124" s="134">
        <f t="shared" si="46"/>
        <v>1.58</v>
      </c>
      <c r="H124" s="134">
        <f t="shared" si="46"/>
        <v>1.58</v>
      </c>
      <c r="I124" s="134">
        <f t="shared" si="46"/>
        <v>1.58</v>
      </c>
      <c r="J124" s="134">
        <f t="shared" si="46"/>
        <v>1.58</v>
      </c>
      <c r="K124" s="134">
        <f t="shared" si="46"/>
        <v>1.58</v>
      </c>
      <c r="L124" s="134">
        <f t="shared" si="46"/>
        <v>1.58</v>
      </c>
      <c r="M124" s="134">
        <f t="shared" si="46"/>
        <v>1.58</v>
      </c>
      <c r="N124" s="134">
        <f t="shared" si="46"/>
        <v>1.58</v>
      </c>
      <c r="O124" s="134">
        <f t="shared" si="46"/>
        <v>1.58</v>
      </c>
      <c r="P124" s="134">
        <f t="shared" si="46"/>
        <v>1.58</v>
      </c>
      <c r="Q124" s="134">
        <f t="shared" si="46"/>
        <v>1.58</v>
      </c>
      <c r="R124" s="134">
        <f t="shared" si="46"/>
        <v>1.58</v>
      </c>
      <c r="S124" s="134">
        <f t="shared" si="45"/>
        <v>1.58</v>
      </c>
      <c r="T124" s="134">
        <f t="shared" si="45"/>
        <v>1.58</v>
      </c>
      <c r="U124" s="134">
        <f t="shared" si="45"/>
        <v>1.58</v>
      </c>
      <c r="V124" s="134">
        <f t="shared" si="45"/>
        <v>1.58</v>
      </c>
      <c r="W124" s="134">
        <f t="shared" si="45"/>
        <v>1.58</v>
      </c>
      <c r="X124" s="134">
        <f t="shared" si="45"/>
        <v>1.58</v>
      </c>
      <c r="Y124" s="134">
        <f t="shared" si="45"/>
        <v>1.58</v>
      </c>
      <c r="Z124" s="134">
        <f t="shared" si="45"/>
        <v>1.58</v>
      </c>
      <c r="AA124" s="134">
        <f t="shared" si="45"/>
        <v>1.58</v>
      </c>
      <c r="AB124" s="134">
        <f t="shared" si="45"/>
        <v>1.58</v>
      </c>
      <c r="AC124" s="134">
        <f t="shared" si="45"/>
        <v>1.58</v>
      </c>
      <c r="AD124" s="134">
        <f t="shared" si="45"/>
        <v>1.58</v>
      </c>
      <c r="AE124" s="134">
        <f t="shared" si="45"/>
        <v>1.58</v>
      </c>
      <c r="AF124" s="134">
        <f t="shared" si="45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46"/>
        <v>1.46</v>
      </c>
      <c r="D125" s="134">
        <f t="shared" si="46"/>
        <v>1.46</v>
      </c>
      <c r="E125" s="134">
        <f t="shared" si="46"/>
        <v>1.46</v>
      </c>
      <c r="F125" s="134">
        <f t="shared" si="46"/>
        <v>1.46</v>
      </c>
      <c r="G125" s="134">
        <f t="shared" si="46"/>
        <v>1.46</v>
      </c>
      <c r="H125" s="134">
        <f t="shared" si="46"/>
        <v>1.46</v>
      </c>
      <c r="I125" s="134">
        <f t="shared" si="46"/>
        <v>1.46</v>
      </c>
      <c r="J125" s="134">
        <f t="shared" si="46"/>
        <v>1.46</v>
      </c>
      <c r="K125" s="134">
        <f t="shared" si="46"/>
        <v>1.46</v>
      </c>
      <c r="L125" s="134">
        <f t="shared" si="46"/>
        <v>1.46</v>
      </c>
      <c r="M125" s="134">
        <f t="shared" si="46"/>
        <v>1.46</v>
      </c>
      <c r="N125" s="134">
        <f t="shared" si="46"/>
        <v>1.46</v>
      </c>
      <c r="O125" s="134">
        <f t="shared" si="46"/>
        <v>1.46</v>
      </c>
      <c r="P125" s="134">
        <f t="shared" si="46"/>
        <v>1.46</v>
      </c>
      <c r="Q125" s="134">
        <f t="shared" si="46"/>
        <v>1.46</v>
      </c>
      <c r="R125" s="134">
        <f t="shared" si="46"/>
        <v>1.46</v>
      </c>
      <c r="S125" s="134">
        <f t="shared" ref="S125:AF126" si="47">R125</f>
        <v>1.46</v>
      </c>
      <c r="T125" s="134">
        <f t="shared" si="47"/>
        <v>1.46</v>
      </c>
      <c r="U125" s="134">
        <f t="shared" si="47"/>
        <v>1.46</v>
      </c>
      <c r="V125" s="134">
        <f t="shared" si="47"/>
        <v>1.46</v>
      </c>
      <c r="W125" s="134">
        <f t="shared" si="47"/>
        <v>1.46</v>
      </c>
      <c r="X125" s="134">
        <f t="shared" si="47"/>
        <v>1.46</v>
      </c>
      <c r="Y125" s="134">
        <f t="shared" si="47"/>
        <v>1.46</v>
      </c>
      <c r="Z125" s="134">
        <f t="shared" si="47"/>
        <v>1.46</v>
      </c>
      <c r="AA125" s="134">
        <f t="shared" si="47"/>
        <v>1.46</v>
      </c>
      <c r="AB125" s="134">
        <f t="shared" si="47"/>
        <v>1.46</v>
      </c>
      <c r="AC125" s="134">
        <f t="shared" si="47"/>
        <v>1.46</v>
      </c>
      <c r="AD125" s="134">
        <f t="shared" si="47"/>
        <v>1.46</v>
      </c>
      <c r="AE125" s="134">
        <f t="shared" si="47"/>
        <v>1.46</v>
      </c>
      <c r="AF125" s="134">
        <f t="shared" si="47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46"/>
        <v>1.48</v>
      </c>
      <c r="D126" s="134">
        <f t="shared" si="46"/>
        <v>1.48</v>
      </c>
      <c r="E126" s="134">
        <f t="shared" si="46"/>
        <v>1.48</v>
      </c>
      <c r="F126" s="134">
        <f t="shared" si="46"/>
        <v>1.48</v>
      </c>
      <c r="G126" s="134">
        <f t="shared" si="46"/>
        <v>1.48</v>
      </c>
      <c r="H126" s="134">
        <f t="shared" si="46"/>
        <v>1.48</v>
      </c>
      <c r="I126" s="134">
        <f t="shared" si="46"/>
        <v>1.48</v>
      </c>
      <c r="J126" s="134">
        <f t="shared" si="46"/>
        <v>1.48</v>
      </c>
      <c r="K126" s="134">
        <f t="shared" si="46"/>
        <v>1.48</v>
      </c>
      <c r="L126" s="134">
        <f t="shared" si="46"/>
        <v>1.48</v>
      </c>
      <c r="M126" s="134">
        <f t="shared" si="46"/>
        <v>1.48</v>
      </c>
      <c r="N126" s="134">
        <f t="shared" si="46"/>
        <v>1.48</v>
      </c>
      <c r="O126" s="134">
        <f t="shared" si="46"/>
        <v>1.48</v>
      </c>
      <c r="P126" s="134">
        <f t="shared" si="46"/>
        <v>1.48</v>
      </c>
      <c r="Q126" s="134">
        <f t="shared" si="46"/>
        <v>1.48</v>
      </c>
      <c r="R126" s="134">
        <f t="shared" si="46"/>
        <v>1.48</v>
      </c>
      <c r="S126" s="134">
        <f t="shared" si="47"/>
        <v>1.48</v>
      </c>
      <c r="T126" s="134">
        <f t="shared" si="47"/>
        <v>1.48</v>
      </c>
      <c r="U126" s="134">
        <f t="shared" si="47"/>
        <v>1.48</v>
      </c>
      <c r="V126" s="134">
        <f t="shared" si="47"/>
        <v>1.48</v>
      </c>
      <c r="W126" s="134">
        <f t="shared" si="47"/>
        <v>1.48</v>
      </c>
      <c r="X126" s="134">
        <f t="shared" si="47"/>
        <v>1.48</v>
      </c>
      <c r="Y126" s="134">
        <f t="shared" si="47"/>
        <v>1.48</v>
      </c>
      <c r="Z126" s="134">
        <f t="shared" si="47"/>
        <v>1.48</v>
      </c>
      <c r="AA126" s="134">
        <f t="shared" si="47"/>
        <v>1.48</v>
      </c>
      <c r="AB126" s="134">
        <f t="shared" si="47"/>
        <v>1.48</v>
      </c>
      <c r="AC126" s="134">
        <f t="shared" si="47"/>
        <v>1.48</v>
      </c>
      <c r="AD126" s="134">
        <f t="shared" si="47"/>
        <v>1.48</v>
      </c>
      <c r="AE126" s="134">
        <f t="shared" si="47"/>
        <v>1.48</v>
      </c>
      <c r="AF126" s="134">
        <f t="shared" si="47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48">B128</f>
        <v>2.2000000000000002</v>
      </c>
      <c r="D128" s="134">
        <f t="shared" si="48"/>
        <v>2.2000000000000002</v>
      </c>
      <c r="E128" s="134">
        <f t="shared" si="48"/>
        <v>2.2000000000000002</v>
      </c>
      <c r="F128" s="134">
        <f t="shared" si="48"/>
        <v>2.2000000000000002</v>
      </c>
      <c r="G128" s="134">
        <f t="shared" si="48"/>
        <v>2.2000000000000002</v>
      </c>
      <c r="H128" s="134">
        <f t="shared" si="48"/>
        <v>2.2000000000000002</v>
      </c>
      <c r="I128" s="134">
        <f t="shared" si="48"/>
        <v>2.2000000000000002</v>
      </c>
      <c r="J128" s="134">
        <f t="shared" si="48"/>
        <v>2.2000000000000002</v>
      </c>
      <c r="K128" s="134">
        <f t="shared" si="48"/>
        <v>2.2000000000000002</v>
      </c>
      <c r="L128" s="134">
        <f t="shared" si="48"/>
        <v>2.2000000000000002</v>
      </c>
      <c r="M128" s="134">
        <f t="shared" si="48"/>
        <v>2.2000000000000002</v>
      </c>
      <c r="N128" s="134">
        <f t="shared" si="48"/>
        <v>2.2000000000000002</v>
      </c>
      <c r="O128" s="134">
        <f t="shared" si="48"/>
        <v>2.2000000000000002</v>
      </c>
      <c r="P128" s="134">
        <f t="shared" si="48"/>
        <v>2.2000000000000002</v>
      </c>
      <c r="Q128" s="134">
        <f t="shared" si="48"/>
        <v>2.2000000000000002</v>
      </c>
      <c r="R128" s="134">
        <f t="shared" si="48"/>
        <v>2.2000000000000002</v>
      </c>
      <c r="S128" s="134">
        <f t="shared" ref="S128:AF135" si="49">R128</f>
        <v>2.2000000000000002</v>
      </c>
      <c r="T128" s="134">
        <f t="shared" si="49"/>
        <v>2.2000000000000002</v>
      </c>
      <c r="U128" s="134">
        <f t="shared" si="49"/>
        <v>2.2000000000000002</v>
      </c>
      <c r="V128" s="134">
        <f t="shared" si="49"/>
        <v>2.2000000000000002</v>
      </c>
      <c r="W128" s="134">
        <f t="shared" si="49"/>
        <v>2.2000000000000002</v>
      </c>
      <c r="X128" s="134">
        <f t="shared" si="49"/>
        <v>2.2000000000000002</v>
      </c>
      <c r="Y128" s="134">
        <f t="shared" si="49"/>
        <v>2.2000000000000002</v>
      </c>
      <c r="Z128" s="134">
        <f t="shared" si="49"/>
        <v>2.2000000000000002</v>
      </c>
      <c r="AA128" s="134">
        <f t="shared" si="49"/>
        <v>2.2000000000000002</v>
      </c>
      <c r="AB128" s="134">
        <f t="shared" si="49"/>
        <v>2.2000000000000002</v>
      </c>
      <c r="AC128" s="134">
        <f t="shared" si="49"/>
        <v>2.2000000000000002</v>
      </c>
      <c r="AD128" s="134">
        <f t="shared" si="49"/>
        <v>2.2000000000000002</v>
      </c>
      <c r="AE128" s="134">
        <f t="shared" si="49"/>
        <v>2.2000000000000002</v>
      </c>
      <c r="AF128" s="134">
        <f t="shared" si="49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48"/>
        <v>2</v>
      </c>
      <c r="D129" s="134">
        <f t="shared" si="48"/>
        <v>2</v>
      </c>
      <c r="E129" s="134">
        <f t="shared" si="48"/>
        <v>2</v>
      </c>
      <c r="F129" s="134">
        <f t="shared" si="48"/>
        <v>2</v>
      </c>
      <c r="G129" s="134">
        <f t="shared" si="48"/>
        <v>2</v>
      </c>
      <c r="H129" s="134">
        <f t="shared" si="48"/>
        <v>2</v>
      </c>
      <c r="I129" s="134">
        <f t="shared" si="48"/>
        <v>2</v>
      </c>
      <c r="J129" s="134">
        <f t="shared" si="48"/>
        <v>2</v>
      </c>
      <c r="K129" s="134">
        <f t="shared" si="48"/>
        <v>2</v>
      </c>
      <c r="L129" s="134">
        <f t="shared" si="48"/>
        <v>2</v>
      </c>
      <c r="M129" s="134">
        <f t="shared" si="48"/>
        <v>2</v>
      </c>
      <c r="N129" s="134">
        <f t="shared" si="48"/>
        <v>2</v>
      </c>
      <c r="O129" s="134">
        <f t="shared" si="48"/>
        <v>2</v>
      </c>
      <c r="P129" s="134">
        <f t="shared" si="48"/>
        <v>2</v>
      </c>
      <c r="Q129" s="134">
        <f t="shared" si="48"/>
        <v>2</v>
      </c>
      <c r="R129" s="134">
        <f t="shared" si="48"/>
        <v>2</v>
      </c>
      <c r="S129" s="134">
        <f t="shared" si="49"/>
        <v>2</v>
      </c>
      <c r="T129" s="134">
        <f t="shared" si="49"/>
        <v>2</v>
      </c>
      <c r="U129" s="134">
        <f t="shared" si="49"/>
        <v>2</v>
      </c>
      <c r="V129" s="134">
        <f t="shared" si="49"/>
        <v>2</v>
      </c>
      <c r="W129" s="134">
        <f t="shared" si="49"/>
        <v>2</v>
      </c>
      <c r="X129" s="134">
        <f t="shared" si="49"/>
        <v>2</v>
      </c>
      <c r="Y129" s="134">
        <f t="shared" si="49"/>
        <v>2</v>
      </c>
      <c r="Z129" s="134">
        <f t="shared" si="49"/>
        <v>2</v>
      </c>
      <c r="AA129" s="134">
        <f t="shared" si="49"/>
        <v>2</v>
      </c>
      <c r="AB129" s="134">
        <f t="shared" si="49"/>
        <v>2</v>
      </c>
      <c r="AC129" s="134">
        <f t="shared" si="49"/>
        <v>2</v>
      </c>
      <c r="AD129" s="134">
        <f t="shared" si="49"/>
        <v>2</v>
      </c>
      <c r="AE129" s="134">
        <f t="shared" si="49"/>
        <v>2</v>
      </c>
      <c r="AF129" s="134">
        <f t="shared" si="49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48"/>
        <v>1.25</v>
      </c>
      <c r="D130" s="134">
        <f t="shared" si="48"/>
        <v>1.25</v>
      </c>
      <c r="E130" s="134">
        <f t="shared" si="48"/>
        <v>1.25</v>
      </c>
      <c r="F130" s="134">
        <f t="shared" si="48"/>
        <v>1.25</v>
      </c>
      <c r="G130" s="134">
        <f t="shared" si="48"/>
        <v>1.25</v>
      </c>
      <c r="H130" s="134">
        <f t="shared" si="48"/>
        <v>1.25</v>
      </c>
      <c r="I130" s="134">
        <f t="shared" si="48"/>
        <v>1.25</v>
      </c>
      <c r="J130" s="134">
        <f t="shared" si="48"/>
        <v>1.25</v>
      </c>
      <c r="K130" s="134">
        <f t="shared" si="48"/>
        <v>1.25</v>
      </c>
      <c r="L130" s="134">
        <f t="shared" si="48"/>
        <v>1.25</v>
      </c>
      <c r="M130" s="134">
        <f t="shared" si="48"/>
        <v>1.25</v>
      </c>
      <c r="N130" s="134">
        <f t="shared" si="48"/>
        <v>1.25</v>
      </c>
      <c r="O130" s="134">
        <f t="shared" si="48"/>
        <v>1.25</v>
      </c>
      <c r="P130" s="134">
        <f t="shared" si="48"/>
        <v>1.25</v>
      </c>
      <c r="Q130" s="134">
        <f t="shared" si="48"/>
        <v>1.25</v>
      </c>
      <c r="R130" s="134">
        <f t="shared" si="48"/>
        <v>1.25</v>
      </c>
      <c r="S130" s="134">
        <f t="shared" si="49"/>
        <v>1.25</v>
      </c>
      <c r="T130" s="134">
        <f t="shared" si="49"/>
        <v>1.25</v>
      </c>
      <c r="U130" s="134">
        <f t="shared" si="49"/>
        <v>1.25</v>
      </c>
      <c r="V130" s="134">
        <f t="shared" si="49"/>
        <v>1.25</v>
      </c>
      <c r="W130" s="134">
        <f t="shared" si="49"/>
        <v>1.25</v>
      </c>
      <c r="X130" s="134">
        <f t="shared" si="49"/>
        <v>1.25</v>
      </c>
      <c r="Y130" s="134">
        <f t="shared" si="49"/>
        <v>1.25</v>
      </c>
      <c r="Z130" s="134">
        <f t="shared" si="49"/>
        <v>1.25</v>
      </c>
      <c r="AA130" s="134">
        <f t="shared" si="49"/>
        <v>1.25</v>
      </c>
      <c r="AB130" s="134">
        <f t="shared" si="49"/>
        <v>1.25</v>
      </c>
      <c r="AC130" s="134">
        <f t="shared" si="49"/>
        <v>1.25</v>
      </c>
      <c r="AD130" s="134">
        <f t="shared" si="49"/>
        <v>1.25</v>
      </c>
      <c r="AE130" s="134">
        <f t="shared" si="49"/>
        <v>1.25</v>
      </c>
      <c r="AF130" s="134">
        <f t="shared" si="49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48"/>
        <v>1.1499999999999999</v>
      </c>
      <c r="D131" s="134">
        <f t="shared" si="48"/>
        <v>1.1499999999999999</v>
      </c>
      <c r="E131" s="134">
        <f t="shared" si="48"/>
        <v>1.1499999999999999</v>
      </c>
      <c r="F131" s="134">
        <f t="shared" si="48"/>
        <v>1.1499999999999999</v>
      </c>
      <c r="G131" s="134">
        <f t="shared" si="48"/>
        <v>1.1499999999999999</v>
      </c>
      <c r="H131" s="134">
        <f t="shared" si="48"/>
        <v>1.1499999999999999</v>
      </c>
      <c r="I131" s="134">
        <f t="shared" si="48"/>
        <v>1.1499999999999999</v>
      </c>
      <c r="J131" s="134">
        <f t="shared" si="48"/>
        <v>1.1499999999999999</v>
      </c>
      <c r="K131" s="134">
        <f t="shared" si="48"/>
        <v>1.1499999999999999</v>
      </c>
      <c r="L131" s="134">
        <f t="shared" si="48"/>
        <v>1.1499999999999999</v>
      </c>
      <c r="M131" s="134">
        <f t="shared" si="48"/>
        <v>1.1499999999999999</v>
      </c>
      <c r="N131" s="134">
        <f t="shared" si="48"/>
        <v>1.1499999999999999</v>
      </c>
      <c r="O131" s="134">
        <f t="shared" si="48"/>
        <v>1.1499999999999999</v>
      </c>
      <c r="P131" s="134">
        <f t="shared" si="48"/>
        <v>1.1499999999999999</v>
      </c>
      <c r="Q131" s="134">
        <f t="shared" si="48"/>
        <v>1.1499999999999999</v>
      </c>
      <c r="R131" s="134">
        <f t="shared" si="48"/>
        <v>1.1499999999999999</v>
      </c>
      <c r="S131" s="134">
        <f t="shared" si="49"/>
        <v>1.1499999999999999</v>
      </c>
      <c r="T131" s="134">
        <f t="shared" si="49"/>
        <v>1.1499999999999999</v>
      </c>
      <c r="U131" s="134">
        <f t="shared" si="49"/>
        <v>1.1499999999999999</v>
      </c>
      <c r="V131" s="134">
        <f t="shared" si="49"/>
        <v>1.1499999999999999</v>
      </c>
      <c r="W131" s="134">
        <f t="shared" si="49"/>
        <v>1.1499999999999999</v>
      </c>
      <c r="X131" s="134">
        <f t="shared" si="49"/>
        <v>1.1499999999999999</v>
      </c>
      <c r="Y131" s="134">
        <f t="shared" si="49"/>
        <v>1.1499999999999999</v>
      </c>
      <c r="Z131" s="134">
        <f t="shared" si="49"/>
        <v>1.1499999999999999</v>
      </c>
      <c r="AA131" s="134">
        <f t="shared" si="49"/>
        <v>1.1499999999999999</v>
      </c>
      <c r="AB131" s="134">
        <f t="shared" si="49"/>
        <v>1.1499999999999999</v>
      </c>
      <c r="AC131" s="134">
        <f t="shared" si="49"/>
        <v>1.1499999999999999</v>
      </c>
      <c r="AD131" s="134">
        <f t="shared" si="49"/>
        <v>1.1499999999999999</v>
      </c>
      <c r="AE131" s="134">
        <f t="shared" si="49"/>
        <v>1.1499999999999999</v>
      </c>
      <c r="AF131" s="134">
        <f t="shared" si="49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48"/>
        <v>2.133</v>
      </c>
      <c r="D132" s="134">
        <f t="shared" si="48"/>
        <v>2.133</v>
      </c>
      <c r="E132" s="134">
        <f t="shared" si="48"/>
        <v>2.133</v>
      </c>
      <c r="F132" s="134">
        <f t="shared" si="48"/>
        <v>2.133</v>
      </c>
      <c r="G132" s="134">
        <f t="shared" si="48"/>
        <v>2.133</v>
      </c>
      <c r="H132" s="134">
        <f t="shared" si="48"/>
        <v>2.133</v>
      </c>
      <c r="I132" s="134">
        <f t="shared" si="48"/>
        <v>2.133</v>
      </c>
      <c r="J132" s="134">
        <f t="shared" si="48"/>
        <v>2.133</v>
      </c>
      <c r="K132" s="134">
        <f t="shared" si="48"/>
        <v>2.133</v>
      </c>
      <c r="L132" s="134">
        <f t="shared" si="48"/>
        <v>2.133</v>
      </c>
      <c r="M132" s="134">
        <f t="shared" si="48"/>
        <v>2.133</v>
      </c>
      <c r="N132" s="134">
        <f t="shared" si="48"/>
        <v>2.133</v>
      </c>
      <c r="O132" s="134">
        <f t="shared" si="48"/>
        <v>2.133</v>
      </c>
      <c r="P132" s="134">
        <f t="shared" si="48"/>
        <v>2.133</v>
      </c>
      <c r="Q132" s="134">
        <f t="shared" si="48"/>
        <v>2.133</v>
      </c>
      <c r="R132" s="134">
        <f t="shared" si="48"/>
        <v>2.133</v>
      </c>
      <c r="S132" s="134">
        <f t="shared" si="49"/>
        <v>2.133</v>
      </c>
      <c r="T132" s="134">
        <f t="shared" si="49"/>
        <v>2.133</v>
      </c>
      <c r="U132" s="134">
        <f t="shared" si="49"/>
        <v>2.133</v>
      </c>
      <c r="V132" s="134">
        <f t="shared" si="49"/>
        <v>2.133</v>
      </c>
      <c r="W132" s="134">
        <f t="shared" si="49"/>
        <v>2.133</v>
      </c>
      <c r="X132" s="134">
        <f t="shared" si="49"/>
        <v>2.133</v>
      </c>
      <c r="Y132" s="134">
        <f t="shared" si="49"/>
        <v>2.133</v>
      </c>
      <c r="Z132" s="134">
        <f t="shared" si="49"/>
        <v>2.133</v>
      </c>
      <c r="AA132" s="134">
        <f t="shared" si="49"/>
        <v>2.133</v>
      </c>
      <c r="AB132" s="134">
        <f t="shared" si="49"/>
        <v>2.133</v>
      </c>
      <c r="AC132" s="134">
        <f t="shared" si="49"/>
        <v>2.133</v>
      </c>
      <c r="AD132" s="134">
        <f t="shared" si="49"/>
        <v>2.133</v>
      </c>
      <c r="AE132" s="134">
        <f t="shared" si="49"/>
        <v>2.133</v>
      </c>
      <c r="AF132" s="134">
        <f t="shared" si="49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48"/>
        <v>2.09</v>
      </c>
      <c r="D133" s="134">
        <f t="shared" si="48"/>
        <v>2.09</v>
      </c>
      <c r="E133" s="134">
        <f t="shared" si="48"/>
        <v>2.09</v>
      </c>
      <c r="F133" s="134">
        <f t="shared" si="48"/>
        <v>2.09</v>
      </c>
      <c r="G133" s="134">
        <f t="shared" si="48"/>
        <v>2.09</v>
      </c>
      <c r="H133" s="134">
        <f t="shared" si="48"/>
        <v>2.09</v>
      </c>
      <c r="I133" s="134">
        <f t="shared" si="48"/>
        <v>2.09</v>
      </c>
      <c r="J133" s="134">
        <f t="shared" si="48"/>
        <v>2.09</v>
      </c>
      <c r="K133" s="134">
        <f t="shared" si="48"/>
        <v>2.09</v>
      </c>
      <c r="L133" s="134">
        <f t="shared" si="48"/>
        <v>2.09</v>
      </c>
      <c r="M133" s="134">
        <f t="shared" si="48"/>
        <v>2.09</v>
      </c>
      <c r="N133" s="134">
        <f t="shared" si="48"/>
        <v>2.09</v>
      </c>
      <c r="O133" s="134">
        <f t="shared" si="48"/>
        <v>2.09</v>
      </c>
      <c r="P133" s="134">
        <f t="shared" si="48"/>
        <v>2.09</v>
      </c>
      <c r="Q133" s="134">
        <f t="shared" si="48"/>
        <v>2.09</v>
      </c>
      <c r="R133" s="134">
        <f t="shared" si="48"/>
        <v>2.09</v>
      </c>
      <c r="S133" s="134">
        <f t="shared" si="49"/>
        <v>2.09</v>
      </c>
      <c r="T133" s="134">
        <f t="shared" si="49"/>
        <v>2.09</v>
      </c>
      <c r="U133" s="134">
        <f t="shared" si="49"/>
        <v>2.09</v>
      </c>
      <c r="V133" s="134">
        <f t="shared" si="49"/>
        <v>2.09</v>
      </c>
      <c r="W133" s="134">
        <f t="shared" si="49"/>
        <v>2.09</v>
      </c>
      <c r="X133" s="134">
        <f t="shared" si="49"/>
        <v>2.09</v>
      </c>
      <c r="Y133" s="134">
        <f t="shared" si="49"/>
        <v>2.09</v>
      </c>
      <c r="Z133" s="134">
        <f t="shared" si="49"/>
        <v>2.09</v>
      </c>
      <c r="AA133" s="134">
        <f t="shared" si="49"/>
        <v>2.09</v>
      </c>
      <c r="AB133" s="134">
        <f t="shared" si="49"/>
        <v>2.09</v>
      </c>
      <c r="AC133" s="134">
        <f t="shared" si="49"/>
        <v>2.09</v>
      </c>
      <c r="AD133" s="134">
        <f t="shared" si="49"/>
        <v>2.09</v>
      </c>
      <c r="AE133" s="134">
        <f t="shared" si="49"/>
        <v>2.09</v>
      </c>
      <c r="AF133" s="134">
        <f t="shared" si="49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48"/>
        <v>1.1399999999999999</v>
      </c>
      <c r="D134" s="134">
        <f t="shared" si="48"/>
        <v>1.1399999999999999</v>
      </c>
      <c r="E134" s="134">
        <f t="shared" si="48"/>
        <v>1.1399999999999999</v>
      </c>
      <c r="F134" s="134">
        <f t="shared" si="48"/>
        <v>1.1399999999999999</v>
      </c>
      <c r="G134" s="134">
        <f t="shared" si="48"/>
        <v>1.1399999999999999</v>
      </c>
      <c r="H134" s="134">
        <f t="shared" si="48"/>
        <v>1.1399999999999999</v>
      </c>
      <c r="I134" s="134">
        <f t="shared" si="48"/>
        <v>1.1399999999999999</v>
      </c>
      <c r="J134" s="134">
        <f t="shared" si="48"/>
        <v>1.1399999999999999</v>
      </c>
      <c r="K134" s="134">
        <f t="shared" si="48"/>
        <v>1.1399999999999999</v>
      </c>
      <c r="L134" s="134">
        <f t="shared" si="48"/>
        <v>1.1399999999999999</v>
      </c>
      <c r="M134" s="134">
        <f t="shared" si="48"/>
        <v>1.1399999999999999</v>
      </c>
      <c r="N134" s="134">
        <f t="shared" si="48"/>
        <v>1.1399999999999999</v>
      </c>
      <c r="O134" s="134">
        <f t="shared" si="48"/>
        <v>1.1399999999999999</v>
      </c>
      <c r="P134" s="134">
        <f t="shared" si="48"/>
        <v>1.1399999999999999</v>
      </c>
      <c r="Q134" s="134">
        <f t="shared" si="48"/>
        <v>1.1399999999999999</v>
      </c>
      <c r="R134" s="134">
        <f t="shared" si="48"/>
        <v>1.1399999999999999</v>
      </c>
      <c r="S134" s="134">
        <f t="shared" si="49"/>
        <v>1.1399999999999999</v>
      </c>
      <c r="T134" s="134">
        <f t="shared" si="49"/>
        <v>1.1399999999999999</v>
      </c>
      <c r="U134" s="134">
        <f t="shared" si="49"/>
        <v>1.1399999999999999</v>
      </c>
      <c r="V134" s="134">
        <f t="shared" si="49"/>
        <v>1.1399999999999999</v>
      </c>
      <c r="W134" s="134">
        <f t="shared" si="49"/>
        <v>1.1399999999999999</v>
      </c>
      <c r="X134" s="134">
        <f t="shared" si="49"/>
        <v>1.1399999999999999</v>
      </c>
      <c r="Y134" s="134">
        <f t="shared" si="49"/>
        <v>1.1399999999999999</v>
      </c>
      <c r="Z134" s="134">
        <f t="shared" si="49"/>
        <v>1.1399999999999999</v>
      </c>
      <c r="AA134" s="134">
        <f t="shared" si="49"/>
        <v>1.1399999999999999</v>
      </c>
      <c r="AB134" s="134">
        <f t="shared" si="49"/>
        <v>1.1399999999999999</v>
      </c>
      <c r="AC134" s="134">
        <f t="shared" si="49"/>
        <v>1.1399999999999999</v>
      </c>
      <c r="AD134" s="134">
        <f t="shared" si="49"/>
        <v>1.1399999999999999</v>
      </c>
      <c r="AE134" s="134">
        <f t="shared" si="49"/>
        <v>1.1399999999999999</v>
      </c>
      <c r="AF134" s="134">
        <f t="shared" si="49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48"/>
        <v>0.82</v>
      </c>
      <c r="D135" s="134">
        <f t="shared" si="48"/>
        <v>0.82</v>
      </c>
      <c r="E135" s="134">
        <f t="shared" si="48"/>
        <v>0.82</v>
      </c>
      <c r="F135" s="134">
        <f t="shared" si="48"/>
        <v>0.82</v>
      </c>
      <c r="G135" s="134">
        <f t="shared" si="48"/>
        <v>0.82</v>
      </c>
      <c r="H135" s="134">
        <f t="shared" si="48"/>
        <v>0.82</v>
      </c>
      <c r="I135" s="134">
        <f t="shared" si="48"/>
        <v>0.82</v>
      </c>
      <c r="J135" s="134">
        <f t="shared" si="48"/>
        <v>0.82</v>
      </c>
      <c r="K135" s="134">
        <f t="shared" si="48"/>
        <v>0.82</v>
      </c>
      <c r="L135" s="134">
        <f t="shared" si="48"/>
        <v>0.82</v>
      </c>
      <c r="M135" s="134">
        <f t="shared" si="48"/>
        <v>0.82</v>
      </c>
      <c r="N135" s="134">
        <f t="shared" si="48"/>
        <v>0.82</v>
      </c>
      <c r="O135" s="134">
        <f t="shared" si="48"/>
        <v>0.82</v>
      </c>
      <c r="P135" s="134">
        <f t="shared" si="48"/>
        <v>0.82</v>
      </c>
      <c r="Q135" s="134">
        <f t="shared" si="48"/>
        <v>0.82</v>
      </c>
      <c r="R135" s="134">
        <f t="shared" si="48"/>
        <v>0.82</v>
      </c>
      <c r="S135" s="134">
        <f t="shared" si="49"/>
        <v>0.82</v>
      </c>
      <c r="T135" s="134">
        <f t="shared" si="49"/>
        <v>0.82</v>
      </c>
      <c r="U135" s="134">
        <f t="shared" si="49"/>
        <v>0.82</v>
      </c>
      <c r="V135" s="134">
        <f t="shared" si="49"/>
        <v>0.82</v>
      </c>
      <c r="W135" s="134">
        <f t="shared" si="49"/>
        <v>0.82</v>
      </c>
      <c r="X135" s="134">
        <f t="shared" si="49"/>
        <v>0.82</v>
      </c>
      <c r="Y135" s="134">
        <f t="shared" si="49"/>
        <v>0.82</v>
      </c>
      <c r="Z135" s="134">
        <f t="shared" si="49"/>
        <v>0.82</v>
      </c>
      <c r="AA135" s="134">
        <f t="shared" si="49"/>
        <v>0.82</v>
      </c>
      <c r="AB135" s="134">
        <f t="shared" si="49"/>
        <v>0.82</v>
      </c>
      <c r="AC135" s="134">
        <f t="shared" si="49"/>
        <v>0.82</v>
      </c>
      <c r="AD135" s="134">
        <f t="shared" si="49"/>
        <v>0.82</v>
      </c>
      <c r="AE135" s="134">
        <f t="shared" si="49"/>
        <v>0.82</v>
      </c>
      <c r="AF135" s="134">
        <f t="shared" si="49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50">B137</f>
        <v>2</v>
      </c>
      <c r="D137" s="134">
        <f t="shared" si="50"/>
        <v>2</v>
      </c>
      <c r="E137" s="134">
        <f t="shared" si="50"/>
        <v>2</v>
      </c>
      <c r="F137" s="134">
        <f t="shared" si="50"/>
        <v>2</v>
      </c>
      <c r="G137" s="134">
        <f t="shared" si="50"/>
        <v>2</v>
      </c>
      <c r="H137" s="134">
        <f t="shared" si="50"/>
        <v>2</v>
      </c>
      <c r="I137" s="134">
        <f t="shared" si="50"/>
        <v>2</v>
      </c>
      <c r="J137" s="134">
        <f t="shared" si="50"/>
        <v>2</v>
      </c>
      <c r="K137" s="134">
        <f t="shared" si="50"/>
        <v>2</v>
      </c>
      <c r="L137" s="134">
        <f t="shared" si="50"/>
        <v>2</v>
      </c>
      <c r="M137" s="134">
        <f t="shared" si="50"/>
        <v>2</v>
      </c>
      <c r="N137" s="134">
        <f t="shared" si="50"/>
        <v>2</v>
      </c>
      <c r="O137" s="134">
        <f t="shared" si="50"/>
        <v>2</v>
      </c>
      <c r="P137" s="134">
        <f t="shared" si="50"/>
        <v>2</v>
      </c>
      <c r="Q137" s="134">
        <f t="shared" si="50"/>
        <v>2</v>
      </c>
      <c r="R137" s="134">
        <f t="shared" si="50"/>
        <v>2</v>
      </c>
      <c r="S137" s="134">
        <f t="shared" ref="S137:AF143" si="51">R137</f>
        <v>2</v>
      </c>
      <c r="T137" s="134">
        <f t="shared" si="51"/>
        <v>2</v>
      </c>
      <c r="U137" s="134">
        <f t="shared" si="51"/>
        <v>2</v>
      </c>
      <c r="V137" s="134">
        <f t="shared" si="51"/>
        <v>2</v>
      </c>
      <c r="W137" s="134">
        <f t="shared" si="51"/>
        <v>2</v>
      </c>
      <c r="X137" s="134">
        <f t="shared" si="51"/>
        <v>2</v>
      </c>
      <c r="Y137" s="134">
        <f t="shared" si="51"/>
        <v>2</v>
      </c>
      <c r="Z137" s="134">
        <f t="shared" si="51"/>
        <v>2</v>
      </c>
      <c r="AA137" s="134">
        <f t="shared" si="51"/>
        <v>2</v>
      </c>
      <c r="AB137" s="134">
        <f t="shared" si="51"/>
        <v>2</v>
      </c>
      <c r="AC137" s="134">
        <f t="shared" si="51"/>
        <v>2</v>
      </c>
      <c r="AD137" s="134">
        <f t="shared" si="51"/>
        <v>2</v>
      </c>
      <c r="AE137" s="134">
        <f t="shared" si="51"/>
        <v>2</v>
      </c>
      <c r="AF137" s="134">
        <f t="shared" si="51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50"/>
        <v>5.61</v>
      </c>
      <c r="D138" s="134">
        <f t="shared" si="50"/>
        <v>5.61</v>
      </c>
      <c r="E138" s="134">
        <f t="shared" si="50"/>
        <v>5.61</v>
      </c>
      <c r="F138" s="134">
        <f t="shared" si="50"/>
        <v>5.61</v>
      </c>
      <c r="G138" s="134">
        <f t="shared" si="50"/>
        <v>5.61</v>
      </c>
      <c r="H138" s="134">
        <f t="shared" si="50"/>
        <v>5.61</v>
      </c>
      <c r="I138" s="134">
        <f t="shared" si="50"/>
        <v>5.61</v>
      </c>
      <c r="J138" s="134">
        <f t="shared" si="50"/>
        <v>5.61</v>
      </c>
      <c r="K138" s="134">
        <f t="shared" si="50"/>
        <v>5.61</v>
      </c>
      <c r="L138" s="134">
        <f t="shared" si="50"/>
        <v>5.61</v>
      </c>
      <c r="M138" s="134">
        <f t="shared" si="50"/>
        <v>5.61</v>
      </c>
      <c r="N138" s="134">
        <f t="shared" si="50"/>
        <v>5.61</v>
      </c>
      <c r="O138" s="134">
        <f t="shared" si="50"/>
        <v>5.61</v>
      </c>
      <c r="P138" s="134">
        <f t="shared" si="50"/>
        <v>5.61</v>
      </c>
      <c r="Q138" s="134">
        <f t="shared" si="50"/>
        <v>5.61</v>
      </c>
      <c r="R138" s="134">
        <f t="shared" si="50"/>
        <v>5.61</v>
      </c>
      <c r="S138" s="134">
        <f t="shared" si="51"/>
        <v>5.61</v>
      </c>
      <c r="T138" s="134">
        <f t="shared" si="51"/>
        <v>5.61</v>
      </c>
      <c r="U138" s="134">
        <f t="shared" si="51"/>
        <v>5.61</v>
      </c>
      <c r="V138" s="134">
        <f t="shared" si="51"/>
        <v>5.61</v>
      </c>
      <c r="W138" s="134">
        <f t="shared" si="51"/>
        <v>5.61</v>
      </c>
      <c r="X138" s="134">
        <f t="shared" si="51"/>
        <v>5.61</v>
      </c>
      <c r="Y138" s="134">
        <f t="shared" si="51"/>
        <v>5.61</v>
      </c>
      <c r="Z138" s="134">
        <f t="shared" si="51"/>
        <v>5.61</v>
      </c>
      <c r="AA138" s="134">
        <f t="shared" si="51"/>
        <v>5.61</v>
      </c>
      <c r="AB138" s="134">
        <f t="shared" si="51"/>
        <v>5.61</v>
      </c>
      <c r="AC138" s="134">
        <f t="shared" si="51"/>
        <v>5.61</v>
      </c>
      <c r="AD138" s="134">
        <f t="shared" si="51"/>
        <v>5.61</v>
      </c>
      <c r="AE138" s="134">
        <f t="shared" si="51"/>
        <v>5.61</v>
      </c>
      <c r="AF138" s="134">
        <f t="shared" si="51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50"/>
        <v>1.25</v>
      </c>
      <c r="D139" s="134">
        <f t="shared" si="50"/>
        <v>1.25</v>
      </c>
      <c r="E139" s="134">
        <f t="shared" si="50"/>
        <v>1.25</v>
      </c>
      <c r="F139" s="134">
        <f t="shared" si="50"/>
        <v>1.25</v>
      </c>
      <c r="G139" s="134">
        <f t="shared" si="50"/>
        <v>1.25</v>
      </c>
      <c r="H139" s="134">
        <f t="shared" si="50"/>
        <v>1.25</v>
      </c>
      <c r="I139" s="134">
        <f t="shared" si="50"/>
        <v>1.25</v>
      </c>
      <c r="J139" s="134">
        <f t="shared" si="50"/>
        <v>1.25</v>
      </c>
      <c r="K139" s="134">
        <f t="shared" si="50"/>
        <v>1.25</v>
      </c>
      <c r="L139" s="134">
        <f t="shared" si="50"/>
        <v>1.25</v>
      </c>
      <c r="M139" s="134">
        <f t="shared" si="50"/>
        <v>1.25</v>
      </c>
      <c r="N139" s="134">
        <f t="shared" si="50"/>
        <v>1.25</v>
      </c>
      <c r="O139" s="134">
        <f t="shared" si="50"/>
        <v>1.25</v>
      </c>
      <c r="P139" s="134">
        <f t="shared" si="50"/>
        <v>1.25</v>
      </c>
      <c r="Q139" s="134">
        <f t="shared" si="50"/>
        <v>1.25</v>
      </c>
      <c r="R139" s="134">
        <f t="shared" si="50"/>
        <v>1.25</v>
      </c>
      <c r="S139" s="134">
        <f t="shared" si="51"/>
        <v>1.25</v>
      </c>
      <c r="T139" s="134">
        <f t="shared" si="51"/>
        <v>1.25</v>
      </c>
      <c r="U139" s="134">
        <f t="shared" si="51"/>
        <v>1.25</v>
      </c>
      <c r="V139" s="134">
        <f t="shared" si="51"/>
        <v>1.25</v>
      </c>
      <c r="W139" s="134">
        <f t="shared" si="51"/>
        <v>1.25</v>
      </c>
      <c r="X139" s="134">
        <f t="shared" si="51"/>
        <v>1.25</v>
      </c>
      <c r="Y139" s="134">
        <f t="shared" si="51"/>
        <v>1.25</v>
      </c>
      <c r="Z139" s="134">
        <f t="shared" si="51"/>
        <v>1.25</v>
      </c>
      <c r="AA139" s="134">
        <f t="shared" si="51"/>
        <v>1.25</v>
      </c>
      <c r="AB139" s="134">
        <f t="shared" si="51"/>
        <v>1.25</v>
      </c>
      <c r="AC139" s="134">
        <f t="shared" si="51"/>
        <v>1.25</v>
      </c>
      <c r="AD139" s="134">
        <f t="shared" si="51"/>
        <v>1.25</v>
      </c>
      <c r="AE139" s="134">
        <f t="shared" si="51"/>
        <v>1.25</v>
      </c>
      <c r="AF139" s="134">
        <f t="shared" si="51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50"/>
        <v>1.25</v>
      </c>
      <c r="D140" s="134">
        <f t="shared" si="50"/>
        <v>1.25</v>
      </c>
      <c r="E140" s="134">
        <f t="shared" si="50"/>
        <v>1.25</v>
      </c>
      <c r="F140" s="134">
        <f t="shared" si="50"/>
        <v>1.25</v>
      </c>
      <c r="G140" s="134">
        <f t="shared" si="50"/>
        <v>1.25</v>
      </c>
      <c r="H140" s="134">
        <f t="shared" si="50"/>
        <v>1.25</v>
      </c>
      <c r="I140" s="134">
        <f t="shared" si="50"/>
        <v>1.25</v>
      </c>
      <c r="J140" s="134">
        <f t="shared" si="50"/>
        <v>1.25</v>
      </c>
      <c r="K140" s="134">
        <f t="shared" si="50"/>
        <v>1.25</v>
      </c>
      <c r="L140" s="134">
        <f t="shared" si="50"/>
        <v>1.25</v>
      </c>
      <c r="M140" s="134">
        <f t="shared" si="50"/>
        <v>1.25</v>
      </c>
      <c r="N140" s="134">
        <f t="shared" si="50"/>
        <v>1.25</v>
      </c>
      <c r="O140" s="134">
        <f t="shared" si="50"/>
        <v>1.25</v>
      </c>
      <c r="P140" s="134">
        <f t="shared" si="50"/>
        <v>1.25</v>
      </c>
      <c r="Q140" s="134">
        <f t="shared" si="50"/>
        <v>1.25</v>
      </c>
      <c r="R140" s="134">
        <f t="shared" si="50"/>
        <v>1.25</v>
      </c>
      <c r="S140" s="134">
        <f t="shared" si="51"/>
        <v>1.25</v>
      </c>
      <c r="T140" s="134">
        <f t="shared" si="51"/>
        <v>1.25</v>
      </c>
      <c r="U140" s="134">
        <f t="shared" si="51"/>
        <v>1.25</v>
      </c>
      <c r="V140" s="134">
        <f t="shared" si="51"/>
        <v>1.25</v>
      </c>
      <c r="W140" s="134">
        <f t="shared" si="51"/>
        <v>1.25</v>
      </c>
      <c r="X140" s="134">
        <f t="shared" si="51"/>
        <v>1.25</v>
      </c>
      <c r="Y140" s="134">
        <f t="shared" si="51"/>
        <v>1.25</v>
      </c>
      <c r="Z140" s="134">
        <f t="shared" si="51"/>
        <v>1.25</v>
      </c>
      <c r="AA140" s="134">
        <f t="shared" si="51"/>
        <v>1.25</v>
      </c>
      <c r="AB140" s="134">
        <f t="shared" si="51"/>
        <v>1.25</v>
      </c>
      <c r="AC140" s="134">
        <f t="shared" si="51"/>
        <v>1.25</v>
      </c>
      <c r="AD140" s="134">
        <f t="shared" si="51"/>
        <v>1.25</v>
      </c>
      <c r="AE140" s="134">
        <f t="shared" si="51"/>
        <v>1.25</v>
      </c>
      <c r="AF140" s="134">
        <f t="shared" si="51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50"/>
        <v>1.46</v>
      </c>
      <c r="D141" s="134">
        <f t="shared" si="50"/>
        <v>1.46</v>
      </c>
      <c r="E141" s="134">
        <f t="shared" si="50"/>
        <v>1.46</v>
      </c>
      <c r="F141" s="134">
        <f t="shared" si="50"/>
        <v>1.46</v>
      </c>
      <c r="G141" s="134">
        <f t="shared" si="50"/>
        <v>1.46</v>
      </c>
      <c r="H141" s="134">
        <f t="shared" si="50"/>
        <v>1.46</v>
      </c>
      <c r="I141" s="134">
        <f t="shared" si="50"/>
        <v>1.46</v>
      </c>
      <c r="J141" s="134">
        <f t="shared" si="50"/>
        <v>1.46</v>
      </c>
      <c r="K141" s="134">
        <f t="shared" si="50"/>
        <v>1.46</v>
      </c>
      <c r="L141" s="134">
        <f t="shared" si="50"/>
        <v>1.46</v>
      </c>
      <c r="M141" s="134">
        <f t="shared" si="50"/>
        <v>1.46</v>
      </c>
      <c r="N141" s="134">
        <f t="shared" si="50"/>
        <v>1.46</v>
      </c>
      <c r="O141" s="134">
        <f t="shared" si="50"/>
        <v>1.46</v>
      </c>
      <c r="P141" s="134">
        <f t="shared" si="50"/>
        <v>1.46</v>
      </c>
      <c r="Q141" s="134">
        <f t="shared" si="50"/>
        <v>1.46</v>
      </c>
      <c r="R141" s="134">
        <f t="shared" si="50"/>
        <v>1.46</v>
      </c>
      <c r="S141" s="134">
        <f t="shared" si="51"/>
        <v>1.46</v>
      </c>
      <c r="T141" s="134">
        <f t="shared" si="51"/>
        <v>1.46</v>
      </c>
      <c r="U141" s="134">
        <f t="shared" si="51"/>
        <v>1.46</v>
      </c>
      <c r="V141" s="134">
        <f t="shared" si="51"/>
        <v>1.46</v>
      </c>
      <c r="W141" s="134">
        <f t="shared" si="51"/>
        <v>1.46</v>
      </c>
      <c r="X141" s="134">
        <f t="shared" si="51"/>
        <v>1.46</v>
      </c>
      <c r="Y141" s="134">
        <f t="shared" si="51"/>
        <v>1.46</v>
      </c>
      <c r="Z141" s="134">
        <f t="shared" si="51"/>
        <v>1.46</v>
      </c>
      <c r="AA141" s="134">
        <f t="shared" si="51"/>
        <v>1.46</v>
      </c>
      <c r="AB141" s="134">
        <f t="shared" si="51"/>
        <v>1.46</v>
      </c>
      <c r="AC141" s="134">
        <f t="shared" si="51"/>
        <v>1.46</v>
      </c>
      <c r="AD141" s="134">
        <f t="shared" si="51"/>
        <v>1.46</v>
      </c>
      <c r="AE141" s="134">
        <f t="shared" si="51"/>
        <v>1.46</v>
      </c>
      <c r="AF141" s="134">
        <f t="shared" si="51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50"/>
        <v>3</v>
      </c>
      <c r="D142" s="134">
        <f t="shared" si="50"/>
        <v>3</v>
      </c>
      <c r="E142" s="134">
        <f t="shared" si="50"/>
        <v>3</v>
      </c>
      <c r="F142" s="134">
        <f t="shared" si="50"/>
        <v>3</v>
      </c>
      <c r="G142" s="134">
        <f t="shared" si="50"/>
        <v>3</v>
      </c>
      <c r="H142" s="134">
        <f t="shared" si="50"/>
        <v>3</v>
      </c>
      <c r="I142" s="134">
        <f t="shared" si="50"/>
        <v>3</v>
      </c>
      <c r="J142" s="134">
        <f t="shared" si="50"/>
        <v>3</v>
      </c>
      <c r="K142" s="134">
        <f t="shared" si="50"/>
        <v>3</v>
      </c>
      <c r="L142" s="134">
        <f t="shared" si="50"/>
        <v>3</v>
      </c>
      <c r="M142" s="134">
        <f t="shared" si="50"/>
        <v>3</v>
      </c>
      <c r="N142" s="134">
        <f t="shared" si="50"/>
        <v>3</v>
      </c>
      <c r="O142" s="134">
        <f t="shared" si="50"/>
        <v>3</v>
      </c>
      <c r="P142" s="134">
        <f t="shared" si="50"/>
        <v>3</v>
      </c>
      <c r="Q142" s="134">
        <f t="shared" si="50"/>
        <v>3</v>
      </c>
      <c r="R142" s="134">
        <f t="shared" si="50"/>
        <v>3</v>
      </c>
      <c r="S142" s="134">
        <f t="shared" si="51"/>
        <v>3</v>
      </c>
      <c r="T142" s="134">
        <f t="shared" si="51"/>
        <v>3</v>
      </c>
      <c r="U142" s="134">
        <f t="shared" si="51"/>
        <v>3</v>
      </c>
      <c r="V142" s="134">
        <f t="shared" si="51"/>
        <v>3</v>
      </c>
      <c r="W142" s="134">
        <f t="shared" si="51"/>
        <v>3</v>
      </c>
      <c r="X142" s="134">
        <f t="shared" si="51"/>
        <v>3</v>
      </c>
      <c r="Y142" s="134">
        <f t="shared" si="51"/>
        <v>3</v>
      </c>
      <c r="Z142" s="134">
        <f t="shared" si="51"/>
        <v>3</v>
      </c>
      <c r="AA142" s="134">
        <f t="shared" si="51"/>
        <v>3</v>
      </c>
      <c r="AB142" s="134">
        <f t="shared" si="51"/>
        <v>3</v>
      </c>
      <c r="AC142" s="134">
        <f t="shared" si="51"/>
        <v>3</v>
      </c>
      <c r="AD142" s="134">
        <f t="shared" si="51"/>
        <v>3</v>
      </c>
      <c r="AE142" s="134">
        <f t="shared" si="51"/>
        <v>3</v>
      </c>
      <c r="AF142" s="134">
        <f t="shared" si="51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50"/>
        <v>3.3</v>
      </c>
      <c r="D143" s="134">
        <f t="shared" si="50"/>
        <v>3.3</v>
      </c>
      <c r="E143" s="134">
        <f t="shared" si="50"/>
        <v>3.3</v>
      </c>
      <c r="F143" s="134">
        <f t="shared" si="50"/>
        <v>3.3</v>
      </c>
      <c r="G143" s="134">
        <f t="shared" si="50"/>
        <v>3.3</v>
      </c>
      <c r="H143" s="134">
        <f t="shared" si="50"/>
        <v>3.3</v>
      </c>
      <c r="I143" s="134">
        <f t="shared" si="50"/>
        <v>3.3</v>
      </c>
      <c r="J143" s="134">
        <f t="shared" si="50"/>
        <v>3.3</v>
      </c>
      <c r="K143" s="134">
        <f t="shared" si="50"/>
        <v>3.3</v>
      </c>
      <c r="L143" s="134">
        <f t="shared" si="50"/>
        <v>3.3</v>
      </c>
      <c r="M143" s="134">
        <f t="shared" si="50"/>
        <v>3.3</v>
      </c>
      <c r="N143" s="134">
        <f t="shared" si="50"/>
        <v>3.3</v>
      </c>
      <c r="O143" s="134">
        <f t="shared" si="50"/>
        <v>3.3</v>
      </c>
      <c r="P143" s="134">
        <f t="shared" si="50"/>
        <v>3.3</v>
      </c>
      <c r="Q143" s="134">
        <f t="shared" si="50"/>
        <v>3.3</v>
      </c>
      <c r="R143" s="134">
        <f t="shared" si="50"/>
        <v>3.3</v>
      </c>
      <c r="S143" s="134">
        <f t="shared" si="51"/>
        <v>3.3</v>
      </c>
      <c r="T143" s="134">
        <f t="shared" si="51"/>
        <v>3.3</v>
      </c>
      <c r="U143" s="134">
        <f t="shared" si="51"/>
        <v>3.3</v>
      </c>
      <c r="V143" s="134">
        <f t="shared" si="51"/>
        <v>3.3</v>
      </c>
      <c r="W143" s="134">
        <f t="shared" si="51"/>
        <v>3.3</v>
      </c>
      <c r="X143" s="134">
        <f t="shared" si="51"/>
        <v>3.3</v>
      </c>
      <c r="Y143" s="134">
        <f t="shared" si="51"/>
        <v>3.3</v>
      </c>
      <c r="Z143" s="134">
        <f t="shared" si="51"/>
        <v>3.3</v>
      </c>
      <c r="AA143" s="134">
        <f t="shared" si="51"/>
        <v>3.3</v>
      </c>
      <c r="AB143" s="134">
        <f t="shared" si="51"/>
        <v>3.3</v>
      </c>
      <c r="AC143" s="134">
        <f t="shared" si="51"/>
        <v>3.3</v>
      </c>
      <c r="AD143" s="134">
        <f t="shared" si="51"/>
        <v>3.3</v>
      </c>
      <c r="AE143" s="134">
        <f t="shared" si="51"/>
        <v>3.3</v>
      </c>
      <c r="AF143" s="134">
        <f t="shared" si="51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52">B145</f>
        <v>1.76</v>
      </c>
      <c r="D145" s="134">
        <f t="shared" si="52"/>
        <v>1.76</v>
      </c>
      <c r="E145" s="134">
        <f t="shared" si="52"/>
        <v>1.76</v>
      </c>
      <c r="F145" s="134">
        <f t="shared" si="52"/>
        <v>1.76</v>
      </c>
      <c r="G145" s="134">
        <f t="shared" si="52"/>
        <v>1.76</v>
      </c>
      <c r="H145" s="134">
        <f t="shared" si="52"/>
        <v>1.76</v>
      </c>
      <c r="I145" s="134">
        <f t="shared" si="52"/>
        <v>1.76</v>
      </c>
      <c r="J145" s="134">
        <f t="shared" si="52"/>
        <v>1.76</v>
      </c>
      <c r="K145" s="134">
        <f t="shared" si="52"/>
        <v>1.76</v>
      </c>
      <c r="L145" s="134">
        <f t="shared" si="52"/>
        <v>1.76</v>
      </c>
      <c r="M145" s="134">
        <f t="shared" si="52"/>
        <v>1.76</v>
      </c>
      <c r="N145" s="134">
        <f t="shared" si="52"/>
        <v>1.76</v>
      </c>
      <c r="O145" s="134">
        <f t="shared" si="52"/>
        <v>1.76</v>
      </c>
      <c r="P145" s="134">
        <f t="shared" si="52"/>
        <v>1.76</v>
      </c>
      <c r="Q145" s="134">
        <f t="shared" si="52"/>
        <v>1.76</v>
      </c>
      <c r="R145" s="134">
        <f t="shared" si="52"/>
        <v>1.76</v>
      </c>
      <c r="S145" s="134">
        <f t="shared" ref="S145:AF146" si="53">R145</f>
        <v>1.76</v>
      </c>
      <c r="T145" s="134">
        <f t="shared" si="53"/>
        <v>1.76</v>
      </c>
      <c r="U145" s="134">
        <f t="shared" si="53"/>
        <v>1.76</v>
      </c>
      <c r="V145" s="134">
        <f t="shared" si="53"/>
        <v>1.76</v>
      </c>
      <c r="W145" s="134">
        <f t="shared" si="53"/>
        <v>1.76</v>
      </c>
      <c r="X145" s="134">
        <f t="shared" si="53"/>
        <v>1.76</v>
      </c>
      <c r="Y145" s="134">
        <f t="shared" si="53"/>
        <v>1.76</v>
      </c>
      <c r="Z145" s="134">
        <f t="shared" si="53"/>
        <v>1.76</v>
      </c>
      <c r="AA145" s="134">
        <f t="shared" si="53"/>
        <v>1.76</v>
      </c>
      <c r="AB145" s="134">
        <f t="shared" si="53"/>
        <v>1.76</v>
      </c>
      <c r="AC145" s="134">
        <f t="shared" si="53"/>
        <v>1.76</v>
      </c>
      <c r="AD145" s="134">
        <f t="shared" si="53"/>
        <v>1.76</v>
      </c>
      <c r="AE145" s="134">
        <f t="shared" si="53"/>
        <v>1.76</v>
      </c>
      <c r="AF145" s="134">
        <f t="shared" si="53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52"/>
        <v>0</v>
      </c>
      <c r="D146" s="134">
        <f t="shared" si="52"/>
        <v>0</v>
      </c>
      <c r="E146" s="134">
        <f t="shared" si="52"/>
        <v>0</v>
      </c>
      <c r="F146" s="134">
        <f t="shared" si="52"/>
        <v>0</v>
      </c>
      <c r="G146" s="134">
        <f t="shared" si="52"/>
        <v>0</v>
      </c>
      <c r="H146" s="134">
        <f t="shared" si="52"/>
        <v>0</v>
      </c>
      <c r="I146" s="134">
        <f t="shared" si="52"/>
        <v>0</v>
      </c>
      <c r="J146" s="134">
        <f t="shared" si="52"/>
        <v>0</v>
      </c>
      <c r="K146" s="134">
        <f t="shared" si="52"/>
        <v>0</v>
      </c>
      <c r="L146" s="134">
        <f t="shared" si="52"/>
        <v>0</v>
      </c>
      <c r="M146" s="134">
        <f t="shared" si="52"/>
        <v>0</v>
      </c>
      <c r="N146" s="134">
        <f t="shared" si="52"/>
        <v>0</v>
      </c>
      <c r="O146" s="134">
        <f t="shared" si="52"/>
        <v>0</v>
      </c>
      <c r="P146" s="134">
        <f t="shared" si="52"/>
        <v>0</v>
      </c>
      <c r="Q146" s="134">
        <f t="shared" si="52"/>
        <v>0</v>
      </c>
      <c r="R146" s="134">
        <f t="shared" si="52"/>
        <v>0</v>
      </c>
      <c r="S146" s="134">
        <f t="shared" si="53"/>
        <v>0</v>
      </c>
      <c r="T146" s="134">
        <f t="shared" si="53"/>
        <v>0</v>
      </c>
      <c r="U146" s="134">
        <f t="shared" si="53"/>
        <v>0</v>
      </c>
      <c r="V146" s="134">
        <f t="shared" si="53"/>
        <v>0</v>
      </c>
      <c r="W146" s="134">
        <f t="shared" si="53"/>
        <v>0</v>
      </c>
      <c r="X146" s="134">
        <f t="shared" si="53"/>
        <v>0</v>
      </c>
      <c r="Y146" s="134">
        <f t="shared" si="53"/>
        <v>0</v>
      </c>
      <c r="Z146" s="134">
        <f t="shared" si="53"/>
        <v>0</v>
      </c>
      <c r="AA146" s="134">
        <f t="shared" si="53"/>
        <v>0</v>
      </c>
      <c r="AB146" s="134">
        <f t="shared" si="53"/>
        <v>0</v>
      </c>
      <c r="AC146" s="134">
        <f t="shared" si="53"/>
        <v>0</v>
      </c>
      <c r="AD146" s="134">
        <f t="shared" si="53"/>
        <v>0</v>
      </c>
      <c r="AE146" s="134">
        <f t="shared" si="53"/>
        <v>0</v>
      </c>
      <c r="AF146" s="134">
        <f t="shared" si="53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54">B148</f>
        <v>0.1</v>
      </c>
      <c r="D148" s="134">
        <f t="shared" si="54"/>
        <v>0.1</v>
      </c>
      <c r="E148" s="134">
        <f t="shared" si="54"/>
        <v>0.1</v>
      </c>
      <c r="F148" s="134">
        <f t="shared" si="54"/>
        <v>0.1</v>
      </c>
      <c r="G148" s="134">
        <f t="shared" si="54"/>
        <v>0.1</v>
      </c>
      <c r="H148" s="134">
        <f t="shared" si="54"/>
        <v>0.1</v>
      </c>
      <c r="I148" s="134">
        <f t="shared" si="54"/>
        <v>0.1</v>
      </c>
      <c r="J148" s="134">
        <f t="shared" si="54"/>
        <v>0.1</v>
      </c>
      <c r="K148" s="134">
        <f t="shared" si="54"/>
        <v>0.1</v>
      </c>
      <c r="L148" s="134">
        <f t="shared" si="54"/>
        <v>0.1</v>
      </c>
      <c r="M148" s="134">
        <f t="shared" si="54"/>
        <v>0.1</v>
      </c>
      <c r="N148" s="134">
        <f t="shared" si="54"/>
        <v>0.1</v>
      </c>
      <c r="O148" s="134">
        <f t="shared" si="54"/>
        <v>0.1</v>
      </c>
      <c r="P148" s="134">
        <f t="shared" si="54"/>
        <v>0.1</v>
      </c>
      <c r="Q148" s="134">
        <f t="shared" si="54"/>
        <v>0.1</v>
      </c>
      <c r="R148" s="134">
        <f t="shared" si="54"/>
        <v>0.1</v>
      </c>
      <c r="S148" s="134">
        <f t="shared" ref="S148:AF151" si="55">R148</f>
        <v>0.1</v>
      </c>
      <c r="T148" s="134">
        <f t="shared" si="55"/>
        <v>0.1</v>
      </c>
      <c r="U148" s="134">
        <f t="shared" si="55"/>
        <v>0.1</v>
      </c>
      <c r="V148" s="134">
        <f t="shared" si="55"/>
        <v>0.1</v>
      </c>
      <c r="W148" s="134">
        <f t="shared" si="55"/>
        <v>0.1</v>
      </c>
      <c r="X148" s="134">
        <f t="shared" si="55"/>
        <v>0.1</v>
      </c>
      <c r="Y148" s="134">
        <f t="shared" si="55"/>
        <v>0.1</v>
      </c>
      <c r="Z148" s="134">
        <f t="shared" si="55"/>
        <v>0.1</v>
      </c>
      <c r="AA148" s="134">
        <f t="shared" si="55"/>
        <v>0.1</v>
      </c>
      <c r="AB148" s="134">
        <f t="shared" si="55"/>
        <v>0.1</v>
      </c>
      <c r="AC148" s="134">
        <f t="shared" si="55"/>
        <v>0.1</v>
      </c>
      <c r="AD148" s="134">
        <f t="shared" si="55"/>
        <v>0.1</v>
      </c>
      <c r="AE148" s="134">
        <f t="shared" si="55"/>
        <v>0.1</v>
      </c>
      <c r="AF148" s="134">
        <f t="shared" si="55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54"/>
        <v>2.0499999999999998</v>
      </c>
      <c r="D149" s="134">
        <f t="shared" si="54"/>
        <v>2.0499999999999998</v>
      </c>
      <c r="E149" s="134">
        <f t="shared" si="54"/>
        <v>2.0499999999999998</v>
      </c>
      <c r="F149" s="134">
        <f t="shared" si="54"/>
        <v>2.0499999999999998</v>
      </c>
      <c r="G149" s="134">
        <f t="shared" si="54"/>
        <v>2.0499999999999998</v>
      </c>
      <c r="H149" s="134">
        <f t="shared" si="54"/>
        <v>2.0499999999999998</v>
      </c>
      <c r="I149" s="134">
        <f t="shared" si="54"/>
        <v>2.0499999999999998</v>
      </c>
      <c r="J149" s="134">
        <f t="shared" si="54"/>
        <v>2.0499999999999998</v>
      </c>
      <c r="K149" s="134">
        <f t="shared" si="54"/>
        <v>2.0499999999999998</v>
      </c>
      <c r="L149" s="134">
        <f t="shared" si="54"/>
        <v>2.0499999999999998</v>
      </c>
      <c r="M149" s="134">
        <f t="shared" si="54"/>
        <v>2.0499999999999998</v>
      </c>
      <c r="N149" s="134">
        <f t="shared" si="54"/>
        <v>2.0499999999999998</v>
      </c>
      <c r="O149" s="134">
        <f t="shared" si="54"/>
        <v>2.0499999999999998</v>
      </c>
      <c r="P149" s="134">
        <f t="shared" si="54"/>
        <v>2.0499999999999998</v>
      </c>
      <c r="Q149" s="134">
        <f t="shared" si="54"/>
        <v>2.0499999999999998</v>
      </c>
      <c r="R149" s="134">
        <f t="shared" si="54"/>
        <v>2.0499999999999998</v>
      </c>
      <c r="S149" s="134">
        <f t="shared" si="55"/>
        <v>2.0499999999999998</v>
      </c>
      <c r="T149" s="134">
        <f t="shared" si="55"/>
        <v>2.0499999999999998</v>
      </c>
      <c r="U149" s="134">
        <f t="shared" si="55"/>
        <v>2.0499999999999998</v>
      </c>
      <c r="V149" s="134">
        <f t="shared" si="55"/>
        <v>2.0499999999999998</v>
      </c>
      <c r="W149" s="134">
        <f t="shared" si="55"/>
        <v>2.0499999999999998</v>
      </c>
      <c r="X149" s="134">
        <f t="shared" si="55"/>
        <v>2.0499999999999998</v>
      </c>
      <c r="Y149" s="134">
        <f t="shared" si="55"/>
        <v>2.0499999999999998</v>
      </c>
      <c r="Z149" s="134">
        <f t="shared" si="55"/>
        <v>2.0499999999999998</v>
      </c>
      <c r="AA149" s="134">
        <f t="shared" si="55"/>
        <v>2.0499999999999998</v>
      </c>
      <c r="AB149" s="134">
        <f t="shared" si="55"/>
        <v>2.0499999999999998</v>
      </c>
      <c r="AC149" s="134">
        <f t="shared" si="55"/>
        <v>2.0499999999999998</v>
      </c>
      <c r="AD149" s="134">
        <f t="shared" si="55"/>
        <v>2.0499999999999998</v>
      </c>
      <c r="AE149" s="134">
        <f t="shared" si="55"/>
        <v>2.0499999999999998</v>
      </c>
      <c r="AF149" s="134">
        <f t="shared" si="55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54"/>
        <v>2.7</v>
      </c>
      <c r="D150" s="134">
        <f t="shared" si="54"/>
        <v>2.7</v>
      </c>
      <c r="E150" s="134">
        <f t="shared" si="54"/>
        <v>2.7</v>
      </c>
      <c r="F150" s="134">
        <f t="shared" si="54"/>
        <v>2.7</v>
      </c>
      <c r="G150" s="134">
        <f t="shared" si="54"/>
        <v>2.7</v>
      </c>
      <c r="H150" s="134">
        <f t="shared" si="54"/>
        <v>2.7</v>
      </c>
      <c r="I150" s="134">
        <f t="shared" si="54"/>
        <v>2.7</v>
      </c>
      <c r="J150" s="134">
        <f t="shared" si="54"/>
        <v>2.7</v>
      </c>
      <c r="K150" s="134">
        <f t="shared" si="54"/>
        <v>2.7</v>
      </c>
      <c r="L150" s="134">
        <f t="shared" si="54"/>
        <v>2.7</v>
      </c>
      <c r="M150" s="134">
        <f t="shared" si="54"/>
        <v>2.7</v>
      </c>
      <c r="N150" s="134">
        <f t="shared" si="54"/>
        <v>2.7</v>
      </c>
      <c r="O150" s="134">
        <f t="shared" si="54"/>
        <v>2.7</v>
      </c>
      <c r="P150" s="134">
        <f t="shared" si="54"/>
        <v>2.7</v>
      </c>
      <c r="Q150" s="134">
        <f t="shared" si="54"/>
        <v>2.7</v>
      </c>
      <c r="R150" s="134">
        <f t="shared" si="54"/>
        <v>2.7</v>
      </c>
      <c r="S150" s="134">
        <f t="shared" si="55"/>
        <v>2.7</v>
      </c>
      <c r="T150" s="134">
        <f t="shared" si="55"/>
        <v>2.7</v>
      </c>
      <c r="U150" s="134">
        <f t="shared" si="55"/>
        <v>2.7</v>
      </c>
      <c r="V150" s="134">
        <f t="shared" si="55"/>
        <v>2.7</v>
      </c>
      <c r="W150" s="134">
        <f t="shared" si="55"/>
        <v>2.7</v>
      </c>
      <c r="X150" s="134">
        <f t="shared" si="55"/>
        <v>2.7</v>
      </c>
      <c r="Y150" s="134">
        <f t="shared" si="55"/>
        <v>2.7</v>
      </c>
      <c r="Z150" s="134">
        <f t="shared" si="55"/>
        <v>2.7</v>
      </c>
      <c r="AA150" s="134">
        <f t="shared" si="55"/>
        <v>2.7</v>
      </c>
      <c r="AB150" s="134">
        <f t="shared" si="55"/>
        <v>2.7</v>
      </c>
      <c r="AC150" s="134">
        <f t="shared" si="55"/>
        <v>2.7</v>
      </c>
      <c r="AD150" s="134">
        <f t="shared" si="55"/>
        <v>2.7</v>
      </c>
      <c r="AE150" s="134">
        <f t="shared" si="55"/>
        <v>2.7</v>
      </c>
      <c r="AF150" s="134">
        <f t="shared" si="55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54"/>
        <v>2.15</v>
      </c>
      <c r="D151" s="134">
        <f t="shared" si="54"/>
        <v>2.15</v>
      </c>
      <c r="E151" s="134">
        <f t="shared" si="54"/>
        <v>2.15</v>
      </c>
      <c r="F151" s="134">
        <f t="shared" si="54"/>
        <v>2.15</v>
      </c>
      <c r="G151" s="134">
        <f t="shared" si="54"/>
        <v>2.15</v>
      </c>
      <c r="H151" s="134">
        <f t="shared" si="54"/>
        <v>2.15</v>
      </c>
      <c r="I151" s="134">
        <f t="shared" si="54"/>
        <v>2.15</v>
      </c>
      <c r="J151" s="134">
        <f t="shared" si="54"/>
        <v>2.15</v>
      </c>
      <c r="K151" s="134">
        <f t="shared" si="54"/>
        <v>2.15</v>
      </c>
      <c r="L151" s="134">
        <f t="shared" si="54"/>
        <v>2.15</v>
      </c>
      <c r="M151" s="134">
        <f t="shared" si="54"/>
        <v>2.15</v>
      </c>
      <c r="N151" s="134">
        <f t="shared" si="54"/>
        <v>2.15</v>
      </c>
      <c r="O151" s="134">
        <f t="shared" si="54"/>
        <v>2.15</v>
      </c>
      <c r="P151" s="134">
        <f t="shared" si="54"/>
        <v>2.15</v>
      </c>
      <c r="Q151" s="134">
        <f t="shared" si="54"/>
        <v>2.15</v>
      </c>
      <c r="R151" s="134">
        <f t="shared" si="54"/>
        <v>2.15</v>
      </c>
      <c r="S151" s="134">
        <f t="shared" si="55"/>
        <v>2.15</v>
      </c>
      <c r="T151" s="134">
        <f t="shared" si="55"/>
        <v>2.15</v>
      </c>
      <c r="U151" s="134">
        <f t="shared" si="55"/>
        <v>2.15</v>
      </c>
      <c r="V151" s="134">
        <f t="shared" si="55"/>
        <v>2.15</v>
      </c>
      <c r="W151" s="134">
        <f t="shared" si="55"/>
        <v>2.15</v>
      </c>
      <c r="X151" s="134">
        <f t="shared" si="55"/>
        <v>2.15</v>
      </c>
      <c r="Y151" s="134">
        <f t="shared" si="55"/>
        <v>2.15</v>
      </c>
      <c r="Z151" s="134">
        <f t="shared" si="55"/>
        <v>2.15</v>
      </c>
      <c r="AA151" s="134">
        <f t="shared" si="55"/>
        <v>2.15</v>
      </c>
      <c r="AB151" s="134">
        <f t="shared" si="55"/>
        <v>2.15</v>
      </c>
      <c r="AC151" s="134">
        <f t="shared" si="55"/>
        <v>2.15</v>
      </c>
      <c r="AD151" s="134">
        <f t="shared" si="55"/>
        <v>2.15</v>
      </c>
      <c r="AE151" s="134">
        <f t="shared" si="55"/>
        <v>2.15</v>
      </c>
      <c r="AF151" s="134">
        <f t="shared" si="55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56">B153</f>
        <v>0.9</v>
      </c>
      <c r="D153" s="134">
        <f t="shared" si="56"/>
        <v>0.9</v>
      </c>
      <c r="E153" s="134">
        <f t="shared" si="56"/>
        <v>0.9</v>
      </c>
      <c r="F153" s="134">
        <f t="shared" si="56"/>
        <v>0.9</v>
      </c>
      <c r="G153" s="134">
        <f t="shared" si="56"/>
        <v>0.9</v>
      </c>
      <c r="H153" s="134">
        <f t="shared" si="56"/>
        <v>0.9</v>
      </c>
      <c r="I153" s="134">
        <f t="shared" si="56"/>
        <v>0.9</v>
      </c>
      <c r="J153" s="134">
        <f t="shared" si="56"/>
        <v>0.9</v>
      </c>
      <c r="K153" s="134">
        <f t="shared" si="56"/>
        <v>0.9</v>
      </c>
      <c r="L153" s="134">
        <f t="shared" si="56"/>
        <v>0.9</v>
      </c>
      <c r="M153" s="134">
        <f t="shared" si="56"/>
        <v>0.9</v>
      </c>
      <c r="N153" s="134">
        <f t="shared" si="56"/>
        <v>0.9</v>
      </c>
      <c r="O153" s="134">
        <f t="shared" si="56"/>
        <v>0.9</v>
      </c>
      <c r="P153" s="134">
        <f t="shared" si="56"/>
        <v>0.9</v>
      </c>
      <c r="Q153" s="134">
        <f t="shared" si="56"/>
        <v>0.9</v>
      </c>
      <c r="R153" s="134">
        <f t="shared" si="56"/>
        <v>0.9</v>
      </c>
      <c r="S153" s="134">
        <f t="shared" ref="R153:AF165" si="57">R153</f>
        <v>0.9</v>
      </c>
      <c r="T153" s="134">
        <f t="shared" si="57"/>
        <v>0.9</v>
      </c>
      <c r="U153" s="134">
        <f t="shared" si="57"/>
        <v>0.9</v>
      </c>
      <c r="V153" s="134">
        <f t="shared" si="57"/>
        <v>0.9</v>
      </c>
      <c r="W153" s="134">
        <f t="shared" si="57"/>
        <v>0.9</v>
      </c>
      <c r="X153" s="134">
        <f t="shared" si="57"/>
        <v>0.9</v>
      </c>
      <c r="Y153" s="134">
        <f t="shared" si="57"/>
        <v>0.9</v>
      </c>
      <c r="Z153" s="134">
        <f t="shared" si="57"/>
        <v>0.9</v>
      </c>
      <c r="AA153" s="134">
        <f t="shared" si="57"/>
        <v>0.9</v>
      </c>
      <c r="AB153" s="134">
        <f t="shared" si="57"/>
        <v>0.9</v>
      </c>
      <c r="AC153" s="134">
        <f t="shared" si="57"/>
        <v>0.9</v>
      </c>
      <c r="AD153" s="134">
        <f t="shared" si="57"/>
        <v>0.9</v>
      </c>
      <c r="AE153" s="134">
        <f t="shared" si="57"/>
        <v>0.9</v>
      </c>
      <c r="AF153" s="134">
        <f t="shared" si="57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56"/>
        <v>1.08</v>
      </c>
      <c r="D154" s="134">
        <f t="shared" si="56"/>
        <v>1.08</v>
      </c>
      <c r="E154" s="134">
        <f t="shared" si="56"/>
        <v>1.08</v>
      </c>
      <c r="F154" s="134">
        <f t="shared" si="56"/>
        <v>1.08</v>
      </c>
      <c r="G154" s="134">
        <f t="shared" si="56"/>
        <v>1.08</v>
      </c>
      <c r="H154" s="134">
        <f t="shared" si="56"/>
        <v>1.08</v>
      </c>
      <c r="I154" s="134">
        <f t="shared" si="56"/>
        <v>1.08</v>
      </c>
      <c r="J154" s="134">
        <f t="shared" si="56"/>
        <v>1.08</v>
      </c>
      <c r="K154" s="134">
        <f t="shared" si="56"/>
        <v>1.08</v>
      </c>
      <c r="L154" s="134">
        <f t="shared" si="56"/>
        <v>1.08</v>
      </c>
      <c r="M154" s="134">
        <f t="shared" si="56"/>
        <v>1.08</v>
      </c>
      <c r="N154" s="134">
        <f t="shared" si="56"/>
        <v>1.08</v>
      </c>
      <c r="O154" s="134">
        <f t="shared" si="56"/>
        <v>1.08</v>
      </c>
      <c r="P154" s="134">
        <f t="shared" si="56"/>
        <v>1.08</v>
      </c>
      <c r="Q154" s="134">
        <f t="shared" si="56"/>
        <v>1.08</v>
      </c>
      <c r="R154" s="134">
        <f t="shared" si="56"/>
        <v>1.08</v>
      </c>
      <c r="S154" s="134">
        <f t="shared" si="57"/>
        <v>1.08</v>
      </c>
      <c r="T154" s="134">
        <f t="shared" si="57"/>
        <v>1.08</v>
      </c>
      <c r="U154" s="134">
        <f t="shared" si="57"/>
        <v>1.08</v>
      </c>
      <c r="V154" s="134">
        <f t="shared" si="57"/>
        <v>1.08</v>
      </c>
      <c r="W154" s="134">
        <f t="shared" si="57"/>
        <v>1.08</v>
      </c>
      <c r="X154" s="134">
        <f t="shared" si="57"/>
        <v>1.08</v>
      </c>
      <c r="Y154" s="134">
        <f t="shared" si="57"/>
        <v>1.08</v>
      </c>
      <c r="Z154" s="134">
        <f t="shared" si="57"/>
        <v>1.08</v>
      </c>
      <c r="AA154" s="134">
        <f t="shared" si="57"/>
        <v>1.08</v>
      </c>
      <c r="AB154" s="134">
        <f t="shared" si="57"/>
        <v>1.08</v>
      </c>
      <c r="AC154" s="134">
        <f t="shared" si="57"/>
        <v>1.08</v>
      </c>
      <c r="AD154" s="134">
        <f t="shared" si="57"/>
        <v>1.08</v>
      </c>
      <c r="AE154" s="134">
        <f t="shared" si="57"/>
        <v>1.08</v>
      </c>
      <c r="AF154" s="134">
        <f t="shared" si="57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56"/>
        <v>2.37</v>
      </c>
      <c r="D155" s="134">
        <f t="shared" si="56"/>
        <v>2.37</v>
      </c>
      <c r="E155" s="134">
        <f t="shared" si="56"/>
        <v>2.37</v>
      </c>
      <c r="F155" s="134">
        <f t="shared" si="56"/>
        <v>2.37</v>
      </c>
      <c r="G155" s="134">
        <f t="shared" si="56"/>
        <v>2.37</v>
      </c>
      <c r="H155" s="134">
        <f t="shared" si="56"/>
        <v>2.37</v>
      </c>
      <c r="I155" s="134">
        <f t="shared" si="56"/>
        <v>2.37</v>
      </c>
      <c r="J155" s="134">
        <f t="shared" si="56"/>
        <v>2.37</v>
      </c>
      <c r="K155" s="134">
        <f t="shared" si="56"/>
        <v>2.37</v>
      </c>
      <c r="L155" s="134">
        <f t="shared" si="56"/>
        <v>2.37</v>
      </c>
      <c r="M155" s="134">
        <f t="shared" si="56"/>
        <v>2.37</v>
      </c>
      <c r="N155" s="134">
        <f t="shared" si="56"/>
        <v>2.37</v>
      </c>
      <c r="O155" s="134">
        <f t="shared" si="56"/>
        <v>2.37</v>
      </c>
      <c r="P155" s="134">
        <f t="shared" si="56"/>
        <v>2.37</v>
      </c>
      <c r="Q155" s="134">
        <f t="shared" si="56"/>
        <v>2.37</v>
      </c>
      <c r="R155" s="134">
        <f t="shared" si="56"/>
        <v>2.37</v>
      </c>
      <c r="S155" s="134">
        <f t="shared" si="57"/>
        <v>2.37</v>
      </c>
      <c r="T155" s="134">
        <f t="shared" si="57"/>
        <v>2.37</v>
      </c>
      <c r="U155" s="134">
        <f t="shared" si="57"/>
        <v>2.37</v>
      </c>
      <c r="V155" s="134">
        <f t="shared" si="57"/>
        <v>2.37</v>
      </c>
      <c r="W155" s="134">
        <f t="shared" si="57"/>
        <v>2.37</v>
      </c>
      <c r="X155" s="134">
        <f t="shared" si="57"/>
        <v>2.37</v>
      </c>
      <c r="Y155" s="134">
        <f t="shared" si="57"/>
        <v>2.37</v>
      </c>
      <c r="Z155" s="134">
        <f t="shared" si="57"/>
        <v>2.37</v>
      </c>
      <c r="AA155" s="134">
        <f t="shared" si="57"/>
        <v>2.37</v>
      </c>
      <c r="AB155" s="134">
        <f t="shared" si="57"/>
        <v>2.37</v>
      </c>
      <c r="AC155" s="134">
        <f t="shared" si="57"/>
        <v>2.37</v>
      </c>
      <c r="AD155" s="134">
        <f t="shared" si="57"/>
        <v>2.37</v>
      </c>
      <c r="AE155" s="134">
        <f t="shared" si="57"/>
        <v>2.37</v>
      </c>
      <c r="AF155" s="134">
        <f t="shared" si="57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56"/>
        <v>1.81</v>
      </c>
      <c r="D156" s="134">
        <f t="shared" si="56"/>
        <v>1.81</v>
      </c>
      <c r="E156" s="134">
        <f t="shared" si="56"/>
        <v>1.81</v>
      </c>
      <c r="F156" s="134">
        <f t="shared" si="56"/>
        <v>1.81</v>
      </c>
      <c r="G156" s="134">
        <f t="shared" si="56"/>
        <v>1.81</v>
      </c>
      <c r="H156" s="134">
        <f t="shared" si="56"/>
        <v>1.81</v>
      </c>
      <c r="I156" s="134">
        <f t="shared" si="56"/>
        <v>1.81</v>
      </c>
      <c r="J156" s="134">
        <f t="shared" si="56"/>
        <v>1.81</v>
      </c>
      <c r="K156" s="134">
        <f t="shared" si="56"/>
        <v>1.81</v>
      </c>
      <c r="L156" s="134">
        <f t="shared" si="56"/>
        <v>1.81</v>
      </c>
      <c r="M156" s="134">
        <f t="shared" si="56"/>
        <v>1.81</v>
      </c>
      <c r="N156" s="134">
        <f t="shared" si="56"/>
        <v>1.81</v>
      </c>
      <c r="O156" s="134">
        <f t="shared" si="56"/>
        <v>1.81</v>
      </c>
      <c r="P156" s="134">
        <f t="shared" si="56"/>
        <v>1.81</v>
      </c>
      <c r="Q156" s="134">
        <f t="shared" si="56"/>
        <v>1.81</v>
      </c>
      <c r="R156" s="134">
        <f t="shared" si="56"/>
        <v>1.81</v>
      </c>
      <c r="S156" s="134">
        <f t="shared" si="57"/>
        <v>1.81</v>
      </c>
      <c r="T156" s="134">
        <f t="shared" si="57"/>
        <v>1.81</v>
      </c>
      <c r="U156" s="134">
        <f t="shared" si="57"/>
        <v>1.81</v>
      </c>
      <c r="V156" s="134">
        <f t="shared" si="57"/>
        <v>1.81</v>
      </c>
      <c r="W156" s="134">
        <f t="shared" si="57"/>
        <v>1.81</v>
      </c>
      <c r="X156" s="134">
        <f t="shared" si="57"/>
        <v>1.81</v>
      </c>
      <c r="Y156" s="134">
        <f t="shared" si="57"/>
        <v>1.81</v>
      </c>
      <c r="Z156" s="134">
        <f t="shared" si="57"/>
        <v>1.81</v>
      </c>
      <c r="AA156" s="134">
        <f t="shared" si="57"/>
        <v>1.81</v>
      </c>
      <c r="AB156" s="134">
        <f t="shared" si="57"/>
        <v>1.81</v>
      </c>
      <c r="AC156" s="134">
        <f t="shared" si="57"/>
        <v>1.81</v>
      </c>
      <c r="AD156" s="134">
        <f t="shared" si="57"/>
        <v>1.81</v>
      </c>
      <c r="AE156" s="134">
        <f t="shared" si="57"/>
        <v>1.81</v>
      </c>
      <c r="AF156" s="134">
        <f t="shared" si="57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56"/>
        <v>1.0900000000000001</v>
      </c>
      <c r="D157" s="134">
        <f t="shared" si="56"/>
        <v>1.0900000000000001</v>
      </c>
      <c r="E157" s="134">
        <f t="shared" si="56"/>
        <v>1.0900000000000001</v>
      </c>
      <c r="F157" s="134">
        <f t="shared" si="56"/>
        <v>1.0900000000000001</v>
      </c>
      <c r="G157" s="134">
        <f t="shared" si="56"/>
        <v>1.0900000000000001</v>
      </c>
      <c r="H157" s="134">
        <f t="shared" si="56"/>
        <v>1.0900000000000001</v>
      </c>
      <c r="I157" s="134">
        <f t="shared" si="56"/>
        <v>1.0900000000000001</v>
      </c>
      <c r="J157" s="134">
        <f t="shared" si="56"/>
        <v>1.0900000000000001</v>
      </c>
      <c r="K157" s="134">
        <f t="shared" si="56"/>
        <v>1.0900000000000001</v>
      </c>
      <c r="L157" s="134">
        <f t="shared" si="56"/>
        <v>1.0900000000000001</v>
      </c>
      <c r="M157" s="134">
        <f t="shared" si="56"/>
        <v>1.0900000000000001</v>
      </c>
      <c r="N157" s="134">
        <f t="shared" si="56"/>
        <v>1.0900000000000001</v>
      </c>
      <c r="O157" s="134">
        <f t="shared" si="56"/>
        <v>1.0900000000000001</v>
      </c>
      <c r="P157" s="134">
        <f t="shared" si="56"/>
        <v>1.0900000000000001</v>
      </c>
      <c r="Q157" s="134">
        <f t="shared" si="56"/>
        <v>1.0900000000000001</v>
      </c>
      <c r="R157" s="134">
        <f t="shared" si="56"/>
        <v>1.0900000000000001</v>
      </c>
      <c r="S157" s="134">
        <f t="shared" si="57"/>
        <v>1.0900000000000001</v>
      </c>
      <c r="T157" s="134">
        <f t="shared" si="57"/>
        <v>1.0900000000000001</v>
      </c>
      <c r="U157" s="134">
        <f t="shared" si="57"/>
        <v>1.0900000000000001</v>
      </c>
      <c r="V157" s="134">
        <f t="shared" si="57"/>
        <v>1.0900000000000001</v>
      </c>
      <c r="W157" s="134">
        <f t="shared" si="57"/>
        <v>1.0900000000000001</v>
      </c>
      <c r="X157" s="134">
        <f t="shared" si="57"/>
        <v>1.0900000000000001</v>
      </c>
      <c r="Y157" s="134">
        <f t="shared" si="57"/>
        <v>1.0900000000000001</v>
      </c>
      <c r="Z157" s="134">
        <f t="shared" si="57"/>
        <v>1.0900000000000001</v>
      </c>
      <c r="AA157" s="134">
        <f t="shared" si="57"/>
        <v>1.0900000000000001</v>
      </c>
      <c r="AB157" s="134">
        <f t="shared" si="57"/>
        <v>1.0900000000000001</v>
      </c>
      <c r="AC157" s="134">
        <f t="shared" si="57"/>
        <v>1.0900000000000001</v>
      </c>
      <c r="AD157" s="134">
        <f t="shared" si="57"/>
        <v>1.0900000000000001</v>
      </c>
      <c r="AE157" s="134">
        <f t="shared" si="57"/>
        <v>1.0900000000000001</v>
      </c>
      <c r="AF157" s="134">
        <f t="shared" si="57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56"/>
        <v>1.58</v>
      </c>
      <c r="D158" s="134">
        <f t="shared" si="56"/>
        <v>1.58</v>
      </c>
      <c r="E158" s="134">
        <f t="shared" si="56"/>
        <v>1.58</v>
      </c>
      <c r="F158" s="134">
        <f t="shared" si="56"/>
        <v>1.58</v>
      </c>
      <c r="G158" s="134">
        <f t="shared" si="56"/>
        <v>1.58</v>
      </c>
      <c r="H158" s="134">
        <f t="shared" si="56"/>
        <v>1.58</v>
      </c>
      <c r="I158" s="134">
        <f t="shared" si="56"/>
        <v>1.58</v>
      </c>
      <c r="J158" s="134">
        <f t="shared" si="56"/>
        <v>1.58</v>
      </c>
      <c r="K158" s="134">
        <f t="shared" si="56"/>
        <v>1.58</v>
      </c>
      <c r="L158" s="134">
        <f t="shared" si="56"/>
        <v>1.58</v>
      </c>
      <c r="M158" s="134">
        <f t="shared" si="56"/>
        <v>1.58</v>
      </c>
      <c r="N158" s="134">
        <f t="shared" si="56"/>
        <v>1.58</v>
      </c>
      <c r="O158" s="134">
        <f t="shared" si="56"/>
        <v>1.58</v>
      </c>
      <c r="P158" s="134">
        <f t="shared" si="56"/>
        <v>1.58</v>
      </c>
      <c r="Q158" s="134">
        <f t="shared" si="56"/>
        <v>1.58</v>
      </c>
      <c r="R158" s="134">
        <f t="shared" si="56"/>
        <v>1.58</v>
      </c>
      <c r="S158" s="134">
        <f t="shared" si="57"/>
        <v>1.58</v>
      </c>
      <c r="T158" s="134">
        <f t="shared" si="57"/>
        <v>1.58</v>
      </c>
      <c r="U158" s="134">
        <f t="shared" si="57"/>
        <v>1.58</v>
      </c>
      <c r="V158" s="134">
        <f t="shared" si="57"/>
        <v>1.58</v>
      </c>
      <c r="W158" s="134">
        <f t="shared" si="57"/>
        <v>1.58</v>
      </c>
      <c r="X158" s="134">
        <f t="shared" si="57"/>
        <v>1.58</v>
      </c>
      <c r="Y158" s="134">
        <f t="shared" si="57"/>
        <v>1.58</v>
      </c>
      <c r="Z158" s="134">
        <f t="shared" si="57"/>
        <v>1.58</v>
      </c>
      <c r="AA158" s="134">
        <f t="shared" si="57"/>
        <v>1.58</v>
      </c>
      <c r="AB158" s="134">
        <f t="shared" si="57"/>
        <v>1.58</v>
      </c>
      <c r="AC158" s="134">
        <f t="shared" si="57"/>
        <v>1.58</v>
      </c>
      <c r="AD158" s="134">
        <f t="shared" si="57"/>
        <v>1.58</v>
      </c>
      <c r="AE158" s="134">
        <f t="shared" si="57"/>
        <v>1.58</v>
      </c>
      <c r="AF158" s="134">
        <f t="shared" si="57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56"/>
        <v>2</v>
      </c>
      <c r="D159" s="134">
        <f t="shared" si="56"/>
        <v>2</v>
      </c>
      <c r="E159" s="134">
        <f t="shared" si="56"/>
        <v>2</v>
      </c>
      <c r="F159" s="134">
        <f t="shared" si="56"/>
        <v>2</v>
      </c>
      <c r="G159" s="134">
        <f t="shared" si="56"/>
        <v>2</v>
      </c>
      <c r="H159" s="134">
        <f t="shared" si="56"/>
        <v>2</v>
      </c>
      <c r="I159" s="134">
        <f t="shared" si="56"/>
        <v>2</v>
      </c>
      <c r="J159" s="134">
        <f t="shared" si="56"/>
        <v>2</v>
      </c>
      <c r="K159" s="134">
        <f t="shared" si="56"/>
        <v>2</v>
      </c>
      <c r="L159" s="134">
        <f t="shared" si="56"/>
        <v>2</v>
      </c>
      <c r="M159" s="134">
        <f t="shared" si="56"/>
        <v>2</v>
      </c>
      <c r="N159" s="134">
        <f t="shared" si="56"/>
        <v>2</v>
      </c>
      <c r="O159" s="134">
        <f t="shared" si="56"/>
        <v>2</v>
      </c>
      <c r="P159" s="134">
        <f t="shared" si="56"/>
        <v>2</v>
      </c>
      <c r="Q159" s="134">
        <f t="shared" si="56"/>
        <v>2</v>
      </c>
      <c r="R159" s="134">
        <f t="shared" si="56"/>
        <v>2</v>
      </c>
      <c r="S159" s="134">
        <f t="shared" si="57"/>
        <v>2</v>
      </c>
      <c r="T159" s="134">
        <f t="shared" si="57"/>
        <v>2</v>
      </c>
      <c r="U159" s="134">
        <f t="shared" si="57"/>
        <v>2</v>
      </c>
      <c r="V159" s="134">
        <f t="shared" si="57"/>
        <v>2</v>
      </c>
      <c r="W159" s="134">
        <f t="shared" si="57"/>
        <v>2</v>
      </c>
      <c r="X159" s="134">
        <f t="shared" si="57"/>
        <v>2</v>
      </c>
      <c r="Y159" s="134">
        <f t="shared" si="57"/>
        <v>2</v>
      </c>
      <c r="Z159" s="134">
        <f t="shared" si="57"/>
        <v>2</v>
      </c>
      <c r="AA159" s="134">
        <f t="shared" si="57"/>
        <v>2</v>
      </c>
      <c r="AB159" s="134">
        <f t="shared" si="57"/>
        <v>2</v>
      </c>
      <c r="AC159" s="134">
        <f t="shared" si="57"/>
        <v>2</v>
      </c>
      <c r="AD159" s="134">
        <f t="shared" si="57"/>
        <v>2</v>
      </c>
      <c r="AE159" s="134">
        <f t="shared" si="57"/>
        <v>2</v>
      </c>
      <c r="AF159" s="134">
        <f t="shared" si="57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56"/>
        <v>0.47</v>
      </c>
      <c r="D160" s="134">
        <f t="shared" si="56"/>
        <v>0.47</v>
      </c>
      <c r="E160" s="134">
        <f t="shared" si="56"/>
        <v>0.47</v>
      </c>
      <c r="F160" s="134">
        <f t="shared" si="56"/>
        <v>0.47</v>
      </c>
      <c r="G160" s="134">
        <f t="shared" si="56"/>
        <v>0.47</v>
      </c>
      <c r="H160" s="134">
        <f t="shared" si="56"/>
        <v>0.47</v>
      </c>
      <c r="I160" s="134">
        <f t="shared" si="56"/>
        <v>0.47</v>
      </c>
      <c r="J160" s="134">
        <f t="shared" si="56"/>
        <v>0.47</v>
      </c>
      <c r="K160" s="134">
        <f t="shared" si="56"/>
        <v>0.47</v>
      </c>
      <c r="L160" s="134">
        <f t="shared" si="56"/>
        <v>0.47</v>
      </c>
      <c r="M160" s="134">
        <f t="shared" si="56"/>
        <v>0.47</v>
      </c>
      <c r="N160" s="134">
        <f t="shared" si="56"/>
        <v>0.47</v>
      </c>
      <c r="O160" s="134">
        <f t="shared" si="56"/>
        <v>0.47</v>
      </c>
      <c r="P160" s="134">
        <f t="shared" si="56"/>
        <v>0.47</v>
      </c>
      <c r="Q160" s="134">
        <f t="shared" si="56"/>
        <v>0.47</v>
      </c>
      <c r="R160" s="134">
        <f t="shared" si="56"/>
        <v>0.47</v>
      </c>
      <c r="S160" s="134">
        <f t="shared" si="57"/>
        <v>0.47</v>
      </c>
      <c r="T160" s="134">
        <f t="shared" si="57"/>
        <v>0.47</v>
      </c>
      <c r="U160" s="134">
        <f t="shared" si="57"/>
        <v>0.47</v>
      </c>
      <c r="V160" s="134">
        <f t="shared" si="57"/>
        <v>0.47</v>
      </c>
      <c r="W160" s="134">
        <f t="shared" si="57"/>
        <v>0.47</v>
      </c>
      <c r="X160" s="134">
        <f t="shared" si="57"/>
        <v>0.47</v>
      </c>
      <c r="Y160" s="134">
        <f t="shared" si="57"/>
        <v>0.47</v>
      </c>
      <c r="Z160" s="134">
        <f t="shared" si="57"/>
        <v>0.47</v>
      </c>
      <c r="AA160" s="134">
        <f t="shared" si="57"/>
        <v>0.47</v>
      </c>
      <c r="AB160" s="134">
        <f t="shared" si="57"/>
        <v>0.47</v>
      </c>
      <c r="AC160" s="134">
        <f t="shared" si="57"/>
        <v>0.47</v>
      </c>
      <c r="AD160" s="134">
        <f t="shared" si="57"/>
        <v>0.47</v>
      </c>
      <c r="AE160" s="134">
        <f t="shared" si="57"/>
        <v>0.47</v>
      </c>
      <c r="AF160" s="134">
        <f t="shared" si="57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56"/>
        <v>0</v>
      </c>
      <c r="D161" s="134">
        <f t="shared" si="56"/>
        <v>0</v>
      </c>
      <c r="E161" s="134">
        <f t="shared" si="56"/>
        <v>0</v>
      </c>
      <c r="F161" s="134">
        <f t="shared" si="56"/>
        <v>0</v>
      </c>
      <c r="G161" s="134">
        <f t="shared" si="56"/>
        <v>0</v>
      </c>
      <c r="H161" s="134">
        <f t="shared" si="56"/>
        <v>0</v>
      </c>
      <c r="I161" s="134">
        <f t="shared" si="56"/>
        <v>0</v>
      </c>
      <c r="J161" s="134">
        <f t="shared" si="56"/>
        <v>0</v>
      </c>
      <c r="K161" s="134">
        <f t="shared" si="56"/>
        <v>0</v>
      </c>
      <c r="L161" s="134">
        <f t="shared" si="56"/>
        <v>0</v>
      </c>
      <c r="M161" s="134">
        <f t="shared" si="56"/>
        <v>0</v>
      </c>
      <c r="N161" s="134">
        <f t="shared" si="56"/>
        <v>0</v>
      </c>
      <c r="O161" s="134">
        <f t="shared" si="56"/>
        <v>0</v>
      </c>
      <c r="P161" s="134">
        <f t="shared" si="56"/>
        <v>0</v>
      </c>
      <c r="Q161" s="134">
        <f t="shared" si="56"/>
        <v>0</v>
      </c>
      <c r="R161" s="134">
        <f t="shared" si="56"/>
        <v>0</v>
      </c>
      <c r="S161" s="134">
        <f t="shared" si="57"/>
        <v>0</v>
      </c>
      <c r="T161" s="134">
        <f t="shared" si="57"/>
        <v>0</v>
      </c>
      <c r="U161" s="134">
        <f t="shared" si="57"/>
        <v>0</v>
      </c>
      <c r="V161" s="134">
        <f t="shared" si="57"/>
        <v>0</v>
      </c>
      <c r="W161" s="134">
        <f t="shared" si="57"/>
        <v>0</v>
      </c>
      <c r="X161" s="134">
        <f t="shared" si="57"/>
        <v>0</v>
      </c>
      <c r="Y161" s="134">
        <f t="shared" si="57"/>
        <v>0</v>
      </c>
      <c r="Z161" s="134">
        <f t="shared" si="57"/>
        <v>0</v>
      </c>
      <c r="AA161" s="134">
        <f t="shared" si="57"/>
        <v>0</v>
      </c>
      <c r="AB161" s="134">
        <f t="shared" si="57"/>
        <v>0</v>
      </c>
      <c r="AC161" s="134">
        <f t="shared" si="57"/>
        <v>0</v>
      </c>
      <c r="AD161" s="134">
        <f t="shared" si="57"/>
        <v>0</v>
      </c>
      <c r="AE161" s="134">
        <f t="shared" si="57"/>
        <v>0</v>
      </c>
      <c r="AF161" s="134">
        <f t="shared" si="57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56"/>
        <v>0</v>
      </c>
      <c r="D162" s="134">
        <f t="shared" si="56"/>
        <v>0</v>
      </c>
      <c r="E162" s="134">
        <f t="shared" si="56"/>
        <v>0</v>
      </c>
      <c r="F162" s="134">
        <f t="shared" si="56"/>
        <v>0</v>
      </c>
      <c r="G162" s="134">
        <f t="shared" si="56"/>
        <v>0</v>
      </c>
      <c r="H162" s="134">
        <f t="shared" si="56"/>
        <v>0</v>
      </c>
      <c r="I162" s="134">
        <f t="shared" si="56"/>
        <v>0</v>
      </c>
      <c r="J162" s="134">
        <f t="shared" si="56"/>
        <v>0</v>
      </c>
      <c r="K162" s="134">
        <f t="shared" si="56"/>
        <v>0</v>
      </c>
      <c r="L162" s="134">
        <f t="shared" si="56"/>
        <v>0</v>
      </c>
      <c r="M162" s="134">
        <f t="shared" si="56"/>
        <v>0</v>
      </c>
      <c r="N162" s="134">
        <f t="shared" si="56"/>
        <v>0</v>
      </c>
      <c r="O162" s="134">
        <f t="shared" si="56"/>
        <v>0</v>
      </c>
      <c r="P162" s="134">
        <f t="shared" si="56"/>
        <v>0</v>
      </c>
      <c r="Q162" s="134">
        <f t="shared" si="56"/>
        <v>0</v>
      </c>
      <c r="R162" s="134">
        <f t="shared" si="57"/>
        <v>0</v>
      </c>
      <c r="S162" s="134">
        <f t="shared" si="57"/>
        <v>0</v>
      </c>
      <c r="T162" s="134">
        <f t="shared" si="57"/>
        <v>0</v>
      </c>
      <c r="U162" s="134">
        <f t="shared" si="57"/>
        <v>0</v>
      </c>
      <c r="V162" s="134">
        <f t="shared" si="57"/>
        <v>0</v>
      </c>
      <c r="W162" s="134">
        <f t="shared" si="57"/>
        <v>0</v>
      </c>
      <c r="X162" s="134">
        <f t="shared" si="57"/>
        <v>0</v>
      </c>
      <c r="Y162" s="134">
        <f t="shared" si="57"/>
        <v>0</v>
      </c>
      <c r="Z162" s="134">
        <f t="shared" si="57"/>
        <v>0</v>
      </c>
      <c r="AA162" s="134">
        <f t="shared" si="57"/>
        <v>0</v>
      </c>
      <c r="AB162" s="134">
        <f t="shared" si="57"/>
        <v>0</v>
      </c>
      <c r="AC162" s="134">
        <f t="shared" si="57"/>
        <v>0</v>
      </c>
      <c r="AD162" s="134">
        <f t="shared" si="57"/>
        <v>0</v>
      </c>
      <c r="AE162" s="134">
        <f t="shared" si="57"/>
        <v>0</v>
      </c>
      <c r="AF162" s="134">
        <f t="shared" si="57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56"/>
        <v>0.8</v>
      </c>
      <c r="D163" s="134">
        <f t="shared" si="56"/>
        <v>0.8</v>
      </c>
      <c r="E163" s="134">
        <f t="shared" si="56"/>
        <v>0.8</v>
      </c>
      <c r="F163" s="134">
        <f t="shared" si="56"/>
        <v>0.8</v>
      </c>
      <c r="G163" s="134">
        <f t="shared" si="56"/>
        <v>0.8</v>
      </c>
      <c r="H163" s="134">
        <f t="shared" si="56"/>
        <v>0.8</v>
      </c>
      <c r="I163" s="134">
        <f t="shared" si="56"/>
        <v>0.8</v>
      </c>
      <c r="J163" s="134">
        <f t="shared" si="56"/>
        <v>0.8</v>
      </c>
      <c r="K163" s="134">
        <f t="shared" si="56"/>
        <v>0.8</v>
      </c>
      <c r="L163" s="134">
        <f t="shared" si="56"/>
        <v>0.8</v>
      </c>
      <c r="M163" s="134">
        <f t="shared" si="56"/>
        <v>0.8</v>
      </c>
      <c r="N163" s="134">
        <f t="shared" si="56"/>
        <v>0.8</v>
      </c>
      <c r="O163" s="134">
        <f t="shared" si="56"/>
        <v>0.8</v>
      </c>
      <c r="P163" s="134">
        <f t="shared" si="56"/>
        <v>0.8</v>
      </c>
      <c r="Q163" s="134">
        <f t="shared" si="56"/>
        <v>0.8</v>
      </c>
      <c r="R163" s="134">
        <f t="shared" si="57"/>
        <v>0.8</v>
      </c>
      <c r="S163" s="134">
        <f t="shared" si="57"/>
        <v>0.8</v>
      </c>
      <c r="T163" s="134">
        <f t="shared" si="57"/>
        <v>0.8</v>
      </c>
      <c r="U163" s="134">
        <f t="shared" si="57"/>
        <v>0.8</v>
      </c>
      <c r="V163" s="134">
        <f t="shared" si="57"/>
        <v>0.8</v>
      </c>
      <c r="W163" s="134">
        <f t="shared" si="57"/>
        <v>0.8</v>
      </c>
      <c r="X163" s="134">
        <f t="shared" si="57"/>
        <v>0.8</v>
      </c>
      <c r="Y163" s="134">
        <f t="shared" si="57"/>
        <v>0.8</v>
      </c>
      <c r="Z163" s="134">
        <f t="shared" si="57"/>
        <v>0.8</v>
      </c>
      <c r="AA163" s="134">
        <f t="shared" si="57"/>
        <v>0.8</v>
      </c>
      <c r="AB163" s="134">
        <f t="shared" si="57"/>
        <v>0.8</v>
      </c>
      <c r="AC163" s="134">
        <f t="shared" si="57"/>
        <v>0.8</v>
      </c>
      <c r="AD163" s="134">
        <f t="shared" si="57"/>
        <v>0.8</v>
      </c>
      <c r="AE163" s="134">
        <f t="shared" si="57"/>
        <v>0.8</v>
      </c>
      <c r="AF163" s="134">
        <f t="shared" si="57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56"/>
        <v>1.5</v>
      </c>
      <c r="D164" s="134">
        <f t="shared" si="56"/>
        <v>1.5</v>
      </c>
      <c r="E164" s="134">
        <f t="shared" si="56"/>
        <v>1.5</v>
      </c>
      <c r="F164" s="134">
        <f t="shared" si="56"/>
        <v>1.5</v>
      </c>
      <c r="G164" s="134">
        <f t="shared" si="56"/>
        <v>1.5</v>
      </c>
      <c r="H164" s="134">
        <f t="shared" si="56"/>
        <v>1.5</v>
      </c>
      <c r="I164" s="134">
        <f t="shared" si="56"/>
        <v>1.5</v>
      </c>
      <c r="J164" s="134">
        <f t="shared" si="56"/>
        <v>1.5</v>
      </c>
      <c r="K164" s="134">
        <f t="shared" si="56"/>
        <v>1.5</v>
      </c>
      <c r="L164" s="134">
        <f t="shared" si="56"/>
        <v>1.5</v>
      </c>
      <c r="M164" s="134">
        <f t="shared" si="56"/>
        <v>1.5</v>
      </c>
      <c r="N164" s="134">
        <f t="shared" si="56"/>
        <v>1.5</v>
      </c>
      <c r="O164" s="134">
        <f t="shared" si="56"/>
        <v>1.5</v>
      </c>
      <c r="P164" s="134">
        <f t="shared" si="56"/>
        <v>1.5</v>
      </c>
      <c r="Q164" s="134">
        <f t="shared" si="56"/>
        <v>1.5</v>
      </c>
      <c r="R164" s="134">
        <f t="shared" si="57"/>
        <v>1.5</v>
      </c>
      <c r="S164" s="134">
        <f t="shared" si="57"/>
        <v>1.5</v>
      </c>
      <c r="T164" s="134">
        <f t="shared" si="57"/>
        <v>1.5</v>
      </c>
      <c r="U164" s="134">
        <f t="shared" si="57"/>
        <v>1.5</v>
      </c>
      <c r="V164" s="134">
        <f t="shared" si="57"/>
        <v>1.5</v>
      </c>
      <c r="W164" s="134">
        <f t="shared" si="57"/>
        <v>1.5</v>
      </c>
      <c r="X164" s="134">
        <f t="shared" si="57"/>
        <v>1.5</v>
      </c>
      <c r="Y164" s="134">
        <f t="shared" si="57"/>
        <v>1.5</v>
      </c>
      <c r="Z164" s="134">
        <f t="shared" si="57"/>
        <v>1.5</v>
      </c>
      <c r="AA164" s="134">
        <f t="shared" si="57"/>
        <v>1.5</v>
      </c>
      <c r="AB164" s="134">
        <f t="shared" si="57"/>
        <v>1.5</v>
      </c>
      <c r="AC164" s="134">
        <f t="shared" si="57"/>
        <v>1.5</v>
      </c>
      <c r="AD164" s="134">
        <f t="shared" si="57"/>
        <v>1.5</v>
      </c>
      <c r="AE164" s="134">
        <f t="shared" si="57"/>
        <v>1.5</v>
      </c>
      <c r="AF164" s="134">
        <f t="shared" si="57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56"/>
        <v>1</v>
      </c>
      <c r="D165" s="134">
        <f t="shared" si="56"/>
        <v>1</v>
      </c>
      <c r="E165" s="134">
        <f t="shared" si="56"/>
        <v>1</v>
      </c>
      <c r="F165" s="134">
        <f t="shared" si="56"/>
        <v>1</v>
      </c>
      <c r="G165" s="134">
        <f t="shared" si="56"/>
        <v>1</v>
      </c>
      <c r="H165" s="134">
        <f t="shared" si="56"/>
        <v>1</v>
      </c>
      <c r="I165" s="134">
        <f t="shared" si="56"/>
        <v>1</v>
      </c>
      <c r="J165" s="134">
        <f t="shared" si="56"/>
        <v>1</v>
      </c>
      <c r="K165" s="134">
        <f t="shared" si="56"/>
        <v>1</v>
      </c>
      <c r="L165" s="134">
        <f t="shared" si="56"/>
        <v>1</v>
      </c>
      <c r="M165" s="134">
        <f t="shared" si="56"/>
        <v>1</v>
      </c>
      <c r="N165" s="134">
        <f t="shared" si="56"/>
        <v>1</v>
      </c>
      <c r="O165" s="134">
        <f t="shared" si="56"/>
        <v>1</v>
      </c>
      <c r="P165" s="134">
        <f t="shared" si="56"/>
        <v>1</v>
      </c>
      <c r="Q165" s="134">
        <f t="shared" si="56"/>
        <v>1</v>
      </c>
      <c r="R165" s="134">
        <f t="shared" si="57"/>
        <v>1</v>
      </c>
      <c r="S165" s="134">
        <f t="shared" si="57"/>
        <v>1</v>
      </c>
      <c r="T165" s="134">
        <f t="shared" si="57"/>
        <v>1</v>
      </c>
      <c r="U165" s="134">
        <f t="shared" si="57"/>
        <v>1</v>
      </c>
      <c r="V165" s="134">
        <f t="shared" si="57"/>
        <v>1</v>
      </c>
      <c r="W165" s="134">
        <f t="shared" si="57"/>
        <v>1</v>
      </c>
      <c r="X165" s="134">
        <f t="shared" si="57"/>
        <v>1</v>
      </c>
      <c r="Y165" s="134">
        <f t="shared" si="57"/>
        <v>1</v>
      </c>
      <c r="Z165" s="134">
        <f t="shared" si="57"/>
        <v>1</v>
      </c>
      <c r="AA165" s="134">
        <f t="shared" si="57"/>
        <v>1</v>
      </c>
      <c r="AB165" s="134">
        <f t="shared" si="57"/>
        <v>1</v>
      </c>
      <c r="AC165" s="134">
        <f t="shared" si="57"/>
        <v>1</v>
      </c>
      <c r="AD165" s="134">
        <f t="shared" si="57"/>
        <v>1</v>
      </c>
      <c r="AE165" s="134">
        <f t="shared" si="57"/>
        <v>1</v>
      </c>
      <c r="AF165" s="134">
        <f t="shared" si="57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58">B167</f>
        <v>1</v>
      </c>
      <c r="D167" s="134">
        <f t="shared" si="58"/>
        <v>1</v>
      </c>
      <c r="E167" s="134">
        <f t="shared" si="58"/>
        <v>1</v>
      </c>
      <c r="F167" s="134">
        <f t="shared" si="58"/>
        <v>1</v>
      </c>
      <c r="G167" s="134">
        <f t="shared" si="58"/>
        <v>1</v>
      </c>
      <c r="H167" s="134">
        <f t="shared" si="58"/>
        <v>1</v>
      </c>
      <c r="I167" s="134">
        <f t="shared" si="58"/>
        <v>1</v>
      </c>
      <c r="J167" s="134">
        <f t="shared" si="58"/>
        <v>1</v>
      </c>
      <c r="K167" s="134">
        <f t="shared" si="58"/>
        <v>1</v>
      </c>
      <c r="L167" s="134">
        <f t="shared" si="58"/>
        <v>1</v>
      </c>
      <c r="M167" s="134">
        <f t="shared" si="58"/>
        <v>1</v>
      </c>
      <c r="N167" s="134">
        <f t="shared" si="58"/>
        <v>1</v>
      </c>
      <c r="O167" s="134">
        <f t="shared" si="58"/>
        <v>1</v>
      </c>
      <c r="P167" s="134">
        <f t="shared" si="58"/>
        <v>1</v>
      </c>
      <c r="Q167" s="134">
        <f t="shared" si="58"/>
        <v>1</v>
      </c>
      <c r="R167" s="134">
        <f t="shared" si="58"/>
        <v>1</v>
      </c>
      <c r="S167" s="134">
        <f t="shared" ref="R167:AF174" si="59">R167</f>
        <v>1</v>
      </c>
      <c r="T167" s="134">
        <f t="shared" si="59"/>
        <v>1</v>
      </c>
      <c r="U167" s="134">
        <f t="shared" si="59"/>
        <v>1</v>
      </c>
      <c r="V167" s="134">
        <f t="shared" si="59"/>
        <v>1</v>
      </c>
      <c r="W167" s="134">
        <f t="shared" si="59"/>
        <v>1</v>
      </c>
      <c r="X167" s="134">
        <f t="shared" si="59"/>
        <v>1</v>
      </c>
      <c r="Y167" s="134">
        <f t="shared" si="59"/>
        <v>1</v>
      </c>
      <c r="Z167" s="134">
        <f t="shared" si="59"/>
        <v>1</v>
      </c>
      <c r="AA167" s="134">
        <f t="shared" si="59"/>
        <v>1</v>
      </c>
      <c r="AB167" s="134">
        <f t="shared" si="59"/>
        <v>1</v>
      </c>
      <c r="AC167" s="134">
        <f t="shared" si="59"/>
        <v>1</v>
      </c>
      <c r="AD167" s="134">
        <f t="shared" si="59"/>
        <v>1</v>
      </c>
      <c r="AE167" s="134">
        <f t="shared" si="59"/>
        <v>1</v>
      </c>
      <c r="AF167" s="134">
        <f t="shared" si="59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58"/>
        <v>0.42</v>
      </c>
      <c r="D168" s="134">
        <f t="shared" si="58"/>
        <v>0.42</v>
      </c>
      <c r="E168" s="134">
        <f t="shared" si="58"/>
        <v>0.42</v>
      </c>
      <c r="F168" s="134">
        <f t="shared" si="58"/>
        <v>0.42</v>
      </c>
      <c r="G168" s="134">
        <f t="shared" si="58"/>
        <v>0.42</v>
      </c>
      <c r="H168" s="134">
        <f t="shared" si="58"/>
        <v>0.42</v>
      </c>
      <c r="I168" s="134">
        <f t="shared" si="58"/>
        <v>0.42</v>
      </c>
      <c r="J168" s="134">
        <f t="shared" si="58"/>
        <v>0.42</v>
      </c>
      <c r="K168" s="134">
        <f t="shared" si="58"/>
        <v>0.42</v>
      </c>
      <c r="L168" s="134">
        <f t="shared" si="58"/>
        <v>0.42</v>
      </c>
      <c r="M168" s="134">
        <f t="shared" si="58"/>
        <v>0.42</v>
      </c>
      <c r="N168" s="134">
        <f t="shared" si="58"/>
        <v>0.42</v>
      </c>
      <c r="O168" s="134">
        <f t="shared" si="58"/>
        <v>0.42</v>
      </c>
      <c r="P168" s="134">
        <f t="shared" si="58"/>
        <v>0.42</v>
      </c>
      <c r="Q168" s="134">
        <f t="shared" si="58"/>
        <v>0.42</v>
      </c>
      <c r="R168" s="134">
        <f t="shared" si="59"/>
        <v>0.42</v>
      </c>
      <c r="S168" s="134">
        <f t="shared" si="59"/>
        <v>0.42</v>
      </c>
      <c r="T168" s="134">
        <f t="shared" si="59"/>
        <v>0.42</v>
      </c>
      <c r="U168" s="134">
        <f t="shared" si="59"/>
        <v>0.42</v>
      </c>
      <c r="V168" s="134">
        <f t="shared" si="59"/>
        <v>0.42</v>
      </c>
      <c r="W168" s="134">
        <f t="shared" si="59"/>
        <v>0.42</v>
      </c>
      <c r="X168" s="134">
        <f t="shared" si="59"/>
        <v>0.42</v>
      </c>
      <c r="Y168" s="134">
        <f t="shared" si="59"/>
        <v>0.42</v>
      </c>
      <c r="Z168" s="134">
        <f t="shared" si="59"/>
        <v>0.42</v>
      </c>
      <c r="AA168" s="134">
        <f t="shared" si="59"/>
        <v>0.42</v>
      </c>
      <c r="AB168" s="134">
        <f t="shared" si="59"/>
        <v>0.42</v>
      </c>
      <c r="AC168" s="134">
        <f t="shared" si="59"/>
        <v>0.42</v>
      </c>
      <c r="AD168" s="134">
        <f t="shared" si="59"/>
        <v>0.42</v>
      </c>
      <c r="AE168" s="134">
        <f t="shared" si="59"/>
        <v>0.42</v>
      </c>
      <c r="AF168" s="134">
        <f t="shared" si="59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58"/>
        <v>0.46</v>
      </c>
      <c r="D169" s="134">
        <f t="shared" si="58"/>
        <v>0.46</v>
      </c>
      <c r="E169" s="134">
        <f t="shared" si="58"/>
        <v>0.46</v>
      </c>
      <c r="F169" s="134">
        <f t="shared" si="58"/>
        <v>0.46</v>
      </c>
      <c r="G169" s="134">
        <f t="shared" si="58"/>
        <v>0.46</v>
      </c>
      <c r="H169" s="134">
        <f t="shared" si="58"/>
        <v>0.46</v>
      </c>
      <c r="I169" s="134">
        <f t="shared" si="58"/>
        <v>0.46</v>
      </c>
      <c r="J169" s="134">
        <f t="shared" si="58"/>
        <v>0.46</v>
      </c>
      <c r="K169" s="134">
        <f t="shared" si="58"/>
        <v>0.46</v>
      </c>
      <c r="L169" s="134">
        <f t="shared" si="58"/>
        <v>0.46</v>
      </c>
      <c r="M169" s="134">
        <f t="shared" si="58"/>
        <v>0.46</v>
      </c>
      <c r="N169" s="134">
        <f t="shared" si="58"/>
        <v>0.46</v>
      </c>
      <c r="O169" s="134">
        <f t="shared" si="58"/>
        <v>0.46</v>
      </c>
      <c r="P169" s="134">
        <f t="shared" si="58"/>
        <v>0.46</v>
      </c>
      <c r="Q169" s="134">
        <f t="shared" si="58"/>
        <v>0.46</v>
      </c>
      <c r="R169" s="134">
        <f t="shared" si="59"/>
        <v>0.46</v>
      </c>
      <c r="S169" s="134">
        <f t="shared" si="59"/>
        <v>0.46</v>
      </c>
      <c r="T169" s="134">
        <f t="shared" si="59"/>
        <v>0.46</v>
      </c>
      <c r="U169" s="134">
        <f t="shared" si="59"/>
        <v>0.46</v>
      </c>
      <c r="V169" s="134">
        <f t="shared" si="59"/>
        <v>0.46</v>
      </c>
      <c r="W169" s="134">
        <f t="shared" si="59"/>
        <v>0.46</v>
      </c>
      <c r="X169" s="134">
        <f t="shared" si="59"/>
        <v>0.46</v>
      </c>
      <c r="Y169" s="134">
        <f t="shared" si="59"/>
        <v>0.46</v>
      </c>
      <c r="Z169" s="134">
        <f t="shared" si="59"/>
        <v>0.46</v>
      </c>
      <c r="AA169" s="134">
        <f t="shared" si="59"/>
        <v>0.46</v>
      </c>
      <c r="AB169" s="134">
        <f t="shared" si="59"/>
        <v>0.46</v>
      </c>
      <c r="AC169" s="134">
        <f t="shared" si="59"/>
        <v>0.46</v>
      </c>
      <c r="AD169" s="134">
        <f t="shared" si="59"/>
        <v>0.46</v>
      </c>
      <c r="AE169" s="134">
        <f t="shared" si="59"/>
        <v>0.46</v>
      </c>
      <c r="AF169" s="134">
        <f t="shared" si="59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58"/>
        <v>0.85</v>
      </c>
      <c r="D170" s="134">
        <f t="shared" si="58"/>
        <v>0.85</v>
      </c>
      <c r="E170" s="134">
        <f t="shared" si="58"/>
        <v>0.85</v>
      </c>
      <c r="F170" s="134">
        <f t="shared" si="58"/>
        <v>0.85</v>
      </c>
      <c r="G170" s="134">
        <f t="shared" si="58"/>
        <v>0.85</v>
      </c>
      <c r="H170" s="134">
        <f t="shared" si="58"/>
        <v>0.85</v>
      </c>
      <c r="I170" s="134">
        <f t="shared" si="58"/>
        <v>0.85</v>
      </c>
      <c r="J170" s="134">
        <f t="shared" si="58"/>
        <v>0.85</v>
      </c>
      <c r="K170" s="134">
        <f t="shared" si="58"/>
        <v>0.85</v>
      </c>
      <c r="L170" s="134">
        <f t="shared" si="58"/>
        <v>0.85</v>
      </c>
      <c r="M170" s="134">
        <f t="shared" si="58"/>
        <v>0.85</v>
      </c>
      <c r="N170" s="134">
        <f t="shared" si="58"/>
        <v>0.85</v>
      </c>
      <c r="O170" s="134">
        <f t="shared" si="58"/>
        <v>0.85</v>
      </c>
      <c r="P170" s="134">
        <f t="shared" si="58"/>
        <v>0.85</v>
      </c>
      <c r="Q170" s="134">
        <f t="shared" si="58"/>
        <v>0.85</v>
      </c>
      <c r="R170" s="134">
        <f t="shared" si="59"/>
        <v>0.85</v>
      </c>
      <c r="S170" s="134">
        <f t="shared" si="59"/>
        <v>0.85</v>
      </c>
      <c r="T170" s="134">
        <f t="shared" si="59"/>
        <v>0.85</v>
      </c>
      <c r="U170" s="134">
        <f t="shared" si="59"/>
        <v>0.85</v>
      </c>
      <c r="V170" s="134">
        <f t="shared" si="59"/>
        <v>0.85</v>
      </c>
      <c r="W170" s="134">
        <f t="shared" si="59"/>
        <v>0.85</v>
      </c>
      <c r="X170" s="134">
        <f t="shared" si="59"/>
        <v>0.85</v>
      </c>
      <c r="Y170" s="134">
        <f t="shared" si="59"/>
        <v>0.85</v>
      </c>
      <c r="Z170" s="134">
        <f t="shared" si="59"/>
        <v>0.85</v>
      </c>
      <c r="AA170" s="134">
        <f t="shared" si="59"/>
        <v>0.85</v>
      </c>
      <c r="AB170" s="134">
        <f t="shared" si="59"/>
        <v>0.85</v>
      </c>
      <c r="AC170" s="134">
        <f t="shared" si="59"/>
        <v>0.85</v>
      </c>
      <c r="AD170" s="134">
        <f t="shared" si="59"/>
        <v>0.85</v>
      </c>
      <c r="AE170" s="134">
        <f t="shared" si="59"/>
        <v>0.85</v>
      </c>
      <c r="AF170" s="134">
        <f t="shared" si="59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58"/>
        <v>0.9</v>
      </c>
      <c r="D171" s="134">
        <f t="shared" si="58"/>
        <v>0.9</v>
      </c>
      <c r="E171" s="134">
        <f t="shared" si="58"/>
        <v>0.9</v>
      </c>
      <c r="F171" s="134">
        <f t="shared" si="58"/>
        <v>0.9</v>
      </c>
      <c r="G171" s="134">
        <f t="shared" si="58"/>
        <v>0.9</v>
      </c>
      <c r="H171" s="134">
        <f t="shared" si="58"/>
        <v>0.9</v>
      </c>
      <c r="I171" s="134">
        <f t="shared" si="58"/>
        <v>0.9</v>
      </c>
      <c r="J171" s="134">
        <f t="shared" si="58"/>
        <v>0.9</v>
      </c>
      <c r="K171" s="134">
        <f t="shared" si="58"/>
        <v>0.9</v>
      </c>
      <c r="L171" s="134">
        <f t="shared" si="58"/>
        <v>0.9</v>
      </c>
      <c r="M171" s="134">
        <f t="shared" si="58"/>
        <v>0.9</v>
      </c>
      <c r="N171" s="134">
        <f t="shared" si="58"/>
        <v>0.9</v>
      </c>
      <c r="O171" s="134">
        <f t="shared" si="58"/>
        <v>0.9</v>
      </c>
      <c r="P171" s="134">
        <f t="shared" si="58"/>
        <v>0.9</v>
      </c>
      <c r="Q171" s="134">
        <f t="shared" si="58"/>
        <v>0.9</v>
      </c>
      <c r="R171" s="134">
        <f t="shared" si="59"/>
        <v>0.9</v>
      </c>
      <c r="S171" s="134">
        <f t="shared" si="59"/>
        <v>0.9</v>
      </c>
      <c r="T171" s="134">
        <f t="shared" si="59"/>
        <v>0.9</v>
      </c>
      <c r="U171" s="134">
        <f t="shared" si="59"/>
        <v>0.9</v>
      </c>
      <c r="V171" s="134">
        <f t="shared" si="59"/>
        <v>0.9</v>
      </c>
      <c r="W171" s="134">
        <f t="shared" si="59"/>
        <v>0.9</v>
      </c>
      <c r="X171" s="134">
        <f t="shared" si="59"/>
        <v>0.9</v>
      </c>
      <c r="Y171" s="134">
        <f t="shared" si="59"/>
        <v>0.9</v>
      </c>
      <c r="Z171" s="134">
        <f t="shared" si="59"/>
        <v>0.9</v>
      </c>
      <c r="AA171" s="134">
        <f t="shared" si="59"/>
        <v>0.9</v>
      </c>
      <c r="AB171" s="134">
        <f t="shared" si="59"/>
        <v>0.9</v>
      </c>
      <c r="AC171" s="134">
        <f t="shared" si="59"/>
        <v>0.9</v>
      </c>
      <c r="AD171" s="134">
        <f t="shared" si="59"/>
        <v>0.9</v>
      </c>
      <c r="AE171" s="134">
        <f t="shared" si="59"/>
        <v>0.9</v>
      </c>
      <c r="AF171" s="134">
        <f t="shared" si="59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58"/>
        <v>0.44</v>
      </c>
      <c r="D172" s="134">
        <f t="shared" si="58"/>
        <v>0.44</v>
      </c>
      <c r="E172" s="134">
        <f t="shared" si="58"/>
        <v>0.44</v>
      </c>
      <c r="F172" s="134">
        <f t="shared" si="58"/>
        <v>0.44</v>
      </c>
      <c r="G172" s="134">
        <f t="shared" si="58"/>
        <v>0.44</v>
      </c>
      <c r="H172" s="134">
        <f t="shared" si="58"/>
        <v>0.44</v>
      </c>
      <c r="I172" s="134">
        <f t="shared" si="58"/>
        <v>0.44</v>
      </c>
      <c r="J172" s="134">
        <f t="shared" si="58"/>
        <v>0.44</v>
      </c>
      <c r="K172" s="134">
        <f t="shared" si="58"/>
        <v>0.44</v>
      </c>
      <c r="L172" s="134">
        <f t="shared" si="58"/>
        <v>0.44</v>
      </c>
      <c r="M172" s="134">
        <f t="shared" si="58"/>
        <v>0.44</v>
      </c>
      <c r="N172" s="134">
        <f t="shared" si="58"/>
        <v>0.44</v>
      </c>
      <c r="O172" s="134">
        <f t="shared" si="58"/>
        <v>0.44</v>
      </c>
      <c r="P172" s="134">
        <f t="shared" si="58"/>
        <v>0.44</v>
      </c>
      <c r="Q172" s="134">
        <f t="shared" si="58"/>
        <v>0.44</v>
      </c>
      <c r="R172" s="134">
        <f t="shared" si="59"/>
        <v>0.44</v>
      </c>
      <c r="S172" s="134">
        <f t="shared" si="59"/>
        <v>0.44</v>
      </c>
      <c r="T172" s="134">
        <f t="shared" si="59"/>
        <v>0.44</v>
      </c>
      <c r="U172" s="134">
        <f t="shared" si="59"/>
        <v>0.44</v>
      </c>
      <c r="V172" s="134">
        <f t="shared" si="59"/>
        <v>0.44</v>
      </c>
      <c r="W172" s="134">
        <f t="shared" si="59"/>
        <v>0.44</v>
      </c>
      <c r="X172" s="134">
        <f t="shared" si="59"/>
        <v>0.44</v>
      </c>
      <c r="Y172" s="134">
        <f t="shared" si="59"/>
        <v>0.44</v>
      </c>
      <c r="Z172" s="134">
        <f t="shared" si="59"/>
        <v>0.44</v>
      </c>
      <c r="AA172" s="134">
        <f t="shared" si="59"/>
        <v>0.44</v>
      </c>
      <c r="AB172" s="134">
        <f t="shared" si="59"/>
        <v>0.44</v>
      </c>
      <c r="AC172" s="134">
        <f t="shared" si="59"/>
        <v>0.44</v>
      </c>
      <c r="AD172" s="134">
        <f t="shared" si="59"/>
        <v>0.44</v>
      </c>
      <c r="AE172" s="134">
        <f t="shared" si="59"/>
        <v>0.44</v>
      </c>
      <c r="AF172" s="134">
        <f t="shared" si="59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58"/>
        <v>2.1</v>
      </c>
      <c r="D173" s="134">
        <f t="shared" si="58"/>
        <v>2.1</v>
      </c>
      <c r="E173" s="134">
        <f t="shared" si="58"/>
        <v>2.1</v>
      </c>
      <c r="F173" s="134">
        <f t="shared" si="58"/>
        <v>2.1</v>
      </c>
      <c r="G173" s="134">
        <f t="shared" si="58"/>
        <v>2.1</v>
      </c>
      <c r="H173" s="134">
        <f t="shared" si="58"/>
        <v>2.1</v>
      </c>
      <c r="I173" s="134">
        <f t="shared" si="58"/>
        <v>2.1</v>
      </c>
      <c r="J173" s="134">
        <f t="shared" si="58"/>
        <v>2.1</v>
      </c>
      <c r="K173" s="134">
        <f t="shared" si="58"/>
        <v>2.1</v>
      </c>
      <c r="L173" s="134">
        <f t="shared" si="58"/>
        <v>2.1</v>
      </c>
      <c r="M173" s="134">
        <f t="shared" si="58"/>
        <v>2.1</v>
      </c>
      <c r="N173" s="134">
        <f t="shared" si="58"/>
        <v>2.1</v>
      </c>
      <c r="O173" s="134">
        <f t="shared" si="58"/>
        <v>2.1</v>
      </c>
      <c r="P173" s="134">
        <f t="shared" si="58"/>
        <v>2.1</v>
      </c>
      <c r="Q173" s="134">
        <f t="shared" si="58"/>
        <v>2.1</v>
      </c>
      <c r="R173" s="134">
        <f t="shared" si="59"/>
        <v>2.1</v>
      </c>
      <c r="S173" s="134">
        <f t="shared" si="59"/>
        <v>2.1</v>
      </c>
      <c r="T173" s="134">
        <f t="shared" si="59"/>
        <v>2.1</v>
      </c>
      <c r="U173" s="134">
        <f t="shared" si="59"/>
        <v>2.1</v>
      </c>
      <c r="V173" s="134">
        <f t="shared" si="59"/>
        <v>2.1</v>
      </c>
      <c r="W173" s="134">
        <f t="shared" si="59"/>
        <v>2.1</v>
      </c>
      <c r="X173" s="134">
        <f t="shared" si="59"/>
        <v>2.1</v>
      </c>
      <c r="Y173" s="134">
        <f t="shared" si="59"/>
        <v>2.1</v>
      </c>
      <c r="Z173" s="134">
        <f t="shared" si="59"/>
        <v>2.1</v>
      </c>
      <c r="AA173" s="134">
        <f t="shared" si="59"/>
        <v>2.1</v>
      </c>
      <c r="AB173" s="134">
        <f t="shared" si="59"/>
        <v>2.1</v>
      </c>
      <c r="AC173" s="134">
        <f t="shared" si="59"/>
        <v>2.1</v>
      </c>
      <c r="AD173" s="134">
        <f t="shared" si="59"/>
        <v>2.1</v>
      </c>
      <c r="AE173" s="134">
        <f t="shared" si="59"/>
        <v>2.1</v>
      </c>
      <c r="AF173" s="134">
        <f t="shared" si="59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58"/>
        <v>0.9</v>
      </c>
      <c r="D174" s="134">
        <f t="shared" si="58"/>
        <v>0.9</v>
      </c>
      <c r="E174" s="134">
        <f t="shared" si="58"/>
        <v>0.9</v>
      </c>
      <c r="F174" s="134">
        <f t="shared" si="58"/>
        <v>0.9</v>
      </c>
      <c r="G174" s="134">
        <f t="shared" si="58"/>
        <v>0.9</v>
      </c>
      <c r="H174" s="134">
        <f t="shared" si="58"/>
        <v>0.9</v>
      </c>
      <c r="I174" s="134">
        <f t="shared" si="58"/>
        <v>0.9</v>
      </c>
      <c r="J174" s="134">
        <f t="shared" si="58"/>
        <v>0.9</v>
      </c>
      <c r="K174" s="134">
        <f t="shared" si="58"/>
        <v>0.9</v>
      </c>
      <c r="L174" s="134">
        <f t="shared" si="58"/>
        <v>0.9</v>
      </c>
      <c r="M174" s="134">
        <f t="shared" si="58"/>
        <v>0.9</v>
      </c>
      <c r="N174" s="134">
        <f t="shared" si="58"/>
        <v>0.9</v>
      </c>
      <c r="O174" s="134">
        <f t="shared" si="58"/>
        <v>0.9</v>
      </c>
      <c r="P174" s="134">
        <f t="shared" si="58"/>
        <v>0.9</v>
      </c>
      <c r="Q174" s="134">
        <f t="shared" si="58"/>
        <v>0.9</v>
      </c>
      <c r="R174" s="134">
        <f t="shared" si="59"/>
        <v>0.9</v>
      </c>
      <c r="S174" s="134">
        <f t="shared" si="59"/>
        <v>0.9</v>
      </c>
      <c r="T174" s="134">
        <f t="shared" si="59"/>
        <v>0.9</v>
      </c>
      <c r="U174" s="134">
        <f t="shared" si="59"/>
        <v>0.9</v>
      </c>
      <c r="V174" s="134">
        <f t="shared" si="59"/>
        <v>0.9</v>
      </c>
      <c r="W174" s="134">
        <f t="shared" si="59"/>
        <v>0.9</v>
      </c>
      <c r="X174" s="134">
        <f t="shared" si="59"/>
        <v>0.9</v>
      </c>
      <c r="Y174" s="134">
        <f t="shared" si="59"/>
        <v>0.9</v>
      </c>
      <c r="Z174" s="134">
        <f t="shared" si="59"/>
        <v>0.9</v>
      </c>
      <c r="AA174" s="134">
        <f t="shared" si="59"/>
        <v>0.9</v>
      </c>
      <c r="AB174" s="134">
        <f t="shared" si="59"/>
        <v>0.9</v>
      </c>
      <c r="AC174" s="134">
        <f t="shared" si="59"/>
        <v>0.9</v>
      </c>
      <c r="AD174" s="134">
        <f t="shared" si="59"/>
        <v>0.9</v>
      </c>
      <c r="AE174" s="134">
        <f t="shared" si="59"/>
        <v>0.9</v>
      </c>
      <c r="AF174" s="134">
        <f t="shared" si="59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60">B176</f>
        <v>0.57999999999999996</v>
      </c>
      <c r="D176" s="134">
        <f t="shared" si="60"/>
        <v>0.57999999999999996</v>
      </c>
      <c r="E176" s="134">
        <f t="shared" si="60"/>
        <v>0.57999999999999996</v>
      </c>
      <c r="F176" s="134">
        <f t="shared" si="60"/>
        <v>0.57999999999999996</v>
      </c>
      <c r="G176" s="134">
        <f t="shared" si="60"/>
        <v>0.57999999999999996</v>
      </c>
      <c r="H176" s="134">
        <f t="shared" si="60"/>
        <v>0.57999999999999996</v>
      </c>
      <c r="I176" s="134">
        <f t="shared" si="60"/>
        <v>0.57999999999999996</v>
      </c>
      <c r="J176" s="134">
        <f t="shared" si="60"/>
        <v>0.57999999999999996</v>
      </c>
      <c r="K176" s="134">
        <f t="shared" si="60"/>
        <v>0.57999999999999996</v>
      </c>
      <c r="L176" s="134">
        <f t="shared" si="60"/>
        <v>0.57999999999999996</v>
      </c>
      <c r="M176" s="134">
        <f t="shared" si="60"/>
        <v>0.57999999999999996</v>
      </c>
      <c r="N176" s="134">
        <f t="shared" si="60"/>
        <v>0.57999999999999996</v>
      </c>
      <c r="O176" s="134">
        <f t="shared" si="60"/>
        <v>0.57999999999999996</v>
      </c>
      <c r="P176" s="134">
        <f t="shared" si="60"/>
        <v>0.57999999999999996</v>
      </c>
      <c r="Q176" s="134">
        <f t="shared" si="60"/>
        <v>0.57999999999999996</v>
      </c>
      <c r="R176" s="134">
        <f t="shared" si="60"/>
        <v>0.57999999999999996</v>
      </c>
      <c r="S176" s="134">
        <f t="shared" ref="R176:AF188" si="61">R176</f>
        <v>0.57999999999999996</v>
      </c>
      <c r="T176" s="134">
        <f t="shared" si="61"/>
        <v>0.57999999999999996</v>
      </c>
      <c r="U176" s="134">
        <f t="shared" si="61"/>
        <v>0.57999999999999996</v>
      </c>
      <c r="V176" s="134">
        <f t="shared" si="61"/>
        <v>0.57999999999999996</v>
      </c>
      <c r="W176" s="134">
        <f t="shared" si="61"/>
        <v>0.57999999999999996</v>
      </c>
      <c r="X176" s="134">
        <f t="shared" si="61"/>
        <v>0.57999999999999996</v>
      </c>
      <c r="Y176" s="134">
        <f t="shared" si="61"/>
        <v>0.57999999999999996</v>
      </c>
      <c r="Z176" s="134">
        <f t="shared" si="61"/>
        <v>0.57999999999999996</v>
      </c>
      <c r="AA176" s="134">
        <f t="shared" si="61"/>
        <v>0.57999999999999996</v>
      </c>
      <c r="AB176" s="134">
        <f t="shared" si="61"/>
        <v>0.57999999999999996</v>
      </c>
      <c r="AC176" s="134">
        <f t="shared" si="61"/>
        <v>0.57999999999999996</v>
      </c>
      <c r="AD176" s="134">
        <f t="shared" si="61"/>
        <v>0.57999999999999996</v>
      </c>
      <c r="AE176" s="134">
        <f t="shared" si="61"/>
        <v>0.57999999999999996</v>
      </c>
      <c r="AF176" s="134">
        <f t="shared" si="61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60"/>
        <v>0.8</v>
      </c>
      <c r="D177" s="134">
        <f t="shared" si="60"/>
        <v>0.8</v>
      </c>
      <c r="E177" s="134">
        <f t="shared" si="60"/>
        <v>0.8</v>
      </c>
      <c r="F177" s="134">
        <f t="shared" si="60"/>
        <v>0.8</v>
      </c>
      <c r="G177" s="134">
        <f t="shared" si="60"/>
        <v>0.8</v>
      </c>
      <c r="H177" s="134">
        <f t="shared" si="60"/>
        <v>0.8</v>
      </c>
      <c r="I177" s="134">
        <f t="shared" si="60"/>
        <v>0.8</v>
      </c>
      <c r="J177" s="134">
        <f t="shared" si="60"/>
        <v>0.8</v>
      </c>
      <c r="K177" s="134">
        <f t="shared" si="60"/>
        <v>0.8</v>
      </c>
      <c r="L177" s="134">
        <f t="shared" si="60"/>
        <v>0.8</v>
      </c>
      <c r="M177" s="134">
        <f t="shared" si="60"/>
        <v>0.8</v>
      </c>
      <c r="N177" s="134">
        <f t="shared" si="60"/>
        <v>0.8</v>
      </c>
      <c r="O177" s="134">
        <f t="shared" si="60"/>
        <v>0.8</v>
      </c>
      <c r="P177" s="134">
        <f t="shared" si="60"/>
        <v>0.8</v>
      </c>
      <c r="Q177" s="134">
        <f t="shared" si="60"/>
        <v>0.8</v>
      </c>
      <c r="R177" s="134">
        <f t="shared" si="60"/>
        <v>0.8</v>
      </c>
      <c r="S177" s="134">
        <f t="shared" si="61"/>
        <v>0.8</v>
      </c>
      <c r="T177" s="134">
        <f t="shared" si="61"/>
        <v>0.8</v>
      </c>
      <c r="U177" s="134">
        <f t="shared" si="61"/>
        <v>0.8</v>
      </c>
      <c r="V177" s="134">
        <f t="shared" si="61"/>
        <v>0.8</v>
      </c>
      <c r="W177" s="134">
        <f t="shared" si="61"/>
        <v>0.8</v>
      </c>
      <c r="X177" s="134">
        <f t="shared" si="61"/>
        <v>0.8</v>
      </c>
      <c r="Y177" s="134">
        <f t="shared" si="61"/>
        <v>0.8</v>
      </c>
      <c r="Z177" s="134">
        <f t="shared" si="61"/>
        <v>0.8</v>
      </c>
      <c r="AA177" s="134">
        <f t="shared" si="61"/>
        <v>0.8</v>
      </c>
      <c r="AB177" s="134">
        <f t="shared" si="61"/>
        <v>0.8</v>
      </c>
      <c r="AC177" s="134">
        <f t="shared" si="61"/>
        <v>0.8</v>
      </c>
      <c r="AD177" s="134">
        <f t="shared" si="61"/>
        <v>0.8</v>
      </c>
      <c r="AE177" s="134">
        <f t="shared" si="61"/>
        <v>0.8</v>
      </c>
      <c r="AF177" s="134">
        <f t="shared" si="61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60"/>
        <v>0</v>
      </c>
      <c r="D178" s="134">
        <f t="shared" si="60"/>
        <v>0</v>
      </c>
      <c r="E178" s="134">
        <f t="shared" si="60"/>
        <v>0</v>
      </c>
      <c r="F178" s="134">
        <f t="shared" si="60"/>
        <v>0</v>
      </c>
      <c r="G178" s="134">
        <f t="shared" si="60"/>
        <v>0</v>
      </c>
      <c r="H178" s="134">
        <f t="shared" si="60"/>
        <v>0</v>
      </c>
      <c r="I178" s="134">
        <f t="shared" si="60"/>
        <v>0</v>
      </c>
      <c r="J178" s="134">
        <f t="shared" si="60"/>
        <v>0</v>
      </c>
      <c r="K178" s="134">
        <f t="shared" si="60"/>
        <v>0</v>
      </c>
      <c r="L178" s="134">
        <f t="shared" si="60"/>
        <v>0</v>
      </c>
      <c r="M178" s="134">
        <f t="shared" si="60"/>
        <v>0</v>
      </c>
      <c r="N178" s="134">
        <f t="shared" si="60"/>
        <v>0</v>
      </c>
      <c r="O178" s="134">
        <f t="shared" si="60"/>
        <v>0</v>
      </c>
      <c r="P178" s="134">
        <f t="shared" si="60"/>
        <v>0</v>
      </c>
      <c r="Q178" s="134">
        <f t="shared" si="60"/>
        <v>0</v>
      </c>
      <c r="R178" s="134">
        <f t="shared" si="60"/>
        <v>0</v>
      </c>
      <c r="S178" s="134">
        <f t="shared" si="61"/>
        <v>0</v>
      </c>
      <c r="T178" s="134">
        <f t="shared" si="61"/>
        <v>0</v>
      </c>
      <c r="U178" s="134">
        <f t="shared" si="61"/>
        <v>0</v>
      </c>
      <c r="V178" s="134">
        <f t="shared" si="61"/>
        <v>0</v>
      </c>
      <c r="W178" s="134">
        <f t="shared" si="61"/>
        <v>0</v>
      </c>
      <c r="X178" s="134">
        <f t="shared" si="61"/>
        <v>0</v>
      </c>
      <c r="Y178" s="134">
        <f t="shared" si="61"/>
        <v>0</v>
      </c>
      <c r="Z178" s="134">
        <f t="shared" si="61"/>
        <v>0</v>
      </c>
      <c r="AA178" s="134">
        <f t="shared" si="61"/>
        <v>0</v>
      </c>
      <c r="AB178" s="134">
        <f t="shared" si="61"/>
        <v>0</v>
      </c>
      <c r="AC178" s="134">
        <f t="shared" si="61"/>
        <v>0</v>
      </c>
      <c r="AD178" s="134">
        <f t="shared" si="61"/>
        <v>0</v>
      </c>
      <c r="AE178" s="134">
        <f t="shared" si="61"/>
        <v>0</v>
      </c>
      <c r="AF178" s="134">
        <f t="shared" si="61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60"/>
        <v>0.6</v>
      </c>
      <c r="D179" s="134">
        <f t="shared" si="60"/>
        <v>0.6</v>
      </c>
      <c r="E179" s="134">
        <f t="shared" si="60"/>
        <v>0.6</v>
      </c>
      <c r="F179" s="134">
        <f t="shared" si="60"/>
        <v>0.6</v>
      </c>
      <c r="G179" s="134">
        <f t="shared" si="60"/>
        <v>0.6</v>
      </c>
      <c r="H179" s="134">
        <f t="shared" si="60"/>
        <v>0.6</v>
      </c>
      <c r="I179" s="134">
        <f t="shared" si="60"/>
        <v>0.6</v>
      </c>
      <c r="J179" s="134">
        <f t="shared" si="60"/>
        <v>0.6</v>
      </c>
      <c r="K179" s="134">
        <f t="shared" si="60"/>
        <v>0.6</v>
      </c>
      <c r="L179" s="134">
        <f t="shared" si="60"/>
        <v>0.6</v>
      </c>
      <c r="M179" s="134">
        <f t="shared" si="60"/>
        <v>0.6</v>
      </c>
      <c r="N179" s="134">
        <f t="shared" si="60"/>
        <v>0.6</v>
      </c>
      <c r="O179" s="134">
        <f t="shared" si="60"/>
        <v>0.6</v>
      </c>
      <c r="P179" s="134">
        <f t="shared" si="60"/>
        <v>0.6</v>
      </c>
      <c r="Q179" s="134">
        <f t="shared" si="60"/>
        <v>0.6</v>
      </c>
      <c r="R179" s="134">
        <f t="shared" si="60"/>
        <v>0.6</v>
      </c>
      <c r="S179" s="134">
        <f t="shared" si="61"/>
        <v>0.6</v>
      </c>
      <c r="T179" s="134">
        <f t="shared" si="61"/>
        <v>0.6</v>
      </c>
      <c r="U179" s="134">
        <f t="shared" si="61"/>
        <v>0.6</v>
      </c>
      <c r="V179" s="134">
        <f t="shared" si="61"/>
        <v>0.6</v>
      </c>
      <c r="W179" s="134">
        <f t="shared" si="61"/>
        <v>0.6</v>
      </c>
      <c r="X179" s="134">
        <f t="shared" si="61"/>
        <v>0.6</v>
      </c>
      <c r="Y179" s="134">
        <f t="shared" si="61"/>
        <v>0.6</v>
      </c>
      <c r="Z179" s="134">
        <f t="shared" si="61"/>
        <v>0.6</v>
      </c>
      <c r="AA179" s="134">
        <f t="shared" si="61"/>
        <v>0.6</v>
      </c>
      <c r="AB179" s="134">
        <f t="shared" si="61"/>
        <v>0.6</v>
      </c>
      <c r="AC179" s="134">
        <f t="shared" si="61"/>
        <v>0.6</v>
      </c>
      <c r="AD179" s="134">
        <f t="shared" si="61"/>
        <v>0.6</v>
      </c>
      <c r="AE179" s="134">
        <f t="shared" si="61"/>
        <v>0.6</v>
      </c>
      <c r="AF179" s="134">
        <f t="shared" si="61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60"/>
        <v>0.6</v>
      </c>
      <c r="D180" s="134">
        <f t="shared" si="60"/>
        <v>0.6</v>
      </c>
      <c r="E180" s="134">
        <f t="shared" si="60"/>
        <v>0.6</v>
      </c>
      <c r="F180" s="134">
        <f t="shared" si="60"/>
        <v>0.6</v>
      </c>
      <c r="G180" s="134">
        <f t="shared" si="60"/>
        <v>0.6</v>
      </c>
      <c r="H180" s="134">
        <f t="shared" si="60"/>
        <v>0.6</v>
      </c>
      <c r="I180" s="134">
        <f t="shared" si="60"/>
        <v>0.6</v>
      </c>
      <c r="J180" s="134">
        <f t="shared" si="60"/>
        <v>0.6</v>
      </c>
      <c r="K180" s="134">
        <f t="shared" si="60"/>
        <v>0.6</v>
      </c>
      <c r="L180" s="134">
        <f t="shared" si="60"/>
        <v>0.6</v>
      </c>
      <c r="M180" s="134">
        <f t="shared" si="60"/>
        <v>0.6</v>
      </c>
      <c r="N180" s="134">
        <f t="shared" si="60"/>
        <v>0.6</v>
      </c>
      <c r="O180" s="134">
        <f t="shared" si="60"/>
        <v>0.6</v>
      </c>
      <c r="P180" s="134">
        <f t="shared" si="60"/>
        <v>0.6</v>
      </c>
      <c r="Q180" s="134">
        <f t="shared" si="60"/>
        <v>0.6</v>
      </c>
      <c r="R180" s="134">
        <f t="shared" si="60"/>
        <v>0.6</v>
      </c>
      <c r="S180" s="134">
        <f t="shared" si="61"/>
        <v>0.6</v>
      </c>
      <c r="T180" s="134">
        <f t="shared" si="61"/>
        <v>0.6</v>
      </c>
      <c r="U180" s="134">
        <f t="shared" si="61"/>
        <v>0.6</v>
      </c>
      <c r="V180" s="134">
        <f t="shared" si="61"/>
        <v>0.6</v>
      </c>
      <c r="W180" s="134">
        <f t="shared" si="61"/>
        <v>0.6</v>
      </c>
      <c r="X180" s="134">
        <f t="shared" si="61"/>
        <v>0.6</v>
      </c>
      <c r="Y180" s="134">
        <f t="shared" si="61"/>
        <v>0.6</v>
      </c>
      <c r="Z180" s="134">
        <f t="shared" si="61"/>
        <v>0.6</v>
      </c>
      <c r="AA180" s="134">
        <f t="shared" si="61"/>
        <v>0.6</v>
      </c>
      <c r="AB180" s="134">
        <f t="shared" si="61"/>
        <v>0.6</v>
      </c>
      <c r="AC180" s="134">
        <f t="shared" si="61"/>
        <v>0.6</v>
      </c>
      <c r="AD180" s="134">
        <f t="shared" si="61"/>
        <v>0.6</v>
      </c>
      <c r="AE180" s="134">
        <f t="shared" si="61"/>
        <v>0.6</v>
      </c>
      <c r="AF180" s="134">
        <f t="shared" si="61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60"/>
        <v>0.35</v>
      </c>
      <c r="D181" s="134">
        <f t="shared" si="60"/>
        <v>0.35</v>
      </c>
      <c r="E181" s="134">
        <f t="shared" si="60"/>
        <v>0.35</v>
      </c>
      <c r="F181" s="134">
        <f t="shared" si="60"/>
        <v>0.35</v>
      </c>
      <c r="G181" s="134">
        <f t="shared" si="60"/>
        <v>0.35</v>
      </c>
      <c r="H181" s="134">
        <f t="shared" si="60"/>
        <v>0.35</v>
      </c>
      <c r="I181" s="134">
        <f t="shared" si="60"/>
        <v>0.35</v>
      </c>
      <c r="J181" s="134">
        <f t="shared" si="60"/>
        <v>0.35</v>
      </c>
      <c r="K181" s="134">
        <f t="shared" si="60"/>
        <v>0.35</v>
      </c>
      <c r="L181" s="134">
        <f t="shared" si="60"/>
        <v>0.35</v>
      </c>
      <c r="M181" s="134">
        <f t="shared" si="60"/>
        <v>0.35</v>
      </c>
      <c r="N181" s="134">
        <f t="shared" si="60"/>
        <v>0.35</v>
      </c>
      <c r="O181" s="134">
        <f t="shared" si="60"/>
        <v>0.35</v>
      </c>
      <c r="P181" s="134">
        <f t="shared" si="60"/>
        <v>0.35</v>
      </c>
      <c r="Q181" s="134">
        <f t="shared" si="60"/>
        <v>0.35</v>
      </c>
      <c r="R181" s="134">
        <f t="shared" si="60"/>
        <v>0.35</v>
      </c>
      <c r="S181" s="134">
        <f t="shared" si="61"/>
        <v>0.35</v>
      </c>
      <c r="T181" s="134">
        <f t="shared" si="61"/>
        <v>0.35</v>
      </c>
      <c r="U181" s="134">
        <f t="shared" si="61"/>
        <v>0.35</v>
      </c>
      <c r="V181" s="134">
        <f t="shared" si="61"/>
        <v>0.35</v>
      </c>
      <c r="W181" s="134">
        <f t="shared" si="61"/>
        <v>0.35</v>
      </c>
      <c r="X181" s="134">
        <f t="shared" si="61"/>
        <v>0.35</v>
      </c>
      <c r="Y181" s="134">
        <f t="shared" si="61"/>
        <v>0.35</v>
      </c>
      <c r="Z181" s="134">
        <f t="shared" si="61"/>
        <v>0.35</v>
      </c>
      <c r="AA181" s="134">
        <f t="shared" si="61"/>
        <v>0.35</v>
      </c>
      <c r="AB181" s="134">
        <f t="shared" si="61"/>
        <v>0.35</v>
      </c>
      <c r="AC181" s="134">
        <f t="shared" si="61"/>
        <v>0.35</v>
      </c>
      <c r="AD181" s="134">
        <f t="shared" si="61"/>
        <v>0.35</v>
      </c>
      <c r="AE181" s="134">
        <f t="shared" si="61"/>
        <v>0.35</v>
      </c>
      <c r="AF181" s="134">
        <f t="shared" si="61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60"/>
        <v>0.28999999999999998</v>
      </c>
      <c r="D182" s="134">
        <f t="shared" si="60"/>
        <v>0.28999999999999998</v>
      </c>
      <c r="E182" s="134">
        <f t="shared" si="60"/>
        <v>0.28999999999999998</v>
      </c>
      <c r="F182" s="134">
        <f t="shared" si="60"/>
        <v>0.28999999999999998</v>
      </c>
      <c r="G182" s="134">
        <f t="shared" si="60"/>
        <v>0.28999999999999998</v>
      </c>
      <c r="H182" s="134">
        <f t="shared" si="60"/>
        <v>0.28999999999999998</v>
      </c>
      <c r="I182" s="134">
        <f t="shared" si="60"/>
        <v>0.28999999999999998</v>
      </c>
      <c r="J182" s="134">
        <f t="shared" si="60"/>
        <v>0.28999999999999998</v>
      </c>
      <c r="K182" s="134">
        <f t="shared" si="60"/>
        <v>0.28999999999999998</v>
      </c>
      <c r="L182" s="134">
        <f t="shared" si="60"/>
        <v>0.28999999999999998</v>
      </c>
      <c r="M182" s="134">
        <f t="shared" si="60"/>
        <v>0.28999999999999998</v>
      </c>
      <c r="N182" s="134">
        <f t="shared" si="60"/>
        <v>0.28999999999999998</v>
      </c>
      <c r="O182" s="134">
        <f t="shared" si="60"/>
        <v>0.28999999999999998</v>
      </c>
      <c r="P182" s="134">
        <f t="shared" si="60"/>
        <v>0.28999999999999998</v>
      </c>
      <c r="Q182" s="134">
        <f t="shared" si="60"/>
        <v>0.28999999999999998</v>
      </c>
      <c r="R182" s="134">
        <f t="shared" si="60"/>
        <v>0.28999999999999998</v>
      </c>
      <c r="S182" s="134">
        <f t="shared" si="61"/>
        <v>0.28999999999999998</v>
      </c>
      <c r="T182" s="134">
        <f t="shared" si="61"/>
        <v>0.28999999999999998</v>
      </c>
      <c r="U182" s="134">
        <f t="shared" si="61"/>
        <v>0.28999999999999998</v>
      </c>
      <c r="V182" s="134">
        <f t="shared" si="61"/>
        <v>0.28999999999999998</v>
      </c>
      <c r="W182" s="134">
        <f t="shared" si="61"/>
        <v>0.28999999999999998</v>
      </c>
      <c r="X182" s="134">
        <f t="shared" si="61"/>
        <v>0.28999999999999998</v>
      </c>
      <c r="Y182" s="134">
        <f t="shared" si="61"/>
        <v>0.28999999999999998</v>
      </c>
      <c r="Z182" s="134">
        <f t="shared" si="61"/>
        <v>0.28999999999999998</v>
      </c>
      <c r="AA182" s="134">
        <f t="shared" si="61"/>
        <v>0.28999999999999998</v>
      </c>
      <c r="AB182" s="134">
        <f t="shared" si="61"/>
        <v>0.28999999999999998</v>
      </c>
      <c r="AC182" s="134">
        <f t="shared" si="61"/>
        <v>0.28999999999999998</v>
      </c>
      <c r="AD182" s="134">
        <f t="shared" si="61"/>
        <v>0.28999999999999998</v>
      </c>
      <c r="AE182" s="134">
        <f t="shared" si="61"/>
        <v>0.28999999999999998</v>
      </c>
      <c r="AF182" s="134">
        <f t="shared" si="61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60"/>
        <v>0.06</v>
      </c>
      <c r="D183" s="134">
        <f t="shared" si="60"/>
        <v>0.06</v>
      </c>
      <c r="E183" s="134">
        <f t="shared" si="60"/>
        <v>0.06</v>
      </c>
      <c r="F183" s="134">
        <f t="shared" si="60"/>
        <v>0.06</v>
      </c>
      <c r="G183" s="134">
        <f t="shared" si="60"/>
        <v>0.06</v>
      </c>
      <c r="H183" s="134">
        <f t="shared" si="60"/>
        <v>0.06</v>
      </c>
      <c r="I183" s="134">
        <f t="shared" si="60"/>
        <v>0.06</v>
      </c>
      <c r="J183" s="134">
        <f t="shared" si="60"/>
        <v>0.06</v>
      </c>
      <c r="K183" s="134">
        <f t="shared" si="60"/>
        <v>0.06</v>
      </c>
      <c r="L183" s="134">
        <f t="shared" si="60"/>
        <v>0.06</v>
      </c>
      <c r="M183" s="134">
        <f t="shared" si="60"/>
        <v>0.06</v>
      </c>
      <c r="N183" s="134">
        <f t="shared" si="60"/>
        <v>0.06</v>
      </c>
      <c r="O183" s="134">
        <f t="shared" si="60"/>
        <v>0.06</v>
      </c>
      <c r="P183" s="134">
        <f t="shared" si="60"/>
        <v>0.06</v>
      </c>
      <c r="Q183" s="134">
        <f t="shared" si="60"/>
        <v>0.06</v>
      </c>
      <c r="R183" s="134">
        <f t="shared" si="60"/>
        <v>0.06</v>
      </c>
      <c r="S183" s="134">
        <f t="shared" si="61"/>
        <v>0.06</v>
      </c>
      <c r="T183" s="134">
        <f t="shared" si="61"/>
        <v>0.06</v>
      </c>
      <c r="U183" s="134">
        <f t="shared" si="61"/>
        <v>0.06</v>
      </c>
      <c r="V183" s="134">
        <f t="shared" si="61"/>
        <v>0.06</v>
      </c>
      <c r="W183" s="134">
        <f t="shared" si="61"/>
        <v>0.06</v>
      </c>
      <c r="X183" s="134">
        <f t="shared" si="61"/>
        <v>0.06</v>
      </c>
      <c r="Y183" s="134">
        <f t="shared" si="61"/>
        <v>0.06</v>
      </c>
      <c r="Z183" s="134">
        <f t="shared" si="61"/>
        <v>0.06</v>
      </c>
      <c r="AA183" s="134">
        <f t="shared" si="61"/>
        <v>0.06</v>
      </c>
      <c r="AB183" s="134">
        <f t="shared" si="61"/>
        <v>0.06</v>
      </c>
      <c r="AC183" s="134">
        <f t="shared" si="61"/>
        <v>0.06</v>
      </c>
      <c r="AD183" s="134">
        <f t="shared" si="61"/>
        <v>0.06</v>
      </c>
      <c r="AE183" s="134">
        <f t="shared" si="61"/>
        <v>0.06</v>
      </c>
      <c r="AF183" s="134">
        <f t="shared" si="61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60"/>
        <v>0.11</v>
      </c>
      <c r="D184" s="134">
        <f t="shared" si="60"/>
        <v>0.11</v>
      </c>
      <c r="E184" s="134">
        <f t="shared" si="60"/>
        <v>0.11</v>
      </c>
      <c r="F184" s="134">
        <f t="shared" si="60"/>
        <v>0.11</v>
      </c>
      <c r="G184" s="134">
        <f t="shared" si="60"/>
        <v>0.11</v>
      </c>
      <c r="H184" s="134">
        <f t="shared" si="60"/>
        <v>0.11</v>
      </c>
      <c r="I184" s="134">
        <f t="shared" si="60"/>
        <v>0.11</v>
      </c>
      <c r="J184" s="134">
        <f t="shared" si="60"/>
        <v>0.11</v>
      </c>
      <c r="K184" s="134">
        <f t="shared" si="60"/>
        <v>0.11</v>
      </c>
      <c r="L184" s="134">
        <f t="shared" si="60"/>
        <v>0.11</v>
      </c>
      <c r="M184" s="134">
        <f t="shared" si="60"/>
        <v>0.11</v>
      </c>
      <c r="N184" s="134">
        <f t="shared" si="60"/>
        <v>0.11</v>
      </c>
      <c r="O184" s="134">
        <f t="shared" si="60"/>
        <v>0.11</v>
      </c>
      <c r="P184" s="134">
        <f t="shared" si="60"/>
        <v>0.11</v>
      </c>
      <c r="Q184" s="134">
        <f t="shared" si="60"/>
        <v>0.11</v>
      </c>
      <c r="R184" s="134">
        <f t="shared" si="60"/>
        <v>0.11</v>
      </c>
      <c r="S184" s="134">
        <f t="shared" si="61"/>
        <v>0.11</v>
      </c>
      <c r="T184" s="134">
        <f t="shared" si="61"/>
        <v>0.11</v>
      </c>
      <c r="U184" s="134">
        <f t="shared" si="61"/>
        <v>0.11</v>
      </c>
      <c r="V184" s="134">
        <f t="shared" si="61"/>
        <v>0.11</v>
      </c>
      <c r="W184" s="134">
        <f t="shared" si="61"/>
        <v>0.11</v>
      </c>
      <c r="X184" s="134">
        <f t="shared" si="61"/>
        <v>0.11</v>
      </c>
      <c r="Y184" s="134">
        <f t="shared" si="61"/>
        <v>0.11</v>
      </c>
      <c r="Z184" s="134">
        <f t="shared" si="61"/>
        <v>0.11</v>
      </c>
      <c r="AA184" s="134">
        <f t="shared" si="61"/>
        <v>0.11</v>
      </c>
      <c r="AB184" s="134">
        <f t="shared" si="61"/>
        <v>0.11</v>
      </c>
      <c r="AC184" s="134">
        <f t="shared" si="61"/>
        <v>0.11</v>
      </c>
      <c r="AD184" s="134">
        <f t="shared" si="61"/>
        <v>0.11</v>
      </c>
      <c r="AE184" s="134">
        <f t="shared" si="61"/>
        <v>0.11</v>
      </c>
      <c r="AF184" s="134">
        <f t="shared" si="61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60"/>
        <v>0.1</v>
      </c>
      <c r="D185" s="134">
        <f t="shared" si="60"/>
        <v>0.1</v>
      </c>
      <c r="E185" s="134">
        <f t="shared" si="60"/>
        <v>0.1</v>
      </c>
      <c r="F185" s="134">
        <f t="shared" si="60"/>
        <v>0.1</v>
      </c>
      <c r="G185" s="134">
        <f t="shared" si="60"/>
        <v>0.1</v>
      </c>
      <c r="H185" s="134">
        <f t="shared" si="60"/>
        <v>0.1</v>
      </c>
      <c r="I185" s="134">
        <f t="shared" si="60"/>
        <v>0.1</v>
      </c>
      <c r="J185" s="134">
        <f t="shared" si="60"/>
        <v>0.1</v>
      </c>
      <c r="K185" s="134">
        <f t="shared" si="60"/>
        <v>0.1</v>
      </c>
      <c r="L185" s="134">
        <f t="shared" si="60"/>
        <v>0.1</v>
      </c>
      <c r="M185" s="134">
        <f t="shared" si="60"/>
        <v>0.1</v>
      </c>
      <c r="N185" s="134">
        <f t="shared" si="60"/>
        <v>0.1</v>
      </c>
      <c r="O185" s="134">
        <f t="shared" si="60"/>
        <v>0.1</v>
      </c>
      <c r="P185" s="134">
        <f t="shared" si="60"/>
        <v>0.1</v>
      </c>
      <c r="Q185" s="134">
        <f t="shared" si="60"/>
        <v>0.1</v>
      </c>
      <c r="R185" s="134">
        <f t="shared" si="61"/>
        <v>0.1</v>
      </c>
      <c r="S185" s="134">
        <f t="shared" si="61"/>
        <v>0.1</v>
      </c>
      <c r="T185" s="134">
        <f t="shared" si="61"/>
        <v>0.1</v>
      </c>
      <c r="U185" s="134">
        <f t="shared" si="61"/>
        <v>0.1</v>
      </c>
      <c r="V185" s="134">
        <f t="shared" si="61"/>
        <v>0.1</v>
      </c>
      <c r="W185" s="134">
        <f t="shared" si="61"/>
        <v>0.1</v>
      </c>
      <c r="X185" s="134">
        <f t="shared" si="61"/>
        <v>0.1</v>
      </c>
      <c r="Y185" s="134">
        <f t="shared" si="61"/>
        <v>0.1</v>
      </c>
      <c r="Z185" s="134">
        <f t="shared" si="61"/>
        <v>0.1</v>
      </c>
      <c r="AA185" s="134">
        <f t="shared" si="61"/>
        <v>0.1</v>
      </c>
      <c r="AB185" s="134">
        <f t="shared" si="61"/>
        <v>0.1</v>
      </c>
      <c r="AC185" s="134">
        <f t="shared" si="61"/>
        <v>0.1</v>
      </c>
      <c r="AD185" s="134">
        <f t="shared" si="61"/>
        <v>0.1</v>
      </c>
      <c r="AE185" s="134">
        <f t="shared" si="61"/>
        <v>0.1</v>
      </c>
      <c r="AF185" s="134">
        <f t="shared" si="61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60"/>
        <v>0.09</v>
      </c>
      <c r="D186" s="134">
        <f t="shared" si="60"/>
        <v>0.09</v>
      </c>
      <c r="E186" s="134">
        <f t="shared" si="60"/>
        <v>0.09</v>
      </c>
      <c r="F186" s="134">
        <f t="shared" si="60"/>
        <v>0.09</v>
      </c>
      <c r="G186" s="134">
        <f t="shared" si="60"/>
        <v>0.09</v>
      </c>
      <c r="H186" s="134">
        <f t="shared" si="60"/>
        <v>0.09</v>
      </c>
      <c r="I186" s="134">
        <f t="shared" si="60"/>
        <v>0.09</v>
      </c>
      <c r="J186" s="134">
        <f t="shared" si="60"/>
        <v>0.09</v>
      </c>
      <c r="K186" s="134">
        <f t="shared" si="60"/>
        <v>0.09</v>
      </c>
      <c r="L186" s="134">
        <f t="shared" si="60"/>
        <v>0.09</v>
      </c>
      <c r="M186" s="134">
        <f t="shared" si="60"/>
        <v>0.09</v>
      </c>
      <c r="N186" s="134">
        <f t="shared" si="60"/>
        <v>0.09</v>
      </c>
      <c r="O186" s="134">
        <f t="shared" si="60"/>
        <v>0.09</v>
      </c>
      <c r="P186" s="134">
        <f t="shared" si="60"/>
        <v>0.09</v>
      </c>
      <c r="Q186" s="134">
        <f t="shared" si="60"/>
        <v>0.09</v>
      </c>
      <c r="R186" s="134">
        <f t="shared" si="61"/>
        <v>0.09</v>
      </c>
      <c r="S186" s="134">
        <f t="shared" si="61"/>
        <v>0.09</v>
      </c>
      <c r="T186" s="134">
        <f t="shared" si="61"/>
        <v>0.09</v>
      </c>
      <c r="U186" s="134">
        <f t="shared" si="61"/>
        <v>0.09</v>
      </c>
      <c r="V186" s="134">
        <f t="shared" si="61"/>
        <v>0.09</v>
      </c>
      <c r="W186" s="134">
        <f t="shared" si="61"/>
        <v>0.09</v>
      </c>
      <c r="X186" s="134">
        <f t="shared" si="61"/>
        <v>0.09</v>
      </c>
      <c r="Y186" s="134">
        <f t="shared" si="61"/>
        <v>0.09</v>
      </c>
      <c r="Z186" s="134">
        <f t="shared" si="61"/>
        <v>0.09</v>
      </c>
      <c r="AA186" s="134">
        <f t="shared" si="61"/>
        <v>0.09</v>
      </c>
      <c r="AB186" s="134">
        <f t="shared" si="61"/>
        <v>0.09</v>
      </c>
      <c r="AC186" s="134">
        <f t="shared" si="61"/>
        <v>0.09</v>
      </c>
      <c r="AD186" s="134">
        <f t="shared" si="61"/>
        <v>0.09</v>
      </c>
      <c r="AE186" s="134">
        <f t="shared" si="61"/>
        <v>0.09</v>
      </c>
      <c r="AF186" s="134">
        <f t="shared" si="61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60"/>
        <v>0.04</v>
      </c>
      <c r="D187" s="134">
        <f t="shared" si="60"/>
        <v>0.04</v>
      </c>
      <c r="E187" s="134">
        <f t="shared" si="60"/>
        <v>0.04</v>
      </c>
      <c r="F187" s="134">
        <f t="shared" si="60"/>
        <v>0.04</v>
      </c>
      <c r="G187" s="134">
        <f t="shared" si="60"/>
        <v>0.04</v>
      </c>
      <c r="H187" s="134">
        <f t="shared" si="60"/>
        <v>0.04</v>
      </c>
      <c r="I187" s="134">
        <f t="shared" si="60"/>
        <v>0.04</v>
      </c>
      <c r="J187" s="134">
        <f t="shared" si="60"/>
        <v>0.04</v>
      </c>
      <c r="K187" s="134">
        <f t="shared" si="60"/>
        <v>0.04</v>
      </c>
      <c r="L187" s="134">
        <f t="shared" si="60"/>
        <v>0.04</v>
      </c>
      <c r="M187" s="134">
        <f t="shared" si="60"/>
        <v>0.04</v>
      </c>
      <c r="N187" s="134">
        <f t="shared" si="60"/>
        <v>0.04</v>
      </c>
      <c r="O187" s="134">
        <f t="shared" si="60"/>
        <v>0.04</v>
      </c>
      <c r="P187" s="134">
        <f t="shared" si="60"/>
        <v>0.04</v>
      </c>
      <c r="Q187" s="134">
        <f t="shared" si="60"/>
        <v>0.04</v>
      </c>
      <c r="R187" s="134">
        <f t="shared" si="61"/>
        <v>0.04</v>
      </c>
      <c r="S187" s="134">
        <f t="shared" si="61"/>
        <v>0.04</v>
      </c>
      <c r="T187" s="134">
        <f t="shared" si="61"/>
        <v>0.04</v>
      </c>
      <c r="U187" s="134">
        <f t="shared" si="61"/>
        <v>0.04</v>
      </c>
      <c r="V187" s="134">
        <f t="shared" si="61"/>
        <v>0.04</v>
      </c>
      <c r="W187" s="134">
        <f t="shared" si="61"/>
        <v>0.04</v>
      </c>
      <c r="X187" s="134">
        <f t="shared" si="61"/>
        <v>0.04</v>
      </c>
      <c r="Y187" s="134">
        <f t="shared" si="61"/>
        <v>0.04</v>
      </c>
      <c r="Z187" s="134">
        <f t="shared" si="61"/>
        <v>0.04</v>
      </c>
      <c r="AA187" s="134">
        <f t="shared" si="61"/>
        <v>0.04</v>
      </c>
      <c r="AB187" s="134">
        <f t="shared" si="61"/>
        <v>0.04</v>
      </c>
      <c r="AC187" s="134">
        <f t="shared" si="61"/>
        <v>0.04</v>
      </c>
      <c r="AD187" s="134">
        <f t="shared" si="61"/>
        <v>0.04</v>
      </c>
      <c r="AE187" s="134">
        <f t="shared" si="61"/>
        <v>0.04</v>
      </c>
      <c r="AF187" s="134">
        <f t="shared" si="61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60"/>
        <v>2.3E-2</v>
      </c>
      <c r="E188" s="134">
        <f t="shared" si="60"/>
        <v>2.3E-2</v>
      </c>
      <c r="F188" s="134">
        <f t="shared" si="60"/>
        <v>2.3E-2</v>
      </c>
      <c r="G188" s="134">
        <f t="shared" si="60"/>
        <v>2.3E-2</v>
      </c>
      <c r="H188" s="134">
        <f t="shared" si="60"/>
        <v>2.3E-2</v>
      </c>
      <c r="I188" s="134">
        <f t="shared" si="60"/>
        <v>2.3E-2</v>
      </c>
      <c r="J188" s="134">
        <f t="shared" si="60"/>
        <v>2.3E-2</v>
      </c>
      <c r="K188" s="134">
        <f t="shared" si="60"/>
        <v>2.3E-2</v>
      </c>
      <c r="L188" s="134">
        <f t="shared" si="60"/>
        <v>2.3E-2</v>
      </c>
      <c r="M188" s="134">
        <f t="shared" si="60"/>
        <v>2.3E-2</v>
      </c>
      <c r="N188" s="134">
        <f t="shared" si="60"/>
        <v>2.3E-2</v>
      </c>
      <c r="O188" s="134">
        <f t="shared" si="60"/>
        <v>2.3E-2</v>
      </c>
      <c r="P188" s="134">
        <f t="shared" si="60"/>
        <v>2.3E-2</v>
      </c>
      <c r="Q188" s="134">
        <f t="shared" si="60"/>
        <v>2.3E-2</v>
      </c>
      <c r="R188" s="134">
        <f t="shared" si="61"/>
        <v>2.3E-2</v>
      </c>
      <c r="S188" s="134">
        <f t="shared" si="61"/>
        <v>2.3E-2</v>
      </c>
      <c r="T188" s="134">
        <f t="shared" si="61"/>
        <v>2.3E-2</v>
      </c>
      <c r="U188" s="134">
        <f t="shared" si="61"/>
        <v>2.3E-2</v>
      </c>
      <c r="V188" s="134">
        <f t="shared" si="61"/>
        <v>2.3E-2</v>
      </c>
      <c r="W188" s="134">
        <f t="shared" si="61"/>
        <v>2.3E-2</v>
      </c>
      <c r="X188" s="134">
        <f t="shared" si="61"/>
        <v>2.3E-2</v>
      </c>
      <c r="Y188" s="134">
        <f t="shared" si="61"/>
        <v>2.3E-2</v>
      </c>
      <c r="Z188" s="134">
        <f t="shared" si="61"/>
        <v>2.3E-2</v>
      </c>
      <c r="AA188" s="134">
        <f t="shared" si="61"/>
        <v>2.3E-2</v>
      </c>
      <c r="AB188" s="134">
        <f t="shared" si="61"/>
        <v>2.3E-2</v>
      </c>
      <c r="AC188" s="134">
        <f t="shared" si="61"/>
        <v>2.3E-2</v>
      </c>
      <c r="AD188" s="134">
        <f t="shared" si="61"/>
        <v>2.3E-2</v>
      </c>
      <c r="AE188" s="134">
        <f t="shared" si="61"/>
        <v>2.3E-2</v>
      </c>
      <c r="AF188" s="134">
        <f t="shared" si="61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62">SUM(B99:B188)</f>
        <v>194.70600000000002</v>
      </c>
      <c r="C189" s="138">
        <f t="shared" si="62"/>
        <v>194.70600000000002</v>
      </c>
      <c r="D189" s="138">
        <f t="shared" si="62"/>
        <v>194.70600000000002</v>
      </c>
      <c r="E189" s="138">
        <f t="shared" si="62"/>
        <v>194.70600000000002</v>
      </c>
      <c r="F189" s="138">
        <f t="shared" si="62"/>
        <v>194.70600000000002</v>
      </c>
      <c r="G189" s="138">
        <f t="shared" si="62"/>
        <v>194.70600000000002</v>
      </c>
      <c r="H189" s="138">
        <f t="shared" si="62"/>
        <v>194.70600000000002</v>
      </c>
      <c r="I189" s="138">
        <f t="shared" si="62"/>
        <v>192.10600000000005</v>
      </c>
      <c r="J189" s="138">
        <f t="shared" si="62"/>
        <v>192.10600000000005</v>
      </c>
      <c r="K189" s="138">
        <f t="shared" si="62"/>
        <v>192.10600000000005</v>
      </c>
      <c r="L189" s="138">
        <f t="shared" si="62"/>
        <v>192.10600000000005</v>
      </c>
      <c r="M189" s="138">
        <f t="shared" si="62"/>
        <v>192.10600000000005</v>
      </c>
      <c r="N189" s="138">
        <f t="shared" si="62"/>
        <v>192.10600000000005</v>
      </c>
      <c r="O189" s="138">
        <f t="shared" si="62"/>
        <v>192.10600000000005</v>
      </c>
      <c r="P189" s="138">
        <f t="shared" si="62"/>
        <v>192.10600000000005</v>
      </c>
      <c r="Q189" s="138">
        <f t="shared" si="62"/>
        <v>192.10600000000005</v>
      </c>
      <c r="R189" s="138">
        <f t="shared" si="62"/>
        <v>192.10600000000005</v>
      </c>
      <c r="S189" s="138">
        <f t="shared" si="62"/>
        <v>192.10600000000005</v>
      </c>
      <c r="T189" s="138">
        <f t="shared" si="62"/>
        <v>192.10600000000005</v>
      </c>
      <c r="U189" s="138">
        <f t="shared" si="62"/>
        <v>192.10600000000005</v>
      </c>
      <c r="V189" s="138">
        <f t="shared" si="62"/>
        <v>192.10600000000005</v>
      </c>
      <c r="W189" s="138">
        <f t="shared" si="62"/>
        <v>192.10600000000005</v>
      </c>
      <c r="X189" s="138">
        <f t="shared" si="62"/>
        <v>192.10600000000005</v>
      </c>
      <c r="Y189" s="138">
        <f t="shared" si="62"/>
        <v>192.10600000000005</v>
      </c>
      <c r="Z189" s="138">
        <f t="shared" si="62"/>
        <v>192.10600000000005</v>
      </c>
      <c r="AA189" s="138">
        <f t="shared" si="62"/>
        <v>192.10600000000005</v>
      </c>
      <c r="AB189" s="138">
        <f t="shared" si="62"/>
        <v>192.10600000000005</v>
      </c>
      <c r="AC189" s="138">
        <f t="shared" si="62"/>
        <v>192.10600000000005</v>
      </c>
      <c r="AD189" s="138">
        <f t="shared" si="62"/>
        <v>192.10600000000005</v>
      </c>
      <c r="AE189" s="138">
        <f t="shared" si="62"/>
        <v>192.10600000000005</v>
      </c>
      <c r="AF189" s="138">
        <f t="shared" si="62"/>
        <v>192.10600000000005</v>
      </c>
      <c r="AG189" s="139">
        <f t="shared" si="62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63">B191</f>
        <v>0.3</v>
      </c>
      <c r="D191" s="140">
        <f t="shared" si="63"/>
        <v>0.3</v>
      </c>
      <c r="E191" s="140">
        <f t="shared" si="63"/>
        <v>0.3</v>
      </c>
      <c r="F191" s="140">
        <f t="shared" si="63"/>
        <v>0.3</v>
      </c>
      <c r="G191" s="140">
        <f t="shared" si="63"/>
        <v>0.3</v>
      </c>
      <c r="H191" s="140">
        <f t="shared" si="63"/>
        <v>0.3</v>
      </c>
      <c r="I191" s="140">
        <f t="shared" si="63"/>
        <v>0.3</v>
      </c>
      <c r="J191" s="140">
        <f t="shared" si="63"/>
        <v>0.3</v>
      </c>
      <c r="K191" s="140">
        <f t="shared" si="63"/>
        <v>0.3</v>
      </c>
      <c r="L191" s="140">
        <f t="shared" si="63"/>
        <v>0.3</v>
      </c>
      <c r="M191" s="140">
        <f t="shared" si="63"/>
        <v>0.3</v>
      </c>
      <c r="N191" s="140">
        <f t="shared" si="63"/>
        <v>0.3</v>
      </c>
      <c r="O191" s="140">
        <f t="shared" si="63"/>
        <v>0.3</v>
      </c>
      <c r="P191" s="140">
        <f t="shared" si="63"/>
        <v>0.3</v>
      </c>
      <c r="Q191" s="140">
        <f t="shared" si="63"/>
        <v>0.3</v>
      </c>
      <c r="R191" s="140">
        <f t="shared" si="63"/>
        <v>0.3</v>
      </c>
      <c r="S191" s="140">
        <f t="shared" ref="S191:AF196" si="64">R191</f>
        <v>0.3</v>
      </c>
      <c r="T191" s="140">
        <f t="shared" si="64"/>
        <v>0.3</v>
      </c>
      <c r="U191" s="140">
        <f t="shared" si="64"/>
        <v>0.3</v>
      </c>
      <c r="V191" s="140">
        <f t="shared" si="64"/>
        <v>0.3</v>
      </c>
      <c r="W191" s="140">
        <f t="shared" si="64"/>
        <v>0.3</v>
      </c>
      <c r="X191" s="140">
        <f t="shared" si="64"/>
        <v>0.3</v>
      </c>
      <c r="Y191" s="140">
        <f t="shared" si="64"/>
        <v>0.3</v>
      </c>
      <c r="Z191" s="140">
        <f t="shared" si="64"/>
        <v>0.3</v>
      </c>
      <c r="AA191" s="140">
        <f t="shared" si="64"/>
        <v>0.3</v>
      </c>
      <c r="AB191" s="140">
        <f t="shared" si="64"/>
        <v>0.3</v>
      </c>
      <c r="AC191" s="140">
        <f t="shared" si="64"/>
        <v>0.3</v>
      </c>
      <c r="AD191" s="140">
        <f t="shared" si="64"/>
        <v>0.3</v>
      </c>
      <c r="AE191" s="140">
        <f t="shared" si="64"/>
        <v>0.3</v>
      </c>
      <c r="AF191" s="140">
        <f t="shared" si="64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63"/>
        <v>0.4</v>
      </c>
      <c r="D192" s="134">
        <f t="shared" si="63"/>
        <v>0.4</v>
      </c>
      <c r="E192" s="134">
        <f t="shared" si="63"/>
        <v>0.4</v>
      </c>
      <c r="F192" s="134">
        <f t="shared" si="63"/>
        <v>0.4</v>
      </c>
      <c r="G192" s="134">
        <f t="shared" si="63"/>
        <v>0.4</v>
      </c>
      <c r="H192" s="134">
        <f t="shared" si="63"/>
        <v>0.4</v>
      </c>
      <c r="I192" s="134">
        <f t="shared" si="63"/>
        <v>0.4</v>
      </c>
      <c r="J192" s="134">
        <f t="shared" si="63"/>
        <v>0.4</v>
      </c>
      <c r="K192" s="134">
        <f t="shared" si="63"/>
        <v>0.4</v>
      </c>
      <c r="L192" s="134">
        <f t="shared" si="63"/>
        <v>0.4</v>
      </c>
      <c r="M192" s="134">
        <f t="shared" si="63"/>
        <v>0.4</v>
      </c>
      <c r="N192" s="134">
        <f t="shared" si="63"/>
        <v>0.4</v>
      </c>
      <c r="O192" s="134">
        <f t="shared" si="63"/>
        <v>0.4</v>
      </c>
      <c r="P192" s="134">
        <f t="shared" si="63"/>
        <v>0.4</v>
      </c>
      <c r="Q192" s="134">
        <f t="shared" si="63"/>
        <v>0.4</v>
      </c>
      <c r="R192" s="134">
        <f t="shared" si="63"/>
        <v>0.4</v>
      </c>
      <c r="S192" s="134">
        <f t="shared" si="64"/>
        <v>0.4</v>
      </c>
      <c r="T192" s="134">
        <f t="shared" si="64"/>
        <v>0.4</v>
      </c>
      <c r="U192" s="134">
        <f t="shared" si="64"/>
        <v>0.4</v>
      </c>
      <c r="V192" s="134">
        <f>U192</f>
        <v>0.4</v>
      </c>
      <c r="W192" s="134">
        <f>V192</f>
        <v>0.4</v>
      </c>
      <c r="X192" s="134">
        <f t="shared" si="64"/>
        <v>0.4</v>
      </c>
      <c r="Y192" s="134">
        <f t="shared" si="64"/>
        <v>0.4</v>
      </c>
      <c r="Z192" s="134">
        <f t="shared" si="64"/>
        <v>0.4</v>
      </c>
      <c r="AA192" s="134">
        <f t="shared" si="64"/>
        <v>0.4</v>
      </c>
      <c r="AB192" s="134">
        <f t="shared" si="64"/>
        <v>0.4</v>
      </c>
      <c r="AC192" s="134">
        <f t="shared" si="64"/>
        <v>0.4</v>
      </c>
      <c r="AD192" s="134">
        <f t="shared" si="64"/>
        <v>0.4</v>
      </c>
      <c r="AE192" s="134">
        <f t="shared" si="64"/>
        <v>0.4</v>
      </c>
      <c r="AF192" s="134">
        <f t="shared" si="64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63"/>
        <v>1.5</v>
      </c>
      <c r="D193" s="134">
        <f t="shared" si="63"/>
        <v>1.5</v>
      </c>
      <c r="E193" s="134">
        <f t="shared" si="63"/>
        <v>1.5</v>
      </c>
      <c r="F193" s="134">
        <f t="shared" si="63"/>
        <v>1.5</v>
      </c>
      <c r="G193" s="134">
        <f t="shared" si="63"/>
        <v>1.5</v>
      </c>
      <c r="H193" s="134">
        <f t="shared" si="63"/>
        <v>1.5</v>
      </c>
      <c r="I193" s="134">
        <f t="shared" si="63"/>
        <v>1.5</v>
      </c>
      <c r="J193" s="134">
        <f t="shared" si="63"/>
        <v>1.5</v>
      </c>
      <c r="K193" s="134">
        <f t="shared" si="63"/>
        <v>1.5</v>
      </c>
      <c r="L193" s="134">
        <f t="shared" si="63"/>
        <v>1.5</v>
      </c>
      <c r="M193" s="134">
        <f t="shared" si="63"/>
        <v>1.5</v>
      </c>
      <c r="N193" s="134">
        <f t="shared" si="63"/>
        <v>1.5</v>
      </c>
      <c r="O193" s="134">
        <f t="shared" si="63"/>
        <v>1.5</v>
      </c>
      <c r="P193" s="134">
        <f t="shared" si="63"/>
        <v>1.5</v>
      </c>
      <c r="Q193" s="134">
        <f t="shared" si="63"/>
        <v>1.5</v>
      </c>
      <c r="R193" s="134">
        <f t="shared" si="63"/>
        <v>1.5</v>
      </c>
      <c r="S193" s="134">
        <f t="shared" si="64"/>
        <v>1.5</v>
      </c>
      <c r="T193" s="134">
        <f t="shared" si="64"/>
        <v>1.5</v>
      </c>
      <c r="U193" s="134">
        <f t="shared" si="64"/>
        <v>1.5</v>
      </c>
      <c r="V193" s="134">
        <f t="shared" si="64"/>
        <v>1.5</v>
      </c>
      <c r="W193" s="134">
        <f t="shared" si="64"/>
        <v>1.5</v>
      </c>
      <c r="X193" s="134">
        <f t="shared" si="64"/>
        <v>1.5</v>
      </c>
      <c r="Y193" s="134">
        <f t="shared" si="64"/>
        <v>1.5</v>
      </c>
      <c r="Z193" s="134">
        <f t="shared" si="64"/>
        <v>1.5</v>
      </c>
      <c r="AA193" s="134">
        <f t="shared" si="64"/>
        <v>1.5</v>
      </c>
      <c r="AB193" s="134">
        <f t="shared" si="64"/>
        <v>1.5</v>
      </c>
      <c r="AC193" s="134">
        <f t="shared" si="64"/>
        <v>1.5</v>
      </c>
      <c r="AD193" s="134">
        <f t="shared" si="64"/>
        <v>1.5</v>
      </c>
      <c r="AE193" s="134">
        <f t="shared" si="64"/>
        <v>1.5</v>
      </c>
      <c r="AF193" s="134">
        <f t="shared" si="64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63"/>
        <v>0.3</v>
      </c>
      <c r="D194" s="134">
        <f t="shared" si="63"/>
        <v>0.3</v>
      </c>
      <c r="E194" s="134">
        <f t="shared" si="63"/>
        <v>0.3</v>
      </c>
      <c r="F194" s="134">
        <f t="shared" si="63"/>
        <v>0.3</v>
      </c>
      <c r="G194" s="134">
        <f t="shared" si="63"/>
        <v>0.3</v>
      </c>
      <c r="H194" s="134">
        <f t="shared" si="63"/>
        <v>0.3</v>
      </c>
      <c r="I194" s="134">
        <f t="shared" si="63"/>
        <v>0.3</v>
      </c>
      <c r="J194" s="134">
        <f t="shared" si="63"/>
        <v>0.3</v>
      </c>
      <c r="K194" s="134">
        <f t="shared" si="63"/>
        <v>0.3</v>
      </c>
      <c r="L194" s="134">
        <f t="shared" si="63"/>
        <v>0.3</v>
      </c>
      <c r="M194" s="134">
        <f t="shared" si="63"/>
        <v>0.3</v>
      </c>
      <c r="N194" s="134">
        <f t="shared" si="63"/>
        <v>0.3</v>
      </c>
      <c r="O194" s="134">
        <f t="shared" si="63"/>
        <v>0.3</v>
      </c>
      <c r="P194" s="134">
        <f t="shared" si="63"/>
        <v>0.3</v>
      </c>
      <c r="Q194" s="134">
        <f t="shared" si="63"/>
        <v>0.3</v>
      </c>
      <c r="R194" s="134">
        <f t="shared" si="63"/>
        <v>0.3</v>
      </c>
      <c r="S194" s="134">
        <f t="shared" si="64"/>
        <v>0.3</v>
      </c>
      <c r="T194" s="134">
        <f t="shared" si="64"/>
        <v>0.3</v>
      </c>
      <c r="U194" s="134">
        <f t="shared" si="64"/>
        <v>0.3</v>
      </c>
      <c r="V194" s="134">
        <f t="shared" si="64"/>
        <v>0.3</v>
      </c>
      <c r="W194" s="134">
        <f t="shared" si="64"/>
        <v>0.3</v>
      </c>
      <c r="X194" s="134">
        <f t="shared" si="64"/>
        <v>0.3</v>
      </c>
      <c r="Y194" s="134">
        <f t="shared" si="64"/>
        <v>0.3</v>
      </c>
      <c r="Z194" s="134">
        <f t="shared" si="64"/>
        <v>0.3</v>
      </c>
      <c r="AA194" s="134">
        <f t="shared" si="64"/>
        <v>0.3</v>
      </c>
      <c r="AB194" s="134">
        <f t="shared" si="64"/>
        <v>0.3</v>
      </c>
      <c r="AC194" s="134">
        <f t="shared" si="64"/>
        <v>0.3</v>
      </c>
      <c r="AD194" s="134">
        <f t="shared" si="64"/>
        <v>0.3</v>
      </c>
      <c r="AE194" s="134">
        <f t="shared" si="64"/>
        <v>0.3</v>
      </c>
      <c r="AF194" s="134">
        <f t="shared" si="64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63"/>
        <v>0.4</v>
      </c>
      <c r="D195" s="134">
        <f t="shared" si="63"/>
        <v>0.4</v>
      </c>
      <c r="E195" s="134">
        <f t="shared" si="63"/>
        <v>0.4</v>
      </c>
      <c r="F195" s="134">
        <f t="shared" si="63"/>
        <v>0.4</v>
      </c>
      <c r="G195" s="134">
        <f t="shared" si="63"/>
        <v>0.4</v>
      </c>
      <c r="H195" s="134">
        <f t="shared" si="63"/>
        <v>0.4</v>
      </c>
      <c r="I195" s="134">
        <f t="shared" si="63"/>
        <v>0.4</v>
      </c>
      <c r="J195" s="134">
        <f t="shared" si="63"/>
        <v>0.4</v>
      </c>
      <c r="K195" s="134">
        <f t="shared" si="63"/>
        <v>0.4</v>
      </c>
      <c r="L195" s="134">
        <f t="shared" si="63"/>
        <v>0.4</v>
      </c>
      <c r="M195" s="134">
        <f t="shared" si="63"/>
        <v>0.4</v>
      </c>
      <c r="N195" s="134">
        <f t="shared" si="63"/>
        <v>0.4</v>
      </c>
      <c r="O195" s="134">
        <f t="shared" si="63"/>
        <v>0.4</v>
      </c>
      <c r="P195" s="134">
        <f t="shared" si="63"/>
        <v>0.4</v>
      </c>
      <c r="Q195" s="134">
        <f t="shared" si="63"/>
        <v>0.4</v>
      </c>
      <c r="R195" s="134">
        <f t="shared" si="63"/>
        <v>0.4</v>
      </c>
      <c r="S195" s="134">
        <f t="shared" si="64"/>
        <v>0.4</v>
      </c>
      <c r="T195" s="134">
        <f t="shared" si="64"/>
        <v>0.4</v>
      </c>
      <c r="U195" s="134">
        <f t="shared" si="64"/>
        <v>0.4</v>
      </c>
      <c r="V195" s="134">
        <f t="shared" si="64"/>
        <v>0.4</v>
      </c>
      <c r="W195" s="134">
        <f t="shared" si="64"/>
        <v>0.4</v>
      </c>
      <c r="X195" s="134">
        <f t="shared" si="64"/>
        <v>0.4</v>
      </c>
      <c r="Y195" s="134">
        <f t="shared" si="64"/>
        <v>0.4</v>
      </c>
      <c r="Z195" s="134">
        <f t="shared" si="64"/>
        <v>0.4</v>
      </c>
      <c r="AA195" s="134">
        <f t="shared" si="64"/>
        <v>0.4</v>
      </c>
      <c r="AB195" s="134">
        <f t="shared" si="64"/>
        <v>0.4</v>
      </c>
      <c r="AC195" s="134">
        <f t="shared" si="64"/>
        <v>0.4</v>
      </c>
      <c r="AD195" s="134">
        <f t="shared" si="64"/>
        <v>0.4</v>
      </c>
      <c r="AE195" s="134">
        <f t="shared" si="64"/>
        <v>0.4</v>
      </c>
      <c r="AF195" s="134">
        <f t="shared" si="64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63"/>
        <v>0.64</v>
      </c>
      <c r="D196" s="143">
        <f t="shared" si="63"/>
        <v>0.64</v>
      </c>
      <c r="E196" s="143">
        <f t="shared" si="63"/>
        <v>0.64</v>
      </c>
      <c r="F196" s="143">
        <f t="shared" si="63"/>
        <v>0.64</v>
      </c>
      <c r="G196" s="143">
        <f t="shared" si="63"/>
        <v>0.64</v>
      </c>
      <c r="H196" s="143">
        <f t="shared" si="63"/>
        <v>0.64</v>
      </c>
      <c r="I196" s="143">
        <f t="shared" si="63"/>
        <v>0.64</v>
      </c>
      <c r="J196" s="143">
        <f t="shared" si="63"/>
        <v>0.64</v>
      </c>
      <c r="K196" s="143">
        <f t="shared" si="63"/>
        <v>0.64</v>
      </c>
      <c r="L196" s="143">
        <f t="shared" si="63"/>
        <v>0.64</v>
      </c>
      <c r="M196" s="143">
        <f t="shared" si="63"/>
        <v>0.64</v>
      </c>
      <c r="N196" s="143">
        <f t="shared" si="63"/>
        <v>0.64</v>
      </c>
      <c r="O196" s="143">
        <f t="shared" si="63"/>
        <v>0.64</v>
      </c>
      <c r="P196" s="143">
        <f t="shared" si="63"/>
        <v>0.64</v>
      </c>
      <c r="Q196" s="143">
        <f t="shared" si="63"/>
        <v>0.64</v>
      </c>
      <c r="R196" s="143">
        <f t="shared" si="63"/>
        <v>0.64</v>
      </c>
      <c r="S196" s="143">
        <f t="shared" si="64"/>
        <v>0.64</v>
      </c>
      <c r="T196" s="143">
        <f t="shared" si="64"/>
        <v>0.64</v>
      </c>
      <c r="U196" s="143">
        <f t="shared" si="64"/>
        <v>0.64</v>
      </c>
      <c r="V196" s="143">
        <f t="shared" si="64"/>
        <v>0.64</v>
      </c>
      <c r="W196" s="143">
        <f t="shared" si="64"/>
        <v>0.64</v>
      </c>
      <c r="X196" s="143">
        <f t="shared" si="64"/>
        <v>0.64</v>
      </c>
      <c r="Y196" s="143">
        <f t="shared" si="64"/>
        <v>0.64</v>
      </c>
      <c r="Z196" s="143">
        <f t="shared" si="64"/>
        <v>0.64</v>
      </c>
      <c r="AA196" s="143">
        <f t="shared" si="64"/>
        <v>0.64</v>
      </c>
      <c r="AB196" s="143">
        <f t="shared" si="64"/>
        <v>0.64</v>
      </c>
      <c r="AC196" s="143">
        <f t="shared" si="64"/>
        <v>0.64</v>
      </c>
      <c r="AD196" s="143">
        <f t="shared" si="64"/>
        <v>0.64</v>
      </c>
      <c r="AE196" s="143">
        <f t="shared" si="64"/>
        <v>0.64</v>
      </c>
      <c r="AF196" s="143">
        <f t="shared" si="64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65">SUM(C191:C196)</f>
        <v>3.54</v>
      </c>
      <c r="D197" s="146">
        <f t="shared" si="65"/>
        <v>3.54</v>
      </c>
      <c r="E197" s="146">
        <f t="shared" si="65"/>
        <v>3.54</v>
      </c>
      <c r="F197" s="146">
        <f t="shared" si="65"/>
        <v>3.54</v>
      </c>
      <c r="G197" s="146">
        <f t="shared" si="65"/>
        <v>3.54</v>
      </c>
      <c r="H197" s="146">
        <f t="shared" si="65"/>
        <v>3.54</v>
      </c>
      <c r="I197" s="146">
        <f t="shared" si="65"/>
        <v>3.54</v>
      </c>
      <c r="J197" s="146">
        <f t="shared" si="65"/>
        <v>3.54</v>
      </c>
      <c r="K197" s="146">
        <f t="shared" si="65"/>
        <v>3.54</v>
      </c>
      <c r="L197" s="146">
        <f>SUM(L191:L196)</f>
        <v>3.54</v>
      </c>
      <c r="M197" s="146">
        <f t="shared" ref="M197:R197" si="66">SUM(M191:M196)</f>
        <v>3.54</v>
      </c>
      <c r="N197" s="146">
        <f t="shared" si="66"/>
        <v>3.54</v>
      </c>
      <c r="O197" s="146">
        <f t="shared" si="66"/>
        <v>3.54</v>
      </c>
      <c r="P197" s="146">
        <f t="shared" si="66"/>
        <v>3.54</v>
      </c>
      <c r="Q197" s="146">
        <f t="shared" si="66"/>
        <v>3.54</v>
      </c>
      <c r="R197" s="146">
        <f t="shared" si="66"/>
        <v>3.54</v>
      </c>
      <c r="S197" s="146">
        <f>SUM(S191:S196)</f>
        <v>3.54</v>
      </c>
      <c r="T197" s="146">
        <f t="shared" ref="T197:AG197" si="67">SUM(T191:T196)</f>
        <v>3.54</v>
      </c>
      <c r="U197" s="146">
        <f t="shared" si="67"/>
        <v>3.54</v>
      </c>
      <c r="V197" s="146">
        <f t="shared" si="67"/>
        <v>3.54</v>
      </c>
      <c r="W197" s="146">
        <f t="shared" si="67"/>
        <v>3.54</v>
      </c>
      <c r="X197" s="146">
        <f t="shared" si="67"/>
        <v>3.54</v>
      </c>
      <c r="Y197" s="146">
        <f t="shared" si="67"/>
        <v>3.54</v>
      </c>
      <c r="Z197" s="146">
        <f t="shared" si="67"/>
        <v>3.54</v>
      </c>
      <c r="AA197" s="146">
        <f t="shared" si="67"/>
        <v>3.54</v>
      </c>
      <c r="AB197" s="146">
        <f t="shared" si="67"/>
        <v>3.54</v>
      </c>
      <c r="AC197" s="146">
        <f t="shared" si="67"/>
        <v>3.54</v>
      </c>
      <c r="AD197" s="146">
        <f t="shared" si="67"/>
        <v>3.54</v>
      </c>
      <c r="AE197" s="146">
        <f t="shared" si="67"/>
        <v>3.54</v>
      </c>
      <c r="AF197" s="146">
        <f t="shared" si="67"/>
        <v>3.54</v>
      </c>
      <c r="AG197" s="147">
        <f t="shared" si="67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951.34000000000015</v>
      </c>
      <c r="C206" s="161">
        <f>INDEX(F9:M9,1,MATCH(MAX(F73:M73),F73:M73,0))</f>
        <v>0.20833333333333301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29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2078/04/29)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2078/04/29)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68">B73</f>
        <v>983.04000000000019</v>
      </c>
      <c r="U211" s="170">
        <f t="shared" si="68"/>
        <v>958.6400000000001</v>
      </c>
      <c r="V211" s="170">
        <f t="shared" si="68"/>
        <v>903.24</v>
      </c>
      <c r="W211" s="170">
        <f t="shared" si="68"/>
        <v>919.14</v>
      </c>
      <c r="X211" s="170">
        <f t="shared" si="68"/>
        <v>951.34000000000015</v>
      </c>
      <c r="Y211" s="170">
        <f t="shared" si="68"/>
        <v>945.24000000000012</v>
      </c>
      <c r="Z211" s="170">
        <f t="shared" si="68"/>
        <v>906.74</v>
      </c>
      <c r="AA211" s="170">
        <f t="shared" si="68"/>
        <v>879.84000000000015</v>
      </c>
      <c r="AB211" s="170">
        <f t="shared" si="68"/>
        <v>868.04000000000019</v>
      </c>
      <c r="AC211" s="170">
        <f t="shared" si="68"/>
        <v>866.54</v>
      </c>
      <c r="AD211" s="170">
        <f t="shared" si="68"/>
        <v>854.04</v>
      </c>
      <c r="AE211" s="170">
        <f t="shared" si="68"/>
        <v>868.94</v>
      </c>
      <c r="AF211" s="170">
        <f t="shared" si="68"/>
        <v>879.24000000000012</v>
      </c>
      <c r="AG211" s="170">
        <f t="shared" si="68"/>
        <v>858.94000000000017</v>
      </c>
      <c r="AH211" s="170">
        <f t="shared" si="68"/>
        <v>3.54</v>
      </c>
      <c r="AI211" s="170">
        <f t="shared" si="68"/>
        <v>877.34000000000015</v>
      </c>
      <c r="AJ211" s="170">
        <f t="shared" si="68"/>
        <v>3.54</v>
      </c>
      <c r="AK211" s="170">
        <f t="shared" si="68"/>
        <v>891.54</v>
      </c>
      <c r="AL211" s="170">
        <f t="shared" si="68"/>
        <v>862.6400000000001</v>
      </c>
      <c r="AM211" s="170">
        <f t="shared" si="68"/>
        <v>877.34000000000015</v>
      </c>
      <c r="AN211" s="170">
        <f t="shared" si="68"/>
        <v>969.1400000000001</v>
      </c>
      <c r="AO211" s="170">
        <f t="shared" si="68"/>
        <v>1109.3400000000001</v>
      </c>
      <c r="AP211" s="170">
        <f t="shared" si="68"/>
        <v>1177.6400000000001</v>
      </c>
      <c r="AQ211" s="170">
        <f t="shared" si="68"/>
        <v>1159.6400000000001</v>
      </c>
      <c r="AR211" s="170">
        <f t="shared" si="68"/>
        <v>1164.94</v>
      </c>
      <c r="AS211" s="170">
        <f t="shared" si="68"/>
        <v>1148.44</v>
      </c>
      <c r="AT211" s="170">
        <f t="shared" si="68"/>
        <v>1157.44</v>
      </c>
      <c r="AU211" s="170">
        <f t="shared" si="68"/>
        <v>1128.1400000000001</v>
      </c>
      <c r="AV211" s="170">
        <f t="shared" si="68"/>
        <v>1076.44</v>
      </c>
      <c r="AW211" s="170">
        <f t="shared" si="68"/>
        <v>1011.5400000000001</v>
      </c>
      <c r="AX211" s="170">
        <f t="shared" si="68"/>
        <v>994.34000000000015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69">B196</f>
        <v>0.64</v>
      </c>
      <c r="C232" s="173">
        <f t="shared" si="69"/>
        <v>0.64</v>
      </c>
      <c r="D232" s="173">
        <f t="shared" si="69"/>
        <v>0.64</v>
      </c>
      <c r="E232" s="173">
        <f t="shared" si="69"/>
        <v>0.64</v>
      </c>
      <c r="F232" s="173">
        <f t="shared" si="69"/>
        <v>0.64</v>
      </c>
      <c r="G232" s="173">
        <f t="shared" si="69"/>
        <v>0.64</v>
      </c>
      <c r="H232" s="173">
        <f t="shared" si="69"/>
        <v>0.64</v>
      </c>
      <c r="I232" s="173">
        <f t="shared" si="69"/>
        <v>0.64</v>
      </c>
      <c r="J232" s="173">
        <f t="shared" si="69"/>
        <v>0.64</v>
      </c>
      <c r="K232" s="173">
        <f t="shared" si="69"/>
        <v>0.64</v>
      </c>
      <c r="L232" s="173">
        <f t="shared" si="69"/>
        <v>0.64</v>
      </c>
      <c r="M232" s="173">
        <f t="shared" si="69"/>
        <v>0.64</v>
      </c>
      <c r="N232" s="173">
        <f t="shared" si="69"/>
        <v>0.64</v>
      </c>
      <c r="O232" s="173">
        <f t="shared" si="69"/>
        <v>0.64</v>
      </c>
      <c r="P232" s="173">
        <f t="shared" si="69"/>
        <v>0.64</v>
      </c>
      <c r="Q232" s="173">
        <f t="shared" si="69"/>
        <v>0.64</v>
      </c>
      <c r="R232" s="173">
        <f t="shared" si="69"/>
        <v>0.64</v>
      </c>
      <c r="S232" s="173">
        <f t="shared" si="69"/>
        <v>0.64</v>
      </c>
      <c r="T232" s="173">
        <f t="shared" si="69"/>
        <v>0.64</v>
      </c>
      <c r="U232" s="173">
        <f t="shared" si="69"/>
        <v>0.64</v>
      </c>
      <c r="V232" s="173">
        <f t="shared" si="69"/>
        <v>0.64</v>
      </c>
      <c r="W232" s="173">
        <f t="shared" si="69"/>
        <v>0.64</v>
      </c>
      <c r="X232" s="173">
        <f t="shared" si="69"/>
        <v>0.64</v>
      </c>
      <c r="Y232" s="173">
        <f t="shared" si="69"/>
        <v>0.64</v>
      </c>
      <c r="Z232" s="173">
        <f t="shared" si="69"/>
        <v>0.64</v>
      </c>
      <c r="AA232" s="173">
        <f t="shared" si="69"/>
        <v>0.64</v>
      </c>
      <c r="AB232" s="173">
        <f t="shared" si="69"/>
        <v>0.64</v>
      </c>
      <c r="AC232" s="173">
        <f t="shared" si="69"/>
        <v>0.64</v>
      </c>
      <c r="AD232" s="173">
        <f t="shared" si="69"/>
        <v>0.64</v>
      </c>
      <c r="AE232" s="173">
        <f t="shared" si="69"/>
        <v>0.64</v>
      </c>
      <c r="AF232" s="173">
        <f t="shared" si="69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70">IF(C200&lt;100,"",C200-520)</f>
        <v/>
      </c>
      <c r="D233" s="117" t="str">
        <f t="shared" si="70"/>
        <v/>
      </c>
      <c r="E233" s="117" t="str">
        <f t="shared" si="70"/>
        <v/>
      </c>
      <c r="F233" s="117" t="str">
        <f t="shared" si="70"/>
        <v/>
      </c>
      <c r="G233" s="117" t="str">
        <f t="shared" si="70"/>
        <v/>
      </c>
      <c r="H233" s="117" t="str">
        <f t="shared" si="70"/>
        <v/>
      </c>
      <c r="I233" s="117" t="str">
        <f t="shared" si="70"/>
        <v/>
      </c>
      <c r="J233" s="117" t="str">
        <f t="shared" si="70"/>
        <v/>
      </c>
      <c r="K233" s="117" t="str">
        <f t="shared" si="70"/>
        <v/>
      </c>
      <c r="L233" s="117" t="str">
        <f t="shared" si="70"/>
        <v/>
      </c>
      <c r="M233" s="117" t="str">
        <f t="shared" si="70"/>
        <v/>
      </c>
      <c r="N233" s="117" t="str">
        <f t="shared" si="70"/>
        <v/>
      </c>
      <c r="O233" s="117" t="str">
        <f t="shared" si="70"/>
        <v/>
      </c>
      <c r="P233" s="117" t="str">
        <f t="shared" si="70"/>
        <v/>
      </c>
      <c r="Q233" s="117" t="str">
        <f t="shared" si="70"/>
        <v/>
      </c>
      <c r="R233" s="117" t="str">
        <f t="shared" si="70"/>
        <v/>
      </c>
      <c r="S233" s="117" t="str">
        <f t="shared" si="70"/>
        <v/>
      </c>
      <c r="T233" s="117" t="str">
        <f t="shared" si="70"/>
        <v/>
      </c>
      <c r="U233" s="117" t="str">
        <f t="shared" si="70"/>
        <v/>
      </c>
      <c r="V233" s="117" t="str">
        <f t="shared" si="70"/>
        <v/>
      </c>
      <c r="W233" s="117" t="str">
        <f t="shared" si="70"/>
        <v/>
      </c>
      <c r="X233" s="117" t="str">
        <f t="shared" si="70"/>
        <v/>
      </c>
      <c r="Y233" s="117" t="str">
        <f t="shared" si="70"/>
        <v/>
      </c>
      <c r="Z233" s="117" t="str">
        <f t="shared" si="70"/>
        <v/>
      </c>
      <c r="AA233" s="117" t="str">
        <f t="shared" si="70"/>
        <v/>
      </c>
      <c r="AB233" s="117" t="str">
        <f t="shared" si="70"/>
        <v/>
      </c>
      <c r="AC233" s="117" t="str">
        <f t="shared" si="70"/>
        <v/>
      </c>
      <c r="AD233" s="117" t="str">
        <f t="shared" si="70"/>
        <v/>
      </c>
      <c r="AE233" s="117" t="str">
        <f t="shared" si="70"/>
        <v/>
      </c>
      <c r="AF233" s="117" t="str">
        <f t="shared" si="70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71">IF(B201&lt;100,"",B201-620)</f>
        <v/>
      </c>
      <c r="C234" s="117" t="str">
        <f t="shared" si="71"/>
        <v/>
      </c>
      <c r="D234" s="117" t="str">
        <f t="shared" si="71"/>
        <v/>
      </c>
      <c r="E234" s="117" t="str">
        <f t="shared" si="71"/>
        <v/>
      </c>
      <c r="F234" s="117" t="str">
        <f t="shared" si="71"/>
        <v/>
      </c>
      <c r="G234" s="117" t="str">
        <f t="shared" si="71"/>
        <v/>
      </c>
      <c r="H234" s="117" t="str">
        <f t="shared" si="71"/>
        <v/>
      </c>
      <c r="I234" s="117" t="str">
        <f t="shared" si="71"/>
        <v/>
      </c>
      <c r="J234" s="117" t="str">
        <f t="shared" si="71"/>
        <v/>
      </c>
      <c r="K234" s="117" t="str">
        <f t="shared" si="71"/>
        <v/>
      </c>
      <c r="L234" s="117" t="str">
        <f t="shared" si="71"/>
        <v/>
      </c>
      <c r="M234" s="117" t="str">
        <f t="shared" si="71"/>
        <v/>
      </c>
      <c r="N234" s="117" t="str">
        <f t="shared" si="71"/>
        <v/>
      </c>
      <c r="O234" s="117" t="str">
        <f t="shared" si="71"/>
        <v/>
      </c>
      <c r="P234" s="117" t="str">
        <f t="shared" si="71"/>
        <v/>
      </c>
      <c r="Q234" s="117" t="str">
        <f t="shared" si="71"/>
        <v/>
      </c>
      <c r="R234" s="117" t="str">
        <f t="shared" si="71"/>
        <v/>
      </c>
      <c r="S234" s="117" t="str">
        <f t="shared" si="71"/>
        <v/>
      </c>
      <c r="T234" s="117" t="str">
        <f t="shared" si="71"/>
        <v/>
      </c>
      <c r="U234" s="117" t="str">
        <f t="shared" si="71"/>
        <v/>
      </c>
      <c r="V234" s="117" t="str">
        <f t="shared" si="71"/>
        <v/>
      </c>
      <c r="W234" s="117" t="str">
        <f t="shared" si="71"/>
        <v/>
      </c>
      <c r="X234" s="117" t="str">
        <f t="shared" si="71"/>
        <v/>
      </c>
      <c r="Y234" s="117" t="str">
        <f t="shared" si="71"/>
        <v/>
      </c>
      <c r="Z234" s="117" t="str">
        <f t="shared" si="71"/>
        <v/>
      </c>
      <c r="AA234" s="117" t="str">
        <f t="shared" si="71"/>
        <v/>
      </c>
      <c r="AB234" s="117" t="str">
        <f t="shared" si="71"/>
        <v/>
      </c>
      <c r="AC234" s="117" t="str">
        <f t="shared" si="71"/>
        <v/>
      </c>
      <c r="AD234" s="117" t="str">
        <f t="shared" si="71"/>
        <v/>
      </c>
      <c r="AE234" s="117" t="str">
        <f t="shared" si="71"/>
        <v/>
      </c>
      <c r="AF234" s="117" t="str">
        <f t="shared" si="71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72">IF(B202&lt;100,"",B202-330)</f>
        <v/>
      </c>
      <c r="C235" s="117" t="str">
        <f t="shared" si="72"/>
        <v/>
      </c>
      <c r="D235" s="117" t="str">
        <f t="shared" si="72"/>
        <v/>
      </c>
      <c r="E235" s="117" t="str">
        <f t="shared" si="72"/>
        <v/>
      </c>
      <c r="F235" s="117" t="str">
        <f t="shared" si="72"/>
        <v/>
      </c>
      <c r="G235" s="117" t="str">
        <f t="shared" si="72"/>
        <v/>
      </c>
      <c r="H235" s="117" t="str">
        <f t="shared" si="72"/>
        <v/>
      </c>
      <c r="I235" s="117" t="str">
        <f t="shared" si="72"/>
        <v/>
      </c>
      <c r="J235" s="117" t="str">
        <f t="shared" si="72"/>
        <v/>
      </c>
      <c r="K235" s="117" t="str">
        <f t="shared" si="72"/>
        <v/>
      </c>
      <c r="L235" s="117" t="str">
        <f t="shared" si="72"/>
        <v/>
      </c>
      <c r="M235" s="117" t="str">
        <f t="shared" si="72"/>
        <v/>
      </c>
      <c r="N235" s="117" t="str">
        <f t="shared" si="72"/>
        <v/>
      </c>
      <c r="O235" s="117" t="str">
        <f t="shared" si="72"/>
        <v/>
      </c>
      <c r="P235" s="117" t="str">
        <f t="shared" si="72"/>
        <v/>
      </c>
      <c r="Q235" s="117" t="str">
        <f t="shared" si="72"/>
        <v/>
      </c>
      <c r="R235" s="117" t="str">
        <f t="shared" si="72"/>
        <v/>
      </c>
      <c r="S235" s="117" t="str">
        <f t="shared" si="72"/>
        <v/>
      </c>
      <c r="T235" s="117" t="str">
        <f t="shared" si="72"/>
        <v/>
      </c>
      <c r="U235" s="117" t="str">
        <f t="shared" si="72"/>
        <v/>
      </c>
      <c r="V235" s="117" t="str">
        <f t="shared" si="72"/>
        <v/>
      </c>
      <c r="W235" s="117" t="str">
        <f t="shared" si="72"/>
        <v/>
      </c>
      <c r="X235" s="117" t="str">
        <f t="shared" si="72"/>
        <v/>
      </c>
      <c r="Y235" s="117" t="str">
        <f t="shared" si="72"/>
        <v/>
      </c>
      <c r="Z235" s="117" t="str">
        <f t="shared" si="72"/>
        <v/>
      </c>
      <c r="AA235" s="117" t="str">
        <f t="shared" si="72"/>
        <v/>
      </c>
      <c r="AB235" s="117" t="str">
        <f t="shared" si="72"/>
        <v/>
      </c>
      <c r="AC235" s="117" t="str">
        <f t="shared" si="72"/>
        <v/>
      </c>
      <c r="AD235" s="117" t="str">
        <f t="shared" si="72"/>
        <v/>
      </c>
      <c r="AE235" s="117" t="str">
        <f t="shared" si="72"/>
        <v/>
      </c>
      <c r="AF235" s="117" t="str">
        <f t="shared" si="72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73">IF(C203&lt;100,"",C203-1500)</f>
        <v/>
      </c>
      <c r="D236" s="117" t="str">
        <f t="shared" si="73"/>
        <v/>
      </c>
      <c r="E236" s="117" t="str">
        <f t="shared" si="73"/>
        <v/>
      </c>
      <c r="F236" s="117" t="str">
        <f t="shared" si="73"/>
        <v/>
      </c>
      <c r="G236" s="117" t="str">
        <f t="shared" si="73"/>
        <v/>
      </c>
      <c r="H236" s="117" t="str">
        <f t="shared" si="73"/>
        <v/>
      </c>
      <c r="I236" s="117" t="str">
        <f t="shared" si="73"/>
        <v/>
      </c>
      <c r="J236" s="117" t="str">
        <f t="shared" si="73"/>
        <v/>
      </c>
      <c r="K236" s="117" t="str">
        <f t="shared" si="73"/>
        <v/>
      </c>
      <c r="L236" s="117" t="str">
        <f t="shared" si="73"/>
        <v/>
      </c>
      <c r="M236" s="117" t="str">
        <f t="shared" si="73"/>
        <v/>
      </c>
      <c r="N236" s="117" t="str">
        <f t="shared" si="73"/>
        <v/>
      </c>
      <c r="O236" s="117" t="str">
        <f t="shared" si="73"/>
        <v/>
      </c>
      <c r="P236" s="117" t="str">
        <f t="shared" si="73"/>
        <v/>
      </c>
      <c r="Q236" s="117" t="str">
        <f t="shared" si="73"/>
        <v/>
      </c>
      <c r="R236" s="117" t="str">
        <f t="shared" si="73"/>
        <v/>
      </c>
      <c r="S236" s="117" t="str">
        <f t="shared" si="73"/>
        <v/>
      </c>
      <c r="T236" s="117" t="str">
        <f t="shared" si="73"/>
        <v/>
      </c>
      <c r="U236" s="117" t="str">
        <f t="shared" si="73"/>
        <v/>
      </c>
      <c r="V236" s="117" t="str">
        <f t="shared" si="73"/>
        <v/>
      </c>
      <c r="W236" s="117" t="str">
        <f t="shared" si="73"/>
        <v/>
      </c>
      <c r="X236" s="117" t="str">
        <f t="shared" si="73"/>
        <v/>
      </c>
      <c r="Y236" s="117" t="str">
        <f t="shared" si="73"/>
        <v/>
      </c>
      <c r="Z236" s="117" t="str">
        <f t="shared" si="73"/>
        <v/>
      </c>
      <c r="AA236" s="117" t="str">
        <f t="shared" si="73"/>
        <v/>
      </c>
      <c r="AB236" s="117" t="str">
        <f t="shared" si="73"/>
        <v/>
      </c>
      <c r="AC236" s="117" t="str">
        <f t="shared" si="73"/>
        <v/>
      </c>
      <c r="AD236" s="117" t="str">
        <f t="shared" si="73"/>
        <v/>
      </c>
      <c r="AE236" s="117" t="str">
        <f t="shared" si="73"/>
        <v/>
      </c>
      <c r="AF236" s="117" t="str">
        <f t="shared" si="73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508" priority="402">
      <formula>S$9&gt;=20/24</formula>
    </cfRule>
    <cfRule type="expression" dxfId="1507" priority="403">
      <formula>AND(S$9&gt;=14/24,S$9&lt;20/24)</formula>
    </cfRule>
    <cfRule type="expression" dxfId="1506" priority="404">
      <formula>AND(S$9&gt;=8/24,S$9&lt;14/24)</formula>
    </cfRule>
    <cfRule type="expression" dxfId="1505" priority="405">
      <formula>S$9&lt;8/24</formula>
    </cfRule>
  </conditionalFormatting>
  <conditionalFormatting sqref="B8:AF10 AA79:AF79 C79:Q79 C54:AF54 C80:AF80 C191:AF197 AE55:AF58 C66:AF70 M60:M65 T210:AX210 O37:Q37 N59:N65 O38:P40 Q40 O58:Q65 Q38:S39 W83:W89 C72:AF76 C78:AF78 L59:M59 L58:N58 C55:K59 C61:L65 P18:Q31 P17:T17 P15:Q16 P12:Q13 L35:Q35 L37:N40 M43:Q46 L11:O13 L15:O31 C82:Q89 R18:T29 L56:V57 U17:X29 T38:X40 T29:V29 Y83:Z89 P11:AC11 L51:AF53 AA82:AF89 Y12:AC13 Y38:AD41 Y15:AF30 AD11:AF13">
    <cfRule type="expression" dxfId="1504" priority="398">
      <formula>B$9&gt;=20/24</formula>
    </cfRule>
    <cfRule type="expression" dxfId="1503" priority="399">
      <formula>AND(B$9&gt;=14/24,B$9&lt;20/24)</formula>
    </cfRule>
    <cfRule type="expression" dxfId="1502" priority="400">
      <formula>AND(B$9&gt;=8/24,B$9&lt;14/24)</formula>
    </cfRule>
    <cfRule type="expression" dxfId="1501" priority="401">
      <formula>B$9&lt;8/24</formula>
    </cfRule>
  </conditionalFormatting>
  <conditionalFormatting sqref="B189:AF189">
    <cfRule type="expression" dxfId="1500" priority="394">
      <formula>B$9&gt;=20/24</formula>
    </cfRule>
    <cfRule type="expression" dxfId="1499" priority="395">
      <formula>AND(B$9&gt;=14/24,B$9&lt;20/24)</formula>
    </cfRule>
    <cfRule type="expression" dxfId="1498" priority="396">
      <formula>AND(B$9&gt;=8/24,B$9&lt;14/24)</formula>
    </cfRule>
    <cfRule type="expression" dxfId="1497" priority="397">
      <formula>B$9&lt;8/24</formula>
    </cfRule>
  </conditionalFormatting>
  <conditionalFormatting sqref="AL4:AL6">
    <cfRule type="iconSet" priority="393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1496" priority="389">
      <formula>L$9&gt;=20/24</formula>
    </cfRule>
    <cfRule type="expression" dxfId="1495" priority="390">
      <formula>AND(L$9&gt;=14/24,L$9&lt;20/24)</formula>
    </cfRule>
    <cfRule type="expression" dxfId="1494" priority="391">
      <formula>AND(L$9&gt;=8/24,L$9&lt;14/24)</formula>
    </cfRule>
    <cfRule type="expression" dxfId="1493" priority="392">
      <formula>L$9&lt;8/24</formula>
    </cfRule>
  </conditionalFormatting>
  <conditionalFormatting sqref="L41:Q41">
    <cfRule type="expression" dxfId="1492" priority="385">
      <formula>L$9&gt;=20/24</formula>
    </cfRule>
    <cfRule type="expression" dxfId="1491" priority="386">
      <formula>AND(L$9&gt;=14/24,L$9&lt;20/24)</formula>
    </cfRule>
    <cfRule type="expression" dxfId="1490" priority="387">
      <formula>AND(L$9&gt;=8/24,L$9&lt;14/24)</formula>
    </cfRule>
    <cfRule type="expression" dxfId="1489" priority="388">
      <formula>L$9&lt;8/24</formula>
    </cfRule>
  </conditionalFormatting>
  <conditionalFormatting sqref="Y31:AF31">
    <cfRule type="expression" dxfId="1488" priority="381">
      <formula>Y$9&gt;=20/24</formula>
    </cfRule>
    <cfRule type="expression" dxfId="1487" priority="382">
      <formula>AND(Y$9&gt;=14/24,Y$9&lt;20/24)</formula>
    </cfRule>
    <cfRule type="expression" dxfId="1486" priority="383">
      <formula>AND(Y$9&gt;=8/24,Y$9&lt;14/24)</formula>
    </cfRule>
    <cfRule type="expression" dxfId="1485" priority="384">
      <formula>Y$9&lt;8/24</formula>
    </cfRule>
  </conditionalFormatting>
  <conditionalFormatting sqref="R37:AD37">
    <cfRule type="expression" dxfId="1484" priority="377">
      <formula>R$9&gt;=20/24</formula>
    </cfRule>
    <cfRule type="expression" dxfId="1483" priority="378">
      <formula>AND(R$9&gt;=14/24,R$9&lt;20/24)</formula>
    </cfRule>
    <cfRule type="expression" dxfId="1482" priority="379">
      <formula>AND(R$9&gt;=8/24,R$9&lt;14/24)</formula>
    </cfRule>
    <cfRule type="expression" dxfId="1481" priority="380">
      <formula>R$9&lt;8/24</formula>
    </cfRule>
  </conditionalFormatting>
  <conditionalFormatting sqref="R55:AD55">
    <cfRule type="expression" dxfId="1480" priority="373">
      <formula>R$9&gt;=20/24</formula>
    </cfRule>
    <cfRule type="expression" dxfId="1479" priority="374">
      <formula>AND(R$9&gt;=14/24,R$9&lt;20/24)</formula>
    </cfRule>
    <cfRule type="expression" dxfId="1478" priority="375">
      <formula>AND(R$9&gt;=8/24,R$9&lt;14/24)</formula>
    </cfRule>
    <cfRule type="expression" dxfId="1477" priority="376">
      <formula>R$9&lt;8/24</formula>
    </cfRule>
  </conditionalFormatting>
  <conditionalFormatting sqref="R79:Z79">
    <cfRule type="expression" dxfId="1476" priority="369">
      <formula>R$9&gt;=20/24</formula>
    </cfRule>
    <cfRule type="expression" dxfId="1475" priority="370">
      <formula>AND(R$9&gt;=14/24,R$9&lt;20/24)</formula>
    </cfRule>
    <cfRule type="expression" dxfId="1474" priority="371">
      <formula>AND(R$9&gt;=8/24,R$9&lt;14/24)</formula>
    </cfRule>
    <cfRule type="expression" dxfId="1473" priority="372">
      <formula>R$9&lt;8/24</formula>
    </cfRule>
  </conditionalFormatting>
  <conditionalFormatting sqref="W82:Z82">
    <cfRule type="expression" dxfId="1472" priority="365">
      <formula>W$9&gt;=20/24</formula>
    </cfRule>
    <cfRule type="expression" dxfId="1471" priority="366">
      <formula>AND(W$9&gt;=14/24,W$9&lt;20/24)</formula>
    </cfRule>
    <cfRule type="expression" dxfId="1470" priority="367">
      <formula>AND(W$9&gt;=8/24,W$9&lt;14/24)</formula>
    </cfRule>
    <cfRule type="expression" dxfId="1469" priority="368">
      <formula>W$9&lt;8/24</formula>
    </cfRule>
  </conditionalFormatting>
  <conditionalFormatting sqref="L33:Q33">
    <cfRule type="expression" dxfId="1468" priority="361">
      <formula>L$9&gt;=20/24</formula>
    </cfRule>
    <cfRule type="expression" dxfId="1467" priority="362">
      <formula>AND(L$9&gt;=14/24,L$9&lt;20/24)</formula>
    </cfRule>
    <cfRule type="expression" dxfId="1466" priority="363">
      <formula>AND(L$9&gt;=8/24,L$9&lt;14/24)</formula>
    </cfRule>
    <cfRule type="expression" dxfId="1465" priority="364">
      <formula>L$9&lt;8/24</formula>
    </cfRule>
  </conditionalFormatting>
  <conditionalFormatting sqref="L47:W47">
    <cfRule type="expression" dxfId="1464" priority="357">
      <formula>L$9&gt;=20/24</formula>
    </cfRule>
    <cfRule type="expression" dxfId="1463" priority="358">
      <formula>AND(L$9&gt;=14/24,L$9&lt;20/24)</formula>
    </cfRule>
    <cfRule type="expression" dxfId="1462" priority="359">
      <formula>AND(L$9&gt;=8/24,L$9&lt;14/24)</formula>
    </cfRule>
    <cfRule type="expression" dxfId="1461" priority="360">
      <formula>L$9&lt;8/24</formula>
    </cfRule>
  </conditionalFormatting>
  <conditionalFormatting sqref="L48:Q48">
    <cfRule type="expression" dxfId="1460" priority="353">
      <formula>L$9&gt;=20/24</formula>
    </cfRule>
    <cfRule type="expression" dxfId="1459" priority="354">
      <formula>AND(L$9&gt;=14/24,L$9&lt;20/24)</formula>
    </cfRule>
    <cfRule type="expression" dxfId="1458" priority="355">
      <formula>AND(L$9&gt;=8/24,L$9&lt;14/24)</formula>
    </cfRule>
    <cfRule type="expression" dxfId="1457" priority="356">
      <formula>L$9&lt;8/24</formula>
    </cfRule>
  </conditionalFormatting>
  <conditionalFormatting sqref="L43:Q46">
    <cfRule type="expression" dxfId="1456" priority="349">
      <formula>L$9&gt;=20/24</formula>
    </cfRule>
    <cfRule type="expression" dxfId="1455" priority="350">
      <formula>AND(L$9&gt;=14/24,L$9&lt;20/24)</formula>
    </cfRule>
    <cfRule type="expression" dxfId="1454" priority="351">
      <formula>AND(L$9&gt;=8/24,L$9&lt;14/24)</formula>
    </cfRule>
    <cfRule type="expression" dxfId="1453" priority="352">
      <formula>L$9&lt;8/24</formula>
    </cfRule>
  </conditionalFormatting>
  <conditionalFormatting sqref="R35:AF35">
    <cfRule type="expression" dxfId="1452" priority="345">
      <formula>R$9&gt;=20/24</formula>
    </cfRule>
    <cfRule type="expression" dxfId="1451" priority="346">
      <formula>AND(R$9&gt;=14/24,R$9&lt;20/24)</formula>
    </cfRule>
    <cfRule type="expression" dxfId="1450" priority="347">
      <formula>AND(R$9&gt;=8/24,R$9&lt;14/24)</formula>
    </cfRule>
    <cfRule type="expression" dxfId="1449" priority="348">
      <formula>R$9&lt;8/24</formula>
    </cfRule>
  </conditionalFormatting>
  <conditionalFormatting sqref="R30:X31 R33:AF33">
    <cfRule type="expression" dxfId="1448" priority="341">
      <formula>R$9&gt;=20/24</formula>
    </cfRule>
    <cfRule type="expression" dxfId="1447" priority="342">
      <formula>AND(R$9&gt;=14/24,R$9&lt;20/24)</formula>
    </cfRule>
    <cfRule type="expression" dxfId="1446" priority="343">
      <formula>AND(R$9&gt;=8/24,R$9&lt;14/24)</formula>
    </cfRule>
    <cfRule type="expression" dxfId="1445" priority="344">
      <formula>R$9&lt;8/24</formula>
    </cfRule>
  </conditionalFormatting>
  <conditionalFormatting sqref="R40:S41 T41:X41 R43:AD46">
    <cfRule type="expression" dxfId="1444" priority="337">
      <formula>R$9&gt;=20/24</formula>
    </cfRule>
    <cfRule type="expression" dxfId="1443" priority="338">
      <formula>AND(R$9&gt;=14/24,R$9&lt;20/24)</formula>
    </cfRule>
    <cfRule type="expression" dxfId="1442" priority="339">
      <formula>AND(R$9&gt;=8/24,R$9&lt;14/24)</formula>
    </cfRule>
    <cfRule type="expression" dxfId="1441" priority="340">
      <formula>R$9&lt;8/24</formula>
    </cfRule>
  </conditionalFormatting>
  <conditionalFormatting sqref="R47:AD47">
    <cfRule type="expression" dxfId="1440" priority="333">
      <formula>R$9&gt;=20/24</formula>
    </cfRule>
    <cfRule type="expression" dxfId="1439" priority="334">
      <formula>AND(R$9&gt;=14/24,R$9&lt;20/24)</formula>
    </cfRule>
    <cfRule type="expression" dxfId="1438" priority="335">
      <formula>AND(R$9&gt;=8/24,R$9&lt;14/24)</formula>
    </cfRule>
    <cfRule type="expression" dxfId="1437" priority="336">
      <formula>R$9&lt;8/24</formula>
    </cfRule>
  </conditionalFormatting>
  <conditionalFormatting sqref="R48:AD48">
    <cfRule type="expression" dxfId="1436" priority="329">
      <formula>R$9&gt;=20/24</formula>
    </cfRule>
    <cfRule type="expression" dxfId="1435" priority="330">
      <formula>AND(R$9&gt;=14/24,R$9&lt;20/24)</formula>
    </cfRule>
    <cfRule type="expression" dxfId="1434" priority="331">
      <formula>AND(R$9&gt;=8/24,R$9&lt;14/24)</formula>
    </cfRule>
    <cfRule type="expression" dxfId="1433" priority="332">
      <formula>R$9&lt;8/24</formula>
    </cfRule>
  </conditionalFormatting>
  <conditionalFormatting sqref="AE59:AF65 R58:AD65">
    <cfRule type="expression" dxfId="1432" priority="325">
      <formula>R$9&gt;=20/24</formula>
    </cfRule>
    <cfRule type="expression" dxfId="1431" priority="326">
      <formula>AND(R$9&gt;=14/24,R$9&lt;20/24)</formula>
    </cfRule>
    <cfRule type="expression" dxfId="1430" priority="327">
      <formula>AND(R$9&gt;=8/24,R$9&lt;14/24)</formula>
    </cfRule>
    <cfRule type="expression" dxfId="1429" priority="328">
      <formula>R$9&lt;8/24</formula>
    </cfRule>
  </conditionalFormatting>
  <conditionalFormatting sqref="AA92:AF95">
    <cfRule type="expression" dxfId="1428" priority="321">
      <formula>AA$9&gt;=20/24</formula>
    </cfRule>
    <cfRule type="expression" dxfId="1427" priority="322">
      <formula>AND(AA$9&gt;=14/24,AA$9&lt;20/24)</formula>
    </cfRule>
    <cfRule type="expression" dxfId="1426" priority="323">
      <formula>AND(AA$9&gt;=8/24,AA$9&lt;14/24)</formula>
    </cfRule>
    <cfRule type="expression" dxfId="1425" priority="324">
      <formula>AA$9&lt;8/24</formula>
    </cfRule>
  </conditionalFormatting>
  <conditionalFormatting sqref="C60:L60">
    <cfRule type="expression" dxfId="1424" priority="317">
      <formula>C$9&gt;=20/24</formula>
    </cfRule>
    <cfRule type="expression" dxfId="1423" priority="318">
      <formula>AND(C$9&gt;=14/24,C$9&lt;20/24)</formula>
    </cfRule>
    <cfRule type="expression" dxfId="1422" priority="319">
      <formula>AND(C$9&gt;=8/24,C$9&lt;14/24)</formula>
    </cfRule>
    <cfRule type="expression" dxfId="1421" priority="320">
      <formula>C$9&lt;8/24</formula>
    </cfRule>
  </conditionalFormatting>
  <conditionalFormatting sqref="W92:Z95">
    <cfRule type="expression" dxfId="1420" priority="313">
      <formula>W$9&gt;=20/24</formula>
    </cfRule>
    <cfRule type="expression" dxfId="1419" priority="314">
      <formula>AND(W$9&gt;=14/24,W$9&lt;20/24)</formula>
    </cfRule>
    <cfRule type="expression" dxfId="1418" priority="315">
      <formula>AND(W$9&gt;=8/24,W$9&lt;14/24)</formula>
    </cfRule>
    <cfRule type="expression" dxfId="1417" priority="316">
      <formula>W$9&lt;8/24</formula>
    </cfRule>
  </conditionalFormatting>
  <conditionalFormatting sqref="AG49 L12:M13 Y15:Y16 C49:AF50 C54:AF54 C11:M11 P15:Q16 P12:Q13 N11:O13 L15:O31 P17:Y31 P11:AC11 L51:AF53 Y12:AC13 L43:AF48 C36:AF41 Z15:AF31 L33:AF35 AD11:AF13">
    <cfRule type="expression" dxfId="1416" priority="312">
      <formula>C11&gt;$AG11</formula>
    </cfRule>
  </conditionalFormatting>
  <conditionalFormatting sqref="A98:A154 A82:A95 A11:A13 A15:A31 A43:A70 A78:A80 A72:A76 A33:A41 A167:A198">
    <cfRule type="expression" dxfId="1415" priority="311">
      <formula>$AH11=0</formula>
    </cfRule>
  </conditionalFormatting>
  <conditionalFormatting sqref="AA96:AF96">
    <cfRule type="expression" dxfId="1414" priority="307">
      <formula>AA$9&gt;=20/24</formula>
    </cfRule>
    <cfRule type="expression" dxfId="1413" priority="308">
      <formula>AND(AA$9&gt;=14/24,AA$9&lt;20/24)</formula>
    </cfRule>
    <cfRule type="expression" dxfId="1412" priority="309">
      <formula>AND(AA$9&gt;=8/24,AA$9&lt;14/24)</formula>
    </cfRule>
    <cfRule type="expression" dxfId="1411" priority="310">
      <formula>AA$9&lt;8/24</formula>
    </cfRule>
  </conditionalFormatting>
  <conditionalFormatting sqref="W96:Z96">
    <cfRule type="expression" dxfId="1410" priority="303">
      <formula>W$9&gt;=20/24</formula>
    </cfRule>
    <cfRule type="expression" dxfId="1409" priority="304">
      <formula>AND(W$9&gt;=14/24,W$9&lt;20/24)</formula>
    </cfRule>
    <cfRule type="expression" dxfId="1408" priority="305">
      <formula>AND(W$9&gt;=8/24,W$9&lt;14/24)</formula>
    </cfRule>
    <cfRule type="expression" dxfId="1407" priority="306">
      <formula>W$9&lt;8/24</formula>
    </cfRule>
  </conditionalFormatting>
  <conditionalFormatting sqref="A96">
    <cfRule type="expression" dxfId="1406" priority="302">
      <formula>$AH96=0</formula>
    </cfRule>
  </conditionalFormatting>
  <conditionalFormatting sqref="L34:AF34">
    <cfRule type="expression" dxfId="1405" priority="298">
      <formula>L$9&gt;=20/24</formula>
    </cfRule>
    <cfRule type="expression" dxfId="1404" priority="299">
      <formula>AND(L$9&gt;=14/24,L$9&lt;20/24)</formula>
    </cfRule>
    <cfRule type="expression" dxfId="1403" priority="300">
      <formula>AND(L$9&gt;=8/24,L$9&lt;14/24)</formula>
    </cfRule>
    <cfRule type="expression" dxfId="1402" priority="301">
      <formula>L$9&lt;8/24</formula>
    </cfRule>
  </conditionalFormatting>
  <conditionalFormatting sqref="R34:AF34">
    <cfRule type="expression" dxfId="1401" priority="294">
      <formula>R$9&gt;=20/24</formula>
    </cfRule>
    <cfRule type="expression" dxfId="1400" priority="295">
      <formula>AND(R$9&gt;=14/24,R$9&lt;20/24)</formula>
    </cfRule>
    <cfRule type="expression" dxfId="1399" priority="296">
      <formula>AND(R$9&gt;=8/24,R$9&lt;14/24)</formula>
    </cfRule>
    <cfRule type="expression" dxfId="1398" priority="297">
      <formula>R$9&lt;8/24</formula>
    </cfRule>
  </conditionalFormatting>
  <conditionalFormatting sqref="M92:V92">
    <cfRule type="expression" dxfId="1397" priority="170">
      <formula>M$9&gt;=20/24</formula>
    </cfRule>
    <cfRule type="expression" dxfId="1396" priority="171">
      <formula>AND(M$9&gt;=14/24,M$9&lt;20/24)</formula>
    </cfRule>
    <cfRule type="expression" dxfId="1395" priority="172">
      <formula>AND(M$9&gt;=8/24,M$9&lt;14/24)</formula>
    </cfRule>
    <cfRule type="expression" dxfId="1394" priority="173">
      <formula>M$9&lt;8/24</formula>
    </cfRule>
  </conditionalFormatting>
  <conditionalFormatting sqref="AL31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1393" priority="277">
      <formula>Y$9&gt;=20/24</formula>
    </cfRule>
    <cfRule type="expression" dxfId="1392" priority="278">
      <formula>AND(Y$9&gt;=14/24,Y$9&lt;20/24)</formula>
    </cfRule>
    <cfRule type="expression" dxfId="1391" priority="279">
      <formula>AND(Y$9&gt;=8/24,Y$9&lt;14/24)</formula>
    </cfRule>
    <cfRule type="expression" dxfId="1390" priority="280">
      <formula>Y$9&lt;8/24</formula>
    </cfRule>
  </conditionalFormatting>
  <conditionalFormatting sqref="L32:Q32">
    <cfRule type="expression" dxfId="1389" priority="273">
      <formula>L$9&gt;=20/24</formula>
    </cfRule>
    <cfRule type="expression" dxfId="1388" priority="274">
      <formula>AND(L$9&gt;=14/24,L$9&lt;20/24)</formula>
    </cfRule>
    <cfRule type="expression" dxfId="1387" priority="275">
      <formula>AND(L$9&gt;=8/24,L$9&lt;14/24)</formula>
    </cfRule>
    <cfRule type="expression" dxfId="1386" priority="276">
      <formula>L$9&lt;8/24</formula>
    </cfRule>
  </conditionalFormatting>
  <conditionalFormatting sqref="R32:X32">
    <cfRule type="expression" dxfId="1385" priority="269">
      <formula>R$9&gt;=20/24</formula>
    </cfRule>
    <cfRule type="expression" dxfId="1384" priority="270">
      <formula>AND(R$9&gt;=14/24,R$9&lt;20/24)</formula>
    </cfRule>
    <cfRule type="expression" dxfId="1383" priority="271">
      <formula>AND(R$9&gt;=8/24,R$9&lt;14/24)</formula>
    </cfRule>
    <cfRule type="expression" dxfId="1382" priority="272">
      <formula>R$9&lt;8/24</formula>
    </cfRule>
  </conditionalFormatting>
  <conditionalFormatting sqref="L32:AF32">
    <cfRule type="expression" dxfId="1381" priority="268">
      <formula>L32&gt;$AG32</formula>
    </cfRule>
  </conditionalFormatting>
  <conditionalFormatting sqref="A32">
    <cfRule type="expression" dxfId="1380" priority="267">
      <formula>$AH32=0</formula>
    </cfRule>
  </conditionalFormatting>
  <conditionalFormatting sqref="C81:AF81">
    <cfRule type="expression" dxfId="1379" priority="263">
      <formula>C$9&gt;=20/24</formula>
    </cfRule>
    <cfRule type="expression" dxfId="1378" priority="264">
      <formula>AND(C$9&gt;=14/24,C$9&lt;20/24)</formula>
    </cfRule>
    <cfRule type="expression" dxfId="1377" priority="265">
      <formula>AND(C$9&gt;=8/24,C$9&lt;14/24)</formula>
    </cfRule>
    <cfRule type="expression" dxfId="1376" priority="266">
      <formula>C$9&lt;8/24</formula>
    </cfRule>
  </conditionalFormatting>
  <conditionalFormatting sqref="A81">
    <cfRule type="expression" dxfId="1375" priority="262">
      <formula>$AH81=0</formula>
    </cfRule>
  </conditionalFormatting>
  <conditionalFormatting sqref="Y14:AF14">
    <cfRule type="expression" dxfId="1374" priority="258">
      <formula>Y$9&gt;=20/24</formula>
    </cfRule>
    <cfRule type="expression" dxfId="1373" priority="259">
      <formula>AND(Y$9&gt;=14/24,Y$9&lt;20/24)</formula>
    </cfRule>
    <cfRule type="expression" dxfId="1372" priority="260">
      <formula>AND(Y$9&gt;=8/24,Y$9&lt;14/24)</formula>
    </cfRule>
    <cfRule type="expression" dxfId="1371" priority="261">
      <formula>Y$9&lt;8/24</formula>
    </cfRule>
  </conditionalFormatting>
  <conditionalFormatting sqref="L14:Q14">
    <cfRule type="expression" dxfId="1370" priority="254">
      <formula>L$9&gt;=20/24</formula>
    </cfRule>
    <cfRule type="expression" dxfId="1369" priority="255">
      <formula>AND(L$9&gt;=14/24,L$9&lt;20/24)</formula>
    </cfRule>
    <cfRule type="expression" dxfId="1368" priority="256">
      <formula>AND(L$9&gt;=8/24,L$9&lt;14/24)</formula>
    </cfRule>
    <cfRule type="expression" dxfId="1367" priority="257">
      <formula>L$9&lt;8/24</formula>
    </cfRule>
  </conditionalFormatting>
  <conditionalFormatting sqref="L14:Q14 Y14:AF14">
    <cfRule type="expression" dxfId="1366" priority="253">
      <formula>L14&gt;$AG14</formula>
    </cfRule>
  </conditionalFormatting>
  <conditionalFormatting sqref="A14">
    <cfRule type="expression" dxfId="1365" priority="252">
      <formula>$AH14=0</formula>
    </cfRule>
  </conditionalFormatting>
  <conditionalFormatting sqref="A161:A166">
    <cfRule type="expression" dxfId="1364" priority="251">
      <formula>$AH161=0</formula>
    </cfRule>
  </conditionalFormatting>
  <conditionalFormatting sqref="A155:A160">
    <cfRule type="expression" dxfId="1363" priority="250">
      <formula>$AH155=0</formula>
    </cfRule>
  </conditionalFormatting>
  <conditionalFormatting sqref="Y42:AD42">
    <cfRule type="expression" dxfId="1362" priority="246">
      <formula>Y$9&gt;=20/24</formula>
    </cfRule>
    <cfRule type="expression" dxfId="1361" priority="247">
      <formula>AND(Y$9&gt;=14/24,Y$9&lt;20/24)</formula>
    </cfRule>
    <cfRule type="expression" dxfId="1360" priority="248">
      <formula>AND(Y$9&gt;=8/24,Y$9&lt;14/24)</formula>
    </cfRule>
    <cfRule type="expression" dxfId="1359" priority="249">
      <formula>Y$9&lt;8/24</formula>
    </cfRule>
  </conditionalFormatting>
  <conditionalFormatting sqref="L42:Q42">
    <cfRule type="expression" dxfId="1358" priority="242">
      <formula>L$9&gt;=20/24</formula>
    </cfRule>
    <cfRule type="expression" dxfId="1357" priority="243">
      <formula>AND(L$9&gt;=14/24,L$9&lt;20/24)</formula>
    </cfRule>
    <cfRule type="expression" dxfId="1356" priority="244">
      <formula>AND(L$9&gt;=8/24,L$9&lt;14/24)</formula>
    </cfRule>
    <cfRule type="expression" dxfId="1355" priority="245">
      <formula>L$9&lt;8/24</formula>
    </cfRule>
  </conditionalFormatting>
  <conditionalFormatting sqref="R42:X42">
    <cfRule type="expression" dxfId="1354" priority="238">
      <formula>R$9&gt;=20/24</formula>
    </cfRule>
    <cfRule type="expression" dxfId="1353" priority="239">
      <formula>AND(R$9&gt;=14/24,R$9&lt;20/24)</formula>
    </cfRule>
    <cfRule type="expression" dxfId="1352" priority="240">
      <formula>AND(R$9&gt;=8/24,R$9&lt;14/24)</formula>
    </cfRule>
    <cfRule type="expression" dxfId="1351" priority="241">
      <formula>R$9&lt;8/24</formula>
    </cfRule>
  </conditionalFormatting>
  <conditionalFormatting sqref="L42:AF42">
    <cfRule type="expression" dxfId="1350" priority="237">
      <formula>L42&gt;$AG42</formula>
    </cfRule>
  </conditionalFormatting>
  <conditionalFormatting sqref="A42">
    <cfRule type="expression" dxfId="1349" priority="236">
      <formula>$AH42=0</formula>
    </cfRule>
  </conditionalFormatting>
  <conditionalFormatting sqref="C77:AF77">
    <cfRule type="expression" dxfId="1348" priority="232">
      <formula>C$9&gt;=20/24</formula>
    </cfRule>
    <cfRule type="expression" dxfId="1347" priority="233">
      <formula>AND(C$9&gt;=14/24,C$9&lt;20/24)</formula>
    </cfRule>
    <cfRule type="expression" dxfId="1346" priority="234">
      <formula>AND(C$9&gt;=8/24,C$9&lt;14/24)</formula>
    </cfRule>
    <cfRule type="expression" dxfId="1345" priority="235">
      <formula>C$9&lt;8/24</formula>
    </cfRule>
  </conditionalFormatting>
  <conditionalFormatting sqref="A77">
    <cfRule type="expression" dxfId="1344" priority="231">
      <formula>$AH77=0</formula>
    </cfRule>
  </conditionalFormatting>
  <conditionalFormatting sqref="C71:AG71">
    <cfRule type="expression" dxfId="1343" priority="227">
      <formula>C$9&gt;=20/24</formula>
    </cfRule>
    <cfRule type="expression" dxfId="1342" priority="228">
      <formula>AND(C$9&gt;=14/24,C$9&lt;20/24)</formula>
    </cfRule>
    <cfRule type="expression" dxfId="1341" priority="229">
      <formula>AND(C$9&gt;=8/24,C$9&lt;14/24)</formula>
    </cfRule>
    <cfRule type="expression" dxfId="1340" priority="230">
      <formula>C$9&lt;8/24</formula>
    </cfRule>
  </conditionalFormatting>
  <conditionalFormatting sqref="A71">
    <cfRule type="expression" dxfId="1339" priority="226">
      <formula>$AH71=0</formula>
    </cfRule>
  </conditionalFormatting>
  <conditionalFormatting sqref="AL32:AL33 AL7:AL30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C92:E95 F93:L95">
    <cfRule type="expression" dxfId="1338" priority="206">
      <formula>C$9&gt;=20/24</formula>
    </cfRule>
    <cfRule type="expression" dxfId="1337" priority="207">
      <formula>AND(C$9&gt;=14/24,C$9&lt;20/24)</formula>
    </cfRule>
    <cfRule type="expression" dxfId="1336" priority="208">
      <formula>AND(C$9&gt;=8/24,C$9&lt;14/24)</formula>
    </cfRule>
    <cfRule type="expression" dxfId="1335" priority="209">
      <formula>C$9&lt;8/24</formula>
    </cfRule>
  </conditionalFormatting>
  <conditionalFormatting sqref="M93:O95 P92:R95">
    <cfRule type="expression" dxfId="1334" priority="202">
      <formula>M$9&gt;=20/24</formula>
    </cfRule>
    <cfRule type="expression" dxfId="1333" priority="203">
      <formula>AND(M$9&gt;=14/24,M$9&lt;20/24)</formula>
    </cfRule>
    <cfRule type="expression" dxfId="1332" priority="204">
      <formula>AND(M$9&gt;=8/24,M$9&lt;14/24)</formula>
    </cfRule>
    <cfRule type="expression" dxfId="1331" priority="205">
      <formula>M$9&lt;8/24</formula>
    </cfRule>
  </conditionalFormatting>
  <conditionalFormatting sqref="S92:V95">
    <cfRule type="expression" dxfId="1330" priority="198">
      <formula>S$9&gt;=20/24</formula>
    </cfRule>
    <cfRule type="expression" dxfId="1329" priority="199">
      <formula>AND(S$9&gt;=14/24,S$9&lt;20/24)</formula>
    </cfRule>
    <cfRule type="expression" dxfId="1328" priority="200">
      <formula>AND(S$9&gt;=8/24,S$9&lt;14/24)</formula>
    </cfRule>
    <cfRule type="expression" dxfId="1327" priority="201">
      <formula>S$9&lt;8/24</formula>
    </cfRule>
  </conditionalFormatting>
  <conditionalFormatting sqref="C96:L96">
    <cfRule type="expression" dxfId="1326" priority="194">
      <formula>C$9&gt;=20/24</formula>
    </cfRule>
    <cfRule type="expression" dxfId="1325" priority="195">
      <formula>AND(C$9&gt;=14/24,C$9&lt;20/24)</formula>
    </cfRule>
    <cfRule type="expression" dxfId="1324" priority="196">
      <formula>AND(C$9&gt;=8/24,C$9&lt;14/24)</formula>
    </cfRule>
    <cfRule type="expression" dxfId="1323" priority="197">
      <formula>C$9&lt;8/24</formula>
    </cfRule>
  </conditionalFormatting>
  <conditionalFormatting sqref="M96:R96">
    <cfRule type="expression" dxfId="1322" priority="190">
      <formula>M$9&gt;=20/24</formula>
    </cfRule>
    <cfRule type="expression" dxfId="1321" priority="191">
      <formula>AND(M$9&gt;=14/24,M$9&lt;20/24)</formula>
    </cfRule>
    <cfRule type="expression" dxfId="1320" priority="192">
      <formula>AND(M$9&gt;=8/24,M$9&lt;14/24)</formula>
    </cfRule>
    <cfRule type="expression" dxfId="1319" priority="193">
      <formula>M$9&lt;8/24</formula>
    </cfRule>
  </conditionalFormatting>
  <conditionalFormatting sqref="S96:V96">
    <cfRule type="expression" dxfId="1318" priority="186">
      <formula>S$9&gt;=20/24</formula>
    </cfRule>
    <cfRule type="expression" dxfId="1317" priority="187">
      <formula>AND(S$9&gt;=14/24,S$9&lt;20/24)</formula>
    </cfRule>
    <cfRule type="expression" dxfId="1316" priority="188">
      <formula>AND(S$9&gt;=8/24,S$9&lt;14/24)</formula>
    </cfRule>
    <cfRule type="expression" dxfId="1315" priority="189">
      <formula>S$9&lt;8/24</formula>
    </cfRule>
  </conditionalFormatting>
  <conditionalFormatting sqref="L92:O92">
    <cfRule type="expression" dxfId="1314" priority="182">
      <formula>L$9&gt;=20/24</formula>
    </cfRule>
    <cfRule type="expression" dxfId="1313" priority="183">
      <formula>AND(L$9&gt;=14/24,L$9&lt;20/24)</formula>
    </cfRule>
    <cfRule type="expression" dxfId="1312" priority="184">
      <formula>AND(L$9&gt;=8/24,L$9&lt;14/24)</formula>
    </cfRule>
    <cfRule type="expression" dxfId="1311" priority="185">
      <formula>L$9&lt;8/24</formula>
    </cfRule>
  </conditionalFormatting>
  <conditionalFormatting sqref="F92:K92">
    <cfRule type="expression" dxfId="1310" priority="178">
      <formula>F$9&gt;=20/24</formula>
    </cfRule>
    <cfRule type="expression" dxfId="1309" priority="179">
      <formula>AND(F$9&gt;=14/24,F$9&lt;20/24)</formula>
    </cfRule>
    <cfRule type="expression" dxfId="1308" priority="180">
      <formula>AND(F$9&gt;=8/24,F$9&lt;14/24)</formula>
    </cfRule>
    <cfRule type="expression" dxfId="1307" priority="181">
      <formula>F$9&lt;8/24</formula>
    </cfRule>
  </conditionalFormatting>
  <conditionalFormatting sqref="AA97:AF97">
    <cfRule type="expression" dxfId="1306" priority="166">
      <formula>AA$9&gt;=20/24</formula>
    </cfRule>
    <cfRule type="expression" dxfId="1305" priority="167">
      <formula>AND(AA$9&gt;=14/24,AA$9&lt;20/24)</formula>
    </cfRule>
    <cfRule type="expression" dxfId="1304" priority="168">
      <formula>AND(AA$9&gt;=8/24,AA$9&lt;14/24)</formula>
    </cfRule>
    <cfRule type="expression" dxfId="1303" priority="169">
      <formula>AA$9&lt;8/24</formula>
    </cfRule>
  </conditionalFormatting>
  <conditionalFormatting sqref="W97:Z97">
    <cfRule type="expression" dxfId="1302" priority="162">
      <formula>W$9&gt;=20/24</formula>
    </cfRule>
    <cfRule type="expression" dxfId="1301" priority="163">
      <formula>AND(W$9&gt;=14/24,W$9&lt;20/24)</formula>
    </cfRule>
    <cfRule type="expression" dxfId="1300" priority="164">
      <formula>AND(W$9&gt;=8/24,W$9&lt;14/24)</formula>
    </cfRule>
    <cfRule type="expression" dxfId="1299" priority="165">
      <formula>W$9&lt;8/24</formula>
    </cfRule>
  </conditionalFormatting>
  <conditionalFormatting sqref="A97">
    <cfRule type="expression" dxfId="1298" priority="161">
      <formula>$AH97=0</formula>
    </cfRule>
  </conditionalFormatting>
  <conditionalFormatting sqref="C97:L97">
    <cfRule type="expression" dxfId="1297" priority="157">
      <formula>C$9&gt;=20/24</formula>
    </cfRule>
    <cfRule type="expression" dxfId="1296" priority="158">
      <formula>AND(C$9&gt;=14/24,C$9&lt;20/24)</formula>
    </cfRule>
    <cfRule type="expression" dxfId="1295" priority="159">
      <formula>AND(C$9&gt;=8/24,C$9&lt;14/24)</formula>
    </cfRule>
    <cfRule type="expression" dxfId="1294" priority="160">
      <formula>C$9&lt;8/24</formula>
    </cfRule>
  </conditionalFormatting>
  <conditionalFormatting sqref="M97:R97">
    <cfRule type="expression" dxfId="1293" priority="153">
      <formula>M$9&gt;=20/24</formula>
    </cfRule>
    <cfRule type="expression" dxfId="1292" priority="154">
      <formula>AND(M$9&gt;=14/24,M$9&lt;20/24)</formula>
    </cfRule>
    <cfRule type="expression" dxfId="1291" priority="155">
      <formula>AND(M$9&gt;=8/24,M$9&lt;14/24)</formula>
    </cfRule>
    <cfRule type="expression" dxfId="1290" priority="156">
      <formula>M$9&lt;8/24</formula>
    </cfRule>
  </conditionalFormatting>
  <conditionalFormatting sqref="S97:V97">
    <cfRule type="expression" dxfId="1289" priority="149">
      <formula>S$9&gt;=20/24</formula>
    </cfRule>
    <cfRule type="expression" dxfId="1288" priority="150">
      <formula>AND(S$9&gt;=14/24,S$9&lt;20/24)</formula>
    </cfRule>
    <cfRule type="expression" dxfId="1287" priority="151">
      <formula>AND(S$9&gt;=8/24,S$9&lt;14/24)</formula>
    </cfRule>
    <cfRule type="expression" dxfId="1286" priority="152">
      <formula>S$9&lt;8/24</formula>
    </cfRule>
  </conditionalFormatting>
  <conditionalFormatting sqref="R12:X15">
    <cfRule type="expression" dxfId="1285" priority="145">
      <formula>R$9&gt;=20/24</formula>
    </cfRule>
    <cfRule type="expression" dxfId="1284" priority="146">
      <formula>AND(R$9&gt;=14/24,R$9&lt;20/24)</formula>
    </cfRule>
    <cfRule type="expression" dxfId="1283" priority="147">
      <formula>AND(R$9&gt;=8/24,R$9&lt;14/24)</formula>
    </cfRule>
    <cfRule type="expression" dxfId="1282" priority="148">
      <formula>R$9&lt;8/24</formula>
    </cfRule>
  </conditionalFormatting>
  <conditionalFormatting sqref="R16:X16">
    <cfRule type="expression" dxfId="1281" priority="141">
      <formula>R$9&gt;=20/24</formula>
    </cfRule>
    <cfRule type="expression" dxfId="1280" priority="142">
      <formula>AND(R$9&gt;=14/24,R$9&lt;20/24)</formula>
    </cfRule>
    <cfRule type="expression" dxfId="1279" priority="143">
      <formula>AND(R$9&gt;=8/24,R$9&lt;14/24)</formula>
    </cfRule>
    <cfRule type="expression" dxfId="1278" priority="144">
      <formula>R$9&lt;8/24</formula>
    </cfRule>
  </conditionalFormatting>
  <conditionalFormatting sqref="R12:X12">
    <cfRule type="expression" dxfId="1277" priority="137">
      <formula>R$9&gt;=20/24</formula>
    </cfRule>
    <cfRule type="expression" dxfId="1276" priority="138">
      <formula>AND(R$9&gt;=14/24,R$9&lt;20/24)</formula>
    </cfRule>
    <cfRule type="expression" dxfId="1275" priority="139">
      <formula>AND(R$9&gt;=8/24,R$9&lt;14/24)</formula>
    </cfRule>
    <cfRule type="expression" dxfId="1274" priority="140">
      <formula>R$9&lt;8/24</formula>
    </cfRule>
  </conditionalFormatting>
  <conditionalFormatting sqref="AA56:AD57">
    <cfRule type="expression" dxfId="1273" priority="133">
      <formula>AA$9&gt;=20/24</formula>
    </cfRule>
    <cfRule type="expression" dxfId="1272" priority="134">
      <formula>AND(AA$9&gt;=14/24,AA$9&lt;20/24)</formula>
    </cfRule>
    <cfRule type="expression" dxfId="1271" priority="135">
      <formula>AND(AA$9&gt;=8/24,AA$9&lt;14/24)</formula>
    </cfRule>
    <cfRule type="expression" dxfId="1270" priority="136">
      <formula>AA$9&lt;8/24</formula>
    </cfRule>
  </conditionalFormatting>
  <conditionalFormatting sqref="B34:K34">
    <cfRule type="expression" dxfId="1269" priority="44">
      <formula>B$9&gt;=20/24</formula>
    </cfRule>
    <cfRule type="expression" dxfId="1268" priority="45">
      <formula>AND(B$9&gt;=14/24,B$9&lt;20/24)</formula>
    </cfRule>
    <cfRule type="expression" dxfId="1267" priority="46">
      <formula>AND(B$9&gt;=8/24,B$9&lt;14/24)</formula>
    </cfRule>
    <cfRule type="expression" dxfId="1266" priority="47">
      <formula>B$9&lt;8/24</formula>
    </cfRule>
  </conditionalFormatting>
  <conditionalFormatting sqref="B92:B95">
    <cfRule type="expression" dxfId="1265" priority="21">
      <formula>B$9&gt;=20/24</formula>
    </cfRule>
    <cfRule type="expression" dxfId="1264" priority="22">
      <formula>AND(B$9&gt;=14/24,B$9&lt;20/24)</formula>
    </cfRule>
    <cfRule type="expression" dxfId="1263" priority="23">
      <formula>AND(B$9&gt;=8/24,B$9&lt;14/24)</formula>
    </cfRule>
    <cfRule type="expression" dxfId="1262" priority="24">
      <formula>B$9&lt;8/24</formula>
    </cfRule>
  </conditionalFormatting>
  <conditionalFormatting sqref="B96">
    <cfRule type="expression" dxfId="1261" priority="17">
      <formula>B$9&gt;=20/24</formula>
    </cfRule>
    <cfRule type="expression" dxfId="1260" priority="18">
      <formula>AND(B$9&gt;=14/24,B$9&lt;20/24)</formula>
    </cfRule>
    <cfRule type="expression" dxfId="1259" priority="19">
      <formula>AND(B$9&gt;=8/24,B$9&lt;14/24)</formula>
    </cfRule>
    <cfRule type="expression" dxfId="1258" priority="20">
      <formula>B$9&lt;8/24</formula>
    </cfRule>
  </conditionalFormatting>
  <conditionalFormatting sqref="B97">
    <cfRule type="expression" dxfId="1257" priority="13">
      <formula>B$9&gt;=20/24</formula>
    </cfRule>
    <cfRule type="expression" dxfId="1256" priority="14">
      <formula>AND(B$9&gt;=14/24,B$9&lt;20/24)</formula>
    </cfRule>
    <cfRule type="expression" dxfId="1255" priority="15">
      <formula>AND(B$9&gt;=8/24,B$9&lt;14/24)</formula>
    </cfRule>
    <cfRule type="expression" dxfId="1254" priority="16">
      <formula>B$9&lt;8/24</formula>
    </cfRule>
  </conditionalFormatting>
  <conditionalFormatting sqref="B61:B70 B54:B59 B72:B76 B78:B80">
    <cfRule type="expression" dxfId="1253" priority="53">
      <formula>B$9&gt;=20/24</formula>
    </cfRule>
    <cfRule type="expression" dxfId="1252" priority="54">
      <formula>AND(B$9&gt;=14/24,B$9&lt;20/24)</formula>
    </cfRule>
    <cfRule type="expression" dxfId="1251" priority="55">
      <formula>AND(B$9&gt;=8/24,B$9&lt;14/24)</formula>
    </cfRule>
    <cfRule type="expression" dxfId="1250" priority="56">
      <formula>B$9&lt;8/24</formula>
    </cfRule>
  </conditionalFormatting>
  <conditionalFormatting sqref="B60">
    <cfRule type="expression" dxfId="1249" priority="49">
      <formula>B$9&gt;=20/24</formula>
    </cfRule>
    <cfRule type="expression" dxfId="1248" priority="50">
      <formula>AND(B$9&gt;=14/24,B$9&lt;20/24)</formula>
    </cfRule>
    <cfRule type="expression" dxfId="1247" priority="51">
      <formula>AND(B$9&gt;=8/24,B$9&lt;14/24)</formula>
    </cfRule>
    <cfRule type="expression" dxfId="1246" priority="52">
      <formula>B$9&lt;8/24</formula>
    </cfRule>
  </conditionalFormatting>
  <conditionalFormatting sqref="B11:B13 B33:B41 B43:B54 C51:K53 C12:L13 B15:L31 C43:L48 C33:N35 O33:O34 M27:O31">
    <cfRule type="expression" dxfId="1245" priority="48">
      <formula>B11&gt;$AG11</formula>
    </cfRule>
  </conditionalFormatting>
  <conditionalFormatting sqref="B32:O32">
    <cfRule type="expression" dxfId="1244" priority="43">
      <formula>B32&gt;$AG32</formula>
    </cfRule>
  </conditionalFormatting>
  <conditionalFormatting sqref="B81">
    <cfRule type="expression" dxfId="1243" priority="39">
      <formula>B$9&gt;=20/24</formula>
    </cfRule>
    <cfRule type="expression" dxfId="1242" priority="40">
      <formula>AND(B$9&gt;=14/24,B$9&lt;20/24)</formula>
    </cfRule>
    <cfRule type="expression" dxfId="1241" priority="41">
      <formula>AND(B$9&gt;=8/24,B$9&lt;14/24)</formula>
    </cfRule>
    <cfRule type="expression" dxfId="1240" priority="42">
      <formula>B$9&lt;8/24</formula>
    </cfRule>
  </conditionalFormatting>
  <conditionalFormatting sqref="B14:L14">
    <cfRule type="expression" dxfId="1239" priority="38">
      <formula>B14&gt;$AG14</formula>
    </cfRule>
  </conditionalFormatting>
  <conditionalFormatting sqref="B42:L42">
    <cfRule type="expression" dxfId="1238" priority="37">
      <formula>B42&gt;$AG42</formula>
    </cfRule>
  </conditionalFormatting>
  <conditionalFormatting sqref="B77">
    <cfRule type="expression" dxfId="1237" priority="33">
      <formula>B$9&gt;=20/24</formula>
    </cfRule>
    <cfRule type="expression" dxfId="1236" priority="34">
      <formula>AND(B$9&gt;=14/24,B$9&lt;20/24)</formula>
    </cfRule>
    <cfRule type="expression" dxfId="1235" priority="35">
      <formula>AND(B$9&gt;=8/24,B$9&lt;14/24)</formula>
    </cfRule>
    <cfRule type="expression" dxfId="1234" priority="36">
      <formula>B$9&lt;8/24</formula>
    </cfRule>
  </conditionalFormatting>
  <conditionalFormatting sqref="B71">
    <cfRule type="expression" dxfId="1233" priority="29">
      <formula>B$9&gt;=20/24</formula>
    </cfRule>
    <cfRule type="expression" dxfId="1232" priority="30">
      <formula>AND(B$9&gt;=14/24,B$9&lt;20/24)</formula>
    </cfRule>
    <cfRule type="expression" dxfId="1231" priority="31">
      <formula>AND(B$9&gt;=8/24,B$9&lt;14/24)</formula>
    </cfRule>
    <cfRule type="expression" dxfId="1230" priority="32">
      <formula>B$9&lt;8/24</formula>
    </cfRule>
  </conditionalFormatting>
  <conditionalFormatting sqref="B82:B89">
    <cfRule type="expression" dxfId="1229" priority="25">
      <formula>B$9&gt;=20/24</formula>
    </cfRule>
    <cfRule type="expression" dxfId="1228" priority="26">
      <formula>AND(B$9&gt;=14/24,B$9&lt;20/24)</formula>
    </cfRule>
    <cfRule type="expression" dxfId="1227" priority="27">
      <formula>AND(B$9&gt;=8/24,B$9&lt;14/24)</formula>
    </cfRule>
    <cfRule type="expression" dxfId="1226" priority="28">
      <formula>B$9&lt;8/24</formula>
    </cfRule>
  </conditionalFormatting>
  <conditionalFormatting sqref="S82:V89">
    <cfRule type="expression" dxfId="1225" priority="595">
      <formula>R$9&gt;=20/24</formula>
    </cfRule>
    <cfRule type="expression" dxfId="1224" priority="596">
      <formula>AND(R$9&gt;=14/24,R$9&lt;20/24)</formula>
    </cfRule>
    <cfRule type="expression" dxfId="1223" priority="597">
      <formula>AND(R$9&gt;=8/24,R$9&lt;14/24)</formula>
    </cfRule>
    <cfRule type="expression" dxfId="1222" priority="598">
      <formula>R$9&lt;8/24</formula>
    </cfRule>
  </conditionalFormatting>
  <conditionalFormatting sqref="R82">
    <cfRule type="expression" dxfId="1221" priority="9">
      <formula>R$9&gt;=20/24</formula>
    </cfRule>
    <cfRule type="expression" dxfId="1220" priority="10">
      <formula>AND(R$9&gt;=14/24,R$9&lt;20/24)</formula>
    </cfRule>
    <cfRule type="expression" dxfId="1219" priority="11">
      <formula>AND(R$9&gt;=8/24,R$9&lt;14/24)</formula>
    </cfRule>
    <cfRule type="expression" dxfId="1218" priority="12">
      <formula>R$9&lt;8/24</formula>
    </cfRule>
  </conditionalFormatting>
  <conditionalFormatting sqref="R83:R89">
    <cfRule type="expression" dxfId="1217" priority="5">
      <formula>R$9&gt;=20/24</formula>
    </cfRule>
    <cfRule type="expression" dxfId="1216" priority="6">
      <formula>AND(R$9&gt;=14/24,R$9&lt;20/24)</formula>
    </cfRule>
    <cfRule type="expression" dxfId="1215" priority="7">
      <formula>AND(R$9&gt;=8/24,R$9&lt;14/24)</formula>
    </cfRule>
    <cfRule type="expression" dxfId="1214" priority="8">
      <formula>R$9&lt;8/24</formula>
    </cfRule>
  </conditionalFormatting>
  <conditionalFormatting sqref="X83:X89">
    <cfRule type="expression" dxfId="1213" priority="1">
      <formula>W$9&gt;=20/24</formula>
    </cfRule>
    <cfRule type="expression" dxfId="1212" priority="2">
      <formula>AND(W$9&gt;=14/24,W$9&lt;20/24)</formula>
    </cfRule>
    <cfRule type="expression" dxfId="1211" priority="3">
      <formula>AND(W$9&gt;=8/24,W$9&lt;14/24)</formula>
    </cfRule>
    <cfRule type="expression" dxfId="1210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D9" sqref="AD9:AD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K1" t="s">
        <v>232</v>
      </c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227</v>
      </c>
      <c r="AL2" s="3">
        <f>(440-AJ50)*24</f>
        <v>1937.5741935483861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7</v>
      </c>
      <c r="AL3" s="3">
        <f>(1050-AJ36)*24-AL4</f>
        <v>1734.1445161290339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2078/04/30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233</v>
      </c>
      <c r="AL4" s="30">
        <f>(456-AJ11)*24</f>
        <v>5655.92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-125</v>
      </c>
      <c r="C5" s="32">
        <f t="shared" ref="C5:AF5" si="0">C66</f>
        <v>-138</v>
      </c>
      <c r="D5" s="32">
        <f t="shared" si="0"/>
        <v>-143</v>
      </c>
      <c r="E5" s="32">
        <f t="shared" si="0"/>
        <v>-138</v>
      </c>
      <c r="F5" s="32">
        <f t="shared" si="0"/>
        <v>-158</v>
      </c>
      <c r="G5" s="32">
        <f t="shared" si="0"/>
        <v>-201</v>
      </c>
      <c r="H5" s="32">
        <f t="shared" si="0"/>
        <v>-209</v>
      </c>
      <c r="I5" s="32">
        <f t="shared" si="0"/>
        <v>-177.9</v>
      </c>
      <c r="J5" s="32">
        <f t="shared" si="0"/>
        <v>-177.9</v>
      </c>
      <c r="K5" s="32">
        <f t="shared" si="0"/>
        <v>-169</v>
      </c>
      <c r="L5" s="32">
        <f t="shared" si="0"/>
        <v>-153</v>
      </c>
      <c r="M5" s="32">
        <f t="shared" si="0"/>
        <v>-119</v>
      </c>
      <c r="N5" s="32">
        <f t="shared" si="0"/>
        <v>-169.2</v>
      </c>
      <c r="O5" s="32">
        <f t="shared" si="0"/>
        <v>-205.9</v>
      </c>
      <c r="P5" s="32">
        <f t="shared" si="0"/>
        <v>-180.6</v>
      </c>
      <c r="Q5" s="32">
        <f t="shared" si="0"/>
        <v>-184.3</v>
      </c>
      <c r="R5" s="32">
        <f t="shared" si="0"/>
        <v>-172.4</v>
      </c>
      <c r="S5" s="32">
        <f t="shared" si="0"/>
        <v>-184</v>
      </c>
      <c r="T5" s="32">
        <f t="shared" si="0"/>
        <v>-59</v>
      </c>
      <c r="U5" s="32">
        <f t="shared" si="0"/>
        <v>-87.2</v>
      </c>
      <c r="V5" s="32">
        <f t="shared" si="0"/>
        <v>-221.8</v>
      </c>
      <c r="W5" s="32">
        <f t="shared" si="0"/>
        <v>-200.4</v>
      </c>
      <c r="X5" s="32">
        <f t="shared" si="0"/>
        <v>-188.8</v>
      </c>
      <c r="Y5" s="32">
        <f t="shared" si="0"/>
        <v>-208.4</v>
      </c>
      <c r="Z5" s="32">
        <f t="shared" si="0"/>
        <v>-212.4</v>
      </c>
      <c r="AA5" s="32">
        <f t="shared" si="0"/>
        <v>0</v>
      </c>
      <c r="AB5" s="32">
        <f t="shared" si="0"/>
        <v>-230.1</v>
      </c>
      <c r="AC5" s="32">
        <f t="shared" si="0"/>
        <v>-278.10000000000002</v>
      </c>
      <c r="AD5" s="32">
        <f t="shared" si="0"/>
        <v>-223.7</v>
      </c>
      <c r="AE5" s="32">
        <f t="shared" si="0"/>
        <v>-281.60000000000002</v>
      </c>
      <c r="AF5" s="32">
        <f t="shared" si="0"/>
        <v>-222.8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928MW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Load=204</v>
      </c>
      <c r="B7" s="37">
        <f t="shared" ref="B7:AF7" si="1">B73</f>
        <v>976.04</v>
      </c>
      <c r="C7" s="37">
        <f t="shared" si="1"/>
        <v>939.6400000000001</v>
      </c>
      <c r="D7" s="37">
        <f t="shared" si="1"/>
        <v>904.1400000000001</v>
      </c>
      <c r="E7" s="37">
        <f t="shared" si="1"/>
        <v>894.24</v>
      </c>
      <c r="F7" s="37">
        <f t="shared" si="1"/>
        <v>865.14</v>
      </c>
      <c r="G7" s="37">
        <f t="shared" si="1"/>
        <v>851.54</v>
      </c>
      <c r="H7" s="37">
        <f t="shared" si="1"/>
        <v>845.6400000000001</v>
      </c>
      <c r="I7" s="37">
        <f t="shared" si="1"/>
        <v>851.04</v>
      </c>
      <c r="J7" s="37">
        <f t="shared" si="1"/>
        <v>839.04000000000008</v>
      </c>
      <c r="K7" s="37">
        <f t="shared" si="1"/>
        <v>852.84</v>
      </c>
      <c r="L7" s="37">
        <f>L73</f>
        <v>893.84</v>
      </c>
      <c r="M7" s="37">
        <f t="shared" si="1"/>
        <v>927.84</v>
      </c>
      <c r="N7" s="37">
        <f t="shared" si="1"/>
        <v>947.04000000000008</v>
      </c>
      <c r="O7" s="37">
        <f t="shared" si="1"/>
        <v>909.04000000000008</v>
      </c>
      <c r="P7" s="37">
        <f t="shared" si="1"/>
        <v>941.1400000000001</v>
      </c>
      <c r="Q7" s="37">
        <f t="shared" si="1"/>
        <v>927.24</v>
      </c>
      <c r="R7" s="37">
        <f t="shared" si="1"/>
        <v>936.34</v>
      </c>
      <c r="S7" s="37">
        <f t="shared" si="1"/>
        <v>926.14</v>
      </c>
      <c r="T7" s="37">
        <f t="shared" si="1"/>
        <v>881.83999999999992</v>
      </c>
      <c r="U7" s="37">
        <f t="shared" si="1"/>
        <v>889.74</v>
      </c>
      <c r="V7" s="37">
        <f t="shared" si="1"/>
        <v>941.34</v>
      </c>
      <c r="W7" s="37">
        <f t="shared" si="1"/>
        <v>1040.6399999999999</v>
      </c>
      <c r="X7" s="37">
        <f t="shared" si="1"/>
        <v>1234.6999999999998</v>
      </c>
      <c r="Y7" s="37">
        <f t="shared" si="1"/>
        <v>1234.3400000000001</v>
      </c>
      <c r="Z7" s="37">
        <f t="shared" si="1"/>
        <v>1236.04</v>
      </c>
      <c r="AA7" s="37">
        <f t="shared" si="1"/>
        <v>203.54</v>
      </c>
      <c r="AB7" s="37">
        <f t="shared" si="1"/>
        <v>1188.54</v>
      </c>
      <c r="AC7" s="37">
        <f t="shared" si="1"/>
        <v>1162.74</v>
      </c>
      <c r="AD7" s="37">
        <f t="shared" si="1"/>
        <v>1133.44</v>
      </c>
      <c r="AE7" s="37">
        <f t="shared" si="1"/>
        <v>1079.2399999999998</v>
      </c>
      <c r="AF7" s="37">
        <f t="shared" si="1"/>
        <v>1057.74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115">
        <v>190</v>
      </c>
      <c r="C11" s="115">
        <v>190</v>
      </c>
      <c r="D11" s="49">
        <v>180</v>
      </c>
      <c r="E11" s="49">
        <v>180</v>
      </c>
      <c r="F11" s="49">
        <v>180</v>
      </c>
      <c r="G11" s="49">
        <v>180</v>
      </c>
      <c r="H11" s="49">
        <v>180</v>
      </c>
      <c r="I11" s="49">
        <v>180</v>
      </c>
      <c r="J11" s="49">
        <v>180</v>
      </c>
      <c r="K11" s="49">
        <v>180</v>
      </c>
      <c r="L11" s="50">
        <v>190</v>
      </c>
      <c r="M11" s="50">
        <v>190</v>
      </c>
      <c r="N11" s="50">
        <v>210</v>
      </c>
      <c r="O11" s="50">
        <v>230</v>
      </c>
      <c r="P11" s="50">
        <v>230</v>
      </c>
      <c r="Q11" s="51">
        <v>230</v>
      </c>
      <c r="R11" s="51">
        <v>230</v>
      </c>
      <c r="S11" s="51">
        <v>230</v>
      </c>
      <c r="T11" s="52">
        <v>90</v>
      </c>
      <c r="U11" s="52">
        <v>95</v>
      </c>
      <c r="V11" s="52">
        <v>200</v>
      </c>
      <c r="W11" s="52">
        <v>250</v>
      </c>
      <c r="X11" s="52">
        <v>320.89999999999998</v>
      </c>
      <c r="Y11" s="53">
        <v>339.2</v>
      </c>
      <c r="Z11" s="115">
        <v>345</v>
      </c>
      <c r="AA11" s="115"/>
      <c r="AB11" s="115">
        <v>345</v>
      </c>
      <c r="AC11" s="115">
        <v>345</v>
      </c>
      <c r="AD11" s="115">
        <v>250</v>
      </c>
      <c r="AE11" s="115">
        <v>250</v>
      </c>
      <c r="AF11" s="49">
        <v>220</v>
      </c>
      <c r="AG11" s="54">
        <v>456</v>
      </c>
      <c r="AH11" s="55">
        <f>MAX(B11:AF11)</f>
        <v>345</v>
      </c>
      <c r="AI11" s="56">
        <f>MIN(B11:AF11)</f>
        <v>90</v>
      </c>
      <c r="AJ11" s="1">
        <f>AVERAGE(B11:AF11)</f>
        <v>220.33666666666664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0">
        <v>60</v>
      </c>
      <c r="C12" s="50">
        <v>60</v>
      </c>
      <c r="D12" s="49">
        <v>50</v>
      </c>
      <c r="E12" s="49">
        <v>50</v>
      </c>
      <c r="F12" s="49">
        <v>50</v>
      </c>
      <c r="G12" s="49">
        <v>60</v>
      </c>
      <c r="H12" s="49">
        <v>60</v>
      </c>
      <c r="I12" s="49">
        <v>50</v>
      </c>
      <c r="J12" s="49">
        <v>50</v>
      </c>
      <c r="K12" s="49">
        <v>50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49">
        <v>60</v>
      </c>
      <c r="S12" s="49">
        <v>60</v>
      </c>
      <c r="T12" s="59">
        <v>50</v>
      </c>
      <c r="U12" s="59">
        <v>50</v>
      </c>
      <c r="V12" s="59">
        <v>50</v>
      </c>
      <c r="W12" s="59">
        <v>50</v>
      </c>
      <c r="X12" s="59">
        <v>60</v>
      </c>
      <c r="Y12" s="59">
        <v>60</v>
      </c>
      <c r="Z12" s="59">
        <v>60</v>
      </c>
      <c r="AA12" s="50"/>
      <c r="AB12" s="59">
        <v>60</v>
      </c>
      <c r="AC12" s="59">
        <v>60</v>
      </c>
      <c r="AD12" s="50">
        <v>60</v>
      </c>
      <c r="AE12" s="50">
        <v>60</v>
      </c>
      <c r="AF12" s="49">
        <v>40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40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50"/>
      <c r="AB13" s="61">
        <v>0</v>
      </c>
      <c r="AC13" s="61">
        <v>0</v>
      </c>
      <c r="AD13" s="50">
        <v>0</v>
      </c>
      <c r="AE13" s="50">
        <v>0</v>
      </c>
      <c r="AF13" s="49">
        <v>0</v>
      </c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0">
        <v>38.700000000000003</v>
      </c>
      <c r="C14" s="50">
        <v>38.700000000000003</v>
      </c>
      <c r="D14" s="50">
        <v>38.700000000000003</v>
      </c>
      <c r="E14" s="50">
        <v>38.700000000000003</v>
      </c>
      <c r="F14" s="50">
        <v>38.700000000000003</v>
      </c>
      <c r="G14" s="50">
        <v>38.700000000000003</v>
      </c>
      <c r="H14" s="50">
        <v>38.700000000000003</v>
      </c>
      <c r="I14" s="50">
        <v>38.700000000000003</v>
      </c>
      <c r="J14" s="50">
        <v>38.700000000000003</v>
      </c>
      <c r="K14" s="50">
        <v>38.700000000000003</v>
      </c>
      <c r="L14" s="50">
        <v>38.700000000000003</v>
      </c>
      <c r="M14" s="50">
        <v>38.700000000000003</v>
      </c>
      <c r="N14" s="50">
        <v>38.5</v>
      </c>
      <c r="O14" s="50">
        <v>35.799999999999997</v>
      </c>
      <c r="P14" s="50">
        <v>35.799999999999997</v>
      </c>
      <c r="Q14" s="50">
        <v>36</v>
      </c>
      <c r="R14" s="50">
        <v>36</v>
      </c>
      <c r="S14" s="50">
        <v>36</v>
      </c>
      <c r="T14" s="61">
        <v>36.1</v>
      </c>
      <c r="U14" s="61">
        <v>36.1</v>
      </c>
      <c r="V14" s="61">
        <v>36.1</v>
      </c>
      <c r="W14" s="61">
        <v>46.5</v>
      </c>
      <c r="X14" s="61">
        <v>46.5</v>
      </c>
      <c r="Y14" s="61">
        <v>46.5</v>
      </c>
      <c r="Z14" s="61">
        <v>46.5</v>
      </c>
      <c r="AA14" s="50"/>
      <c r="AB14" s="61">
        <v>46.5</v>
      </c>
      <c r="AC14" s="61">
        <v>46.5</v>
      </c>
      <c r="AD14" s="50">
        <v>46.2</v>
      </c>
      <c r="AE14" s="50">
        <v>46.2</v>
      </c>
      <c r="AF14" s="62">
        <v>36.799999999999997</v>
      </c>
      <c r="AG14" s="63">
        <v>45</v>
      </c>
      <c r="AH14" s="55">
        <f t="shared" si="2"/>
        <v>46.5</v>
      </c>
      <c r="AI14" s="56">
        <f t="shared" si="3"/>
        <v>35.799999999999997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0">
        <v>26</v>
      </c>
      <c r="C15" s="50">
        <v>26</v>
      </c>
      <c r="D15" s="50">
        <v>26</v>
      </c>
      <c r="E15" s="50">
        <v>26</v>
      </c>
      <c r="F15" s="50">
        <v>26</v>
      </c>
      <c r="G15" s="50">
        <v>26</v>
      </c>
      <c r="H15" s="50">
        <v>26</v>
      </c>
      <c r="I15" s="50">
        <v>26</v>
      </c>
      <c r="J15" s="50">
        <v>26</v>
      </c>
      <c r="K15" s="50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84">
        <v>26</v>
      </c>
      <c r="U15" s="84">
        <v>26</v>
      </c>
      <c r="V15" s="84">
        <v>26</v>
      </c>
      <c r="W15" s="84">
        <v>32</v>
      </c>
      <c r="X15" s="84">
        <v>32</v>
      </c>
      <c r="Y15" s="84">
        <v>32</v>
      </c>
      <c r="Z15" s="84">
        <v>32</v>
      </c>
      <c r="AA15" s="50"/>
      <c r="AB15" s="84">
        <v>0</v>
      </c>
      <c r="AC15" s="84">
        <v>28</v>
      </c>
      <c r="AD15" s="50">
        <v>40</v>
      </c>
      <c r="AE15" s="50">
        <v>40</v>
      </c>
      <c r="AF15" s="49">
        <v>40</v>
      </c>
      <c r="AG15" s="60">
        <v>45</v>
      </c>
      <c r="AH15" s="55">
        <f t="shared" si="2"/>
        <v>40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0">
        <v>25</v>
      </c>
      <c r="C16" s="50">
        <v>25</v>
      </c>
      <c r="D16" s="50">
        <v>25</v>
      </c>
      <c r="E16" s="50">
        <v>25</v>
      </c>
      <c r="F16" s="50">
        <v>25</v>
      </c>
      <c r="G16" s="50">
        <v>25</v>
      </c>
      <c r="H16" s="50">
        <v>25</v>
      </c>
      <c r="I16" s="50">
        <v>25</v>
      </c>
      <c r="J16" s="50">
        <v>25</v>
      </c>
      <c r="K16" s="50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61">
        <v>25</v>
      </c>
      <c r="U16" s="61">
        <v>25</v>
      </c>
      <c r="V16" s="61">
        <v>25</v>
      </c>
      <c r="W16" s="61">
        <v>25</v>
      </c>
      <c r="X16" s="61">
        <v>25</v>
      </c>
      <c r="Y16" s="61">
        <v>25</v>
      </c>
      <c r="Z16" s="61">
        <v>25</v>
      </c>
      <c r="AA16" s="50"/>
      <c r="AB16" s="61">
        <v>25</v>
      </c>
      <c r="AC16" s="61">
        <v>25</v>
      </c>
      <c r="AD16" s="50">
        <v>25</v>
      </c>
      <c r="AE16" s="50">
        <v>25</v>
      </c>
      <c r="AF16" s="49">
        <v>25</v>
      </c>
      <c r="AG16" s="60">
        <v>42</v>
      </c>
      <c r="AH16" s="55">
        <f t="shared" si="2"/>
        <v>25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/>
      <c r="AB17" s="50">
        <v>25</v>
      </c>
      <c r="AC17" s="50">
        <v>25</v>
      </c>
      <c r="AD17" s="50">
        <v>25</v>
      </c>
      <c r="AE17" s="50">
        <v>25</v>
      </c>
      <c r="AF17" s="49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0">
        <v>25</v>
      </c>
      <c r="C18" s="50">
        <v>22</v>
      </c>
      <c r="D18" s="50">
        <v>22</v>
      </c>
      <c r="E18" s="50">
        <v>22</v>
      </c>
      <c r="F18" s="50">
        <v>22</v>
      </c>
      <c r="G18" s="50">
        <v>22</v>
      </c>
      <c r="H18" s="50">
        <v>22</v>
      </c>
      <c r="I18" s="50">
        <v>22</v>
      </c>
      <c r="J18" s="50">
        <v>22</v>
      </c>
      <c r="K18" s="50">
        <v>22</v>
      </c>
      <c r="L18" s="50">
        <v>22</v>
      </c>
      <c r="M18" s="50">
        <v>22</v>
      </c>
      <c r="N18" s="50">
        <v>22</v>
      </c>
      <c r="O18" s="50">
        <v>22</v>
      </c>
      <c r="P18" s="50">
        <v>22</v>
      </c>
      <c r="Q18" s="50">
        <v>22.6</v>
      </c>
      <c r="R18" s="50">
        <v>22.6</v>
      </c>
      <c r="S18" s="50">
        <v>22.6</v>
      </c>
      <c r="T18" s="50">
        <v>22.6</v>
      </c>
      <c r="U18" s="50">
        <v>22.6</v>
      </c>
      <c r="V18" s="50">
        <v>22.6</v>
      </c>
      <c r="W18" s="50">
        <v>24.9</v>
      </c>
      <c r="X18" s="50">
        <v>24.9</v>
      </c>
      <c r="Y18" s="50">
        <v>24.9</v>
      </c>
      <c r="Z18" s="50">
        <v>24.9</v>
      </c>
      <c r="AA18" s="50"/>
      <c r="AB18" s="50">
        <v>24.9</v>
      </c>
      <c r="AC18" s="50">
        <v>24.9</v>
      </c>
      <c r="AD18" s="50">
        <v>25</v>
      </c>
      <c r="AE18" s="50">
        <v>25</v>
      </c>
      <c r="AF18" s="49">
        <v>20</v>
      </c>
      <c r="AG18" s="60">
        <v>30</v>
      </c>
      <c r="AH18" s="55">
        <f t="shared" si="2"/>
        <v>25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/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/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17</v>
      </c>
      <c r="G21" s="50">
        <v>22</v>
      </c>
      <c r="H21" s="50">
        <v>22</v>
      </c>
      <c r="I21" s="50">
        <v>17</v>
      </c>
      <c r="J21" s="50">
        <v>17</v>
      </c>
      <c r="K21" s="50">
        <v>17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/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17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0">
        <v>15</v>
      </c>
      <c r="C22" s="50">
        <v>15</v>
      </c>
      <c r="D22" s="50">
        <v>15</v>
      </c>
      <c r="E22" s="50">
        <v>15</v>
      </c>
      <c r="F22" s="50">
        <v>15</v>
      </c>
      <c r="G22" s="50">
        <v>15</v>
      </c>
      <c r="H22" s="50">
        <v>15</v>
      </c>
      <c r="I22" s="50">
        <v>15</v>
      </c>
      <c r="J22" s="50">
        <v>15</v>
      </c>
      <c r="K22" s="50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/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60">
        <v>25</v>
      </c>
      <c r="AH22" s="55">
        <f t="shared" si="2"/>
        <v>15</v>
      </c>
      <c r="AI22" s="56">
        <f t="shared" si="3"/>
        <v>15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0">
        <v>20</v>
      </c>
      <c r="C23" s="50">
        <v>20</v>
      </c>
      <c r="D23" s="50">
        <v>20</v>
      </c>
      <c r="E23" s="50">
        <v>20</v>
      </c>
      <c r="F23" s="50">
        <v>20</v>
      </c>
      <c r="G23" s="50">
        <v>20</v>
      </c>
      <c r="H23" s="50">
        <v>20</v>
      </c>
      <c r="I23" s="50">
        <v>20</v>
      </c>
      <c r="J23" s="50">
        <v>20</v>
      </c>
      <c r="K23" s="50">
        <v>20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18</v>
      </c>
      <c r="U23" s="50">
        <v>18</v>
      </c>
      <c r="V23" s="50">
        <v>18</v>
      </c>
      <c r="W23" s="50">
        <v>20</v>
      </c>
      <c r="X23" s="50">
        <v>20</v>
      </c>
      <c r="Y23" s="50">
        <v>20</v>
      </c>
      <c r="Z23" s="50">
        <v>20</v>
      </c>
      <c r="AA23" s="50"/>
      <c r="AB23" s="50">
        <v>20</v>
      </c>
      <c r="AC23" s="50">
        <v>20</v>
      </c>
      <c r="AD23" s="50">
        <v>20</v>
      </c>
      <c r="AE23" s="50">
        <v>20</v>
      </c>
      <c r="AF23" s="50">
        <v>20</v>
      </c>
      <c r="AG23" s="60">
        <v>25</v>
      </c>
      <c r="AH23" s="55">
        <f t="shared" si="2"/>
        <v>20</v>
      </c>
      <c r="AI23" s="56">
        <f t="shared" si="3"/>
        <v>18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/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50">
        <v>5</v>
      </c>
      <c r="C25" s="50">
        <v>5</v>
      </c>
      <c r="D25" s="50">
        <v>5</v>
      </c>
      <c r="E25" s="50">
        <v>5</v>
      </c>
      <c r="F25" s="50">
        <v>5</v>
      </c>
      <c r="G25" s="50">
        <v>5</v>
      </c>
      <c r="H25" s="50">
        <v>5</v>
      </c>
      <c r="I25" s="50">
        <v>5</v>
      </c>
      <c r="J25" s="50">
        <v>5</v>
      </c>
      <c r="K25" s="50">
        <v>5</v>
      </c>
      <c r="L25" s="50">
        <v>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5</v>
      </c>
      <c r="Z25" s="50">
        <v>5</v>
      </c>
      <c r="AA25" s="50"/>
      <c r="AB25" s="50">
        <v>7.2</v>
      </c>
      <c r="AC25" s="50">
        <v>7.2</v>
      </c>
      <c r="AD25" s="50">
        <v>10</v>
      </c>
      <c r="AE25" s="50">
        <v>10</v>
      </c>
      <c r="AF25" s="50">
        <v>10</v>
      </c>
      <c r="AG25" s="60">
        <v>20</v>
      </c>
      <c r="AH25" s="55">
        <f>MAX(B25:AF25)</f>
        <v>10</v>
      </c>
      <c r="AI25" s="56">
        <f>MIN(B25:AF25)</f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50">
        <v>8</v>
      </c>
      <c r="C26" s="50">
        <v>8</v>
      </c>
      <c r="D26" s="50">
        <v>8</v>
      </c>
      <c r="E26" s="50">
        <v>8</v>
      </c>
      <c r="F26" s="50">
        <v>8</v>
      </c>
      <c r="G26" s="50">
        <v>8</v>
      </c>
      <c r="H26" s="50">
        <v>8</v>
      </c>
      <c r="I26" s="50">
        <v>8</v>
      </c>
      <c r="J26" s="50">
        <v>8</v>
      </c>
      <c r="K26" s="50">
        <v>8</v>
      </c>
      <c r="L26" s="50">
        <v>8</v>
      </c>
      <c r="M26" s="50">
        <v>8</v>
      </c>
      <c r="N26" s="50">
        <v>8</v>
      </c>
      <c r="O26" s="50">
        <v>8</v>
      </c>
      <c r="P26" s="50">
        <v>8</v>
      </c>
      <c r="Q26" s="50">
        <v>8</v>
      </c>
      <c r="R26" s="50">
        <v>8</v>
      </c>
      <c r="S26" s="50">
        <v>8</v>
      </c>
      <c r="T26" s="50">
        <v>8</v>
      </c>
      <c r="U26" s="50">
        <v>8</v>
      </c>
      <c r="V26" s="50">
        <v>8</v>
      </c>
      <c r="W26" s="50">
        <v>8</v>
      </c>
      <c r="X26" s="50">
        <v>10</v>
      </c>
      <c r="Y26" s="50">
        <v>10</v>
      </c>
      <c r="Z26" s="50">
        <v>10</v>
      </c>
      <c r="AA26" s="49"/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60">
        <v>23.5</v>
      </c>
      <c r="AH26" s="55">
        <f t="shared" si="2"/>
        <v>10</v>
      </c>
      <c r="AI26" s="56">
        <f t="shared" si="3"/>
        <v>8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/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/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0">
        <v>22.1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/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/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/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/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/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70">
        <f>65+83</f>
        <v>148</v>
      </c>
      <c r="C35" s="70">
        <v>148</v>
      </c>
      <c r="D35" s="70">
        <f>64.6+83.3</f>
        <v>147.89999999999998</v>
      </c>
      <c r="E35" s="70">
        <v>147.6</v>
      </c>
      <c r="F35" s="70">
        <v>147.80000000000001</v>
      </c>
      <c r="G35" s="70">
        <f>64.6+83.3</f>
        <v>147.89999999999998</v>
      </c>
      <c r="H35" s="70">
        <f>64.6+83.3</f>
        <v>147.89999999999998</v>
      </c>
      <c r="I35" s="70">
        <f>63.7+81.3</f>
        <v>145</v>
      </c>
      <c r="J35" s="70">
        <f>81.3+63.6</f>
        <v>144.9</v>
      </c>
      <c r="K35" s="70">
        <f>81.3+63.6</f>
        <v>144.9</v>
      </c>
      <c r="L35" s="70">
        <f>81.3+63.6</f>
        <v>144.9</v>
      </c>
      <c r="M35" s="70">
        <f>81.3+63.6</f>
        <v>144.9</v>
      </c>
      <c r="N35" s="70">
        <v>143.9</v>
      </c>
      <c r="O35" s="70">
        <v>144.19999999999999</v>
      </c>
      <c r="P35" s="70">
        <v>144.19999999999999</v>
      </c>
      <c r="Q35" s="70">
        <f>63.2+79.7</f>
        <v>142.9</v>
      </c>
      <c r="R35" s="70">
        <f>63+80.2</f>
        <v>143.19999999999999</v>
      </c>
      <c r="S35" s="70">
        <v>139</v>
      </c>
      <c r="T35" s="70">
        <f>74.9+61.6</f>
        <v>136.5</v>
      </c>
      <c r="U35" s="70">
        <f>80.9+57.5</f>
        <v>138.4</v>
      </c>
      <c r="V35" s="70">
        <f>78.7+58.9</f>
        <v>137.6</v>
      </c>
      <c r="W35" s="70">
        <f>76.1+58.2</f>
        <v>134.30000000000001</v>
      </c>
      <c r="X35" s="70">
        <v>139.69999999999999</v>
      </c>
      <c r="Y35" s="70">
        <f>76.1+64.8</f>
        <v>140.89999999999998</v>
      </c>
      <c r="Z35" s="70">
        <f>77.1+63.9</f>
        <v>141</v>
      </c>
      <c r="AA35" s="70"/>
      <c r="AB35" s="70">
        <v>139.80000000000001</v>
      </c>
      <c r="AC35" s="70">
        <v>146.1</v>
      </c>
      <c r="AD35" s="70">
        <v>148.6</v>
      </c>
      <c r="AE35" s="62">
        <v>149.9</v>
      </c>
      <c r="AF35" s="62">
        <v>148.9</v>
      </c>
      <c r="AG35" s="67">
        <v>240</v>
      </c>
      <c r="AH35" s="55">
        <f t="shared" si="2"/>
        <v>149.9</v>
      </c>
      <c r="AI35" s="56">
        <f t="shared" si="3"/>
        <v>134.30000000000001</v>
      </c>
      <c r="AK35" s="57"/>
      <c r="AM35" s="176">
        <f>(1050-S36)</f>
        <v>282.20000000000005</v>
      </c>
    </row>
    <row r="36" spans="1:88" ht="15.75" thickBot="1" x14ac:dyDescent="0.3">
      <c r="A36" s="71" t="s">
        <v>43</v>
      </c>
      <c r="B36" s="72">
        <f t="shared" ref="B36" si="4">SUM(B11:B34)</f>
        <v>732.9</v>
      </c>
      <c r="C36" s="72">
        <f t="shared" ref="C36:AF36" si="5">SUM(C11:C34)</f>
        <v>729.9</v>
      </c>
      <c r="D36" s="72">
        <f t="shared" si="5"/>
        <v>709.9</v>
      </c>
      <c r="E36" s="72">
        <f t="shared" si="5"/>
        <v>709.9</v>
      </c>
      <c r="F36" s="72">
        <f t="shared" si="5"/>
        <v>704.9</v>
      </c>
      <c r="G36" s="72">
        <f t="shared" si="5"/>
        <v>719.9</v>
      </c>
      <c r="H36" s="72">
        <f t="shared" si="5"/>
        <v>719.9</v>
      </c>
      <c r="I36" s="72">
        <f t="shared" si="5"/>
        <v>704.9</v>
      </c>
      <c r="J36" s="72">
        <f t="shared" si="5"/>
        <v>704.9</v>
      </c>
      <c r="K36" s="72">
        <f t="shared" si="5"/>
        <v>704.9</v>
      </c>
      <c r="L36" s="72">
        <f t="shared" si="5"/>
        <v>729.9</v>
      </c>
      <c r="M36" s="72">
        <f t="shared" si="5"/>
        <v>729.9</v>
      </c>
      <c r="N36" s="72">
        <f t="shared" si="5"/>
        <v>749.7</v>
      </c>
      <c r="O36" s="72">
        <f t="shared" si="5"/>
        <v>767</v>
      </c>
      <c r="P36" s="72">
        <f t="shared" si="5"/>
        <v>767</v>
      </c>
      <c r="Q36" s="72">
        <f t="shared" si="5"/>
        <v>767.8</v>
      </c>
      <c r="R36" s="72">
        <f t="shared" si="5"/>
        <v>767.8</v>
      </c>
      <c r="S36" s="72">
        <f t="shared" si="5"/>
        <v>767.8</v>
      </c>
      <c r="T36" s="72">
        <f t="shared" si="5"/>
        <v>615.9</v>
      </c>
      <c r="U36" s="72">
        <f t="shared" si="5"/>
        <v>620.90000000000009</v>
      </c>
      <c r="V36" s="72">
        <f t="shared" si="5"/>
        <v>725.90000000000009</v>
      </c>
      <c r="W36" s="72">
        <f t="shared" si="5"/>
        <v>796.59999999999991</v>
      </c>
      <c r="X36" s="72">
        <f t="shared" si="5"/>
        <v>879.5</v>
      </c>
      <c r="Y36" s="72">
        <f t="shared" si="5"/>
        <v>897.80000000000007</v>
      </c>
      <c r="Z36" s="72">
        <f t="shared" si="5"/>
        <v>903.6</v>
      </c>
      <c r="AA36" s="72">
        <f t="shared" si="5"/>
        <v>200</v>
      </c>
      <c r="AB36" s="72">
        <f t="shared" si="5"/>
        <v>873.80000000000007</v>
      </c>
      <c r="AC36" s="72">
        <f t="shared" si="5"/>
        <v>901.80000000000007</v>
      </c>
      <c r="AD36" s="72">
        <f t="shared" si="5"/>
        <v>821.4</v>
      </c>
      <c r="AE36" s="72">
        <f t="shared" si="5"/>
        <v>821.4</v>
      </c>
      <c r="AF36" s="72">
        <f t="shared" si="5"/>
        <v>757</v>
      </c>
      <c r="AG36" s="67">
        <f>SUM(AG11:AG35)</f>
        <v>1431.83</v>
      </c>
      <c r="AH36" s="55">
        <f t="shared" si="2"/>
        <v>903.6</v>
      </c>
      <c r="AI36" s="56">
        <f t="shared" si="3"/>
        <v>200</v>
      </c>
      <c r="AJ36" s="1">
        <f t="shared" ref="AJ36:AJ44" si="6">AVERAGE(B36:AF36)</f>
        <v>742.08064516129025</v>
      </c>
      <c r="AK36" s="112">
        <f>(1050-714)</f>
        <v>336</v>
      </c>
      <c r="AL36">
        <f>(AB36+AB50+AB54)</f>
        <v>1418.64</v>
      </c>
    </row>
    <row r="37" spans="1:88" x14ac:dyDescent="0.25">
      <c r="A37" s="58" t="s">
        <v>44</v>
      </c>
      <c r="B37" s="49">
        <v>127.4</v>
      </c>
      <c r="C37" s="62">
        <v>112</v>
      </c>
      <c r="D37" s="62">
        <v>101.5</v>
      </c>
      <c r="E37" s="62">
        <v>101.5</v>
      </c>
      <c r="F37" s="62">
        <v>101.5</v>
      </c>
      <c r="G37" s="62">
        <v>101.5</v>
      </c>
      <c r="H37" s="62">
        <v>101.5</v>
      </c>
      <c r="I37" s="62">
        <v>100.8</v>
      </c>
      <c r="J37" s="62">
        <v>100.8</v>
      </c>
      <c r="K37" s="62">
        <v>101.2</v>
      </c>
      <c r="L37" s="50">
        <v>101.2</v>
      </c>
      <c r="M37" s="50">
        <v>101.2</v>
      </c>
      <c r="N37" s="50">
        <v>111.1</v>
      </c>
      <c r="O37" s="50">
        <v>113.2</v>
      </c>
      <c r="P37" s="50">
        <v>121.3</v>
      </c>
      <c r="Q37" s="50">
        <v>121.1</v>
      </c>
      <c r="R37" s="50">
        <v>121.1</v>
      </c>
      <c r="S37" s="50">
        <v>111</v>
      </c>
      <c r="T37" s="50">
        <v>110.9</v>
      </c>
      <c r="U37" s="50">
        <v>131.80000000000001</v>
      </c>
      <c r="V37" s="50">
        <v>145.4</v>
      </c>
      <c r="W37" s="50">
        <v>145.4</v>
      </c>
      <c r="X37" s="50">
        <v>145.6</v>
      </c>
      <c r="Y37" s="50">
        <v>145.6</v>
      </c>
      <c r="Z37" s="50">
        <v>145.5</v>
      </c>
      <c r="AA37" s="50"/>
      <c r="AB37" s="50">
        <v>145.5</v>
      </c>
      <c r="AC37" s="50">
        <v>145.5</v>
      </c>
      <c r="AD37" s="50">
        <v>145.6</v>
      </c>
      <c r="AE37" s="49">
        <v>145.69999999999999</v>
      </c>
      <c r="AF37" s="49">
        <v>145.4</v>
      </c>
      <c r="AG37" s="63">
        <v>144</v>
      </c>
      <c r="AH37" s="55">
        <f t="shared" si="2"/>
        <v>145.69999999999999</v>
      </c>
      <c r="AI37" s="56">
        <f t="shared" si="3"/>
        <v>100.8</v>
      </c>
      <c r="AJ37" s="1">
        <f t="shared" si="6"/>
        <v>121.62666666666665</v>
      </c>
      <c r="AK37" s="57"/>
      <c r="AL37">
        <f>AL36+AB66</f>
        <v>1188.5400000000002</v>
      </c>
    </row>
    <row r="38" spans="1:88" x14ac:dyDescent="0.25">
      <c r="A38" s="66" t="s">
        <v>45</v>
      </c>
      <c r="B38" s="62">
        <v>49.9</v>
      </c>
      <c r="C38" s="62">
        <v>50.5</v>
      </c>
      <c r="D38" s="62">
        <v>50.5</v>
      </c>
      <c r="E38" s="62">
        <v>50.5</v>
      </c>
      <c r="F38" s="62">
        <v>50.5</v>
      </c>
      <c r="G38" s="62">
        <v>61.8</v>
      </c>
      <c r="H38" s="62">
        <v>61.8</v>
      </c>
      <c r="I38" s="62">
        <v>51.4</v>
      </c>
      <c r="J38" s="62">
        <v>50.7</v>
      </c>
      <c r="K38" s="62">
        <v>51.8</v>
      </c>
      <c r="L38" s="52">
        <v>51.8</v>
      </c>
      <c r="M38" s="52">
        <v>51.8</v>
      </c>
      <c r="N38" s="52">
        <v>66.8</v>
      </c>
      <c r="O38" s="52">
        <v>62.7</v>
      </c>
      <c r="P38" s="52">
        <v>56.8</v>
      </c>
      <c r="Q38" s="52">
        <v>50.4</v>
      </c>
      <c r="R38" s="52">
        <v>50.6</v>
      </c>
      <c r="S38" s="52">
        <v>51</v>
      </c>
      <c r="T38" s="52">
        <v>49</v>
      </c>
      <c r="U38" s="52">
        <v>51.6</v>
      </c>
      <c r="V38" s="52">
        <v>70.599999999999994</v>
      </c>
      <c r="W38" s="52">
        <v>71.400000000000006</v>
      </c>
      <c r="X38" s="52">
        <v>72</v>
      </c>
      <c r="Y38" s="52">
        <v>71.8</v>
      </c>
      <c r="Z38" s="52">
        <v>71.8</v>
      </c>
      <c r="AA38" s="52"/>
      <c r="AB38" s="52">
        <v>71.8</v>
      </c>
      <c r="AC38" s="52">
        <v>71.8</v>
      </c>
      <c r="AD38" s="52">
        <v>66.7</v>
      </c>
      <c r="AE38" s="62">
        <v>68</v>
      </c>
      <c r="AF38" s="62">
        <v>60</v>
      </c>
      <c r="AG38" s="67">
        <v>70</v>
      </c>
      <c r="AH38" s="55">
        <f t="shared" si="2"/>
        <v>72</v>
      </c>
      <c r="AI38" s="56">
        <f t="shared" si="3"/>
        <v>49</v>
      </c>
      <c r="AJ38" s="1">
        <f t="shared" si="6"/>
        <v>58.926666666666655</v>
      </c>
      <c r="AK38" s="57"/>
    </row>
    <row r="39" spans="1:88" x14ac:dyDescent="0.25">
      <c r="A39" s="66" t="s">
        <v>46</v>
      </c>
      <c r="B39" s="62">
        <v>55.1</v>
      </c>
      <c r="C39" s="62">
        <v>49.9</v>
      </c>
      <c r="D39" s="62">
        <v>49.9</v>
      </c>
      <c r="E39" s="62">
        <v>49.9</v>
      </c>
      <c r="F39" s="62">
        <v>49.9</v>
      </c>
      <c r="G39" s="62">
        <v>52.7</v>
      </c>
      <c r="H39" s="62">
        <v>52.7</v>
      </c>
      <c r="I39" s="62">
        <v>53.1</v>
      </c>
      <c r="J39" s="62">
        <v>53</v>
      </c>
      <c r="K39" s="62">
        <v>52.3</v>
      </c>
      <c r="L39" s="52">
        <v>52.3</v>
      </c>
      <c r="M39" s="52">
        <v>52.3</v>
      </c>
      <c r="N39" s="52">
        <v>60.9</v>
      </c>
      <c r="O39" s="52">
        <v>53.7</v>
      </c>
      <c r="P39" s="52">
        <v>53.7</v>
      </c>
      <c r="Q39" s="52">
        <v>53.7</v>
      </c>
      <c r="R39" s="52">
        <v>40.299999999999997</v>
      </c>
      <c r="S39" s="52">
        <v>40</v>
      </c>
      <c r="T39" s="52">
        <v>33.200000000000003</v>
      </c>
      <c r="U39" s="52">
        <v>40.5</v>
      </c>
      <c r="V39" s="52">
        <v>70.2</v>
      </c>
      <c r="W39" s="52">
        <v>70</v>
      </c>
      <c r="X39" s="52">
        <v>69.8</v>
      </c>
      <c r="Y39" s="52">
        <v>70.8</v>
      </c>
      <c r="Z39" s="52">
        <v>70.8</v>
      </c>
      <c r="AA39" s="52"/>
      <c r="AB39" s="52">
        <v>70.8</v>
      </c>
      <c r="AC39" s="52">
        <v>65</v>
      </c>
      <c r="AD39" s="52">
        <v>69</v>
      </c>
      <c r="AE39" s="62">
        <v>69.8</v>
      </c>
      <c r="AF39" s="62">
        <v>62.1</v>
      </c>
      <c r="AG39" s="67">
        <v>69</v>
      </c>
      <c r="AH39" s="55">
        <f t="shared" si="2"/>
        <v>70.8</v>
      </c>
      <c r="AI39" s="56">
        <f t="shared" si="3"/>
        <v>33.200000000000003</v>
      </c>
      <c r="AJ39" s="1">
        <f t="shared" si="6"/>
        <v>56.246666666666655</v>
      </c>
      <c r="AK39" s="57"/>
    </row>
    <row r="40" spans="1:88" x14ac:dyDescent="0.25">
      <c r="A40" s="66" t="s">
        <v>47</v>
      </c>
      <c r="B40" s="62">
        <v>40</v>
      </c>
      <c r="C40" s="62">
        <v>40.299999999999997</v>
      </c>
      <c r="D40" s="62">
        <v>40.299999999999997</v>
      </c>
      <c r="E40" s="62">
        <v>30</v>
      </c>
      <c r="F40" s="62">
        <v>30</v>
      </c>
      <c r="G40" s="62">
        <v>30</v>
      </c>
      <c r="H40" s="62">
        <v>30</v>
      </c>
      <c r="I40" s="62">
        <v>30</v>
      </c>
      <c r="J40" s="62">
        <v>20.9</v>
      </c>
      <c r="K40" s="62">
        <v>25</v>
      </c>
      <c r="L40" s="52">
        <v>25</v>
      </c>
      <c r="M40" s="52">
        <v>25</v>
      </c>
      <c r="N40" s="52">
        <v>40.6</v>
      </c>
      <c r="O40" s="52">
        <v>31</v>
      </c>
      <c r="P40" s="52">
        <v>35.5</v>
      </c>
      <c r="Q40" s="52">
        <v>30.7</v>
      </c>
      <c r="R40" s="52">
        <v>41.5</v>
      </c>
      <c r="S40" s="52">
        <v>50</v>
      </c>
      <c r="T40" s="52">
        <v>40.5</v>
      </c>
      <c r="U40" s="52">
        <v>40.799999999999997</v>
      </c>
      <c r="V40" s="52">
        <v>60.4</v>
      </c>
      <c r="W40" s="52">
        <v>60.7</v>
      </c>
      <c r="X40" s="52">
        <v>60.9</v>
      </c>
      <c r="Y40" s="52">
        <v>60.9</v>
      </c>
      <c r="Z40" s="52">
        <v>60.9</v>
      </c>
      <c r="AA40" s="52"/>
      <c r="AB40" s="52">
        <v>60.9</v>
      </c>
      <c r="AC40" s="52">
        <v>60.9</v>
      </c>
      <c r="AD40" s="52">
        <v>58.7</v>
      </c>
      <c r="AE40" s="62">
        <v>60.2</v>
      </c>
      <c r="AF40" s="62">
        <v>60.2</v>
      </c>
      <c r="AG40" s="67">
        <v>60</v>
      </c>
      <c r="AH40" s="55">
        <f t="shared" si="2"/>
        <v>60.9</v>
      </c>
      <c r="AI40" s="56">
        <f t="shared" si="3"/>
        <v>20.9</v>
      </c>
      <c r="AJ40" s="1">
        <f t="shared" si="6"/>
        <v>42.726666666666674</v>
      </c>
      <c r="AK40" s="57"/>
    </row>
    <row r="41" spans="1:88" x14ac:dyDescent="0.25">
      <c r="A41" s="66" t="s">
        <v>48</v>
      </c>
      <c r="B41" s="62">
        <v>29.6</v>
      </c>
      <c r="C41" s="62">
        <v>29.6</v>
      </c>
      <c r="D41" s="62">
        <v>29.6</v>
      </c>
      <c r="E41" s="62">
        <v>25</v>
      </c>
      <c r="F41" s="62">
        <v>23</v>
      </c>
      <c r="G41" s="62">
        <v>23.3</v>
      </c>
      <c r="H41" s="62">
        <v>23.3</v>
      </c>
      <c r="I41" s="62">
        <v>23.3</v>
      </c>
      <c r="J41" s="62">
        <v>23.3</v>
      </c>
      <c r="K41" s="62">
        <v>23.3</v>
      </c>
      <c r="L41" s="50">
        <v>23.3</v>
      </c>
      <c r="M41" s="50">
        <v>23.3</v>
      </c>
      <c r="N41" s="50">
        <v>23.8</v>
      </c>
      <c r="O41" s="50">
        <v>24</v>
      </c>
      <c r="P41" s="50">
        <v>24.1</v>
      </c>
      <c r="Q41" s="50">
        <v>23.5</v>
      </c>
      <c r="R41" s="50">
        <v>24.1</v>
      </c>
      <c r="S41" s="50">
        <v>24</v>
      </c>
      <c r="T41" s="50">
        <v>24</v>
      </c>
      <c r="U41" s="50">
        <v>24</v>
      </c>
      <c r="V41" s="50">
        <v>23.3</v>
      </c>
      <c r="W41" s="50">
        <v>29.6</v>
      </c>
      <c r="X41" s="50">
        <v>29.8</v>
      </c>
      <c r="Y41" s="50">
        <v>29.8</v>
      </c>
      <c r="Z41" s="50">
        <v>29.8</v>
      </c>
      <c r="AA41" s="52"/>
      <c r="AB41" s="50">
        <v>29.8</v>
      </c>
      <c r="AC41" s="50">
        <v>29.8</v>
      </c>
      <c r="AD41" s="52">
        <v>29.7</v>
      </c>
      <c r="AE41" s="62">
        <v>29.7</v>
      </c>
      <c r="AF41" s="62">
        <v>29.8</v>
      </c>
      <c r="AG41" s="67">
        <v>30</v>
      </c>
      <c r="AH41" s="55">
        <f t="shared" si="2"/>
        <v>29.8</v>
      </c>
      <c r="AI41" s="56">
        <f t="shared" si="3"/>
        <v>23</v>
      </c>
      <c r="AJ41" s="1">
        <f t="shared" si="6"/>
        <v>26.083333333333332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/>
      <c r="AB42" s="50">
        <v>0</v>
      </c>
      <c r="AC42" s="50">
        <v>0</v>
      </c>
      <c r="AD42" s="50">
        <v>0</v>
      </c>
      <c r="AE42" s="50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J42" s="1">
        <f t="shared" si="6"/>
        <v>0</v>
      </c>
      <c r="AK42" s="57"/>
    </row>
    <row r="43" spans="1:88" x14ac:dyDescent="0.25">
      <c r="A43" s="66" t="s">
        <v>50</v>
      </c>
      <c r="B43" s="62">
        <v>16.8</v>
      </c>
      <c r="C43" s="73">
        <v>16.100000000000001</v>
      </c>
      <c r="D43" s="73">
        <v>16.100000000000001</v>
      </c>
      <c r="E43" s="73">
        <v>16.100000000000001</v>
      </c>
      <c r="F43" s="73">
        <v>14</v>
      </c>
      <c r="G43" s="73">
        <v>14</v>
      </c>
      <c r="H43" s="73">
        <v>16.100000000000001</v>
      </c>
      <c r="I43" s="73">
        <v>16.100000000000001</v>
      </c>
      <c r="J43" s="73">
        <v>14</v>
      </c>
      <c r="K43" s="73">
        <v>14</v>
      </c>
      <c r="L43" s="50">
        <v>14</v>
      </c>
      <c r="M43" s="50">
        <v>14</v>
      </c>
      <c r="N43" s="50">
        <v>14</v>
      </c>
      <c r="O43" s="50">
        <v>14</v>
      </c>
      <c r="P43" s="50">
        <v>14</v>
      </c>
      <c r="Q43" s="50">
        <v>15</v>
      </c>
      <c r="R43" s="50">
        <v>14</v>
      </c>
      <c r="S43" s="50">
        <v>17</v>
      </c>
      <c r="T43" s="50">
        <v>17.899999999999999</v>
      </c>
      <c r="U43" s="50">
        <v>17.899999999999999</v>
      </c>
      <c r="V43" s="50">
        <v>17.899999999999999</v>
      </c>
      <c r="W43" s="50">
        <v>17.899999999999999</v>
      </c>
      <c r="X43" s="50">
        <v>17.899999999999999</v>
      </c>
      <c r="Y43" s="50">
        <v>17.899999999999999</v>
      </c>
      <c r="Z43" s="50">
        <v>17.899999999999999</v>
      </c>
      <c r="AA43" s="50"/>
      <c r="AB43" s="50">
        <v>17.899999999999999</v>
      </c>
      <c r="AC43" s="50">
        <v>17.899999999999999</v>
      </c>
      <c r="AD43" s="50">
        <v>17.899999999999999</v>
      </c>
      <c r="AE43" s="50">
        <v>17.899999999999999</v>
      </c>
      <c r="AF43" s="50">
        <v>17.899999999999999</v>
      </c>
      <c r="AG43" s="67">
        <v>24</v>
      </c>
      <c r="AH43" s="55">
        <f t="shared" si="2"/>
        <v>17.899999999999999</v>
      </c>
      <c r="AI43" s="56">
        <f t="shared" si="3"/>
        <v>14</v>
      </c>
      <c r="AJ43" s="1">
        <f t="shared" si="6"/>
        <v>16.13666666666666</v>
      </c>
      <c r="AK43" s="57"/>
    </row>
    <row r="44" spans="1:88" x14ac:dyDescent="0.25">
      <c r="A44" s="66" t="s">
        <v>51</v>
      </c>
      <c r="B44" s="62">
        <v>3.2</v>
      </c>
      <c r="C44" s="62">
        <v>3.2</v>
      </c>
      <c r="D44" s="62">
        <v>3.2</v>
      </c>
      <c r="E44" s="62">
        <v>3.2</v>
      </c>
      <c r="F44" s="62">
        <v>3.2</v>
      </c>
      <c r="G44" s="62">
        <v>3.2</v>
      </c>
      <c r="H44" s="62">
        <v>3.2</v>
      </c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3.2</v>
      </c>
      <c r="Q44" s="50">
        <v>3.2</v>
      </c>
      <c r="R44" s="50">
        <v>3.2</v>
      </c>
      <c r="S44" s="50">
        <v>3.2</v>
      </c>
      <c r="T44" s="50">
        <v>3.2</v>
      </c>
      <c r="U44" s="50">
        <v>3.2</v>
      </c>
      <c r="V44" s="50">
        <v>3.2</v>
      </c>
      <c r="W44" s="50">
        <v>3.2</v>
      </c>
      <c r="X44" s="50">
        <v>3.2</v>
      </c>
      <c r="Y44" s="50">
        <v>3.2</v>
      </c>
      <c r="Z44" s="50">
        <v>3.2</v>
      </c>
      <c r="AA44" s="50"/>
      <c r="AB44" s="50">
        <v>3.2</v>
      </c>
      <c r="AC44" s="50">
        <v>3.2</v>
      </c>
      <c r="AD44" s="50">
        <v>3.2</v>
      </c>
      <c r="AE44" s="50">
        <v>3.2</v>
      </c>
      <c r="AF44" s="50">
        <v>3.2</v>
      </c>
      <c r="AG44" s="67">
        <v>15</v>
      </c>
      <c r="AH44" s="55">
        <f t="shared" si="2"/>
        <v>3.2</v>
      </c>
      <c r="AI44" s="56">
        <f t="shared" si="3"/>
        <v>3.2</v>
      </c>
      <c r="AJ44" s="1">
        <f t="shared" si="6"/>
        <v>3.2000000000000015</v>
      </c>
      <c r="AK44" s="57"/>
      <c r="AL44" s="74"/>
      <c r="AO44" s="74"/>
    </row>
    <row r="45" spans="1:88" s="74" customFormat="1" x14ac:dyDescent="0.25">
      <c r="A45" s="66" t="s">
        <v>52</v>
      </c>
      <c r="B45" s="62">
        <v>13</v>
      </c>
      <c r="C45" s="62">
        <v>13</v>
      </c>
      <c r="D45" s="62">
        <v>13</v>
      </c>
      <c r="E45" s="62">
        <v>13</v>
      </c>
      <c r="F45" s="62">
        <v>13</v>
      </c>
      <c r="G45" s="62">
        <v>13</v>
      </c>
      <c r="H45" s="62">
        <v>13</v>
      </c>
      <c r="I45" s="62">
        <v>13</v>
      </c>
      <c r="J45" s="62">
        <v>13</v>
      </c>
      <c r="K45" s="62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/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14.1</v>
      </c>
      <c r="AH45" s="55">
        <f t="shared" si="2"/>
        <v>13</v>
      </c>
      <c r="AI45" s="56">
        <f t="shared" si="3"/>
        <v>13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62">
        <v>14</v>
      </c>
      <c r="C46" s="73">
        <v>14</v>
      </c>
      <c r="D46" s="73">
        <v>14</v>
      </c>
      <c r="E46" s="73">
        <v>14</v>
      </c>
      <c r="F46" s="73">
        <v>14</v>
      </c>
      <c r="G46" s="73">
        <v>14</v>
      </c>
      <c r="H46" s="73">
        <v>14</v>
      </c>
      <c r="I46" s="73">
        <v>14</v>
      </c>
      <c r="J46" s="73">
        <v>14</v>
      </c>
      <c r="K46" s="73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/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7">
        <v>14</v>
      </c>
      <c r="AH46" s="55">
        <f t="shared" si="2"/>
        <v>14</v>
      </c>
      <c r="AI46" s="56">
        <f t="shared" si="3"/>
        <v>14</v>
      </c>
      <c r="AK46" s="57"/>
    </row>
    <row r="47" spans="1:88" x14ac:dyDescent="0.25">
      <c r="A47" s="66" t="s">
        <v>54</v>
      </c>
      <c r="B47" s="62">
        <v>9.6</v>
      </c>
      <c r="C47" s="62">
        <v>9.6</v>
      </c>
      <c r="D47" s="62">
        <v>9.6</v>
      </c>
      <c r="E47" s="62">
        <v>9.6</v>
      </c>
      <c r="F47" s="62">
        <v>9.6</v>
      </c>
      <c r="G47" s="62">
        <v>9.6</v>
      </c>
      <c r="H47" s="62">
        <v>9.6</v>
      </c>
      <c r="I47" s="62">
        <v>9.6</v>
      </c>
      <c r="J47" s="62">
        <v>9.6</v>
      </c>
      <c r="K47" s="62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9.6999999999999993</v>
      </c>
      <c r="U47" s="50">
        <v>9.6999999999999993</v>
      </c>
      <c r="V47" s="50">
        <v>9.6999999999999993</v>
      </c>
      <c r="W47" s="50">
        <v>9.6999999999999993</v>
      </c>
      <c r="X47" s="50">
        <v>9.6999999999999993</v>
      </c>
      <c r="Y47" s="50">
        <v>9.6999999999999993</v>
      </c>
      <c r="Z47" s="50">
        <v>9.6999999999999993</v>
      </c>
      <c r="AA47" s="50"/>
      <c r="AB47" s="50">
        <v>9.6999999999999993</v>
      </c>
      <c r="AC47" s="50">
        <v>9.6999999999999993</v>
      </c>
      <c r="AD47" s="50">
        <v>9.6999999999999993</v>
      </c>
      <c r="AE47" s="50">
        <v>9.6999999999999993</v>
      </c>
      <c r="AF47" s="50">
        <v>9.6999999999999993</v>
      </c>
      <c r="AG47" s="67">
        <v>10.050000000000001</v>
      </c>
      <c r="AH47" s="55">
        <f t="shared" si="2"/>
        <v>9.6999999999999993</v>
      </c>
      <c r="AI47" s="56">
        <f t="shared" si="3"/>
        <v>9.6</v>
      </c>
      <c r="AK47" s="57"/>
    </row>
    <row r="48" spans="1:88" x14ac:dyDescent="0.25">
      <c r="A48" s="66" t="s">
        <v>55</v>
      </c>
      <c r="B48" s="62">
        <v>6</v>
      </c>
      <c r="C48" s="62">
        <v>6</v>
      </c>
      <c r="D48" s="62">
        <v>6</v>
      </c>
      <c r="E48" s="62">
        <v>6</v>
      </c>
      <c r="F48" s="62">
        <v>6</v>
      </c>
      <c r="G48" s="62">
        <v>6</v>
      </c>
      <c r="H48" s="62">
        <v>6</v>
      </c>
      <c r="I48" s="62">
        <v>6</v>
      </c>
      <c r="J48" s="62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/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9" ht="15.75" thickBot="1" x14ac:dyDescent="0.3">
      <c r="A49" s="68" t="s">
        <v>56</v>
      </c>
      <c r="B49" s="76">
        <f t="shared" ref="B49" si="7"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8">T197</f>
        <v>3.54</v>
      </c>
      <c r="U49" s="76">
        <f t="shared" si="8"/>
        <v>3.54</v>
      </c>
      <c r="V49" s="76">
        <f t="shared" si="8"/>
        <v>3.54</v>
      </c>
      <c r="W49" s="76">
        <f t="shared" si="8"/>
        <v>3.54</v>
      </c>
      <c r="X49" s="76">
        <v>3.5</v>
      </c>
      <c r="Y49" s="76">
        <v>3.54</v>
      </c>
      <c r="Z49" s="76">
        <f t="shared" si="8"/>
        <v>3.54</v>
      </c>
      <c r="AA49" s="76">
        <f t="shared" si="8"/>
        <v>3.54</v>
      </c>
      <c r="AB49" s="76">
        <f t="shared" si="8"/>
        <v>3.54</v>
      </c>
      <c r="AC49" s="76">
        <f t="shared" si="8"/>
        <v>3.54</v>
      </c>
      <c r="AD49" s="76">
        <f t="shared" si="8"/>
        <v>3.54</v>
      </c>
      <c r="AE49" s="76">
        <f t="shared" si="8"/>
        <v>3.54</v>
      </c>
      <c r="AF49" s="76">
        <f t="shared" si="8"/>
        <v>3.54</v>
      </c>
      <c r="AG49" s="76">
        <f t="shared" si="8"/>
        <v>8.56</v>
      </c>
      <c r="AH49" s="55">
        <f t="shared" si="2"/>
        <v>3.54</v>
      </c>
      <c r="AI49" s="56">
        <f t="shared" si="3"/>
        <v>3.5</v>
      </c>
      <c r="AK49" s="57"/>
    </row>
    <row r="50" spans="1:39" ht="15.75" thickBot="1" x14ac:dyDescent="0.3">
      <c r="A50" s="71" t="s">
        <v>57</v>
      </c>
      <c r="B50" s="72">
        <f t="shared" ref="B50" si="9">SUM(B37:B49)</f>
        <v>368.14000000000004</v>
      </c>
      <c r="C50" s="72">
        <f t="shared" ref="C50:AF50" si="10">SUM(C37:C49)</f>
        <v>347.74000000000007</v>
      </c>
      <c r="D50" s="72">
        <f t="shared" si="10"/>
        <v>337.24000000000007</v>
      </c>
      <c r="E50" s="72">
        <f t="shared" si="10"/>
        <v>322.34000000000003</v>
      </c>
      <c r="F50" s="72">
        <f t="shared" si="10"/>
        <v>318.24</v>
      </c>
      <c r="G50" s="72">
        <f t="shared" si="10"/>
        <v>332.64000000000004</v>
      </c>
      <c r="H50" s="72">
        <f t="shared" si="10"/>
        <v>334.74000000000007</v>
      </c>
      <c r="I50" s="72">
        <f t="shared" si="10"/>
        <v>324.04000000000002</v>
      </c>
      <c r="J50" s="72">
        <f t="shared" si="10"/>
        <v>312.04000000000008</v>
      </c>
      <c r="K50" s="72">
        <f t="shared" si="10"/>
        <v>316.94000000000005</v>
      </c>
      <c r="L50" s="72">
        <f t="shared" si="10"/>
        <v>316.94000000000005</v>
      </c>
      <c r="M50" s="72">
        <f t="shared" si="10"/>
        <v>316.94000000000005</v>
      </c>
      <c r="N50" s="72">
        <f t="shared" si="10"/>
        <v>366.54</v>
      </c>
      <c r="O50" s="72">
        <f t="shared" si="10"/>
        <v>347.94000000000005</v>
      </c>
      <c r="P50" s="72">
        <f t="shared" si="10"/>
        <v>354.74000000000007</v>
      </c>
      <c r="Q50" s="72">
        <f t="shared" si="10"/>
        <v>343.74</v>
      </c>
      <c r="R50" s="72">
        <f t="shared" si="10"/>
        <v>340.94000000000005</v>
      </c>
      <c r="S50" s="72">
        <f t="shared" si="10"/>
        <v>342.34000000000003</v>
      </c>
      <c r="T50" s="72">
        <f t="shared" si="10"/>
        <v>324.94</v>
      </c>
      <c r="U50" s="72">
        <f t="shared" si="10"/>
        <v>356.03999999999996</v>
      </c>
      <c r="V50" s="72">
        <f t="shared" si="10"/>
        <v>437.23999999999995</v>
      </c>
      <c r="W50" s="72">
        <f t="shared" si="10"/>
        <v>444.44</v>
      </c>
      <c r="X50" s="72">
        <f t="shared" si="10"/>
        <v>445.39999999999992</v>
      </c>
      <c r="Y50" s="72">
        <f t="shared" si="10"/>
        <v>446.23999999999995</v>
      </c>
      <c r="Z50" s="72">
        <f t="shared" si="10"/>
        <v>446.14</v>
      </c>
      <c r="AA50" s="72">
        <f t="shared" si="10"/>
        <v>3.54</v>
      </c>
      <c r="AB50" s="72">
        <f t="shared" si="10"/>
        <v>446.14</v>
      </c>
      <c r="AC50" s="72">
        <f t="shared" si="10"/>
        <v>440.34</v>
      </c>
      <c r="AD50" s="72">
        <f t="shared" si="10"/>
        <v>437.03999999999996</v>
      </c>
      <c r="AE50" s="72">
        <f t="shared" si="10"/>
        <v>440.73999999999995</v>
      </c>
      <c r="AF50" s="72">
        <f t="shared" si="10"/>
        <v>424.84</v>
      </c>
      <c r="AG50" s="77">
        <f>SUM(AG37:AG49)</f>
        <v>489.91</v>
      </c>
      <c r="AH50" s="55">
        <f t="shared" si="2"/>
        <v>446.23999999999995</v>
      </c>
      <c r="AI50" s="56">
        <f t="shared" si="3"/>
        <v>3.54</v>
      </c>
      <c r="AJ50" s="1">
        <f>AVERAGE(B50:AF50)</f>
        <v>359.26774193548391</v>
      </c>
      <c r="AK50" s="112">
        <f>(440-L50)</f>
        <v>123.05999999999995</v>
      </c>
      <c r="AM50" s="176">
        <f>(440-S50)</f>
        <v>97.659999999999968</v>
      </c>
    </row>
    <row r="51" spans="1:39" x14ac:dyDescent="0.25">
      <c r="A51" s="58" t="s">
        <v>58</v>
      </c>
      <c r="B51" s="50">
        <v>0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59.4</v>
      </c>
      <c r="Y51" s="50">
        <v>59.4</v>
      </c>
      <c r="Z51" s="50">
        <v>59.4</v>
      </c>
      <c r="AA51" s="50"/>
      <c r="AB51" s="50">
        <v>59.4</v>
      </c>
      <c r="AC51" s="50">
        <v>59.4</v>
      </c>
      <c r="AD51" s="50">
        <v>59.4</v>
      </c>
      <c r="AE51" s="50">
        <v>59.4</v>
      </c>
      <c r="AF51" s="50">
        <v>59.4</v>
      </c>
      <c r="AG51" s="63">
        <v>60</v>
      </c>
      <c r="AH51" s="55">
        <f t="shared" si="2"/>
        <v>59.4</v>
      </c>
      <c r="AI51" s="56">
        <f t="shared" si="3"/>
        <v>0</v>
      </c>
      <c r="AK51" s="57"/>
    </row>
    <row r="52" spans="1:39" x14ac:dyDescent="0.25">
      <c r="A52" s="66" t="s">
        <v>59</v>
      </c>
      <c r="B52" s="5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52">
        <v>0</v>
      </c>
      <c r="R52" s="50">
        <v>0</v>
      </c>
      <c r="S52" s="50">
        <v>0</v>
      </c>
      <c r="T52" s="50">
        <v>0</v>
      </c>
      <c r="U52" s="52">
        <v>0</v>
      </c>
      <c r="V52" s="52">
        <v>0</v>
      </c>
      <c r="W52" s="52">
        <v>0</v>
      </c>
      <c r="X52" s="52">
        <v>28.9</v>
      </c>
      <c r="Y52" s="52">
        <v>28.8</v>
      </c>
      <c r="Z52" s="52">
        <v>28.8</v>
      </c>
      <c r="AA52" s="52"/>
      <c r="AB52" s="52">
        <v>28.8</v>
      </c>
      <c r="AC52" s="52">
        <v>28.8</v>
      </c>
      <c r="AD52" s="52">
        <v>28.8</v>
      </c>
      <c r="AE52" s="52">
        <v>28.8</v>
      </c>
      <c r="AF52" s="52">
        <v>28.8</v>
      </c>
      <c r="AG52" s="67">
        <v>32</v>
      </c>
      <c r="AH52" s="55">
        <f t="shared" si="2"/>
        <v>28.9</v>
      </c>
      <c r="AI52" s="56">
        <f t="shared" si="3"/>
        <v>0</v>
      </c>
      <c r="AK52" s="57"/>
    </row>
    <row r="53" spans="1:39" ht="15.75" thickBot="1" x14ac:dyDescent="0.3">
      <c r="A53" s="75" t="s">
        <v>60</v>
      </c>
      <c r="B53" s="78">
        <v>0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8">
        <v>0</v>
      </c>
      <c r="R53" s="50">
        <v>0</v>
      </c>
      <c r="S53" s="50">
        <v>0</v>
      </c>
      <c r="T53" s="50">
        <v>0</v>
      </c>
      <c r="U53" s="78">
        <v>0</v>
      </c>
      <c r="V53" s="78">
        <v>0</v>
      </c>
      <c r="W53" s="78">
        <v>0</v>
      </c>
      <c r="X53" s="78">
        <v>10.3</v>
      </c>
      <c r="Y53" s="78">
        <v>10.5</v>
      </c>
      <c r="Z53" s="78">
        <v>10.5</v>
      </c>
      <c r="AA53" s="78"/>
      <c r="AB53" s="78">
        <v>10.5</v>
      </c>
      <c r="AC53" s="78">
        <v>10.5</v>
      </c>
      <c r="AD53" s="78">
        <v>10.5</v>
      </c>
      <c r="AE53" s="78">
        <v>10.5</v>
      </c>
      <c r="AF53" s="78">
        <v>10.5</v>
      </c>
      <c r="AG53" s="79">
        <v>14</v>
      </c>
      <c r="AH53" s="55">
        <f t="shared" si="2"/>
        <v>10.5</v>
      </c>
      <c r="AI53" s="56">
        <f t="shared" si="3"/>
        <v>0</v>
      </c>
      <c r="AK53" s="57"/>
    </row>
    <row r="54" spans="1:39" ht="15.75" thickBot="1" x14ac:dyDescent="0.3">
      <c r="A54" s="71" t="s">
        <v>61</v>
      </c>
      <c r="B54" s="72">
        <f t="shared" ref="B54" si="11">SUM(B51:B53)</f>
        <v>0</v>
      </c>
      <c r="C54" s="72">
        <f t="shared" ref="C54:AF54" si="12">SUM(C51:C53)</f>
        <v>0</v>
      </c>
      <c r="D54" s="72">
        <f t="shared" si="12"/>
        <v>0</v>
      </c>
      <c r="E54" s="72">
        <f t="shared" si="12"/>
        <v>0</v>
      </c>
      <c r="F54" s="72">
        <f t="shared" si="12"/>
        <v>0</v>
      </c>
      <c r="G54" s="72">
        <f t="shared" si="12"/>
        <v>0</v>
      </c>
      <c r="H54" s="72">
        <f t="shared" si="12"/>
        <v>0</v>
      </c>
      <c r="I54" s="72">
        <f t="shared" si="12"/>
        <v>0</v>
      </c>
      <c r="J54" s="72">
        <f t="shared" si="12"/>
        <v>0</v>
      </c>
      <c r="K54" s="72">
        <f t="shared" si="12"/>
        <v>0</v>
      </c>
      <c r="L54" s="72">
        <f t="shared" si="12"/>
        <v>0</v>
      </c>
      <c r="M54" s="72">
        <f t="shared" si="12"/>
        <v>0</v>
      </c>
      <c r="N54" s="72">
        <f t="shared" si="12"/>
        <v>0</v>
      </c>
      <c r="O54" s="72">
        <f t="shared" si="12"/>
        <v>0</v>
      </c>
      <c r="P54" s="72">
        <f t="shared" si="12"/>
        <v>0</v>
      </c>
      <c r="Q54" s="72">
        <f t="shared" si="12"/>
        <v>0</v>
      </c>
      <c r="R54" s="72">
        <f t="shared" si="12"/>
        <v>0</v>
      </c>
      <c r="S54" s="72">
        <f t="shared" si="12"/>
        <v>0</v>
      </c>
      <c r="T54" s="72">
        <f t="shared" si="12"/>
        <v>0</v>
      </c>
      <c r="U54" s="72">
        <f t="shared" si="12"/>
        <v>0</v>
      </c>
      <c r="V54" s="72">
        <f t="shared" si="12"/>
        <v>0</v>
      </c>
      <c r="W54" s="72">
        <f t="shared" si="12"/>
        <v>0</v>
      </c>
      <c r="X54" s="72">
        <f t="shared" si="12"/>
        <v>98.6</v>
      </c>
      <c r="Y54" s="72">
        <f t="shared" si="12"/>
        <v>98.7</v>
      </c>
      <c r="Z54" s="72">
        <f t="shared" si="12"/>
        <v>98.7</v>
      </c>
      <c r="AA54" s="72">
        <f t="shared" si="12"/>
        <v>0</v>
      </c>
      <c r="AB54" s="72">
        <f t="shared" si="12"/>
        <v>98.7</v>
      </c>
      <c r="AC54" s="72">
        <f t="shared" si="12"/>
        <v>98.7</v>
      </c>
      <c r="AD54" s="72">
        <f t="shared" si="12"/>
        <v>98.7</v>
      </c>
      <c r="AE54" s="72">
        <f t="shared" si="12"/>
        <v>98.7</v>
      </c>
      <c r="AF54" s="72">
        <f t="shared" si="12"/>
        <v>98.7</v>
      </c>
      <c r="AG54" s="77">
        <f>SUM(AG51:AG53)</f>
        <v>106</v>
      </c>
      <c r="AH54" s="55">
        <f t="shared" si="2"/>
        <v>98.7</v>
      </c>
      <c r="AI54" s="56">
        <f t="shared" si="3"/>
        <v>0</v>
      </c>
      <c r="AK54" s="57"/>
    </row>
    <row r="55" spans="1:39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61.2</v>
      </c>
      <c r="Y55" s="50">
        <v>66</v>
      </c>
      <c r="Z55" s="50">
        <v>41.2</v>
      </c>
      <c r="AA55" s="50"/>
      <c r="AB55" s="50">
        <v>56.5</v>
      </c>
      <c r="AC55" s="50">
        <v>27.3</v>
      </c>
      <c r="AD55" s="50">
        <v>0</v>
      </c>
      <c r="AE55" s="50">
        <v>0</v>
      </c>
      <c r="AF55" s="50">
        <v>0</v>
      </c>
      <c r="AG55" s="63"/>
      <c r="AH55" s="55">
        <f t="shared" si="2"/>
        <v>66</v>
      </c>
      <c r="AI55" s="56">
        <f t="shared" si="3"/>
        <v>0</v>
      </c>
      <c r="AK55" s="57"/>
    </row>
    <row r="56" spans="1:39" x14ac:dyDescent="0.25">
      <c r="A56" s="66" t="s">
        <v>63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-59.1</v>
      </c>
      <c r="W56" s="80">
        <v>-90.9</v>
      </c>
      <c r="X56" s="80">
        <v>-111</v>
      </c>
      <c r="Y56" s="80">
        <v>-113</v>
      </c>
      <c r="Z56" s="80">
        <v>-111</v>
      </c>
      <c r="AA56" s="52"/>
      <c r="AB56" s="52">
        <v>-65.099999999999994</v>
      </c>
      <c r="AC56" s="52">
        <v>-56.8</v>
      </c>
      <c r="AD56" s="52">
        <v>-62.5</v>
      </c>
      <c r="AE56" s="52">
        <v>-76.099999999999994</v>
      </c>
      <c r="AF56" s="52">
        <v>-82.7</v>
      </c>
      <c r="AG56" s="67"/>
      <c r="AH56" s="55">
        <f t="shared" si="2"/>
        <v>0</v>
      </c>
      <c r="AI56" s="56">
        <f t="shared" si="3"/>
        <v>-113</v>
      </c>
      <c r="AJ56" s="1">
        <f t="shared" ref="AJ56:AJ64" si="13">AVERAGE(B56:AF56)*24</f>
        <v>-662.56000000000006</v>
      </c>
      <c r="AK56" s="57"/>
    </row>
    <row r="57" spans="1:39" x14ac:dyDescent="0.25">
      <c r="A57" s="66" t="s">
        <v>64</v>
      </c>
      <c r="B57" s="52">
        <v>-125</v>
      </c>
      <c r="C57" s="52">
        <v>-138</v>
      </c>
      <c r="D57" s="52">
        <v>-143</v>
      </c>
      <c r="E57" s="52">
        <v>-138</v>
      </c>
      <c r="F57" s="52">
        <v>-158</v>
      </c>
      <c r="G57" s="52">
        <v>-201</v>
      </c>
      <c r="H57" s="52">
        <v>-209</v>
      </c>
      <c r="I57" s="52">
        <v>-177.9</v>
      </c>
      <c r="J57" s="52">
        <v>-177.9</v>
      </c>
      <c r="K57" s="52">
        <v>-169</v>
      </c>
      <c r="L57" s="52">
        <v>-153</v>
      </c>
      <c r="M57" s="52">
        <v>-119</v>
      </c>
      <c r="N57" s="52">
        <v>-169.2</v>
      </c>
      <c r="O57" s="52">
        <v>-205.9</v>
      </c>
      <c r="P57" s="52">
        <v>-180.6</v>
      </c>
      <c r="Q57" s="52">
        <v>-184.3</v>
      </c>
      <c r="R57" s="52">
        <v>-172.4</v>
      </c>
      <c r="S57" s="52">
        <v>-184</v>
      </c>
      <c r="T57" s="52">
        <v>-59</v>
      </c>
      <c r="U57" s="52">
        <v>-67.2</v>
      </c>
      <c r="V57" s="52">
        <v>-78.3</v>
      </c>
      <c r="W57" s="81">
        <v>-12</v>
      </c>
      <c r="X57" s="81">
        <v>-34.799999999999997</v>
      </c>
      <c r="Y57" s="81">
        <v>-45.4</v>
      </c>
      <c r="Z57" s="81">
        <v>-37.6</v>
      </c>
      <c r="AA57" s="52"/>
      <c r="AB57" s="52">
        <v>-96.5</v>
      </c>
      <c r="AC57" s="52">
        <v>-155.1</v>
      </c>
      <c r="AD57" s="52">
        <v>-63.9</v>
      </c>
      <c r="AE57" s="52">
        <v>-114.4</v>
      </c>
      <c r="AF57" s="52">
        <v>-40.6</v>
      </c>
      <c r="AG57" s="82"/>
      <c r="AH57" s="55">
        <f t="shared" si="2"/>
        <v>-12</v>
      </c>
      <c r="AI57" s="56">
        <f t="shared" si="3"/>
        <v>-209</v>
      </c>
      <c r="AJ57" s="1">
        <f t="shared" si="13"/>
        <v>-3048.0000000000005</v>
      </c>
      <c r="AK57" s="57"/>
    </row>
    <row r="58" spans="1:39" x14ac:dyDescent="0.25">
      <c r="A58" s="66" t="s">
        <v>65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2">
        <v>0</v>
      </c>
      <c r="R58" s="52">
        <v>0</v>
      </c>
      <c r="S58" s="52">
        <v>0</v>
      </c>
      <c r="T58" s="52">
        <v>0</v>
      </c>
      <c r="U58" s="52">
        <v>-20</v>
      </c>
      <c r="V58" s="52">
        <v>-40</v>
      </c>
      <c r="W58" s="52">
        <v>-50</v>
      </c>
      <c r="X58" s="52">
        <v>-55</v>
      </c>
      <c r="Y58" s="52">
        <v>-60</v>
      </c>
      <c r="Z58" s="52">
        <v>-52</v>
      </c>
      <c r="AA58" s="52"/>
      <c r="AB58" s="52">
        <v>-68</v>
      </c>
      <c r="AC58" s="52">
        <v>-60</v>
      </c>
      <c r="AD58" s="52">
        <v>-65</v>
      </c>
      <c r="AE58" s="59">
        <v>-58</v>
      </c>
      <c r="AF58" s="59">
        <v>-64</v>
      </c>
      <c r="AG58" s="82"/>
      <c r="AH58" s="55">
        <f t="shared" si="2"/>
        <v>0</v>
      </c>
      <c r="AI58" s="56">
        <f t="shared" si="3"/>
        <v>-68</v>
      </c>
      <c r="AJ58" s="1">
        <f t="shared" si="13"/>
        <v>-473.6</v>
      </c>
      <c r="AK58" s="57"/>
    </row>
    <row r="59" spans="1:39" x14ac:dyDescent="0.25">
      <c r="A59" s="66" t="s">
        <v>66</v>
      </c>
      <c r="B59" s="50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-44.4</v>
      </c>
      <c r="W59" s="50">
        <v>-47.5</v>
      </c>
      <c r="X59" s="50">
        <v>-49.2</v>
      </c>
      <c r="Y59" s="50">
        <v>-56</v>
      </c>
      <c r="Z59" s="50">
        <v>-53</v>
      </c>
      <c r="AA59" s="50"/>
      <c r="AB59" s="50">
        <v>-57</v>
      </c>
      <c r="AC59" s="50">
        <v>-38.5</v>
      </c>
      <c r="AD59" s="50">
        <v>-37.299999999999997</v>
      </c>
      <c r="AE59" s="50">
        <v>-38.1</v>
      </c>
      <c r="AF59" s="50">
        <v>-40.5</v>
      </c>
      <c r="AG59" s="82"/>
      <c r="AH59" s="55">
        <f t="shared" si="2"/>
        <v>0</v>
      </c>
      <c r="AI59" s="56">
        <f t="shared" si="3"/>
        <v>-57</v>
      </c>
      <c r="AJ59" s="1">
        <f t="shared" si="13"/>
        <v>-369.20000000000005</v>
      </c>
      <c r="AK59" s="57"/>
    </row>
    <row r="60" spans="1:39" x14ac:dyDescent="0.25">
      <c r="A60" s="66" t="s">
        <v>67</v>
      </c>
      <c r="B60" s="61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/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J60" s="1">
        <f t="shared" si="13"/>
        <v>0</v>
      </c>
      <c r="AK60" s="57"/>
    </row>
    <row r="61" spans="1:39" x14ac:dyDescent="0.25">
      <c r="A61" s="66" t="s">
        <v>68</v>
      </c>
      <c r="B61" s="61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/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J61" s="1">
        <f t="shared" si="13"/>
        <v>0</v>
      </c>
      <c r="AK61" s="57"/>
    </row>
    <row r="62" spans="1:39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/>
      <c r="AB62" s="59">
        <v>0</v>
      </c>
      <c r="AC62" s="59">
        <v>5</v>
      </c>
      <c r="AD62" s="59">
        <v>5</v>
      </c>
      <c r="AE62" s="59">
        <v>5</v>
      </c>
      <c r="AF62" s="59">
        <v>5</v>
      </c>
      <c r="AG62" s="82"/>
      <c r="AH62" s="55">
        <f t="shared" si="2"/>
        <v>5</v>
      </c>
      <c r="AI62" s="56">
        <f t="shared" si="3"/>
        <v>0</v>
      </c>
      <c r="AJ62" s="1">
        <f t="shared" si="13"/>
        <v>16</v>
      </c>
      <c r="AK62" s="57"/>
    </row>
    <row r="63" spans="1:39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/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J63" s="1">
        <f t="shared" si="13"/>
        <v>0</v>
      </c>
      <c r="AK63" s="57"/>
    </row>
    <row r="64" spans="1:39" x14ac:dyDescent="0.25">
      <c r="A64" s="83" t="s">
        <v>71</v>
      </c>
      <c r="B64" s="84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0</v>
      </c>
      <c r="M64" s="59">
        <v>0</v>
      </c>
      <c r="N64" s="59">
        <v>0</v>
      </c>
      <c r="O64" s="59">
        <v>0</v>
      </c>
      <c r="P64" s="59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/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J64" s="1">
        <f t="shared" si="13"/>
        <v>0</v>
      </c>
      <c r="AK64" s="57"/>
    </row>
    <row r="65" spans="1:88" ht="15.75" thickBot="1" x14ac:dyDescent="0.3">
      <c r="A65" s="83" t="s">
        <v>72</v>
      </c>
      <c r="B65" s="84"/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59">
        <v>0</v>
      </c>
      <c r="N65" s="59">
        <v>0</v>
      </c>
      <c r="O65" s="59">
        <v>0</v>
      </c>
      <c r="P65" s="59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/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 t="shared" ref="B66" si="14">SUM(B55:B65)</f>
        <v>-125</v>
      </c>
      <c r="C66" s="72">
        <f t="shared" ref="C66:AF66" si="15">SUM(C55:C65)</f>
        <v>-138</v>
      </c>
      <c r="D66" s="72">
        <f t="shared" si="15"/>
        <v>-143</v>
      </c>
      <c r="E66" s="72">
        <f t="shared" si="15"/>
        <v>-138</v>
      </c>
      <c r="F66" s="72">
        <f t="shared" si="15"/>
        <v>-158</v>
      </c>
      <c r="G66" s="72">
        <f t="shared" si="15"/>
        <v>-201</v>
      </c>
      <c r="H66" s="72">
        <f t="shared" si="15"/>
        <v>-209</v>
      </c>
      <c r="I66" s="72">
        <f t="shared" si="15"/>
        <v>-177.9</v>
      </c>
      <c r="J66" s="72">
        <f t="shared" si="15"/>
        <v>-177.9</v>
      </c>
      <c r="K66" s="72">
        <f t="shared" si="15"/>
        <v>-169</v>
      </c>
      <c r="L66" s="72">
        <f t="shared" si="15"/>
        <v>-153</v>
      </c>
      <c r="M66" s="72">
        <f t="shared" si="15"/>
        <v>-119</v>
      </c>
      <c r="N66" s="72">
        <f t="shared" si="15"/>
        <v>-169.2</v>
      </c>
      <c r="O66" s="72">
        <f t="shared" si="15"/>
        <v>-205.9</v>
      </c>
      <c r="P66" s="72">
        <f t="shared" si="15"/>
        <v>-180.6</v>
      </c>
      <c r="Q66" s="72">
        <f t="shared" si="15"/>
        <v>-184.3</v>
      </c>
      <c r="R66" s="72">
        <f t="shared" si="15"/>
        <v>-172.4</v>
      </c>
      <c r="S66" s="72">
        <f t="shared" si="15"/>
        <v>-184</v>
      </c>
      <c r="T66" s="72">
        <f t="shared" si="15"/>
        <v>-59</v>
      </c>
      <c r="U66" s="72">
        <f t="shared" si="15"/>
        <v>-87.2</v>
      </c>
      <c r="V66" s="72">
        <f t="shared" si="15"/>
        <v>-221.8</v>
      </c>
      <c r="W66" s="72">
        <f t="shared" si="15"/>
        <v>-200.4</v>
      </c>
      <c r="X66" s="72">
        <f t="shared" si="15"/>
        <v>-188.8</v>
      </c>
      <c r="Y66" s="72">
        <f t="shared" si="15"/>
        <v>-208.4</v>
      </c>
      <c r="Z66" s="72">
        <f t="shared" si="15"/>
        <v>-212.4</v>
      </c>
      <c r="AA66" s="72">
        <f t="shared" si="15"/>
        <v>0</v>
      </c>
      <c r="AB66" s="72">
        <f t="shared" si="15"/>
        <v>-230.1</v>
      </c>
      <c r="AC66" s="72">
        <f t="shared" si="15"/>
        <v>-278.10000000000002</v>
      </c>
      <c r="AD66" s="72">
        <f t="shared" si="15"/>
        <v>-223.7</v>
      </c>
      <c r="AE66" s="72">
        <f t="shared" si="15"/>
        <v>-281.60000000000002</v>
      </c>
      <c r="AF66" s="72">
        <f t="shared" si="15"/>
        <v>-222.8</v>
      </c>
      <c r="AG66" s="77">
        <f>SUM(AG55:AG65)</f>
        <v>0</v>
      </c>
      <c r="AH66" s="55">
        <f t="shared" si="2"/>
        <v>0</v>
      </c>
      <c r="AI66" s="56">
        <f t="shared" si="3"/>
        <v>-281.60000000000002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84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 t="shared" ref="B70" si="16">SUM(B67:B69)</f>
        <v>0</v>
      </c>
      <c r="C70" s="72">
        <f t="shared" ref="C70:AF70" si="17">SUM(C67:C69)</f>
        <v>0</v>
      </c>
      <c r="D70" s="72">
        <f t="shared" si="17"/>
        <v>0</v>
      </c>
      <c r="E70" s="72">
        <f t="shared" si="17"/>
        <v>0</v>
      </c>
      <c r="F70" s="72">
        <f t="shared" si="17"/>
        <v>0</v>
      </c>
      <c r="G70" s="72">
        <f t="shared" si="17"/>
        <v>0</v>
      </c>
      <c r="H70" s="72">
        <f t="shared" si="17"/>
        <v>0</v>
      </c>
      <c r="I70" s="72">
        <f t="shared" si="17"/>
        <v>0</v>
      </c>
      <c r="J70" s="72">
        <f t="shared" si="17"/>
        <v>0</v>
      </c>
      <c r="K70" s="72">
        <f t="shared" si="17"/>
        <v>0</v>
      </c>
      <c r="L70" s="72">
        <f t="shared" si="17"/>
        <v>0</v>
      </c>
      <c r="M70" s="72">
        <f t="shared" si="17"/>
        <v>0</v>
      </c>
      <c r="N70" s="72">
        <f t="shared" si="17"/>
        <v>0</v>
      </c>
      <c r="O70" s="72">
        <f t="shared" si="17"/>
        <v>0</v>
      </c>
      <c r="P70" s="72">
        <f t="shared" si="17"/>
        <v>0</v>
      </c>
      <c r="Q70" s="72">
        <f t="shared" si="17"/>
        <v>0</v>
      </c>
      <c r="R70" s="72">
        <f t="shared" si="17"/>
        <v>0</v>
      </c>
      <c r="S70" s="72">
        <f t="shared" si="17"/>
        <v>0</v>
      </c>
      <c r="T70" s="72">
        <f t="shared" si="17"/>
        <v>0</v>
      </c>
      <c r="U70" s="72">
        <f t="shared" si="17"/>
        <v>0</v>
      </c>
      <c r="V70" s="72">
        <f t="shared" si="17"/>
        <v>0</v>
      </c>
      <c r="W70" s="72">
        <f t="shared" si="17"/>
        <v>0</v>
      </c>
      <c r="X70" s="72">
        <f t="shared" si="17"/>
        <v>0</v>
      </c>
      <c r="Y70" s="72">
        <f t="shared" si="17"/>
        <v>0</v>
      </c>
      <c r="Z70" s="72">
        <f t="shared" si="17"/>
        <v>0</v>
      </c>
      <c r="AA70" s="72">
        <f t="shared" si="17"/>
        <v>0</v>
      </c>
      <c r="AB70" s="72">
        <f t="shared" si="17"/>
        <v>0</v>
      </c>
      <c r="AC70" s="72">
        <f t="shared" si="17"/>
        <v>0</v>
      </c>
      <c r="AD70" s="72">
        <f t="shared" si="17"/>
        <v>0</v>
      </c>
      <c r="AE70" s="72">
        <f t="shared" si="17"/>
        <v>0</v>
      </c>
      <c r="AF70" s="72">
        <f t="shared" si="17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 t="shared" ref="B71" si="18">B66+B54+B50+B36+B70</f>
        <v>976.04</v>
      </c>
      <c r="C71" s="87">
        <f t="shared" ref="C71:AG71" si="19">C66+C54+C50+C36+C70</f>
        <v>939.6400000000001</v>
      </c>
      <c r="D71" s="87">
        <f t="shared" si="19"/>
        <v>904.1400000000001</v>
      </c>
      <c r="E71" s="87">
        <f t="shared" si="19"/>
        <v>894.24</v>
      </c>
      <c r="F71" s="87">
        <f t="shared" si="19"/>
        <v>865.14</v>
      </c>
      <c r="G71" s="87">
        <f t="shared" si="19"/>
        <v>851.54</v>
      </c>
      <c r="H71" s="87">
        <f t="shared" si="19"/>
        <v>845.6400000000001</v>
      </c>
      <c r="I71" s="87">
        <f t="shared" si="19"/>
        <v>851.04</v>
      </c>
      <c r="J71" s="87">
        <f t="shared" si="19"/>
        <v>839.04000000000008</v>
      </c>
      <c r="K71" s="87">
        <f t="shared" si="19"/>
        <v>852.84</v>
      </c>
      <c r="L71" s="87">
        <f t="shared" si="19"/>
        <v>893.84</v>
      </c>
      <c r="M71" s="87">
        <f t="shared" si="19"/>
        <v>927.84</v>
      </c>
      <c r="N71" s="87">
        <f t="shared" si="19"/>
        <v>947.04000000000008</v>
      </c>
      <c r="O71" s="87">
        <f t="shared" si="19"/>
        <v>909.04000000000008</v>
      </c>
      <c r="P71" s="87">
        <f t="shared" si="19"/>
        <v>941.1400000000001</v>
      </c>
      <c r="Q71" s="87">
        <f t="shared" si="19"/>
        <v>927.24</v>
      </c>
      <c r="R71" s="87">
        <f t="shared" si="19"/>
        <v>936.34</v>
      </c>
      <c r="S71" s="87">
        <f t="shared" si="19"/>
        <v>926.14</v>
      </c>
      <c r="T71" s="87">
        <f t="shared" si="19"/>
        <v>881.83999999999992</v>
      </c>
      <c r="U71" s="87">
        <f t="shared" si="19"/>
        <v>889.74</v>
      </c>
      <c r="V71" s="87">
        <f t="shared" si="19"/>
        <v>941.34</v>
      </c>
      <c r="W71" s="87">
        <f t="shared" si="19"/>
        <v>1040.6399999999999</v>
      </c>
      <c r="X71" s="87">
        <f t="shared" si="19"/>
        <v>1234.6999999999998</v>
      </c>
      <c r="Y71" s="87">
        <f t="shared" si="19"/>
        <v>1234.3400000000001</v>
      </c>
      <c r="Z71" s="87">
        <f t="shared" si="19"/>
        <v>1236.04</v>
      </c>
      <c r="AA71" s="87">
        <f t="shared" si="19"/>
        <v>203.54</v>
      </c>
      <c r="AB71" s="87">
        <f t="shared" si="19"/>
        <v>1188.54</v>
      </c>
      <c r="AC71" s="87">
        <f t="shared" si="19"/>
        <v>1162.74</v>
      </c>
      <c r="AD71" s="87">
        <f t="shared" si="19"/>
        <v>1133.44</v>
      </c>
      <c r="AE71" s="87">
        <f t="shared" si="19"/>
        <v>1079.2399999999998</v>
      </c>
      <c r="AF71" s="87">
        <f t="shared" si="19"/>
        <v>1057.74</v>
      </c>
      <c r="AG71" s="87">
        <f t="shared" si="19"/>
        <v>2083.14</v>
      </c>
      <c r="AH71" s="55">
        <f t="shared" si="2"/>
        <v>1236.04</v>
      </c>
      <c r="AI71" s="56">
        <f t="shared" si="3"/>
        <v>203.54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 t="shared" ref="B73" si="20">B70+B66+B54+B50+B36+B72</f>
        <v>976.04</v>
      </c>
      <c r="C73" s="87">
        <f t="shared" ref="C73:AF73" si="21">C70+C66+C54+C50+C36+C72</f>
        <v>939.6400000000001</v>
      </c>
      <c r="D73" s="87">
        <f t="shared" si="21"/>
        <v>904.1400000000001</v>
      </c>
      <c r="E73" s="87">
        <f t="shared" si="21"/>
        <v>894.24</v>
      </c>
      <c r="F73" s="87">
        <f t="shared" si="21"/>
        <v>865.14</v>
      </c>
      <c r="G73" s="87">
        <f t="shared" si="21"/>
        <v>851.54</v>
      </c>
      <c r="H73" s="87">
        <f t="shared" si="21"/>
        <v>845.6400000000001</v>
      </c>
      <c r="I73" s="87">
        <f t="shared" si="21"/>
        <v>851.04</v>
      </c>
      <c r="J73" s="87">
        <f t="shared" si="21"/>
        <v>839.04000000000008</v>
      </c>
      <c r="K73" s="87">
        <f t="shared" si="21"/>
        <v>852.84</v>
      </c>
      <c r="L73" s="87">
        <f t="shared" si="21"/>
        <v>893.84</v>
      </c>
      <c r="M73" s="87">
        <f t="shared" si="21"/>
        <v>927.84</v>
      </c>
      <c r="N73" s="87">
        <f t="shared" si="21"/>
        <v>947.04000000000008</v>
      </c>
      <c r="O73" s="87">
        <f t="shared" si="21"/>
        <v>909.04000000000008</v>
      </c>
      <c r="P73" s="87">
        <f t="shared" si="21"/>
        <v>941.1400000000001</v>
      </c>
      <c r="Q73" s="87">
        <f t="shared" si="21"/>
        <v>927.24</v>
      </c>
      <c r="R73" s="87">
        <f t="shared" si="21"/>
        <v>936.34</v>
      </c>
      <c r="S73" s="87">
        <f t="shared" si="21"/>
        <v>926.14</v>
      </c>
      <c r="T73" s="87">
        <f t="shared" si="21"/>
        <v>881.83999999999992</v>
      </c>
      <c r="U73" s="87">
        <f t="shared" si="21"/>
        <v>889.74</v>
      </c>
      <c r="V73" s="87">
        <f t="shared" si="21"/>
        <v>941.34</v>
      </c>
      <c r="W73" s="87">
        <f t="shared" si="21"/>
        <v>1040.6399999999999</v>
      </c>
      <c r="X73" s="87">
        <f t="shared" si="21"/>
        <v>1234.6999999999998</v>
      </c>
      <c r="Y73" s="87">
        <f t="shared" si="21"/>
        <v>1234.3400000000001</v>
      </c>
      <c r="Z73" s="87">
        <f t="shared" si="21"/>
        <v>1236.04</v>
      </c>
      <c r="AA73" s="87">
        <f t="shared" si="21"/>
        <v>203.54</v>
      </c>
      <c r="AB73" s="87">
        <f t="shared" si="21"/>
        <v>1188.54</v>
      </c>
      <c r="AC73" s="87">
        <f t="shared" si="21"/>
        <v>1162.74</v>
      </c>
      <c r="AD73" s="87">
        <f t="shared" si="21"/>
        <v>1133.44</v>
      </c>
      <c r="AE73" s="87">
        <f t="shared" si="21"/>
        <v>1079.2399999999998</v>
      </c>
      <c r="AF73" s="87">
        <f t="shared" si="21"/>
        <v>1057.74</v>
      </c>
      <c r="AG73" s="77">
        <f>AG70+AG66+AG54+AG50+AG36+AG72</f>
        <v>2083.14</v>
      </c>
      <c r="AH73" s="55">
        <f t="shared" si="2"/>
        <v>1236.04</v>
      </c>
      <c r="AI73" s="56">
        <f t="shared" si="3"/>
        <v>203.54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 t="shared" ref="B74" si="22">IF(B58&lt;0,B58*-1,0)</f>
        <v>0</v>
      </c>
      <c r="C74" s="59">
        <f t="shared" ref="C74:AF74" si="23">IF(C58&lt;0,C58*-1,0)</f>
        <v>0</v>
      </c>
      <c r="D74" s="59">
        <f t="shared" si="23"/>
        <v>0</v>
      </c>
      <c r="E74" s="59">
        <f t="shared" si="23"/>
        <v>0</v>
      </c>
      <c r="F74" s="59">
        <f t="shared" si="23"/>
        <v>0</v>
      </c>
      <c r="G74" s="59">
        <f t="shared" si="23"/>
        <v>0</v>
      </c>
      <c r="H74" s="59">
        <f t="shared" si="23"/>
        <v>0</v>
      </c>
      <c r="I74" s="59">
        <f t="shared" si="23"/>
        <v>0</v>
      </c>
      <c r="J74" s="59">
        <f t="shared" si="23"/>
        <v>0</v>
      </c>
      <c r="K74" s="59">
        <f t="shared" si="23"/>
        <v>0</v>
      </c>
      <c r="L74" s="59">
        <f t="shared" si="23"/>
        <v>0</v>
      </c>
      <c r="M74" s="59">
        <f t="shared" si="23"/>
        <v>0</v>
      </c>
      <c r="N74" s="59">
        <f t="shared" si="23"/>
        <v>0</v>
      </c>
      <c r="O74" s="59">
        <f t="shared" si="23"/>
        <v>0</v>
      </c>
      <c r="P74" s="59">
        <f t="shared" si="23"/>
        <v>0</v>
      </c>
      <c r="Q74" s="59">
        <f t="shared" si="23"/>
        <v>0</v>
      </c>
      <c r="R74" s="59">
        <f t="shared" si="23"/>
        <v>0</v>
      </c>
      <c r="S74" s="59">
        <f t="shared" si="23"/>
        <v>0</v>
      </c>
      <c r="T74" s="59">
        <f t="shared" si="23"/>
        <v>0</v>
      </c>
      <c r="U74" s="59">
        <f t="shared" si="23"/>
        <v>20</v>
      </c>
      <c r="V74" s="59">
        <f t="shared" si="23"/>
        <v>40</v>
      </c>
      <c r="W74" s="59">
        <f t="shared" si="23"/>
        <v>50</v>
      </c>
      <c r="X74" s="59">
        <f t="shared" si="23"/>
        <v>55</v>
      </c>
      <c r="Y74" s="59">
        <f t="shared" si="23"/>
        <v>60</v>
      </c>
      <c r="Z74" s="59">
        <f t="shared" si="23"/>
        <v>52</v>
      </c>
      <c r="AA74" s="59">
        <f t="shared" si="23"/>
        <v>0</v>
      </c>
      <c r="AB74" s="59">
        <f t="shared" si="23"/>
        <v>68</v>
      </c>
      <c r="AC74" s="59">
        <f t="shared" si="23"/>
        <v>60</v>
      </c>
      <c r="AD74" s="59">
        <f t="shared" si="23"/>
        <v>65</v>
      </c>
      <c r="AE74" s="59">
        <f t="shared" si="23"/>
        <v>58</v>
      </c>
      <c r="AF74" s="59">
        <f t="shared" si="23"/>
        <v>64</v>
      </c>
      <c r="AG74" s="63"/>
      <c r="AH74" s="55">
        <f t="shared" si="2"/>
        <v>68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 t="shared" ref="B75" si="24">IF(B56&lt;0,B56*-1,0)</f>
        <v>0</v>
      </c>
      <c r="C75" s="59">
        <f t="shared" ref="C75:AF75" si="25">IF(C56&lt;0,C56*-1,0)</f>
        <v>0</v>
      </c>
      <c r="D75" s="59">
        <f t="shared" si="25"/>
        <v>0</v>
      </c>
      <c r="E75" s="59">
        <f t="shared" si="25"/>
        <v>0</v>
      </c>
      <c r="F75" s="59">
        <f t="shared" si="25"/>
        <v>0</v>
      </c>
      <c r="G75" s="59">
        <f t="shared" si="25"/>
        <v>0</v>
      </c>
      <c r="H75" s="59">
        <f t="shared" si="25"/>
        <v>0</v>
      </c>
      <c r="I75" s="59">
        <f t="shared" si="25"/>
        <v>0</v>
      </c>
      <c r="J75" s="59">
        <f t="shared" si="25"/>
        <v>0</v>
      </c>
      <c r="K75" s="59">
        <f t="shared" si="25"/>
        <v>0</v>
      </c>
      <c r="L75" s="59">
        <f t="shared" si="25"/>
        <v>0</v>
      </c>
      <c r="M75" s="59">
        <f t="shared" si="25"/>
        <v>0</v>
      </c>
      <c r="N75" s="59">
        <f t="shared" si="25"/>
        <v>0</v>
      </c>
      <c r="O75" s="59">
        <f t="shared" si="25"/>
        <v>0</v>
      </c>
      <c r="P75" s="59">
        <f t="shared" si="25"/>
        <v>0</v>
      </c>
      <c r="Q75" s="59">
        <f t="shared" si="25"/>
        <v>0</v>
      </c>
      <c r="R75" s="59">
        <f t="shared" si="25"/>
        <v>0</v>
      </c>
      <c r="S75" s="59">
        <f t="shared" si="25"/>
        <v>0</v>
      </c>
      <c r="T75" s="59">
        <f t="shared" si="25"/>
        <v>0</v>
      </c>
      <c r="U75" s="59">
        <f t="shared" si="25"/>
        <v>0</v>
      </c>
      <c r="V75" s="59">
        <f t="shared" si="25"/>
        <v>59.1</v>
      </c>
      <c r="W75" s="59">
        <f t="shared" si="25"/>
        <v>90.9</v>
      </c>
      <c r="X75" s="59">
        <f t="shared" si="25"/>
        <v>111</v>
      </c>
      <c r="Y75" s="59">
        <f t="shared" si="25"/>
        <v>113</v>
      </c>
      <c r="Z75" s="59">
        <f t="shared" si="25"/>
        <v>111</v>
      </c>
      <c r="AA75" s="59">
        <f t="shared" si="25"/>
        <v>0</v>
      </c>
      <c r="AB75" s="59">
        <f t="shared" si="25"/>
        <v>65.099999999999994</v>
      </c>
      <c r="AC75" s="59">
        <f t="shared" si="25"/>
        <v>56.8</v>
      </c>
      <c r="AD75" s="59">
        <f t="shared" si="25"/>
        <v>62.5</v>
      </c>
      <c r="AE75" s="59">
        <f t="shared" si="25"/>
        <v>76.099999999999994</v>
      </c>
      <c r="AF75" s="59">
        <f t="shared" si="25"/>
        <v>82.7</v>
      </c>
      <c r="AG75" s="67"/>
      <c r="AH75" s="55">
        <f t="shared" si="2"/>
        <v>113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 t="shared" ref="B76" si="26">IF(B59&lt;0,B59*-1,0)</f>
        <v>0</v>
      </c>
      <c r="C76" s="59">
        <f t="shared" ref="C76:AF76" si="27">IF(C59&lt;0,C59*-1,0)</f>
        <v>0</v>
      </c>
      <c r="D76" s="59">
        <f t="shared" si="27"/>
        <v>0</v>
      </c>
      <c r="E76" s="59">
        <f t="shared" si="27"/>
        <v>0</v>
      </c>
      <c r="F76" s="59">
        <f t="shared" si="27"/>
        <v>0</v>
      </c>
      <c r="G76" s="59">
        <f t="shared" si="27"/>
        <v>0</v>
      </c>
      <c r="H76" s="59">
        <f t="shared" si="27"/>
        <v>0</v>
      </c>
      <c r="I76" s="59">
        <f t="shared" si="27"/>
        <v>0</v>
      </c>
      <c r="J76" s="59">
        <f t="shared" si="27"/>
        <v>0</v>
      </c>
      <c r="K76" s="59">
        <f t="shared" si="27"/>
        <v>0</v>
      </c>
      <c r="L76" s="59">
        <f t="shared" si="27"/>
        <v>0</v>
      </c>
      <c r="M76" s="59">
        <f t="shared" si="27"/>
        <v>0</v>
      </c>
      <c r="N76" s="59">
        <f t="shared" si="27"/>
        <v>0</v>
      </c>
      <c r="O76" s="59">
        <f t="shared" si="27"/>
        <v>0</v>
      </c>
      <c r="P76" s="59">
        <f t="shared" si="27"/>
        <v>0</v>
      </c>
      <c r="Q76" s="59">
        <f t="shared" si="27"/>
        <v>0</v>
      </c>
      <c r="R76" s="59">
        <f t="shared" si="27"/>
        <v>0</v>
      </c>
      <c r="S76" s="59">
        <f t="shared" si="27"/>
        <v>0</v>
      </c>
      <c r="T76" s="59">
        <f t="shared" si="27"/>
        <v>0</v>
      </c>
      <c r="U76" s="59">
        <f t="shared" si="27"/>
        <v>0</v>
      </c>
      <c r="V76" s="59">
        <f t="shared" si="27"/>
        <v>44.4</v>
      </c>
      <c r="W76" s="59">
        <f t="shared" si="27"/>
        <v>47.5</v>
      </c>
      <c r="X76" s="59">
        <f t="shared" si="27"/>
        <v>49.2</v>
      </c>
      <c r="Y76" s="59">
        <f t="shared" si="27"/>
        <v>56</v>
      </c>
      <c r="Z76" s="59">
        <f t="shared" si="27"/>
        <v>53</v>
      </c>
      <c r="AA76" s="59">
        <f t="shared" si="27"/>
        <v>0</v>
      </c>
      <c r="AB76" s="59">
        <f t="shared" si="27"/>
        <v>57</v>
      </c>
      <c r="AC76" s="59">
        <f t="shared" si="27"/>
        <v>38.5</v>
      </c>
      <c r="AD76" s="59">
        <f t="shared" si="27"/>
        <v>37.299999999999997</v>
      </c>
      <c r="AE76" s="59">
        <f t="shared" si="27"/>
        <v>38.1</v>
      </c>
      <c r="AF76" s="59">
        <f t="shared" si="27"/>
        <v>40.5</v>
      </c>
      <c r="AG76" s="90"/>
      <c r="AH76" s="55">
        <f t="shared" si="2"/>
        <v>57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 t="shared" ref="B77" si="28">IF(B57&lt;0,B57*-1,0)</f>
        <v>125</v>
      </c>
      <c r="C77" s="59">
        <f t="shared" ref="C77:AF77" si="29">IF(C57&lt;0,C57*-1,0)</f>
        <v>138</v>
      </c>
      <c r="D77" s="59">
        <f t="shared" si="29"/>
        <v>143</v>
      </c>
      <c r="E77" s="59">
        <f t="shared" si="29"/>
        <v>138</v>
      </c>
      <c r="F77" s="59">
        <f t="shared" si="29"/>
        <v>158</v>
      </c>
      <c r="G77" s="59">
        <f t="shared" si="29"/>
        <v>201</v>
      </c>
      <c r="H77" s="59">
        <f t="shared" si="29"/>
        <v>209</v>
      </c>
      <c r="I77" s="59">
        <f t="shared" si="29"/>
        <v>177.9</v>
      </c>
      <c r="J77" s="59">
        <f t="shared" si="29"/>
        <v>177.9</v>
      </c>
      <c r="K77" s="59">
        <f t="shared" si="29"/>
        <v>169</v>
      </c>
      <c r="L77" s="59">
        <f t="shared" si="29"/>
        <v>153</v>
      </c>
      <c r="M77" s="59">
        <f t="shared" si="29"/>
        <v>119</v>
      </c>
      <c r="N77" s="59">
        <f t="shared" si="29"/>
        <v>169.2</v>
      </c>
      <c r="O77" s="59">
        <f t="shared" si="29"/>
        <v>205.9</v>
      </c>
      <c r="P77" s="59">
        <f t="shared" si="29"/>
        <v>180.6</v>
      </c>
      <c r="Q77" s="59">
        <f t="shared" si="29"/>
        <v>184.3</v>
      </c>
      <c r="R77" s="59">
        <f t="shared" si="29"/>
        <v>172.4</v>
      </c>
      <c r="S77" s="59">
        <f t="shared" si="29"/>
        <v>184</v>
      </c>
      <c r="T77" s="59">
        <f t="shared" si="29"/>
        <v>59</v>
      </c>
      <c r="U77" s="59">
        <f t="shared" si="29"/>
        <v>67.2</v>
      </c>
      <c r="V77" s="59">
        <f t="shared" si="29"/>
        <v>78.3</v>
      </c>
      <c r="W77" s="59">
        <f t="shared" si="29"/>
        <v>12</v>
      </c>
      <c r="X77" s="59">
        <f t="shared" si="29"/>
        <v>34.799999999999997</v>
      </c>
      <c r="Y77" s="59">
        <f t="shared" si="29"/>
        <v>45.4</v>
      </c>
      <c r="Z77" s="59">
        <f t="shared" si="29"/>
        <v>37.6</v>
      </c>
      <c r="AA77" s="59">
        <f t="shared" si="29"/>
        <v>0</v>
      </c>
      <c r="AB77" s="59">
        <f t="shared" si="29"/>
        <v>96.5</v>
      </c>
      <c r="AC77" s="59">
        <f t="shared" si="29"/>
        <v>155.1</v>
      </c>
      <c r="AD77" s="59">
        <f t="shared" si="29"/>
        <v>63.9</v>
      </c>
      <c r="AE77" s="59">
        <f t="shared" si="29"/>
        <v>114.4</v>
      </c>
      <c r="AF77" s="59">
        <f t="shared" si="29"/>
        <v>40.6</v>
      </c>
      <c r="AG77" s="90"/>
      <c r="AH77" s="55">
        <f t="shared" ref="AH77:AH89" si="30">MAX(B77:AF77)</f>
        <v>209</v>
      </c>
      <c r="AI77" s="56">
        <f t="shared" ref="AI77:AI89" si="31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 t="shared" ref="B78" si="32">IF(B55&lt;0,B55*-1,0)</f>
        <v>0</v>
      </c>
      <c r="C78" s="59">
        <f t="shared" ref="C78:AF78" si="33">IF(C55&lt;0,C55*-1,0)</f>
        <v>0</v>
      </c>
      <c r="D78" s="59">
        <f t="shared" si="33"/>
        <v>0</v>
      </c>
      <c r="E78" s="59">
        <f t="shared" si="33"/>
        <v>0</v>
      </c>
      <c r="F78" s="59">
        <f t="shared" si="33"/>
        <v>0</v>
      </c>
      <c r="G78" s="59">
        <f t="shared" si="33"/>
        <v>0</v>
      </c>
      <c r="H78" s="59">
        <f t="shared" si="33"/>
        <v>0</v>
      </c>
      <c r="I78" s="59">
        <f t="shared" si="33"/>
        <v>0</v>
      </c>
      <c r="J78" s="59">
        <f t="shared" si="33"/>
        <v>0</v>
      </c>
      <c r="K78" s="59">
        <f t="shared" si="33"/>
        <v>0</v>
      </c>
      <c r="L78" s="59">
        <f t="shared" si="33"/>
        <v>0</v>
      </c>
      <c r="M78" s="59">
        <f t="shared" si="33"/>
        <v>0</v>
      </c>
      <c r="N78" s="59">
        <f t="shared" si="33"/>
        <v>0</v>
      </c>
      <c r="O78" s="59">
        <f t="shared" si="33"/>
        <v>0</v>
      </c>
      <c r="P78" s="59">
        <f t="shared" si="33"/>
        <v>0</v>
      </c>
      <c r="Q78" s="59">
        <f t="shared" si="33"/>
        <v>0</v>
      </c>
      <c r="R78" s="59">
        <f t="shared" si="33"/>
        <v>0</v>
      </c>
      <c r="S78" s="59">
        <f t="shared" si="33"/>
        <v>0</v>
      </c>
      <c r="T78" s="59">
        <f t="shared" si="33"/>
        <v>0</v>
      </c>
      <c r="U78" s="59">
        <f t="shared" si="33"/>
        <v>0</v>
      </c>
      <c r="V78" s="59">
        <f t="shared" si="33"/>
        <v>0</v>
      </c>
      <c r="W78" s="59">
        <f t="shared" si="33"/>
        <v>0</v>
      </c>
      <c r="X78" s="59">
        <f t="shared" si="33"/>
        <v>0</v>
      </c>
      <c r="Y78" s="59">
        <f t="shared" si="33"/>
        <v>0</v>
      </c>
      <c r="Z78" s="59">
        <f t="shared" si="33"/>
        <v>0</v>
      </c>
      <c r="AA78" s="59">
        <f t="shared" si="33"/>
        <v>0</v>
      </c>
      <c r="AB78" s="59">
        <f t="shared" si="33"/>
        <v>0</v>
      </c>
      <c r="AC78" s="59">
        <f t="shared" si="33"/>
        <v>0</v>
      </c>
      <c r="AD78" s="59">
        <f t="shared" si="33"/>
        <v>0</v>
      </c>
      <c r="AE78" s="59">
        <f t="shared" si="33"/>
        <v>0</v>
      </c>
      <c r="AF78" s="59">
        <f t="shared" si="33"/>
        <v>0</v>
      </c>
      <c r="AG78" s="90"/>
      <c r="AH78" s="55">
        <f t="shared" si="30"/>
        <v>0</v>
      </c>
      <c r="AI78" s="56">
        <f t="shared" si="3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30"/>
        <v>0</v>
      </c>
      <c r="AI79" s="56">
        <f t="shared" si="31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" si="34">SUM(B74:B79)</f>
        <v>125</v>
      </c>
      <c r="C80" s="72">
        <f t="shared" ref="C80:AG80" si="35">SUM(C74:C79)</f>
        <v>138</v>
      </c>
      <c r="D80" s="72">
        <f t="shared" si="35"/>
        <v>143</v>
      </c>
      <c r="E80" s="72">
        <f t="shared" si="35"/>
        <v>138</v>
      </c>
      <c r="F80" s="72">
        <f t="shared" si="35"/>
        <v>158</v>
      </c>
      <c r="G80" s="72">
        <f t="shared" si="35"/>
        <v>201</v>
      </c>
      <c r="H80" s="72">
        <f t="shared" si="35"/>
        <v>209</v>
      </c>
      <c r="I80" s="72">
        <f t="shared" si="35"/>
        <v>177.9</v>
      </c>
      <c r="J80" s="72">
        <f t="shared" si="35"/>
        <v>177.9</v>
      </c>
      <c r="K80" s="72">
        <f t="shared" si="35"/>
        <v>169</v>
      </c>
      <c r="L80" s="72">
        <f t="shared" si="35"/>
        <v>153</v>
      </c>
      <c r="M80" s="72">
        <f t="shared" si="35"/>
        <v>119</v>
      </c>
      <c r="N80" s="72">
        <f t="shared" si="35"/>
        <v>169.2</v>
      </c>
      <c r="O80" s="72">
        <f t="shared" si="35"/>
        <v>205.9</v>
      </c>
      <c r="P80" s="72">
        <f t="shared" si="35"/>
        <v>180.6</v>
      </c>
      <c r="Q80" s="72">
        <f t="shared" si="35"/>
        <v>184.3</v>
      </c>
      <c r="R80" s="72">
        <f t="shared" si="35"/>
        <v>172.4</v>
      </c>
      <c r="S80" s="72">
        <f t="shared" si="35"/>
        <v>184</v>
      </c>
      <c r="T80" s="72">
        <f t="shared" si="35"/>
        <v>59</v>
      </c>
      <c r="U80" s="72">
        <f t="shared" si="35"/>
        <v>87.2</v>
      </c>
      <c r="V80" s="72">
        <f t="shared" si="35"/>
        <v>221.8</v>
      </c>
      <c r="W80" s="72">
        <f t="shared" si="35"/>
        <v>200.4</v>
      </c>
      <c r="X80" s="72">
        <f t="shared" si="35"/>
        <v>250</v>
      </c>
      <c r="Y80" s="72">
        <f t="shared" si="35"/>
        <v>274.39999999999998</v>
      </c>
      <c r="Z80" s="72">
        <f t="shared" si="35"/>
        <v>253.6</v>
      </c>
      <c r="AA80" s="72">
        <f t="shared" si="35"/>
        <v>0</v>
      </c>
      <c r="AB80" s="72">
        <f t="shared" si="35"/>
        <v>286.60000000000002</v>
      </c>
      <c r="AC80" s="72">
        <f t="shared" si="35"/>
        <v>310.39999999999998</v>
      </c>
      <c r="AD80" s="72">
        <f t="shared" si="35"/>
        <v>228.70000000000002</v>
      </c>
      <c r="AE80" s="72">
        <f t="shared" si="35"/>
        <v>286.60000000000002</v>
      </c>
      <c r="AF80" s="72">
        <f t="shared" si="35"/>
        <v>227.79999999999998</v>
      </c>
      <c r="AG80" s="77">
        <f t="shared" si="35"/>
        <v>0</v>
      </c>
      <c r="AH80" s="55">
        <f t="shared" si="30"/>
        <v>310.39999999999998</v>
      </c>
      <c r="AI80" s="56">
        <f t="shared" si="31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" si="36">SUM(B68:B80)</f>
        <v>2202.08</v>
      </c>
      <c r="C81" s="72">
        <f t="shared" ref="C81:AG81" si="37">SUM(C68:C80)</f>
        <v>2155.2800000000002</v>
      </c>
      <c r="D81" s="72">
        <f t="shared" si="37"/>
        <v>2094.2800000000002</v>
      </c>
      <c r="E81" s="72">
        <f t="shared" si="37"/>
        <v>2064.48</v>
      </c>
      <c r="F81" s="72">
        <f t="shared" si="37"/>
        <v>2046.28</v>
      </c>
      <c r="G81" s="72">
        <f t="shared" si="37"/>
        <v>2105.08</v>
      </c>
      <c r="H81" s="72">
        <f t="shared" si="37"/>
        <v>2109.2800000000002</v>
      </c>
      <c r="I81" s="72">
        <f t="shared" si="37"/>
        <v>2057.88</v>
      </c>
      <c r="J81" s="72">
        <f t="shared" si="37"/>
        <v>2033.8800000000003</v>
      </c>
      <c r="K81" s="72">
        <f t="shared" si="37"/>
        <v>2043.68</v>
      </c>
      <c r="L81" s="72">
        <f t="shared" si="37"/>
        <v>2093.6800000000003</v>
      </c>
      <c r="M81" s="72">
        <f t="shared" si="37"/>
        <v>2093.6800000000003</v>
      </c>
      <c r="N81" s="72">
        <f t="shared" si="37"/>
        <v>2232.48</v>
      </c>
      <c r="O81" s="72">
        <f t="shared" si="37"/>
        <v>2229.88</v>
      </c>
      <c r="P81" s="72">
        <f t="shared" si="37"/>
        <v>2243.48</v>
      </c>
      <c r="Q81" s="72">
        <f t="shared" si="37"/>
        <v>2223.08</v>
      </c>
      <c r="R81" s="72">
        <f t="shared" si="37"/>
        <v>2217.48</v>
      </c>
      <c r="S81" s="72">
        <f t="shared" si="37"/>
        <v>2220.2799999999997</v>
      </c>
      <c r="T81" s="72">
        <f t="shared" si="37"/>
        <v>1881.6799999999998</v>
      </c>
      <c r="U81" s="72">
        <f t="shared" si="37"/>
        <v>1953.88</v>
      </c>
      <c r="V81" s="72">
        <f t="shared" si="37"/>
        <v>2326.2800000000002</v>
      </c>
      <c r="W81" s="72">
        <f t="shared" si="37"/>
        <v>2482.08</v>
      </c>
      <c r="X81" s="72">
        <f t="shared" si="37"/>
        <v>2969.3999999999996</v>
      </c>
      <c r="Y81" s="72">
        <f t="shared" si="37"/>
        <v>3017.4800000000005</v>
      </c>
      <c r="Z81" s="72">
        <f t="shared" si="37"/>
        <v>2979.2799999999997</v>
      </c>
      <c r="AA81" s="72">
        <f t="shared" si="37"/>
        <v>407.08</v>
      </c>
      <c r="AB81" s="72">
        <f t="shared" si="37"/>
        <v>2950.2799999999997</v>
      </c>
      <c r="AC81" s="72">
        <f t="shared" si="37"/>
        <v>2946.28</v>
      </c>
      <c r="AD81" s="72">
        <f t="shared" si="37"/>
        <v>2724.28</v>
      </c>
      <c r="AE81" s="72">
        <f t="shared" si="37"/>
        <v>2731.6799999999994</v>
      </c>
      <c r="AF81" s="72">
        <f t="shared" si="37"/>
        <v>2571.08</v>
      </c>
      <c r="AG81" s="77">
        <f t="shared" si="37"/>
        <v>4238.08</v>
      </c>
      <c r="AH81" s="55">
        <f t="shared" si="30"/>
        <v>3017.4800000000005</v>
      </c>
      <c r="AI81" s="56">
        <f t="shared" si="31"/>
        <v>407.08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4">
        <v>50.03</v>
      </c>
      <c r="C82" s="93">
        <v>50</v>
      </c>
      <c r="D82" s="93">
        <v>49.968000000000004</v>
      </c>
      <c r="E82" s="93">
        <v>50.05</v>
      </c>
      <c r="F82" s="93">
        <v>50.05</v>
      </c>
      <c r="G82" s="93">
        <v>50.04</v>
      </c>
      <c r="H82" s="93">
        <v>50.04</v>
      </c>
      <c r="I82" s="93">
        <v>49.941000000000003</v>
      </c>
      <c r="J82" s="93">
        <v>50.051000000000002</v>
      </c>
      <c r="K82" s="93">
        <v>49.94</v>
      </c>
      <c r="L82" s="93">
        <v>50.02</v>
      </c>
      <c r="M82" s="93">
        <v>50.05</v>
      </c>
      <c r="N82" s="93">
        <v>50.03</v>
      </c>
      <c r="O82" s="93">
        <v>49.95</v>
      </c>
      <c r="P82" s="93">
        <v>49.88</v>
      </c>
      <c r="Q82" s="93">
        <v>49.917999999999999</v>
      </c>
      <c r="R82" s="93">
        <v>50.031999999999996</v>
      </c>
      <c r="S82" s="93">
        <v>49.872999999999998</v>
      </c>
      <c r="T82" s="93">
        <v>50.015000000000001</v>
      </c>
      <c r="U82" s="93">
        <v>49.826999999999998</v>
      </c>
      <c r="V82" s="93">
        <v>49.828000000000003</v>
      </c>
      <c r="W82" s="93">
        <v>49.776000000000003</v>
      </c>
      <c r="X82" s="93">
        <v>49.67</v>
      </c>
      <c r="Y82" s="93">
        <v>49.99</v>
      </c>
      <c r="Z82" s="93">
        <v>49.963999999999999</v>
      </c>
      <c r="AA82" s="93"/>
      <c r="AB82" s="93">
        <v>50.02</v>
      </c>
      <c r="AC82" s="93">
        <v>50.033999999999999</v>
      </c>
      <c r="AD82" s="93">
        <v>50.042999999999999</v>
      </c>
      <c r="AE82" s="93">
        <v>49.960999999999999</v>
      </c>
      <c r="AF82" s="94">
        <v>49.933999999999997</v>
      </c>
      <c r="AG82" s="95"/>
      <c r="AH82" s="55">
        <f t="shared" si="30"/>
        <v>50.051000000000002</v>
      </c>
      <c r="AI82" s="56">
        <f t="shared" si="31"/>
        <v>49.67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98">
        <v>123.1</v>
      </c>
      <c r="C83" s="52">
        <v>124.7</v>
      </c>
      <c r="D83" s="52">
        <v>125.1</v>
      </c>
      <c r="E83" s="52">
        <v>125.1</v>
      </c>
      <c r="F83" s="52">
        <v>125.1</v>
      </c>
      <c r="G83" s="52">
        <v>125.6</v>
      </c>
      <c r="H83" s="52">
        <v>125.6</v>
      </c>
      <c r="I83" s="52">
        <v>124.8</v>
      </c>
      <c r="J83" s="52">
        <v>123.5</v>
      </c>
      <c r="K83" s="52">
        <v>122.5</v>
      </c>
      <c r="L83" s="52">
        <v>123</v>
      </c>
      <c r="M83" s="52">
        <v>122</v>
      </c>
      <c r="N83" s="52">
        <v>122.1</v>
      </c>
      <c r="O83" s="52">
        <v>122.4</v>
      </c>
      <c r="P83" s="52">
        <v>123.2</v>
      </c>
      <c r="Q83" s="52">
        <v>124.4</v>
      </c>
      <c r="R83" s="52">
        <v>124.4</v>
      </c>
      <c r="S83" s="52">
        <v>124.4</v>
      </c>
      <c r="T83" s="97">
        <v>124.6</v>
      </c>
      <c r="U83" s="97">
        <v>124</v>
      </c>
      <c r="V83" s="97">
        <v>122.4</v>
      </c>
      <c r="W83" s="97">
        <v>121.7</v>
      </c>
      <c r="X83" s="97">
        <v>121.9</v>
      </c>
      <c r="Y83" s="97">
        <v>121.8</v>
      </c>
      <c r="Z83" s="97">
        <v>120.7</v>
      </c>
      <c r="AA83" s="52"/>
      <c r="AB83" s="52">
        <v>120.8</v>
      </c>
      <c r="AC83" s="52">
        <v>124.4</v>
      </c>
      <c r="AD83" s="52">
        <v>123.4</v>
      </c>
      <c r="AE83" s="52">
        <v>122.5</v>
      </c>
      <c r="AF83" s="98">
        <v>122</v>
      </c>
      <c r="AG83" s="99"/>
      <c r="AH83" s="55">
        <f t="shared" si="30"/>
        <v>125.6</v>
      </c>
      <c r="AI83" s="56">
        <f t="shared" si="31"/>
        <v>120.7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98">
        <v>128.5</v>
      </c>
      <c r="C84" s="52">
        <v>129.9</v>
      </c>
      <c r="D84" s="52">
        <v>130</v>
      </c>
      <c r="E84" s="52">
        <v>130.1</v>
      </c>
      <c r="F84" s="52">
        <v>130.1</v>
      </c>
      <c r="G84" s="52">
        <v>129.80000000000001</v>
      </c>
      <c r="H84" s="52">
        <v>129.80000000000001</v>
      </c>
      <c r="I84" s="52">
        <v>128.9</v>
      </c>
      <c r="J84" s="52">
        <v>128</v>
      </c>
      <c r="K84" s="52">
        <v>127.1</v>
      </c>
      <c r="L84" s="52">
        <v>127</v>
      </c>
      <c r="M84" s="52">
        <v>127</v>
      </c>
      <c r="N84" s="52">
        <v>126.8</v>
      </c>
      <c r="O84" s="52">
        <v>127.2</v>
      </c>
      <c r="P84" s="52">
        <v>128</v>
      </c>
      <c r="Q84" s="52">
        <v>128.80000000000001</v>
      </c>
      <c r="R84" s="52">
        <v>128.5</v>
      </c>
      <c r="S84" s="52">
        <v>128.5</v>
      </c>
      <c r="T84" s="97">
        <v>128.69999999999999</v>
      </c>
      <c r="U84" s="97">
        <v>128.19999999999999</v>
      </c>
      <c r="V84" s="97">
        <v>127.4</v>
      </c>
      <c r="W84" s="97">
        <v>126.7</v>
      </c>
      <c r="X84" s="97">
        <v>126.9</v>
      </c>
      <c r="Y84" s="97">
        <v>127.3</v>
      </c>
      <c r="Z84" s="97">
        <v>126.8</v>
      </c>
      <c r="AA84" s="52"/>
      <c r="AB84" s="52">
        <v>126.6</v>
      </c>
      <c r="AC84" s="52">
        <v>128.9</v>
      </c>
      <c r="AD84" s="52">
        <v>128.9</v>
      </c>
      <c r="AE84" s="52">
        <v>128.30000000000001</v>
      </c>
      <c r="AF84" s="98">
        <v>128.19999999999999</v>
      </c>
      <c r="AG84" s="99"/>
      <c r="AH84" s="55">
        <f t="shared" si="30"/>
        <v>130.1</v>
      </c>
      <c r="AI84" s="56">
        <f t="shared" si="31"/>
        <v>126.6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98">
        <v>129.5</v>
      </c>
      <c r="C85" s="52">
        <v>130.19999999999999</v>
      </c>
      <c r="D85" s="52">
        <v>128.4</v>
      </c>
      <c r="E85" s="52">
        <v>130.5</v>
      </c>
      <c r="F85" s="52">
        <v>130.5</v>
      </c>
      <c r="G85" s="52">
        <v>130.5</v>
      </c>
      <c r="H85" s="52">
        <v>130.5</v>
      </c>
      <c r="I85" s="52">
        <v>129.4</v>
      </c>
      <c r="J85" s="52">
        <v>128.69999999999999</v>
      </c>
      <c r="K85" s="52">
        <v>129.19999999999999</v>
      </c>
      <c r="L85" s="52">
        <v>127</v>
      </c>
      <c r="M85" s="52">
        <v>129</v>
      </c>
      <c r="N85" s="52">
        <v>128.30000000000001</v>
      </c>
      <c r="O85" s="52">
        <v>128.1</v>
      </c>
      <c r="P85" s="52">
        <v>127.8</v>
      </c>
      <c r="Q85" s="52">
        <v>127.4</v>
      </c>
      <c r="R85" s="52">
        <v>129.5</v>
      </c>
      <c r="S85" s="52">
        <v>129.5</v>
      </c>
      <c r="T85" s="52">
        <v>129.80000000000001</v>
      </c>
      <c r="U85" s="52">
        <v>130.19999999999999</v>
      </c>
      <c r="V85" s="52">
        <v>129.19999999999999</v>
      </c>
      <c r="W85" s="97">
        <v>128.19999999999999</v>
      </c>
      <c r="X85" s="97">
        <v>125</v>
      </c>
      <c r="Y85" s="97">
        <v>127.3</v>
      </c>
      <c r="Z85" s="97">
        <v>126.9</v>
      </c>
      <c r="AA85" s="52"/>
      <c r="AB85" s="52">
        <v>130.80000000000001</v>
      </c>
      <c r="AC85" s="52">
        <v>131.19999999999999</v>
      </c>
      <c r="AD85" s="52">
        <v>130.9</v>
      </c>
      <c r="AE85" s="52">
        <v>130.19999999999999</v>
      </c>
      <c r="AF85" s="98">
        <v>129.4</v>
      </c>
      <c r="AG85" s="99"/>
      <c r="AH85" s="55">
        <f t="shared" si="30"/>
        <v>131.19999999999999</v>
      </c>
      <c r="AI85" s="56">
        <f t="shared" si="31"/>
        <v>125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98">
        <v>132.69999999999999</v>
      </c>
      <c r="C86" s="52">
        <v>133.30000000000001</v>
      </c>
      <c r="D86" s="52">
        <v>132.4</v>
      </c>
      <c r="E86" s="52">
        <v>134</v>
      </c>
      <c r="F86" s="52">
        <v>134</v>
      </c>
      <c r="G86" s="52">
        <v>133.9</v>
      </c>
      <c r="H86" s="52">
        <v>133.9</v>
      </c>
      <c r="I86" s="52">
        <v>132.9</v>
      </c>
      <c r="J86" s="52">
        <v>132.4</v>
      </c>
      <c r="K86" s="52">
        <v>131.9</v>
      </c>
      <c r="L86" s="52">
        <v>130.5</v>
      </c>
      <c r="M86" s="52">
        <v>131</v>
      </c>
      <c r="N86" s="52">
        <v>130.69999999999999</v>
      </c>
      <c r="O86" s="52">
        <v>130.5</v>
      </c>
      <c r="P86" s="52">
        <v>129.9</v>
      </c>
      <c r="Q86" s="52">
        <v>129.9</v>
      </c>
      <c r="R86" s="52">
        <v>132.30000000000001</v>
      </c>
      <c r="S86" s="52">
        <v>132.30000000000001</v>
      </c>
      <c r="T86" s="52">
        <v>132</v>
      </c>
      <c r="U86" s="52">
        <v>132.69999999999999</v>
      </c>
      <c r="V86" s="52">
        <v>131.19999999999999</v>
      </c>
      <c r="W86" s="97">
        <v>131.4</v>
      </c>
      <c r="X86" s="97">
        <v>129.5</v>
      </c>
      <c r="Y86" s="97">
        <v>131.6</v>
      </c>
      <c r="Z86" s="97">
        <v>131.19999999999999</v>
      </c>
      <c r="AA86" s="52"/>
      <c r="AB86" s="52">
        <v>133.5</v>
      </c>
      <c r="AC86" s="52">
        <v>133.6</v>
      </c>
      <c r="AD86" s="52">
        <v>134.1</v>
      </c>
      <c r="AE86" s="52">
        <v>133.5</v>
      </c>
      <c r="AF86" s="98">
        <v>133.1</v>
      </c>
      <c r="AG86" s="99"/>
      <c r="AH86" s="55">
        <f t="shared" si="30"/>
        <v>134.1</v>
      </c>
      <c r="AI86" s="56">
        <f t="shared" si="31"/>
        <v>129.5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2">
        <v>132.5</v>
      </c>
      <c r="C87" s="101">
        <v>132.80000000000001</v>
      </c>
      <c r="D87" s="101">
        <v>133.1</v>
      </c>
      <c r="E87" s="101">
        <v>134.30000000000001</v>
      </c>
      <c r="F87" s="101">
        <v>134.30000000000001</v>
      </c>
      <c r="G87" s="101">
        <v>135.1</v>
      </c>
      <c r="H87" s="101">
        <v>135.1</v>
      </c>
      <c r="I87" s="101">
        <v>136</v>
      </c>
      <c r="J87" s="101">
        <v>134</v>
      </c>
      <c r="K87" s="101">
        <v>133.6</v>
      </c>
      <c r="L87" s="101">
        <v>131.80000000000001</v>
      </c>
      <c r="M87" s="101">
        <v>132</v>
      </c>
      <c r="N87" s="101">
        <v>133.1</v>
      </c>
      <c r="O87" s="101">
        <v>134.30000000000001</v>
      </c>
      <c r="P87" s="101">
        <v>134.6</v>
      </c>
      <c r="Q87" s="101">
        <v>133.30000000000001</v>
      </c>
      <c r="R87" s="101">
        <v>132.30000000000001</v>
      </c>
      <c r="S87" s="101">
        <v>132.30000000000001</v>
      </c>
      <c r="T87" s="101">
        <v>133</v>
      </c>
      <c r="U87" s="101">
        <v>131.1</v>
      </c>
      <c r="V87" s="101">
        <v>131.6</v>
      </c>
      <c r="W87" s="97">
        <v>132.4</v>
      </c>
      <c r="X87" s="97">
        <v>135.1</v>
      </c>
      <c r="Y87" s="97">
        <v>134.19999999999999</v>
      </c>
      <c r="Z87" s="97">
        <v>132.9</v>
      </c>
      <c r="AA87" s="101"/>
      <c r="AB87" s="101">
        <v>131.6</v>
      </c>
      <c r="AC87" s="101">
        <v>128.80000000000001</v>
      </c>
      <c r="AD87" s="101">
        <v>131.9</v>
      </c>
      <c r="AE87" s="101">
        <v>131.69999999999999</v>
      </c>
      <c r="AF87" s="102">
        <v>132</v>
      </c>
      <c r="AG87" s="103"/>
      <c r="AH87" s="55">
        <f t="shared" si="30"/>
        <v>136</v>
      </c>
      <c r="AI87" s="56">
        <f t="shared" si="31"/>
        <v>128.80000000000001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98">
        <v>132.4</v>
      </c>
      <c r="C88" s="52">
        <v>133.1</v>
      </c>
      <c r="D88" s="52">
        <v>133.80000000000001</v>
      </c>
      <c r="E88" s="52">
        <v>135.69999999999999</v>
      </c>
      <c r="F88" s="52">
        <v>135.69999999999999</v>
      </c>
      <c r="G88" s="52">
        <v>136.4</v>
      </c>
      <c r="H88" s="52">
        <v>136.4</v>
      </c>
      <c r="I88" s="52">
        <v>137.4</v>
      </c>
      <c r="J88" s="52">
        <v>134.4</v>
      </c>
      <c r="K88" s="52">
        <v>133.80000000000001</v>
      </c>
      <c r="L88" s="52">
        <v>131.30000000000001</v>
      </c>
      <c r="M88" s="52">
        <v>130</v>
      </c>
      <c r="N88" s="52">
        <v>129.69999999999999</v>
      </c>
      <c r="O88" s="52">
        <v>130.4</v>
      </c>
      <c r="P88" s="52">
        <v>132.4</v>
      </c>
      <c r="Q88" s="52">
        <v>128.69999999999999</v>
      </c>
      <c r="R88" s="52">
        <v>129.5</v>
      </c>
      <c r="S88" s="52">
        <v>129.5</v>
      </c>
      <c r="T88" s="52">
        <v>131.80000000000001</v>
      </c>
      <c r="U88" s="52">
        <v>130.6</v>
      </c>
      <c r="V88" s="52">
        <v>130.30000000000001</v>
      </c>
      <c r="W88" s="97">
        <v>132.1</v>
      </c>
      <c r="X88" s="97">
        <v>128.80000000000001</v>
      </c>
      <c r="Y88" s="97">
        <v>130.9</v>
      </c>
      <c r="Z88" s="97">
        <v>129.5</v>
      </c>
      <c r="AA88" s="52"/>
      <c r="AB88" s="52">
        <v>129.9</v>
      </c>
      <c r="AC88" s="52">
        <v>128.19999999999999</v>
      </c>
      <c r="AD88" s="52">
        <v>131.1</v>
      </c>
      <c r="AE88" s="52">
        <v>131.80000000000001</v>
      </c>
      <c r="AF88" s="98">
        <v>132.4</v>
      </c>
      <c r="AG88" s="99"/>
      <c r="AH88" s="55">
        <f t="shared" si="30"/>
        <v>137.4</v>
      </c>
      <c r="AI88" s="56">
        <f t="shared" si="31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5">
        <v>65.8</v>
      </c>
      <c r="C89" s="104">
        <v>66.5</v>
      </c>
      <c r="D89" s="104">
        <v>66.599999999999994</v>
      </c>
      <c r="E89" s="104">
        <v>66.7</v>
      </c>
      <c r="F89" s="104">
        <v>66.7</v>
      </c>
      <c r="G89" s="104">
        <v>66.5</v>
      </c>
      <c r="H89" s="104">
        <v>66.5</v>
      </c>
      <c r="I89" s="104">
        <v>66.099999999999994</v>
      </c>
      <c r="J89" s="104">
        <v>65.5</v>
      </c>
      <c r="K89" s="104">
        <v>65.3</v>
      </c>
      <c r="L89" s="104">
        <v>65.900000000000006</v>
      </c>
      <c r="M89" s="104">
        <v>65</v>
      </c>
      <c r="N89" s="104">
        <v>65.099999999999994</v>
      </c>
      <c r="O89" s="104">
        <v>65.3</v>
      </c>
      <c r="P89" s="104">
        <v>65.7</v>
      </c>
      <c r="Q89" s="104">
        <v>65.599999999999994</v>
      </c>
      <c r="R89" s="104">
        <v>65.8</v>
      </c>
      <c r="S89" s="104">
        <v>65.8</v>
      </c>
      <c r="T89" s="104">
        <v>66</v>
      </c>
      <c r="U89" s="104">
        <v>65.400000000000006</v>
      </c>
      <c r="V89" s="104">
        <v>65.5</v>
      </c>
      <c r="W89" s="104">
        <v>65.2</v>
      </c>
      <c r="X89" s="104">
        <v>65.2</v>
      </c>
      <c r="Y89" s="104">
        <v>65.400000000000006</v>
      </c>
      <c r="Z89" s="104">
        <v>65.2</v>
      </c>
      <c r="AA89" s="104"/>
      <c r="AB89" s="104">
        <v>65.5</v>
      </c>
      <c r="AC89" s="104">
        <v>66.099999999999994</v>
      </c>
      <c r="AD89" s="104">
        <v>66</v>
      </c>
      <c r="AE89" s="104">
        <v>65.8</v>
      </c>
      <c r="AF89" s="105">
        <v>65.8</v>
      </c>
      <c r="AG89" s="106"/>
      <c r="AH89" s="55">
        <f t="shared" si="30"/>
        <v>66.7</v>
      </c>
      <c r="AI89" s="56">
        <f t="shared" si="31"/>
        <v>65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 t="shared" ref="B91" si="38">SUM(B14,B17,B20:B21,B40,B42:B43,B45,B47,B92:B95,B100,B106,B112,B121,B123,B135,B142,B145:B146,B153,B155,B157,B161:B163,B165:B167,B172,B178:B179,B181:B183,B191,B196)</f>
        <v>139.93999999999997</v>
      </c>
      <c r="C91" s="178">
        <f t="shared" ref="C91:AF91" si="39">SUM(C14,C17,C20:C21,C40,C42:C43,C45,C47,C92:C95,C100,C106,C112,C121,C123,C135,C142,C145:C146,C153,C155,C157,C161:C163,C165:C167,C172,C178:C179,C181:C183,C191,C196)</f>
        <v>126.13999999999997</v>
      </c>
      <c r="D91" s="178">
        <f t="shared" si="39"/>
        <v>118.43999999999998</v>
      </c>
      <c r="E91" s="178">
        <f t="shared" si="39"/>
        <v>159.94</v>
      </c>
      <c r="F91" s="111">
        <f t="shared" si="39"/>
        <v>152.83999999999997</v>
      </c>
      <c r="G91" s="111">
        <f t="shared" si="39"/>
        <v>192.73999999999998</v>
      </c>
      <c r="H91" s="111">
        <f t="shared" si="39"/>
        <v>194.84</v>
      </c>
      <c r="I91" s="111">
        <f t="shared" si="39"/>
        <v>153.74</v>
      </c>
      <c r="J91" s="111">
        <f t="shared" si="39"/>
        <v>178.23999999999995</v>
      </c>
      <c r="K91" s="111">
        <f t="shared" si="39"/>
        <v>147.83999999999997</v>
      </c>
      <c r="L91" s="111">
        <f t="shared" si="39"/>
        <v>209.13999999999996</v>
      </c>
      <c r="M91" s="111">
        <f t="shared" si="39"/>
        <v>208.13999999999996</v>
      </c>
      <c r="N91" s="111">
        <f t="shared" si="39"/>
        <v>202.13999999999996</v>
      </c>
      <c r="O91" s="111">
        <f t="shared" si="39"/>
        <v>175.83999999999997</v>
      </c>
      <c r="P91" s="111">
        <f t="shared" si="39"/>
        <v>176.53999999999996</v>
      </c>
      <c r="Q91" s="111">
        <f t="shared" si="39"/>
        <v>169.63999999999996</v>
      </c>
      <c r="R91" s="111">
        <f t="shared" si="39"/>
        <v>172.14</v>
      </c>
      <c r="S91" s="111">
        <f t="shared" si="39"/>
        <v>169.13999999999996</v>
      </c>
      <c r="T91" s="111">
        <f t="shared" si="39"/>
        <v>175.63999999999996</v>
      </c>
      <c r="U91" s="111">
        <f t="shared" si="39"/>
        <v>192.63999999999993</v>
      </c>
      <c r="V91" s="111">
        <f t="shared" si="39"/>
        <v>223.93999999999994</v>
      </c>
      <c r="W91" s="111">
        <f t="shared" si="39"/>
        <v>279.53999999999996</v>
      </c>
      <c r="X91" s="111">
        <f t="shared" si="39"/>
        <v>293.14000000000004</v>
      </c>
      <c r="Y91" s="111">
        <f t="shared" si="39"/>
        <v>270.44000000000005</v>
      </c>
      <c r="Z91" s="111">
        <f t="shared" si="39"/>
        <v>257.54000000000002</v>
      </c>
      <c r="AA91" s="111">
        <f t="shared" si="39"/>
        <v>34.840000000000003</v>
      </c>
      <c r="AB91" s="111">
        <f t="shared" si="39"/>
        <v>238.33999999999997</v>
      </c>
      <c r="AC91" s="111">
        <f t="shared" si="39"/>
        <v>210.94</v>
      </c>
      <c r="AD91" s="111">
        <f t="shared" si="39"/>
        <v>178.23999999999995</v>
      </c>
      <c r="AE91" s="111">
        <f t="shared" si="39"/>
        <v>168.14</v>
      </c>
      <c r="AF91" s="111">
        <f t="shared" si="39"/>
        <v>139.33999999999997</v>
      </c>
      <c r="AG91" s="112"/>
      <c r="AH91" s="55">
        <f>MAX(B91:AF91)</f>
        <v>293.14000000000004</v>
      </c>
      <c r="AI91" s="56">
        <f>MIN(B91:AF91)</f>
        <v>34.840000000000003</v>
      </c>
    </row>
    <row r="92" spans="1:88" x14ac:dyDescent="0.25">
      <c r="A92" s="113" t="s">
        <v>95</v>
      </c>
      <c r="B92" s="116">
        <v>40.5</v>
      </c>
      <c r="C92" s="59">
        <v>31.6</v>
      </c>
      <c r="D92" s="59">
        <v>32.4</v>
      </c>
      <c r="E92" s="59">
        <v>37.700000000000003</v>
      </c>
      <c r="F92" s="59">
        <v>37.700000000000003</v>
      </c>
      <c r="G92" s="114">
        <v>50.2</v>
      </c>
      <c r="H92" s="114">
        <v>50.2</v>
      </c>
      <c r="I92" s="114">
        <v>45</v>
      </c>
      <c r="J92" s="114">
        <v>46.4</v>
      </c>
      <c r="K92" s="114">
        <v>47.7</v>
      </c>
      <c r="L92" s="115">
        <v>43</v>
      </c>
      <c r="M92" s="114">
        <v>34</v>
      </c>
      <c r="N92" s="114">
        <v>51.3</v>
      </c>
      <c r="O92" s="114">
        <v>44.1</v>
      </c>
      <c r="P92" s="114">
        <v>44.1</v>
      </c>
      <c r="Q92" s="114">
        <v>31.1</v>
      </c>
      <c r="R92" s="114">
        <v>29.4</v>
      </c>
      <c r="S92" s="114">
        <v>31</v>
      </c>
      <c r="T92" s="115">
        <v>25.5</v>
      </c>
      <c r="U92" s="115">
        <v>30.1</v>
      </c>
      <c r="V92" s="115">
        <v>41.1</v>
      </c>
      <c r="W92" s="114">
        <v>25.9</v>
      </c>
      <c r="X92" s="114">
        <v>21.5</v>
      </c>
      <c r="Y92" s="114">
        <v>30.8</v>
      </c>
      <c r="Z92" s="114">
        <v>25.6</v>
      </c>
      <c r="AA92" s="115"/>
      <c r="AB92" s="115">
        <v>9.6999999999999993</v>
      </c>
      <c r="AC92" s="115">
        <v>10.3</v>
      </c>
      <c r="AD92" s="115">
        <v>5.2</v>
      </c>
      <c r="AE92" s="115">
        <v>21.5</v>
      </c>
      <c r="AF92" s="116">
        <v>12.6</v>
      </c>
      <c r="AG92" s="117">
        <v>75</v>
      </c>
      <c r="AH92" s="55">
        <f t="shared" ref="AH92:AH97" si="40">IF(ABS(MAX(B92:AF92))&gt;ABS(MIN(B92:AF92)),MAX(B92:AF92),MIN(B92:AF92))</f>
        <v>51.3</v>
      </c>
      <c r="AI92" s="118">
        <f t="shared" ref="AI92:AI97" si="41">INDEX($B$9:$AF$9,1,MATCH(AH92,B92:AF92,0))</f>
        <v>0.41666666666666702</v>
      </c>
    </row>
    <row r="93" spans="1:88" x14ac:dyDescent="0.25">
      <c r="A93" s="119" t="s">
        <v>96</v>
      </c>
      <c r="B93" s="120">
        <f>-46.4-55.4</f>
        <v>-101.8</v>
      </c>
      <c r="C93" s="61">
        <f>-46.7-56.4</f>
        <v>-103.1</v>
      </c>
      <c r="D93" s="61">
        <v>-112</v>
      </c>
      <c r="E93" s="61">
        <v>-92</v>
      </c>
      <c r="F93" s="61">
        <v>-92</v>
      </c>
      <c r="G93" s="61">
        <v>-70</v>
      </c>
      <c r="H93" s="61">
        <v>-70</v>
      </c>
      <c r="I93" s="61">
        <v>-67</v>
      </c>
      <c r="J93" s="61">
        <v>-69</v>
      </c>
      <c r="K93" s="61">
        <v>-69</v>
      </c>
      <c r="L93" s="61">
        <v>-66</v>
      </c>
      <c r="M93" s="61">
        <v>-86</v>
      </c>
      <c r="N93" s="61">
        <f>-38.1-45.9</f>
        <v>-84</v>
      </c>
      <c r="O93" s="61">
        <f>-41-48.7</f>
        <v>-89.7</v>
      </c>
      <c r="P93" s="61">
        <f>-42.6-50.8</f>
        <v>-93.4</v>
      </c>
      <c r="Q93" s="61">
        <v>-86.4</v>
      </c>
      <c r="R93" s="61">
        <v>-87</v>
      </c>
      <c r="S93" s="61">
        <v>-88.5</v>
      </c>
      <c r="T93" s="61">
        <v>-88</v>
      </c>
      <c r="U93" s="61">
        <v>-92</v>
      </c>
      <c r="V93" s="61">
        <v>-100</v>
      </c>
      <c r="W93" s="61">
        <v>-101</v>
      </c>
      <c r="X93" s="61">
        <v>-90</v>
      </c>
      <c r="Y93" s="61">
        <v>-104</v>
      </c>
      <c r="Z93" s="61">
        <v>-112</v>
      </c>
      <c r="AA93" s="52"/>
      <c r="AB93" s="52">
        <v>-110</v>
      </c>
      <c r="AC93" s="52">
        <v>-103.8</v>
      </c>
      <c r="AD93" s="52">
        <v>-116.9</v>
      </c>
      <c r="AE93" s="52">
        <v>-104.6</v>
      </c>
      <c r="AF93" s="120">
        <v>-116</v>
      </c>
      <c r="AG93" s="117">
        <v>240</v>
      </c>
      <c r="AH93" s="55">
        <f t="shared" si="40"/>
        <v>-116.9</v>
      </c>
      <c r="AI93" s="118">
        <f t="shared" si="41"/>
        <v>0.91666666666666696</v>
      </c>
    </row>
    <row r="94" spans="1:88" x14ac:dyDescent="0.25">
      <c r="A94" s="119" t="s">
        <v>97</v>
      </c>
      <c r="B94" s="120">
        <v>-9.6999999999999993</v>
      </c>
      <c r="C94" s="61">
        <v>-9.6999999999999993</v>
      </c>
      <c r="D94" s="61">
        <v>-9.9</v>
      </c>
      <c r="E94" s="61">
        <v>-10</v>
      </c>
      <c r="F94" s="61">
        <v>-10</v>
      </c>
      <c r="G94" s="61">
        <v>-1.1000000000000001</v>
      </c>
      <c r="H94" s="61">
        <v>-1.1000000000000001</v>
      </c>
      <c r="I94" s="61">
        <v>-3.7</v>
      </c>
      <c r="J94" s="61">
        <v>-3.2</v>
      </c>
      <c r="K94" s="61">
        <v>1.1000000000000001</v>
      </c>
      <c r="L94" s="61">
        <v>0</v>
      </c>
      <c r="M94" s="61">
        <v>-3</v>
      </c>
      <c r="N94" s="61">
        <v>-3.9</v>
      </c>
      <c r="O94" s="61">
        <v>-1.5</v>
      </c>
      <c r="P94" s="61">
        <v>-1.6</v>
      </c>
      <c r="Q94" s="61">
        <v>-1</v>
      </c>
      <c r="R94" s="61">
        <v>2</v>
      </c>
      <c r="S94" s="61">
        <v>-1.5</v>
      </c>
      <c r="T94" s="61">
        <v>-1.1000000000000001</v>
      </c>
      <c r="U94" s="61">
        <v>-4.5</v>
      </c>
      <c r="V94" s="61">
        <v>0.7</v>
      </c>
      <c r="W94" s="61">
        <v>24</v>
      </c>
      <c r="X94" s="61">
        <v>22.1</v>
      </c>
      <c r="Y94" s="61">
        <v>23.5</v>
      </c>
      <c r="Z94" s="61">
        <v>21</v>
      </c>
      <c r="AA94" s="52"/>
      <c r="AB94" s="52">
        <v>24</v>
      </c>
      <c r="AC94" s="52">
        <v>18.3</v>
      </c>
      <c r="AD94" s="52">
        <v>12.5</v>
      </c>
      <c r="AE94" s="52">
        <v>16.5</v>
      </c>
      <c r="AF94" s="120">
        <v>14</v>
      </c>
      <c r="AG94" s="117">
        <v>60</v>
      </c>
      <c r="AH94" s="55">
        <f t="shared" si="40"/>
        <v>24</v>
      </c>
      <c r="AI94" s="118">
        <f t="shared" si="41"/>
        <v>0.75</v>
      </c>
    </row>
    <row r="95" spans="1:88" x14ac:dyDescent="0.25">
      <c r="A95" s="121" t="s">
        <v>98</v>
      </c>
      <c r="B95" s="123">
        <v>0</v>
      </c>
      <c r="C95" s="84">
        <v>-3.2</v>
      </c>
      <c r="D95" s="84">
        <v>-2.6</v>
      </c>
      <c r="E95" s="84">
        <v>24</v>
      </c>
      <c r="F95" s="84">
        <v>24</v>
      </c>
      <c r="G95" s="84">
        <v>15.5</v>
      </c>
      <c r="H95" s="84">
        <v>15.5</v>
      </c>
      <c r="I95" s="84">
        <v>-15.8</v>
      </c>
      <c r="J95" s="84">
        <v>20</v>
      </c>
      <c r="K95" s="84">
        <v>-20.100000000000001</v>
      </c>
      <c r="L95" s="84">
        <v>39</v>
      </c>
      <c r="M95" s="84">
        <v>70</v>
      </c>
      <c r="N95" s="84">
        <v>30.2</v>
      </c>
      <c r="O95" s="84">
        <v>26.7</v>
      </c>
      <c r="P95" s="84">
        <v>26.7</v>
      </c>
      <c r="Q95" s="84">
        <v>28.8</v>
      </c>
      <c r="R95" s="84">
        <v>20.8</v>
      </c>
      <c r="S95" s="84">
        <v>9.6999999999999993</v>
      </c>
      <c r="T95" s="84">
        <v>29.2</v>
      </c>
      <c r="U95" s="84">
        <v>48.7</v>
      </c>
      <c r="V95" s="84">
        <v>52.2</v>
      </c>
      <c r="W95" s="84">
        <v>90</v>
      </c>
      <c r="X95" s="84">
        <v>98.7</v>
      </c>
      <c r="Y95" s="84">
        <v>79.3</v>
      </c>
      <c r="Z95" s="84">
        <v>82.1</v>
      </c>
      <c r="AA95" s="122"/>
      <c r="AB95" s="122">
        <v>73.8</v>
      </c>
      <c r="AC95" s="122">
        <v>45.3</v>
      </c>
      <c r="AD95" s="122">
        <v>39.1</v>
      </c>
      <c r="AE95" s="122">
        <v>-5.0999999999999996</v>
      </c>
      <c r="AF95" s="123">
        <v>-1.7</v>
      </c>
      <c r="AG95" s="124">
        <v>120</v>
      </c>
      <c r="AH95" s="55">
        <f t="shared" si="40"/>
        <v>98.7</v>
      </c>
      <c r="AI95" s="118">
        <f t="shared" si="41"/>
        <v>0.77083333333333337</v>
      </c>
    </row>
    <row r="96" spans="1:88" x14ac:dyDescent="0.25">
      <c r="A96" s="121" t="s">
        <v>99</v>
      </c>
      <c r="B96" s="123">
        <v>0</v>
      </c>
      <c r="C96" s="84">
        <v>0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  <c r="V96" s="84">
        <v>0</v>
      </c>
      <c r="W96" s="84">
        <v>0</v>
      </c>
      <c r="X96" s="84">
        <v>0</v>
      </c>
      <c r="Y96" s="84">
        <v>0</v>
      </c>
      <c r="Z96" s="84">
        <v>0</v>
      </c>
      <c r="AA96" s="122"/>
      <c r="AB96" s="122">
        <v>0</v>
      </c>
      <c r="AC96" s="122">
        <v>0</v>
      </c>
      <c r="AD96" s="122">
        <v>0</v>
      </c>
      <c r="AE96" s="122">
        <v>0</v>
      </c>
      <c r="AF96" s="123">
        <v>0</v>
      </c>
      <c r="AG96" s="124"/>
      <c r="AH96" s="55">
        <f t="shared" si="40"/>
        <v>0</v>
      </c>
      <c r="AI96" s="118">
        <f t="shared" si="41"/>
        <v>4.1666666666666664E-2</v>
      </c>
    </row>
    <row r="97" spans="1:37" ht="15.75" thickBot="1" x14ac:dyDescent="0.3">
      <c r="A97" s="121" t="s">
        <v>100</v>
      </c>
      <c r="B97" s="123">
        <v>-25.7</v>
      </c>
      <c r="C97" s="84">
        <v>-9.6</v>
      </c>
      <c r="D97" s="84">
        <v>-8</v>
      </c>
      <c r="E97" s="84">
        <v>-21.4</v>
      </c>
      <c r="F97" s="84">
        <v>-21.4</v>
      </c>
      <c r="G97" s="84">
        <v>-26.1</v>
      </c>
      <c r="H97" s="84">
        <v>-26.1</v>
      </c>
      <c r="I97" s="84">
        <v>-25.4</v>
      </c>
      <c r="J97" s="84">
        <v>-35.299999999999997</v>
      </c>
      <c r="K97" s="84">
        <v>36.1</v>
      </c>
      <c r="L97" s="84">
        <v>23.7</v>
      </c>
      <c r="M97" s="84">
        <v>-6</v>
      </c>
      <c r="N97" s="84">
        <v>26.5</v>
      </c>
      <c r="O97" s="84">
        <v>24.9</v>
      </c>
      <c r="P97" s="84">
        <v>24.9</v>
      </c>
      <c r="Q97" s="84">
        <v>27.8</v>
      </c>
      <c r="R97" s="84">
        <v>33.200000000000003</v>
      </c>
      <c r="S97" s="84">
        <v>31</v>
      </c>
      <c r="T97" s="84">
        <v>30.5</v>
      </c>
      <c r="U97" s="84">
        <v>-8.3000000000000007</v>
      </c>
      <c r="V97" s="84">
        <v>5.7</v>
      </c>
      <c r="W97" s="84">
        <v>65</v>
      </c>
      <c r="X97" s="84">
        <v>33.9</v>
      </c>
      <c r="Y97" s="84">
        <v>18.399999999999999</v>
      </c>
      <c r="Z97" s="84">
        <v>24.7</v>
      </c>
      <c r="AA97" s="122"/>
      <c r="AB97" s="122">
        <v>68.400000000000006</v>
      </c>
      <c r="AC97" s="122">
        <v>62</v>
      </c>
      <c r="AD97" s="122">
        <v>75.900000000000006</v>
      </c>
      <c r="AE97" s="122">
        <v>51.1</v>
      </c>
      <c r="AF97" s="123">
        <v>52.4</v>
      </c>
      <c r="AG97" s="125"/>
      <c r="AH97" s="55">
        <f t="shared" si="40"/>
        <v>75.900000000000006</v>
      </c>
      <c r="AI97" s="118">
        <f t="shared" si="41"/>
        <v>0.91666666666666696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42">B99</f>
        <v>9.9</v>
      </c>
      <c r="D99" s="131">
        <f t="shared" si="42"/>
        <v>9.9</v>
      </c>
      <c r="E99" s="131">
        <f t="shared" si="42"/>
        <v>9.9</v>
      </c>
      <c r="F99" s="131">
        <f t="shared" si="42"/>
        <v>9.9</v>
      </c>
      <c r="G99" s="131">
        <f t="shared" si="42"/>
        <v>9.9</v>
      </c>
      <c r="H99" s="131">
        <f t="shared" si="42"/>
        <v>9.9</v>
      </c>
      <c r="I99" s="131">
        <f t="shared" si="42"/>
        <v>9.9</v>
      </c>
      <c r="J99" s="131">
        <f t="shared" si="42"/>
        <v>9.9</v>
      </c>
      <c r="K99" s="131">
        <f t="shared" si="42"/>
        <v>9.9</v>
      </c>
      <c r="L99" s="131">
        <f t="shared" si="42"/>
        <v>9.9</v>
      </c>
      <c r="M99" s="131">
        <f t="shared" si="42"/>
        <v>9.9</v>
      </c>
      <c r="N99" s="131">
        <f t="shared" si="42"/>
        <v>9.9</v>
      </c>
      <c r="O99" s="131">
        <f t="shared" si="42"/>
        <v>9.9</v>
      </c>
      <c r="P99" s="131">
        <f t="shared" si="42"/>
        <v>9.9</v>
      </c>
      <c r="Q99" s="131">
        <f t="shared" si="42"/>
        <v>9.9</v>
      </c>
      <c r="R99" s="131">
        <f t="shared" si="42"/>
        <v>9.9</v>
      </c>
      <c r="S99" s="131">
        <f t="shared" ref="S99:AF104" si="43">R99</f>
        <v>9.9</v>
      </c>
      <c r="T99" s="131">
        <f t="shared" si="43"/>
        <v>9.9</v>
      </c>
      <c r="U99" s="131">
        <f t="shared" si="43"/>
        <v>9.9</v>
      </c>
      <c r="V99" s="131">
        <f t="shared" si="43"/>
        <v>9.9</v>
      </c>
      <c r="W99" s="131">
        <f t="shared" si="43"/>
        <v>9.9</v>
      </c>
      <c r="X99" s="131">
        <f t="shared" si="43"/>
        <v>9.9</v>
      </c>
      <c r="Y99" s="131">
        <f t="shared" si="43"/>
        <v>9.9</v>
      </c>
      <c r="Z99" s="131">
        <f t="shared" si="43"/>
        <v>9.9</v>
      </c>
      <c r="AA99" s="131">
        <f t="shared" si="43"/>
        <v>9.9</v>
      </c>
      <c r="AB99" s="131">
        <f t="shared" si="43"/>
        <v>9.9</v>
      </c>
      <c r="AC99" s="131">
        <f t="shared" si="43"/>
        <v>9.9</v>
      </c>
      <c r="AD99" s="131">
        <f t="shared" si="43"/>
        <v>9.9</v>
      </c>
      <c r="AE99" s="131">
        <f t="shared" si="43"/>
        <v>9.9</v>
      </c>
      <c r="AF99" s="131">
        <f t="shared" si="43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42"/>
        <v>9.6</v>
      </c>
      <c r="D100" s="134">
        <f t="shared" si="42"/>
        <v>9.6</v>
      </c>
      <c r="E100" s="134">
        <f t="shared" si="42"/>
        <v>9.6</v>
      </c>
      <c r="F100" s="134">
        <f t="shared" si="42"/>
        <v>9.6</v>
      </c>
      <c r="G100" s="134">
        <f t="shared" si="42"/>
        <v>9.6</v>
      </c>
      <c r="H100" s="134">
        <f t="shared" si="42"/>
        <v>9.6</v>
      </c>
      <c r="I100" s="134">
        <f t="shared" si="42"/>
        <v>9.6</v>
      </c>
      <c r="J100" s="134">
        <f t="shared" si="42"/>
        <v>9.6</v>
      </c>
      <c r="K100" s="134">
        <f t="shared" si="42"/>
        <v>9.6</v>
      </c>
      <c r="L100" s="134">
        <f t="shared" si="42"/>
        <v>9.6</v>
      </c>
      <c r="M100" s="134">
        <f t="shared" si="42"/>
        <v>9.6</v>
      </c>
      <c r="N100" s="134">
        <f t="shared" si="42"/>
        <v>9.6</v>
      </c>
      <c r="O100" s="134">
        <f t="shared" si="42"/>
        <v>9.6</v>
      </c>
      <c r="P100" s="134">
        <f t="shared" si="42"/>
        <v>9.6</v>
      </c>
      <c r="Q100" s="134">
        <f t="shared" si="42"/>
        <v>9.6</v>
      </c>
      <c r="R100" s="134">
        <f t="shared" si="42"/>
        <v>9.6</v>
      </c>
      <c r="S100" s="134">
        <f t="shared" si="43"/>
        <v>9.6</v>
      </c>
      <c r="T100" s="134">
        <f t="shared" si="43"/>
        <v>9.6</v>
      </c>
      <c r="U100" s="134">
        <f t="shared" si="43"/>
        <v>9.6</v>
      </c>
      <c r="V100" s="134">
        <f t="shared" si="43"/>
        <v>9.6</v>
      </c>
      <c r="W100" s="134">
        <f t="shared" si="43"/>
        <v>9.6</v>
      </c>
      <c r="X100" s="134">
        <f t="shared" si="43"/>
        <v>9.6</v>
      </c>
      <c r="Y100" s="134">
        <f t="shared" si="43"/>
        <v>9.6</v>
      </c>
      <c r="Z100" s="134">
        <f t="shared" si="43"/>
        <v>9.6</v>
      </c>
      <c r="AA100" s="134">
        <f t="shared" si="43"/>
        <v>9.6</v>
      </c>
      <c r="AB100" s="134">
        <f t="shared" si="43"/>
        <v>9.6</v>
      </c>
      <c r="AC100" s="134">
        <f t="shared" si="43"/>
        <v>9.6</v>
      </c>
      <c r="AD100" s="134">
        <f t="shared" si="43"/>
        <v>9.6</v>
      </c>
      <c r="AE100" s="134">
        <f t="shared" si="43"/>
        <v>9.6</v>
      </c>
      <c r="AF100" s="134">
        <f t="shared" si="43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42"/>
        <v>9.98</v>
      </c>
      <c r="D101" s="134">
        <f t="shared" si="42"/>
        <v>9.98</v>
      </c>
      <c r="E101" s="134">
        <f t="shared" si="42"/>
        <v>9.98</v>
      </c>
      <c r="F101" s="134">
        <f t="shared" si="42"/>
        <v>9.98</v>
      </c>
      <c r="G101" s="134">
        <f t="shared" si="42"/>
        <v>9.98</v>
      </c>
      <c r="H101" s="134">
        <f t="shared" si="42"/>
        <v>9.98</v>
      </c>
      <c r="I101" s="134">
        <f t="shared" si="42"/>
        <v>9.98</v>
      </c>
      <c r="J101" s="134">
        <f t="shared" si="42"/>
        <v>9.98</v>
      </c>
      <c r="K101" s="134">
        <f t="shared" si="42"/>
        <v>9.98</v>
      </c>
      <c r="L101" s="134">
        <f t="shared" si="42"/>
        <v>9.98</v>
      </c>
      <c r="M101" s="134">
        <f t="shared" si="42"/>
        <v>9.98</v>
      </c>
      <c r="N101" s="134">
        <f t="shared" si="42"/>
        <v>9.98</v>
      </c>
      <c r="O101" s="134">
        <f t="shared" si="42"/>
        <v>9.98</v>
      </c>
      <c r="P101" s="134">
        <f t="shared" si="42"/>
        <v>9.98</v>
      </c>
      <c r="Q101" s="134">
        <f t="shared" si="42"/>
        <v>9.98</v>
      </c>
      <c r="R101" s="134">
        <f t="shared" si="42"/>
        <v>9.98</v>
      </c>
      <c r="S101" s="134">
        <f t="shared" si="43"/>
        <v>9.98</v>
      </c>
      <c r="T101" s="134">
        <f t="shared" si="43"/>
        <v>9.98</v>
      </c>
      <c r="U101" s="134">
        <f t="shared" si="43"/>
        <v>9.98</v>
      </c>
      <c r="V101" s="134">
        <f t="shared" si="43"/>
        <v>9.98</v>
      </c>
      <c r="W101" s="134">
        <f t="shared" si="43"/>
        <v>9.98</v>
      </c>
      <c r="X101" s="134">
        <f t="shared" si="43"/>
        <v>9.98</v>
      </c>
      <c r="Y101" s="134">
        <f t="shared" si="43"/>
        <v>9.98</v>
      </c>
      <c r="Z101" s="134">
        <f t="shared" si="43"/>
        <v>9.98</v>
      </c>
      <c r="AA101" s="134">
        <f t="shared" si="43"/>
        <v>9.98</v>
      </c>
      <c r="AB101" s="134">
        <f t="shared" si="43"/>
        <v>9.98</v>
      </c>
      <c r="AC101" s="134">
        <f t="shared" si="43"/>
        <v>9.98</v>
      </c>
      <c r="AD101" s="134">
        <f t="shared" si="43"/>
        <v>9.98</v>
      </c>
      <c r="AE101" s="134">
        <f t="shared" si="43"/>
        <v>9.98</v>
      </c>
      <c r="AF101" s="134">
        <f t="shared" si="43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42"/>
        <v>9.1</v>
      </c>
      <c r="D102" s="134">
        <f t="shared" si="42"/>
        <v>9.1</v>
      </c>
      <c r="E102" s="134">
        <f t="shared" si="42"/>
        <v>9.1</v>
      </c>
      <c r="F102" s="134">
        <f t="shared" si="42"/>
        <v>9.1</v>
      </c>
      <c r="G102" s="134">
        <f t="shared" si="42"/>
        <v>9.1</v>
      </c>
      <c r="H102" s="134">
        <f t="shared" si="42"/>
        <v>9.1</v>
      </c>
      <c r="I102" s="134">
        <f t="shared" si="42"/>
        <v>9.1</v>
      </c>
      <c r="J102" s="134">
        <f t="shared" si="42"/>
        <v>9.1</v>
      </c>
      <c r="K102" s="134">
        <f t="shared" si="42"/>
        <v>9.1</v>
      </c>
      <c r="L102" s="134">
        <f t="shared" si="42"/>
        <v>9.1</v>
      </c>
      <c r="M102" s="134">
        <f t="shared" si="42"/>
        <v>9.1</v>
      </c>
      <c r="N102" s="134">
        <f t="shared" si="42"/>
        <v>9.1</v>
      </c>
      <c r="O102" s="134">
        <f t="shared" si="42"/>
        <v>9.1</v>
      </c>
      <c r="P102" s="134">
        <f t="shared" si="42"/>
        <v>9.1</v>
      </c>
      <c r="Q102" s="134">
        <f t="shared" si="42"/>
        <v>9.1</v>
      </c>
      <c r="R102" s="134">
        <f t="shared" si="42"/>
        <v>9.1</v>
      </c>
      <c r="S102" s="134">
        <f t="shared" si="43"/>
        <v>9.1</v>
      </c>
      <c r="T102" s="134">
        <f t="shared" si="43"/>
        <v>9.1</v>
      </c>
      <c r="U102" s="134">
        <f t="shared" si="43"/>
        <v>9.1</v>
      </c>
      <c r="V102" s="134">
        <f t="shared" si="43"/>
        <v>9.1</v>
      </c>
      <c r="W102" s="134">
        <f t="shared" si="43"/>
        <v>9.1</v>
      </c>
      <c r="X102" s="134">
        <f t="shared" si="43"/>
        <v>9.1</v>
      </c>
      <c r="Y102" s="134">
        <f t="shared" si="43"/>
        <v>9.1</v>
      </c>
      <c r="Z102" s="134">
        <f t="shared" si="43"/>
        <v>9.1</v>
      </c>
      <c r="AA102" s="134">
        <f t="shared" si="43"/>
        <v>9.1</v>
      </c>
      <c r="AB102" s="134">
        <f t="shared" si="43"/>
        <v>9.1</v>
      </c>
      <c r="AC102" s="134">
        <f t="shared" si="43"/>
        <v>9.1</v>
      </c>
      <c r="AD102" s="134">
        <f t="shared" si="43"/>
        <v>9.1</v>
      </c>
      <c r="AE102" s="134">
        <f t="shared" si="43"/>
        <v>9.1</v>
      </c>
      <c r="AF102" s="134">
        <f t="shared" si="43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42"/>
        <v>9.18</v>
      </c>
      <c r="D103" s="134">
        <f t="shared" si="42"/>
        <v>9.18</v>
      </c>
      <c r="E103" s="134">
        <f t="shared" si="42"/>
        <v>9.18</v>
      </c>
      <c r="F103" s="134">
        <f t="shared" si="42"/>
        <v>9.18</v>
      </c>
      <c r="G103" s="134">
        <f t="shared" si="42"/>
        <v>9.18</v>
      </c>
      <c r="H103" s="134">
        <f t="shared" si="42"/>
        <v>9.18</v>
      </c>
      <c r="I103" s="134">
        <f t="shared" si="42"/>
        <v>9.18</v>
      </c>
      <c r="J103" s="134">
        <f t="shared" si="42"/>
        <v>9.18</v>
      </c>
      <c r="K103" s="134">
        <f t="shared" si="42"/>
        <v>9.18</v>
      </c>
      <c r="L103" s="134">
        <f t="shared" si="42"/>
        <v>9.18</v>
      </c>
      <c r="M103" s="134">
        <f t="shared" si="42"/>
        <v>9.18</v>
      </c>
      <c r="N103" s="134">
        <f t="shared" si="42"/>
        <v>9.18</v>
      </c>
      <c r="O103" s="134">
        <f t="shared" si="42"/>
        <v>9.18</v>
      </c>
      <c r="P103" s="134">
        <f t="shared" si="42"/>
        <v>9.18</v>
      </c>
      <c r="Q103" s="134">
        <f t="shared" si="42"/>
        <v>9.18</v>
      </c>
      <c r="R103" s="134">
        <f t="shared" si="42"/>
        <v>9.18</v>
      </c>
      <c r="S103" s="134">
        <f t="shared" si="43"/>
        <v>9.18</v>
      </c>
      <c r="T103" s="134">
        <f t="shared" si="43"/>
        <v>9.18</v>
      </c>
      <c r="U103" s="134">
        <f t="shared" si="43"/>
        <v>9.18</v>
      </c>
      <c r="V103" s="134">
        <f t="shared" si="43"/>
        <v>9.18</v>
      </c>
      <c r="W103" s="134">
        <f t="shared" si="43"/>
        <v>9.18</v>
      </c>
      <c r="X103" s="134">
        <f t="shared" si="43"/>
        <v>9.18</v>
      </c>
      <c r="Y103" s="134">
        <f t="shared" si="43"/>
        <v>9.18</v>
      </c>
      <c r="Z103" s="134">
        <f t="shared" si="43"/>
        <v>9.18</v>
      </c>
      <c r="AA103" s="134">
        <f t="shared" si="43"/>
        <v>9.18</v>
      </c>
      <c r="AB103" s="134">
        <f t="shared" si="43"/>
        <v>9.18</v>
      </c>
      <c r="AC103" s="134">
        <f t="shared" si="43"/>
        <v>9.18</v>
      </c>
      <c r="AD103" s="134">
        <f t="shared" si="43"/>
        <v>9.18</v>
      </c>
      <c r="AE103" s="134">
        <f t="shared" si="43"/>
        <v>9.18</v>
      </c>
      <c r="AF103" s="134">
        <f t="shared" si="43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42"/>
        <v>7</v>
      </c>
      <c r="D104" s="134">
        <f t="shared" si="42"/>
        <v>7</v>
      </c>
      <c r="E104" s="134">
        <f t="shared" si="42"/>
        <v>7</v>
      </c>
      <c r="F104" s="134">
        <f t="shared" si="42"/>
        <v>7</v>
      </c>
      <c r="G104" s="134">
        <f t="shared" si="42"/>
        <v>7</v>
      </c>
      <c r="H104" s="134">
        <f t="shared" si="42"/>
        <v>7</v>
      </c>
      <c r="I104" s="134">
        <f t="shared" si="42"/>
        <v>7</v>
      </c>
      <c r="J104" s="134">
        <f t="shared" si="42"/>
        <v>7</v>
      </c>
      <c r="K104" s="134">
        <f t="shared" si="42"/>
        <v>7</v>
      </c>
      <c r="L104" s="134">
        <f t="shared" si="42"/>
        <v>7</v>
      </c>
      <c r="M104" s="134">
        <f t="shared" si="42"/>
        <v>7</v>
      </c>
      <c r="N104" s="134">
        <f t="shared" si="42"/>
        <v>7</v>
      </c>
      <c r="O104" s="134">
        <f t="shared" si="42"/>
        <v>7</v>
      </c>
      <c r="P104" s="134">
        <f t="shared" si="42"/>
        <v>7</v>
      </c>
      <c r="Q104" s="134">
        <f t="shared" si="42"/>
        <v>7</v>
      </c>
      <c r="R104" s="134">
        <f t="shared" si="42"/>
        <v>7</v>
      </c>
      <c r="S104" s="134">
        <f t="shared" si="43"/>
        <v>7</v>
      </c>
      <c r="T104" s="134">
        <f t="shared" si="43"/>
        <v>7</v>
      </c>
      <c r="U104" s="134">
        <f t="shared" si="43"/>
        <v>7</v>
      </c>
      <c r="V104" s="134">
        <f t="shared" si="43"/>
        <v>7</v>
      </c>
      <c r="W104" s="134">
        <f t="shared" si="43"/>
        <v>7</v>
      </c>
      <c r="X104" s="134">
        <f t="shared" si="43"/>
        <v>7</v>
      </c>
      <c r="Y104" s="134">
        <f t="shared" si="43"/>
        <v>7</v>
      </c>
      <c r="Z104" s="134">
        <f t="shared" si="43"/>
        <v>7</v>
      </c>
      <c r="AA104" s="134">
        <f t="shared" si="43"/>
        <v>7</v>
      </c>
      <c r="AB104" s="134">
        <f t="shared" si="43"/>
        <v>7</v>
      </c>
      <c r="AC104" s="134">
        <f t="shared" si="43"/>
        <v>7</v>
      </c>
      <c r="AD104" s="134">
        <f t="shared" si="43"/>
        <v>7</v>
      </c>
      <c r="AE104" s="134">
        <f t="shared" si="43"/>
        <v>7</v>
      </c>
      <c r="AF104" s="134">
        <f t="shared" si="43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44">B106</f>
        <v>2.25</v>
      </c>
      <c r="D106" s="134">
        <f t="shared" si="44"/>
        <v>2.25</v>
      </c>
      <c r="E106" s="134">
        <f t="shared" si="44"/>
        <v>2.25</v>
      </c>
      <c r="F106" s="134">
        <f t="shared" si="44"/>
        <v>2.25</v>
      </c>
      <c r="G106" s="134">
        <f t="shared" si="44"/>
        <v>2.25</v>
      </c>
      <c r="H106" s="134">
        <f t="shared" si="44"/>
        <v>2.25</v>
      </c>
      <c r="I106" s="134">
        <f t="shared" si="44"/>
        <v>2.25</v>
      </c>
      <c r="J106" s="134">
        <f t="shared" si="44"/>
        <v>2.25</v>
      </c>
      <c r="K106" s="134">
        <f t="shared" si="44"/>
        <v>2.25</v>
      </c>
      <c r="L106" s="134">
        <f t="shared" si="44"/>
        <v>2.25</v>
      </c>
      <c r="M106" s="134">
        <f t="shared" si="44"/>
        <v>2.25</v>
      </c>
      <c r="N106" s="134">
        <f t="shared" si="44"/>
        <v>2.25</v>
      </c>
      <c r="O106" s="134">
        <f t="shared" si="44"/>
        <v>2.25</v>
      </c>
      <c r="P106" s="134">
        <f t="shared" si="44"/>
        <v>2.25</v>
      </c>
      <c r="Q106" s="134">
        <f t="shared" si="44"/>
        <v>2.25</v>
      </c>
      <c r="R106" s="134">
        <f t="shared" si="44"/>
        <v>2.25</v>
      </c>
      <c r="S106" s="134">
        <f t="shared" ref="S106:AF107" si="45">R106</f>
        <v>2.25</v>
      </c>
      <c r="T106" s="134">
        <f t="shared" si="45"/>
        <v>2.25</v>
      </c>
      <c r="U106" s="134">
        <f t="shared" si="45"/>
        <v>2.25</v>
      </c>
      <c r="V106" s="134">
        <f t="shared" si="45"/>
        <v>2.25</v>
      </c>
      <c r="W106" s="134">
        <f t="shared" si="45"/>
        <v>2.25</v>
      </c>
      <c r="X106" s="134">
        <f t="shared" si="45"/>
        <v>2.25</v>
      </c>
      <c r="Y106" s="134">
        <f t="shared" si="45"/>
        <v>2.25</v>
      </c>
      <c r="Z106" s="134">
        <f t="shared" si="45"/>
        <v>2.25</v>
      </c>
      <c r="AA106" s="134">
        <f t="shared" si="45"/>
        <v>2.25</v>
      </c>
      <c r="AB106" s="134">
        <f t="shared" si="45"/>
        <v>2.25</v>
      </c>
      <c r="AC106" s="134">
        <f t="shared" si="45"/>
        <v>2.25</v>
      </c>
      <c r="AD106" s="134">
        <f t="shared" si="45"/>
        <v>2.25</v>
      </c>
      <c r="AE106" s="134">
        <f t="shared" si="45"/>
        <v>2.25</v>
      </c>
      <c r="AF106" s="134">
        <f t="shared" si="45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44"/>
        <v>1.64</v>
      </c>
      <c r="D107" s="134">
        <f t="shared" si="44"/>
        <v>1.64</v>
      </c>
      <c r="E107" s="134">
        <f t="shared" si="44"/>
        <v>1.64</v>
      </c>
      <c r="F107" s="134">
        <f t="shared" si="44"/>
        <v>1.64</v>
      </c>
      <c r="G107" s="134">
        <f t="shared" si="44"/>
        <v>1.64</v>
      </c>
      <c r="H107" s="134">
        <f t="shared" si="44"/>
        <v>1.64</v>
      </c>
      <c r="I107" s="134">
        <f t="shared" si="44"/>
        <v>1.64</v>
      </c>
      <c r="J107" s="134">
        <f t="shared" si="44"/>
        <v>1.64</v>
      </c>
      <c r="K107" s="134">
        <f t="shared" si="44"/>
        <v>1.64</v>
      </c>
      <c r="L107" s="134">
        <f t="shared" si="44"/>
        <v>1.64</v>
      </c>
      <c r="M107" s="134">
        <f t="shared" si="44"/>
        <v>1.64</v>
      </c>
      <c r="N107" s="134">
        <f t="shared" si="44"/>
        <v>1.64</v>
      </c>
      <c r="O107" s="134">
        <f t="shared" si="44"/>
        <v>1.64</v>
      </c>
      <c r="P107" s="134">
        <f t="shared" si="44"/>
        <v>1.64</v>
      </c>
      <c r="Q107" s="134">
        <f t="shared" si="44"/>
        <v>1.64</v>
      </c>
      <c r="R107" s="134">
        <f t="shared" si="44"/>
        <v>1.64</v>
      </c>
      <c r="S107" s="134">
        <f t="shared" si="45"/>
        <v>1.64</v>
      </c>
      <c r="T107" s="134">
        <f t="shared" si="45"/>
        <v>1.64</v>
      </c>
      <c r="U107" s="134">
        <f t="shared" si="45"/>
        <v>1.64</v>
      </c>
      <c r="V107" s="134">
        <f t="shared" si="45"/>
        <v>1.64</v>
      </c>
      <c r="W107" s="134">
        <f t="shared" si="45"/>
        <v>1.64</v>
      </c>
      <c r="X107" s="134">
        <f t="shared" si="45"/>
        <v>1.64</v>
      </c>
      <c r="Y107" s="134">
        <f t="shared" si="45"/>
        <v>1.64</v>
      </c>
      <c r="Z107" s="134">
        <f t="shared" si="45"/>
        <v>1.64</v>
      </c>
      <c r="AA107" s="134">
        <f t="shared" si="45"/>
        <v>1.64</v>
      </c>
      <c r="AB107" s="134">
        <f t="shared" si="45"/>
        <v>1.64</v>
      </c>
      <c r="AC107" s="134">
        <f t="shared" si="45"/>
        <v>1.64</v>
      </c>
      <c r="AD107" s="134">
        <f t="shared" si="45"/>
        <v>1.64</v>
      </c>
      <c r="AE107" s="134">
        <f t="shared" si="45"/>
        <v>1.64</v>
      </c>
      <c r="AF107" s="134">
        <f t="shared" si="45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46">B109</f>
        <v>1.62</v>
      </c>
      <c r="D109" s="134">
        <f t="shared" si="46"/>
        <v>1.62</v>
      </c>
      <c r="E109" s="134">
        <f t="shared" si="46"/>
        <v>1.62</v>
      </c>
      <c r="F109" s="134">
        <f t="shared" si="46"/>
        <v>1.62</v>
      </c>
      <c r="G109" s="134">
        <f t="shared" si="46"/>
        <v>1.62</v>
      </c>
      <c r="H109" s="134">
        <f t="shared" si="46"/>
        <v>1.62</v>
      </c>
      <c r="I109" s="134">
        <f t="shared" si="46"/>
        <v>1.62</v>
      </c>
      <c r="J109" s="134">
        <f t="shared" si="46"/>
        <v>1.62</v>
      </c>
      <c r="K109" s="134">
        <f t="shared" si="46"/>
        <v>1.62</v>
      </c>
      <c r="L109" s="134">
        <f t="shared" si="46"/>
        <v>1.62</v>
      </c>
      <c r="M109" s="134">
        <f t="shared" si="46"/>
        <v>1.62</v>
      </c>
      <c r="N109" s="134">
        <f t="shared" si="46"/>
        <v>1.62</v>
      </c>
      <c r="O109" s="134">
        <f t="shared" si="46"/>
        <v>1.62</v>
      </c>
      <c r="P109" s="134">
        <f t="shared" si="46"/>
        <v>1.62</v>
      </c>
      <c r="Q109" s="134">
        <f t="shared" si="46"/>
        <v>1.62</v>
      </c>
      <c r="R109" s="134">
        <f t="shared" si="46"/>
        <v>1.62</v>
      </c>
      <c r="S109" s="134">
        <f t="shared" ref="S109:AF124" si="47">R109</f>
        <v>1.62</v>
      </c>
      <c r="T109" s="134">
        <f t="shared" si="47"/>
        <v>1.62</v>
      </c>
      <c r="U109" s="134">
        <f t="shared" si="47"/>
        <v>1.62</v>
      </c>
      <c r="V109" s="134">
        <f t="shared" si="47"/>
        <v>1.62</v>
      </c>
      <c r="W109" s="134">
        <f t="shared" si="47"/>
        <v>1.62</v>
      </c>
      <c r="X109" s="134">
        <f t="shared" si="47"/>
        <v>1.62</v>
      </c>
      <c r="Y109" s="134">
        <f t="shared" si="47"/>
        <v>1.62</v>
      </c>
      <c r="Z109" s="134">
        <f t="shared" si="47"/>
        <v>1.62</v>
      </c>
      <c r="AA109" s="134">
        <f t="shared" si="47"/>
        <v>1.62</v>
      </c>
      <c r="AB109" s="134">
        <f t="shared" si="47"/>
        <v>1.62</v>
      </c>
      <c r="AC109" s="134">
        <f t="shared" si="47"/>
        <v>1.62</v>
      </c>
      <c r="AD109" s="134">
        <f t="shared" si="47"/>
        <v>1.62</v>
      </c>
      <c r="AE109" s="134">
        <f t="shared" si="47"/>
        <v>1.62</v>
      </c>
      <c r="AF109" s="134">
        <f t="shared" si="47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46"/>
        <v>8.36</v>
      </c>
      <c r="D110" s="134">
        <f t="shared" si="46"/>
        <v>8.36</v>
      </c>
      <c r="E110" s="134">
        <f t="shared" si="46"/>
        <v>8.36</v>
      </c>
      <c r="F110" s="134">
        <f t="shared" si="46"/>
        <v>8.36</v>
      </c>
      <c r="G110" s="134">
        <f t="shared" si="46"/>
        <v>8.36</v>
      </c>
      <c r="H110" s="134">
        <f t="shared" si="46"/>
        <v>8.36</v>
      </c>
      <c r="I110" s="134">
        <f t="shared" si="46"/>
        <v>8.36</v>
      </c>
      <c r="J110" s="134">
        <f t="shared" si="46"/>
        <v>8.36</v>
      </c>
      <c r="K110" s="134">
        <f t="shared" si="46"/>
        <v>8.36</v>
      </c>
      <c r="L110" s="134">
        <f t="shared" si="46"/>
        <v>8.36</v>
      </c>
      <c r="M110" s="134">
        <f t="shared" si="46"/>
        <v>8.36</v>
      </c>
      <c r="N110" s="134">
        <f t="shared" si="46"/>
        <v>8.36</v>
      </c>
      <c r="O110" s="134">
        <f t="shared" si="46"/>
        <v>8.36</v>
      </c>
      <c r="P110" s="134">
        <f t="shared" si="46"/>
        <v>8.36</v>
      </c>
      <c r="Q110" s="134">
        <f t="shared" si="46"/>
        <v>8.36</v>
      </c>
      <c r="R110" s="134">
        <f t="shared" si="46"/>
        <v>8.36</v>
      </c>
      <c r="S110" s="134">
        <f t="shared" si="47"/>
        <v>8.36</v>
      </c>
      <c r="T110" s="134">
        <f t="shared" si="47"/>
        <v>8.36</v>
      </c>
      <c r="U110" s="134">
        <f t="shared" si="47"/>
        <v>8.36</v>
      </c>
      <c r="V110" s="134">
        <f t="shared" si="47"/>
        <v>8.36</v>
      </c>
      <c r="W110" s="134">
        <f t="shared" si="47"/>
        <v>8.36</v>
      </c>
      <c r="X110" s="134">
        <f t="shared" si="47"/>
        <v>8.36</v>
      </c>
      <c r="Y110" s="134">
        <f t="shared" si="47"/>
        <v>8.36</v>
      </c>
      <c r="Z110" s="134">
        <f t="shared" si="47"/>
        <v>8.36</v>
      </c>
      <c r="AA110" s="134">
        <f t="shared" si="47"/>
        <v>8.36</v>
      </c>
      <c r="AB110" s="134">
        <f t="shared" si="47"/>
        <v>8.36</v>
      </c>
      <c r="AC110" s="134">
        <f t="shared" si="47"/>
        <v>8.36</v>
      </c>
      <c r="AD110" s="134">
        <f t="shared" si="47"/>
        <v>8.36</v>
      </c>
      <c r="AE110" s="134">
        <f t="shared" si="47"/>
        <v>8.36</v>
      </c>
      <c r="AF110" s="134">
        <f t="shared" si="47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46"/>
        <v>8</v>
      </c>
      <c r="D111" s="134">
        <f t="shared" si="46"/>
        <v>8</v>
      </c>
      <c r="E111" s="134">
        <f t="shared" si="46"/>
        <v>8</v>
      </c>
      <c r="F111" s="134">
        <f t="shared" si="46"/>
        <v>8</v>
      </c>
      <c r="G111" s="134">
        <f t="shared" si="46"/>
        <v>8</v>
      </c>
      <c r="H111" s="134">
        <f t="shared" si="46"/>
        <v>8</v>
      </c>
      <c r="I111" s="134">
        <v>5.4</v>
      </c>
      <c r="J111" s="134">
        <f t="shared" si="46"/>
        <v>5.4</v>
      </c>
      <c r="K111" s="134">
        <f t="shared" si="46"/>
        <v>5.4</v>
      </c>
      <c r="L111" s="134">
        <f t="shared" si="46"/>
        <v>5.4</v>
      </c>
      <c r="M111" s="134">
        <f t="shared" si="46"/>
        <v>5.4</v>
      </c>
      <c r="N111" s="134">
        <f t="shared" si="46"/>
        <v>5.4</v>
      </c>
      <c r="O111" s="134">
        <f t="shared" si="46"/>
        <v>5.4</v>
      </c>
      <c r="P111" s="134">
        <f t="shared" si="46"/>
        <v>5.4</v>
      </c>
      <c r="Q111" s="134">
        <f t="shared" si="46"/>
        <v>5.4</v>
      </c>
      <c r="R111" s="134">
        <f t="shared" si="46"/>
        <v>5.4</v>
      </c>
      <c r="S111" s="134">
        <f t="shared" si="47"/>
        <v>5.4</v>
      </c>
      <c r="T111" s="134">
        <f t="shared" si="47"/>
        <v>5.4</v>
      </c>
      <c r="U111" s="134">
        <f t="shared" si="47"/>
        <v>5.4</v>
      </c>
      <c r="V111" s="134">
        <f t="shared" si="47"/>
        <v>5.4</v>
      </c>
      <c r="W111" s="134">
        <f t="shared" si="47"/>
        <v>5.4</v>
      </c>
      <c r="X111" s="134">
        <f t="shared" si="47"/>
        <v>5.4</v>
      </c>
      <c r="Y111" s="134">
        <f t="shared" si="47"/>
        <v>5.4</v>
      </c>
      <c r="Z111" s="134">
        <f t="shared" si="47"/>
        <v>5.4</v>
      </c>
      <c r="AA111" s="134">
        <f t="shared" si="47"/>
        <v>5.4</v>
      </c>
      <c r="AB111" s="134">
        <f t="shared" si="47"/>
        <v>5.4</v>
      </c>
      <c r="AC111" s="134">
        <f t="shared" si="47"/>
        <v>5.4</v>
      </c>
      <c r="AD111" s="134">
        <f t="shared" si="47"/>
        <v>5.4</v>
      </c>
      <c r="AE111" s="134">
        <f t="shared" si="47"/>
        <v>5.4</v>
      </c>
      <c r="AF111" s="134">
        <f t="shared" si="47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46"/>
        <v>6.57</v>
      </c>
      <c r="D112" s="134">
        <f t="shared" si="46"/>
        <v>6.57</v>
      </c>
      <c r="E112" s="134">
        <f t="shared" si="46"/>
        <v>6.57</v>
      </c>
      <c r="F112" s="134">
        <f t="shared" si="46"/>
        <v>6.57</v>
      </c>
      <c r="G112" s="134">
        <f t="shared" si="46"/>
        <v>6.57</v>
      </c>
      <c r="H112" s="134">
        <f t="shared" si="46"/>
        <v>6.57</v>
      </c>
      <c r="I112" s="134">
        <f t="shared" si="46"/>
        <v>6.57</v>
      </c>
      <c r="J112" s="134">
        <f t="shared" si="46"/>
        <v>6.57</v>
      </c>
      <c r="K112" s="134">
        <f t="shared" si="46"/>
        <v>6.57</v>
      </c>
      <c r="L112" s="134">
        <f t="shared" si="46"/>
        <v>6.57</v>
      </c>
      <c r="M112" s="134">
        <f t="shared" si="46"/>
        <v>6.57</v>
      </c>
      <c r="N112" s="134">
        <f t="shared" si="46"/>
        <v>6.57</v>
      </c>
      <c r="O112" s="134">
        <f t="shared" si="46"/>
        <v>6.57</v>
      </c>
      <c r="P112" s="134">
        <f t="shared" si="46"/>
        <v>6.57</v>
      </c>
      <c r="Q112" s="134">
        <f t="shared" si="46"/>
        <v>6.57</v>
      </c>
      <c r="R112" s="134">
        <f t="shared" si="46"/>
        <v>6.57</v>
      </c>
      <c r="S112" s="134">
        <f t="shared" si="47"/>
        <v>6.57</v>
      </c>
      <c r="T112" s="134">
        <f t="shared" si="47"/>
        <v>6.57</v>
      </c>
      <c r="U112" s="134">
        <f t="shared" si="47"/>
        <v>6.57</v>
      </c>
      <c r="V112" s="134">
        <f t="shared" si="47"/>
        <v>6.57</v>
      </c>
      <c r="W112" s="134">
        <f t="shared" si="47"/>
        <v>6.57</v>
      </c>
      <c r="X112" s="134">
        <f t="shared" si="47"/>
        <v>6.57</v>
      </c>
      <c r="Y112" s="134">
        <f t="shared" si="47"/>
        <v>6.57</v>
      </c>
      <c r="Z112" s="134">
        <f t="shared" si="47"/>
        <v>6.57</v>
      </c>
      <c r="AA112" s="134">
        <f t="shared" si="47"/>
        <v>6.57</v>
      </c>
      <c r="AB112" s="134">
        <f t="shared" si="47"/>
        <v>6.57</v>
      </c>
      <c r="AC112" s="134">
        <f t="shared" si="47"/>
        <v>6.57</v>
      </c>
      <c r="AD112" s="134">
        <f t="shared" si="47"/>
        <v>6.57</v>
      </c>
      <c r="AE112" s="134">
        <f t="shared" si="47"/>
        <v>6.57</v>
      </c>
      <c r="AF112" s="134">
        <f t="shared" si="47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46"/>
        <v>3.43</v>
      </c>
      <c r="D113" s="134">
        <f t="shared" si="46"/>
        <v>3.43</v>
      </c>
      <c r="E113" s="134">
        <f t="shared" si="46"/>
        <v>3.43</v>
      </c>
      <c r="F113" s="134">
        <f t="shared" si="46"/>
        <v>3.43</v>
      </c>
      <c r="G113" s="134">
        <f t="shared" si="46"/>
        <v>3.43</v>
      </c>
      <c r="H113" s="134">
        <f t="shared" si="46"/>
        <v>3.43</v>
      </c>
      <c r="I113" s="134">
        <f t="shared" si="46"/>
        <v>3.43</v>
      </c>
      <c r="J113" s="134">
        <f t="shared" si="46"/>
        <v>3.43</v>
      </c>
      <c r="K113" s="134">
        <f t="shared" si="46"/>
        <v>3.43</v>
      </c>
      <c r="L113" s="134">
        <f t="shared" si="46"/>
        <v>3.43</v>
      </c>
      <c r="M113" s="134">
        <f t="shared" si="46"/>
        <v>3.43</v>
      </c>
      <c r="N113" s="134">
        <f t="shared" si="46"/>
        <v>3.43</v>
      </c>
      <c r="O113" s="134">
        <f t="shared" si="46"/>
        <v>3.43</v>
      </c>
      <c r="P113" s="134">
        <f t="shared" si="46"/>
        <v>3.43</v>
      </c>
      <c r="Q113" s="134">
        <f t="shared" si="46"/>
        <v>3.43</v>
      </c>
      <c r="R113" s="134">
        <f t="shared" si="46"/>
        <v>3.43</v>
      </c>
      <c r="S113" s="134">
        <f t="shared" si="47"/>
        <v>3.43</v>
      </c>
      <c r="T113" s="134">
        <f t="shared" si="47"/>
        <v>3.43</v>
      </c>
      <c r="U113" s="134">
        <f t="shared" si="47"/>
        <v>3.43</v>
      </c>
      <c r="V113" s="134">
        <f t="shared" si="47"/>
        <v>3.43</v>
      </c>
      <c r="W113" s="134">
        <f t="shared" si="47"/>
        <v>3.43</v>
      </c>
      <c r="X113" s="134">
        <f t="shared" si="47"/>
        <v>3.43</v>
      </c>
      <c r="Y113" s="134">
        <f t="shared" si="47"/>
        <v>3.43</v>
      </c>
      <c r="Z113" s="134">
        <f t="shared" si="47"/>
        <v>3.43</v>
      </c>
      <c r="AA113" s="134">
        <f t="shared" si="47"/>
        <v>3.43</v>
      </c>
      <c r="AB113" s="134">
        <f t="shared" si="47"/>
        <v>3.43</v>
      </c>
      <c r="AC113" s="134">
        <f t="shared" si="47"/>
        <v>3.43</v>
      </c>
      <c r="AD113" s="134">
        <f t="shared" si="47"/>
        <v>3.43</v>
      </c>
      <c r="AE113" s="134">
        <f t="shared" si="47"/>
        <v>3.43</v>
      </c>
      <c r="AF113" s="134">
        <f t="shared" si="47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46"/>
        <v>2.96</v>
      </c>
      <c r="D114" s="134">
        <f t="shared" si="46"/>
        <v>2.96</v>
      </c>
      <c r="E114" s="134">
        <f t="shared" si="46"/>
        <v>2.96</v>
      </c>
      <c r="F114" s="134">
        <f t="shared" si="46"/>
        <v>2.96</v>
      </c>
      <c r="G114" s="134">
        <f t="shared" si="46"/>
        <v>2.96</v>
      </c>
      <c r="H114" s="134">
        <f t="shared" si="46"/>
        <v>2.96</v>
      </c>
      <c r="I114" s="134">
        <f t="shared" si="46"/>
        <v>2.96</v>
      </c>
      <c r="J114" s="134">
        <f t="shared" si="46"/>
        <v>2.96</v>
      </c>
      <c r="K114" s="134">
        <f t="shared" si="46"/>
        <v>2.96</v>
      </c>
      <c r="L114" s="134">
        <f t="shared" si="46"/>
        <v>2.96</v>
      </c>
      <c r="M114" s="134">
        <f t="shared" si="46"/>
        <v>2.96</v>
      </c>
      <c r="N114" s="134">
        <f t="shared" si="46"/>
        <v>2.96</v>
      </c>
      <c r="O114" s="134">
        <f t="shared" si="46"/>
        <v>2.96</v>
      </c>
      <c r="P114" s="134">
        <f t="shared" si="46"/>
        <v>2.96</v>
      </c>
      <c r="Q114" s="134">
        <f t="shared" si="46"/>
        <v>2.96</v>
      </c>
      <c r="R114" s="134">
        <f t="shared" si="46"/>
        <v>2.96</v>
      </c>
      <c r="S114" s="134">
        <f t="shared" si="47"/>
        <v>2.96</v>
      </c>
      <c r="T114" s="134">
        <f t="shared" si="47"/>
        <v>2.96</v>
      </c>
      <c r="U114" s="134">
        <f t="shared" si="47"/>
        <v>2.96</v>
      </c>
      <c r="V114" s="134">
        <f t="shared" si="47"/>
        <v>2.96</v>
      </c>
      <c r="W114" s="134">
        <f t="shared" si="47"/>
        <v>2.96</v>
      </c>
      <c r="X114" s="134">
        <f t="shared" si="47"/>
        <v>2.96</v>
      </c>
      <c r="Y114" s="134">
        <f t="shared" si="47"/>
        <v>2.96</v>
      </c>
      <c r="Z114" s="134">
        <f t="shared" si="47"/>
        <v>2.96</v>
      </c>
      <c r="AA114" s="134">
        <f t="shared" si="47"/>
        <v>2.96</v>
      </c>
      <c r="AB114" s="134">
        <f t="shared" si="47"/>
        <v>2.96</v>
      </c>
      <c r="AC114" s="134">
        <f t="shared" si="47"/>
        <v>2.96</v>
      </c>
      <c r="AD114" s="134">
        <f t="shared" si="47"/>
        <v>2.96</v>
      </c>
      <c r="AE114" s="134">
        <f t="shared" si="47"/>
        <v>2.96</v>
      </c>
      <c r="AF114" s="134">
        <f t="shared" si="47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46"/>
        <v>8</v>
      </c>
      <c r="D115" s="134">
        <f t="shared" si="46"/>
        <v>8</v>
      </c>
      <c r="E115" s="134">
        <f t="shared" si="46"/>
        <v>8</v>
      </c>
      <c r="F115" s="134">
        <f t="shared" si="46"/>
        <v>8</v>
      </c>
      <c r="G115" s="134">
        <f t="shared" si="46"/>
        <v>8</v>
      </c>
      <c r="H115" s="134">
        <f t="shared" si="46"/>
        <v>8</v>
      </c>
      <c r="I115" s="134">
        <f t="shared" si="46"/>
        <v>8</v>
      </c>
      <c r="J115" s="134">
        <f t="shared" si="46"/>
        <v>8</v>
      </c>
      <c r="K115" s="134">
        <f t="shared" si="46"/>
        <v>8</v>
      </c>
      <c r="L115" s="134">
        <f t="shared" si="46"/>
        <v>8</v>
      </c>
      <c r="M115" s="134">
        <f t="shared" si="46"/>
        <v>8</v>
      </c>
      <c r="N115" s="134">
        <f t="shared" si="46"/>
        <v>8</v>
      </c>
      <c r="O115" s="134">
        <f t="shared" si="46"/>
        <v>8</v>
      </c>
      <c r="P115" s="134">
        <f t="shared" si="46"/>
        <v>8</v>
      </c>
      <c r="Q115" s="134">
        <f t="shared" si="46"/>
        <v>8</v>
      </c>
      <c r="R115" s="134">
        <f t="shared" si="46"/>
        <v>8</v>
      </c>
      <c r="S115" s="134">
        <f t="shared" si="47"/>
        <v>8</v>
      </c>
      <c r="T115" s="134">
        <f t="shared" si="47"/>
        <v>8</v>
      </c>
      <c r="U115" s="134">
        <f t="shared" si="47"/>
        <v>8</v>
      </c>
      <c r="V115" s="134">
        <f t="shared" si="47"/>
        <v>8</v>
      </c>
      <c r="W115" s="134">
        <f t="shared" si="47"/>
        <v>8</v>
      </c>
      <c r="X115" s="134">
        <f t="shared" si="47"/>
        <v>8</v>
      </c>
      <c r="Y115" s="134">
        <f t="shared" si="47"/>
        <v>8</v>
      </c>
      <c r="Z115" s="134">
        <f t="shared" si="47"/>
        <v>8</v>
      </c>
      <c r="AA115" s="134">
        <f t="shared" si="47"/>
        <v>8</v>
      </c>
      <c r="AB115" s="134">
        <f t="shared" si="47"/>
        <v>8</v>
      </c>
      <c r="AC115" s="134">
        <f t="shared" si="47"/>
        <v>8</v>
      </c>
      <c r="AD115" s="134">
        <f t="shared" si="47"/>
        <v>8</v>
      </c>
      <c r="AE115" s="134">
        <f t="shared" si="47"/>
        <v>8</v>
      </c>
      <c r="AF115" s="134">
        <f t="shared" si="47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46"/>
        <v>7</v>
      </c>
      <c r="E116" s="134">
        <f t="shared" si="46"/>
        <v>7</v>
      </c>
      <c r="F116" s="134">
        <f t="shared" si="46"/>
        <v>7</v>
      </c>
      <c r="G116" s="134">
        <f t="shared" si="46"/>
        <v>7</v>
      </c>
      <c r="H116" s="134">
        <f t="shared" si="46"/>
        <v>7</v>
      </c>
      <c r="I116" s="134">
        <f t="shared" si="46"/>
        <v>7</v>
      </c>
      <c r="J116" s="134">
        <f t="shared" si="46"/>
        <v>7</v>
      </c>
      <c r="K116" s="134">
        <f t="shared" si="46"/>
        <v>7</v>
      </c>
      <c r="L116" s="134">
        <f t="shared" si="46"/>
        <v>7</v>
      </c>
      <c r="M116" s="134">
        <f t="shared" si="46"/>
        <v>7</v>
      </c>
      <c r="N116" s="134">
        <f t="shared" si="46"/>
        <v>7</v>
      </c>
      <c r="O116" s="134">
        <f t="shared" si="46"/>
        <v>7</v>
      </c>
      <c r="P116" s="134">
        <f t="shared" si="46"/>
        <v>7</v>
      </c>
      <c r="Q116" s="134">
        <f t="shared" si="46"/>
        <v>7</v>
      </c>
      <c r="R116" s="134">
        <f t="shared" si="46"/>
        <v>7</v>
      </c>
      <c r="S116" s="134">
        <f t="shared" si="47"/>
        <v>7</v>
      </c>
      <c r="T116" s="134">
        <f t="shared" si="47"/>
        <v>7</v>
      </c>
      <c r="U116" s="134">
        <f t="shared" si="47"/>
        <v>7</v>
      </c>
      <c r="V116" s="134">
        <f t="shared" si="47"/>
        <v>7</v>
      </c>
      <c r="W116" s="134">
        <f t="shared" si="47"/>
        <v>7</v>
      </c>
      <c r="X116" s="134">
        <f t="shared" si="47"/>
        <v>7</v>
      </c>
      <c r="Y116" s="134">
        <f t="shared" si="47"/>
        <v>7</v>
      </c>
      <c r="Z116" s="134">
        <f t="shared" si="47"/>
        <v>7</v>
      </c>
      <c r="AA116" s="134">
        <f t="shared" si="47"/>
        <v>7</v>
      </c>
      <c r="AB116" s="134">
        <f t="shared" si="47"/>
        <v>7</v>
      </c>
      <c r="AC116" s="134">
        <f t="shared" si="47"/>
        <v>7</v>
      </c>
      <c r="AD116" s="134">
        <f t="shared" si="47"/>
        <v>7</v>
      </c>
      <c r="AE116" s="134">
        <f t="shared" si="47"/>
        <v>7</v>
      </c>
      <c r="AF116" s="134">
        <f t="shared" si="47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48">B117</f>
        <v>3.47</v>
      </c>
      <c r="D117" s="134">
        <f t="shared" si="48"/>
        <v>3.47</v>
      </c>
      <c r="E117" s="134">
        <f t="shared" si="48"/>
        <v>3.47</v>
      </c>
      <c r="F117" s="134">
        <f t="shared" si="48"/>
        <v>3.47</v>
      </c>
      <c r="G117" s="134">
        <f t="shared" si="48"/>
        <v>3.47</v>
      </c>
      <c r="H117" s="134">
        <f t="shared" si="48"/>
        <v>3.47</v>
      </c>
      <c r="I117" s="134">
        <f t="shared" si="48"/>
        <v>3.47</v>
      </c>
      <c r="J117" s="134">
        <f t="shared" si="48"/>
        <v>3.47</v>
      </c>
      <c r="K117" s="134">
        <f t="shared" si="48"/>
        <v>3.47</v>
      </c>
      <c r="L117" s="134">
        <f t="shared" si="48"/>
        <v>3.47</v>
      </c>
      <c r="M117" s="134">
        <f t="shared" si="48"/>
        <v>3.47</v>
      </c>
      <c r="N117" s="134">
        <f t="shared" si="48"/>
        <v>3.47</v>
      </c>
      <c r="O117" s="134">
        <f t="shared" si="48"/>
        <v>3.47</v>
      </c>
      <c r="P117" s="134">
        <f t="shared" si="48"/>
        <v>3.47</v>
      </c>
      <c r="Q117" s="134">
        <f t="shared" si="48"/>
        <v>3.47</v>
      </c>
      <c r="R117" s="134">
        <f t="shared" si="48"/>
        <v>3.47</v>
      </c>
      <c r="S117" s="134">
        <f t="shared" si="47"/>
        <v>3.47</v>
      </c>
      <c r="T117" s="134">
        <f t="shared" si="47"/>
        <v>3.47</v>
      </c>
      <c r="U117" s="134">
        <f t="shared" si="47"/>
        <v>3.47</v>
      </c>
      <c r="V117" s="134">
        <f t="shared" si="47"/>
        <v>3.47</v>
      </c>
      <c r="W117" s="134">
        <f t="shared" si="47"/>
        <v>3.47</v>
      </c>
      <c r="X117" s="134">
        <f t="shared" si="47"/>
        <v>3.47</v>
      </c>
      <c r="Y117" s="134">
        <f t="shared" si="47"/>
        <v>3.47</v>
      </c>
      <c r="Z117" s="134">
        <f t="shared" si="47"/>
        <v>3.47</v>
      </c>
      <c r="AA117" s="134">
        <f t="shared" si="47"/>
        <v>3.47</v>
      </c>
      <c r="AB117" s="134">
        <f t="shared" si="47"/>
        <v>3.47</v>
      </c>
      <c r="AC117" s="134">
        <f t="shared" si="47"/>
        <v>3.47</v>
      </c>
      <c r="AD117" s="134">
        <f t="shared" si="47"/>
        <v>3.47</v>
      </c>
      <c r="AE117" s="134">
        <f t="shared" si="47"/>
        <v>3.47</v>
      </c>
      <c r="AF117" s="134">
        <f t="shared" si="47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48"/>
        <v>2.1</v>
      </c>
      <c r="D118" s="134">
        <f t="shared" si="48"/>
        <v>2.1</v>
      </c>
      <c r="E118" s="134">
        <f t="shared" si="48"/>
        <v>2.1</v>
      </c>
      <c r="F118" s="134">
        <f t="shared" si="48"/>
        <v>2.1</v>
      </c>
      <c r="G118" s="134">
        <f t="shared" si="48"/>
        <v>2.1</v>
      </c>
      <c r="H118" s="134">
        <f t="shared" si="48"/>
        <v>2.1</v>
      </c>
      <c r="I118" s="134">
        <f t="shared" si="48"/>
        <v>2.1</v>
      </c>
      <c r="J118" s="134">
        <f t="shared" si="48"/>
        <v>2.1</v>
      </c>
      <c r="K118" s="134">
        <f t="shared" si="48"/>
        <v>2.1</v>
      </c>
      <c r="L118" s="134">
        <f t="shared" si="48"/>
        <v>2.1</v>
      </c>
      <c r="M118" s="134">
        <f t="shared" si="48"/>
        <v>2.1</v>
      </c>
      <c r="N118" s="134">
        <f t="shared" si="48"/>
        <v>2.1</v>
      </c>
      <c r="O118" s="134">
        <f t="shared" si="48"/>
        <v>2.1</v>
      </c>
      <c r="P118" s="134">
        <f t="shared" si="48"/>
        <v>2.1</v>
      </c>
      <c r="Q118" s="134">
        <f t="shared" si="48"/>
        <v>2.1</v>
      </c>
      <c r="R118" s="134">
        <f t="shared" si="48"/>
        <v>2.1</v>
      </c>
      <c r="S118" s="134">
        <f t="shared" si="47"/>
        <v>2.1</v>
      </c>
      <c r="T118" s="134">
        <f t="shared" si="47"/>
        <v>2.1</v>
      </c>
      <c r="U118" s="134">
        <f t="shared" si="47"/>
        <v>2.1</v>
      </c>
      <c r="V118" s="134">
        <f t="shared" si="47"/>
        <v>2.1</v>
      </c>
      <c r="W118" s="134">
        <f t="shared" si="47"/>
        <v>2.1</v>
      </c>
      <c r="X118" s="134">
        <f t="shared" si="47"/>
        <v>2.1</v>
      </c>
      <c r="Y118" s="134">
        <f t="shared" si="47"/>
        <v>2.1</v>
      </c>
      <c r="Z118" s="134">
        <f t="shared" si="47"/>
        <v>2.1</v>
      </c>
      <c r="AA118" s="134">
        <f t="shared" si="47"/>
        <v>2.1</v>
      </c>
      <c r="AB118" s="134">
        <f t="shared" si="47"/>
        <v>2.1</v>
      </c>
      <c r="AC118" s="134">
        <f t="shared" si="47"/>
        <v>2.1</v>
      </c>
      <c r="AD118" s="134">
        <f t="shared" si="47"/>
        <v>2.1</v>
      </c>
      <c r="AE118" s="134">
        <f t="shared" si="47"/>
        <v>2.1</v>
      </c>
      <c r="AF118" s="134">
        <f t="shared" si="47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48"/>
        <v>9.3000000000000007</v>
      </c>
      <c r="D119" s="134">
        <f t="shared" si="48"/>
        <v>9.3000000000000007</v>
      </c>
      <c r="E119" s="134">
        <f t="shared" si="48"/>
        <v>9.3000000000000007</v>
      </c>
      <c r="F119" s="134">
        <f t="shared" si="48"/>
        <v>9.3000000000000007</v>
      </c>
      <c r="G119" s="134">
        <f t="shared" si="48"/>
        <v>9.3000000000000007</v>
      </c>
      <c r="H119" s="134">
        <f t="shared" si="48"/>
        <v>9.3000000000000007</v>
      </c>
      <c r="I119" s="134">
        <f t="shared" si="48"/>
        <v>9.3000000000000007</v>
      </c>
      <c r="J119" s="134">
        <f t="shared" si="48"/>
        <v>9.3000000000000007</v>
      </c>
      <c r="K119" s="134">
        <f t="shared" si="48"/>
        <v>9.3000000000000007</v>
      </c>
      <c r="L119" s="134">
        <f t="shared" si="48"/>
        <v>9.3000000000000007</v>
      </c>
      <c r="M119" s="134">
        <f t="shared" si="48"/>
        <v>9.3000000000000007</v>
      </c>
      <c r="N119" s="134">
        <f t="shared" si="48"/>
        <v>9.3000000000000007</v>
      </c>
      <c r="O119" s="134">
        <f t="shared" si="48"/>
        <v>9.3000000000000007</v>
      </c>
      <c r="P119" s="134">
        <f t="shared" si="48"/>
        <v>9.3000000000000007</v>
      </c>
      <c r="Q119" s="134">
        <f t="shared" si="48"/>
        <v>9.3000000000000007</v>
      </c>
      <c r="R119" s="134">
        <f t="shared" si="48"/>
        <v>9.3000000000000007</v>
      </c>
      <c r="S119" s="134">
        <f t="shared" si="47"/>
        <v>9.3000000000000007</v>
      </c>
      <c r="T119" s="134">
        <f t="shared" si="47"/>
        <v>9.3000000000000007</v>
      </c>
      <c r="U119" s="134">
        <f t="shared" si="47"/>
        <v>9.3000000000000007</v>
      </c>
      <c r="V119" s="134">
        <f t="shared" si="47"/>
        <v>9.3000000000000007</v>
      </c>
      <c r="W119" s="134">
        <f t="shared" si="47"/>
        <v>9.3000000000000007</v>
      </c>
      <c r="X119" s="134">
        <f t="shared" si="47"/>
        <v>9.3000000000000007</v>
      </c>
      <c r="Y119" s="134">
        <f t="shared" si="47"/>
        <v>9.3000000000000007</v>
      </c>
      <c r="Z119" s="134">
        <f t="shared" si="47"/>
        <v>9.3000000000000007</v>
      </c>
      <c r="AA119" s="134">
        <f t="shared" si="47"/>
        <v>9.3000000000000007</v>
      </c>
      <c r="AB119" s="134">
        <f t="shared" si="47"/>
        <v>9.3000000000000007</v>
      </c>
      <c r="AC119" s="134">
        <f t="shared" si="47"/>
        <v>9.3000000000000007</v>
      </c>
      <c r="AD119" s="134">
        <f t="shared" si="47"/>
        <v>9.3000000000000007</v>
      </c>
      <c r="AE119" s="134">
        <f t="shared" si="47"/>
        <v>9.3000000000000007</v>
      </c>
      <c r="AF119" s="134">
        <f t="shared" si="47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48"/>
        <v>0</v>
      </c>
      <c r="D120" s="134">
        <f t="shared" si="48"/>
        <v>0</v>
      </c>
      <c r="E120" s="134">
        <f t="shared" si="48"/>
        <v>0</v>
      </c>
      <c r="F120" s="134">
        <f t="shared" si="48"/>
        <v>0</v>
      </c>
      <c r="G120" s="134">
        <f t="shared" si="48"/>
        <v>0</v>
      </c>
      <c r="H120" s="134">
        <f t="shared" si="48"/>
        <v>0</v>
      </c>
      <c r="I120" s="134">
        <f t="shared" si="48"/>
        <v>0</v>
      </c>
      <c r="J120" s="134">
        <f t="shared" si="48"/>
        <v>0</v>
      </c>
      <c r="K120" s="134">
        <f t="shared" si="48"/>
        <v>0</v>
      </c>
      <c r="L120" s="134">
        <f t="shared" si="48"/>
        <v>0</v>
      </c>
      <c r="M120" s="134">
        <f t="shared" si="48"/>
        <v>0</v>
      </c>
      <c r="N120" s="134">
        <f t="shared" si="48"/>
        <v>0</v>
      </c>
      <c r="O120" s="134">
        <f t="shared" si="48"/>
        <v>0</v>
      </c>
      <c r="P120" s="134">
        <f t="shared" si="48"/>
        <v>0</v>
      </c>
      <c r="Q120" s="134">
        <f t="shared" si="48"/>
        <v>0</v>
      </c>
      <c r="R120" s="134">
        <f t="shared" si="48"/>
        <v>0</v>
      </c>
      <c r="S120" s="134">
        <f t="shared" si="47"/>
        <v>0</v>
      </c>
      <c r="T120" s="134">
        <f t="shared" si="47"/>
        <v>0</v>
      </c>
      <c r="U120" s="134">
        <f t="shared" si="47"/>
        <v>0</v>
      </c>
      <c r="V120" s="134">
        <f t="shared" si="47"/>
        <v>0</v>
      </c>
      <c r="W120" s="134">
        <f t="shared" si="47"/>
        <v>0</v>
      </c>
      <c r="X120" s="134">
        <f t="shared" si="47"/>
        <v>0</v>
      </c>
      <c r="Y120" s="134">
        <f t="shared" si="47"/>
        <v>0</v>
      </c>
      <c r="Z120" s="134">
        <f t="shared" si="47"/>
        <v>0</v>
      </c>
      <c r="AA120" s="134">
        <f t="shared" si="47"/>
        <v>0</v>
      </c>
      <c r="AB120" s="134">
        <f t="shared" si="47"/>
        <v>0</v>
      </c>
      <c r="AC120" s="134">
        <f t="shared" si="47"/>
        <v>0</v>
      </c>
      <c r="AD120" s="134">
        <f t="shared" si="47"/>
        <v>0</v>
      </c>
      <c r="AE120" s="134">
        <f t="shared" si="47"/>
        <v>0</v>
      </c>
      <c r="AF120" s="134">
        <f t="shared" si="47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48"/>
        <v>0</v>
      </c>
      <c r="D121" s="134">
        <f t="shared" si="48"/>
        <v>0</v>
      </c>
      <c r="E121" s="134">
        <f t="shared" si="48"/>
        <v>0</v>
      </c>
      <c r="F121" s="134">
        <f t="shared" si="48"/>
        <v>0</v>
      </c>
      <c r="G121" s="134">
        <f t="shared" si="48"/>
        <v>0</v>
      </c>
      <c r="H121" s="134">
        <f t="shared" si="48"/>
        <v>0</v>
      </c>
      <c r="I121" s="134">
        <f t="shared" si="48"/>
        <v>0</v>
      </c>
      <c r="J121" s="134">
        <f t="shared" si="48"/>
        <v>0</v>
      </c>
      <c r="K121" s="134">
        <f t="shared" si="48"/>
        <v>0</v>
      </c>
      <c r="L121" s="134">
        <f t="shared" si="48"/>
        <v>0</v>
      </c>
      <c r="M121" s="134">
        <f t="shared" si="48"/>
        <v>0</v>
      </c>
      <c r="N121" s="134">
        <f t="shared" si="48"/>
        <v>0</v>
      </c>
      <c r="O121" s="134">
        <f t="shared" si="48"/>
        <v>0</v>
      </c>
      <c r="P121" s="134">
        <f t="shared" si="48"/>
        <v>0</v>
      </c>
      <c r="Q121" s="134">
        <f t="shared" si="48"/>
        <v>0</v>
      </c>
      <c r="R121" s="134">
        <f t="shared" si="48"/>
        <v>0</v>
      </c>
      <c r="S121" s="134">
        <f t="shared" si="47"/>
        <v>0</v>
      </c>
      <c r="T121" s="134">
        <f t="shared" si="47"/>
        <v>0</v>
      </c>
      <c r="U121" s="134">
        <f t="shared" si="47"/>
        <v>0</v>
      </c>
      <c r="V121" s="134">
        <f t="shared" si="47"/>
        <v>0</v>
      </c>
      <c r="W121" s="134">
        <f t="shared" si="47"/>
        <v>0</v>
      </c>
      <c r="X121" s="134">
        <f t="shared" si="47"/>
        <v>0</v>
      </c>
      <c r="Y121" s="134">
        <f t="shared" si="47"/>
        <v>0</v>
      </c>
      <c r="Z121" s="134">
        <f t="shared" si="47"/>
        <v>0</v>
      </c>
      <c r="AA121" s="134">
        <f t="shared" si="47"/>
        <v>0</v>
      </c>
      <c r="AB121" s="134">
        <f t="shared" si="47"/>
        <v>0</v>
      </c>
      <c r="AC121" s="134">
        <f t="shared" si="47"/>
        <v>0</v>
      </c>
      <c r="AD121" s="134">
        <f t="shared" si="47"/>
        <v>0</v>
      </c>
      <c r="AE121" s="134">
        <f t="shared" si="47"/>
        <v>0</v>
      </c>
      <c r="AF121" s="134">
        <f t="shared" si="47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48"/>
        <v>5</v>
      </c>
      <c r="D122" s="134">
        <f t="shared" si="48"/>
        <v>5</v>
      </c>
      <c r="E122" s="134">
        <f t="shared" si="48"/>
        <v>5</v>
      </c>
      <c r="F122" s="134">
        <f t="shared" si="48"/>
        <v>5</v>
      </c>
      <c r="G122" s="134">
        <f t="shared" si="48"/>
        <v>5</v>
      </c>
      <c r="H122" s="134">
        <f t="shared" si="48"/>
        <v>5</v>
      </c>
      <c r="I122" s="134">
        <f t="shared" si="48"/>
        <v>5</v>
      </c>
      <c r="J122" s="134">
        <f t="shared" si="48"/>
        <v>5</v>
      </c>
      <c r="K122" s="134">
        <f t="shared" si="48"/>
        <v>5</v>
      </c>
      <c r="L122" s="134">
        <f t="shared" si="48"/>
        <v>5</v>
      </c>
      <c r="M122" s="134">
        <f t="shared" si="48"/>
        <v>5</v>
      </c>
      <c r="N122" s="134">
        <f t="shared" si="48"/>
        <v>5</v>
      </c>
      <c r="O122" s="134">
        <f t="shared" si="48"/>
        <v>5</v>
      </c>
      <c r="P122" s="134">
        <f t="shared" si="48"/>
        <v>5</v>
      </c>
      <c r="Q122" s="134">
        <f t="shared" si="48"/>
        <v>5</v>
      </c>
      <c r="R122" s="134">
        <f t="shared" si="48"/>
        <v>5</v>
      </c>
      <c r="S122" s="134">
        <f t="shared" si="47"/>
        <v>5</v>
      </c>
      <c r="T122" s="134">
        <f t="shared" si="47"/>
        <v>5</v>
      </c>
      <c r="U122" s="134">
        <f t="shared" si="47"/>
        <v>5</v>
      </c>
      <c r="V122" s="134">
        <f t="shared" si="47"/>
        <v>5</v>
      </c>
      <c r="W122" s="134">
        <f t="shared" si="47"/>
        <v>5</v>
      </c>
      <c r="X122" s="134">
        <f t="shared" si="47"/>
        <v>5</v>
      </c>
      <c r="Y122" s="134">
        <f t="shared" si="47"/>
        <v>5</v>
      </c>
      <c r="Z122" s="134">
        <f t="shared" si="47"/>
        <v>5</v>
      </c>
      <c r="AA122" s="134">
        <f t="shared" si="47"/>
        <v>5</v>
      </c>
      <c r="AB122" s="134">
        <f t="shared" si="47"/>
        <v>5</v>
      </c>
      <c r="AC122" s="134">
        <f t="shared" si="47"/>
        <v>5</v>
      </c>
      <c r="AD122" s="134">
        <f t="shared" si="47"/>
        <v>5</v>
      </c>
      <c r="AE122" s="134">
        <f t="shared" si="47"/>
        <v>5</v>
      </c>
      <c r="AF122" s="134">
        <f t="shared" si="47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48"/>
        <v>1</v>
      </c>
      <c r="D123" s="134">
        <f t="shared" si="48"/>
        <v>1</v>
      </c>
      <c r="E123" s="134">
        <f t="shared" si="48"/>
        <v>1</v>
      </c>
      <c r="F123" s="134">
        <f t="shared" si="48"/>
        <v>1</v>
      </c>
      <c r="G123" s="134">
        <f t="shared" si="48"/>
        <v>1</v>
      </c>
      <c r="H123" s="134">
        <f t="shared" si="48"/>
        <v>1</v>
      </c>
      <c r="I123" s="134">
        <f t="shared" si="48"/>
        <v>1</v>
      </c>
      <c r="J123" s="134">
        <f t="shared" si="48"/>
        <v>1</v>
      </c>
      <c r="K123" s="134">
        <f t="shared" si="48"/>
        <v>1</v>
      </c>
      <c r="L123" s="134">
        <f t="shared" si="48"/>
        <v>1</v>
      </c>
      <c r="M123" s="134">
        <f t="shared" si="48"/>
        <v>1</v>
      </c>
      <c r="N123" s="134">
        <f t="shared" si="48"/>
        <v>1</v>
      </c>
      <c r="O123" s="134">
        <f t="shared" si="48"/>
        <v>1</v>
      </c>
      <c r="P123" s="134">
        <f t="shared" si="48"/>
        <v>1</v>
      </c>
      <c r="Q123" s="134">
        <f t="shared" si="48"/>
        <v>1</v>
      </c>
      <c r="R123" s="134">
        <f t="shared" si="48"/>
        <v>1</v>
      </c>
      <c r="S123" s="134">
        <f t="shared" si="47"/>
        <v>1</v>
      </c>
      <c r="T123" s="134">
        <f t="shared" si="47"/>
        <v>1</v>
      </c>
      <c r="U123" s="134">
        <f t="shared" si="47"/>
        <v>1</v>
      </c>
      <c r="V123" s="134">
        <f t="shared" si="47"/>
        <v>1</v>
      </c>
      <c r="W123" s="134">
        <f t="shared" si="47"/>
        <v>1</v>
      </c>
      <c r="X123" s="134">
        <f t="shared" si="47"/>
        <v>1</v>
      </c>
      <c r="Y123" s="134">
        <f t="shared" si="47"/>
        <v>1</v>
      </c>
      <c r="Z123" s="134">
        <f t="shared" si="47"/>
        <v>1</v>
      </c>
      <c r="AA123" s="134">
        <f t="shared" si="47"/>
        <v>1</v>
      </c>
      <c r="AB123" s="134">
        <f t="shared" si="47"/>
        <v>1</v>
      </c>
      <c r="AC123" s="134">
        <f t="shared" si="47"/>
        <v>1</v>
      </c>
      <c r="AD123" s="134">
        <f t="shared" si="47"/>
        <v>1</v>
      </c>
      <c r="AE123" s="134">
        <f t="shared" si="47"/>
        <v>1</v>
      </c>
      <c r="AF123" s="134">
        <f t="shared" si="47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48"/>
        <v>1.58</v>
      </c>
      <c r="D124" s="134">
        <f t="shared" si="48"/>
        <v>1.58</v>
      </c>
      <c r="E124" s="134">
        <f t="shared" si="48"/>
        <v>1.58</v>
      </c>
      <c r="F124" s="134">
        <f t="shared" si="48"/>
        <v>1.58</v>
      </c>
      <c r="G124" s="134">
        <f t="shared" si="48"/>
        <v>1.58</v>
      </c>
      <c r="H124" s="134">
        <f t="shared" si="48"/>
        <v>1.58</v>
      </c>
      <c r="I124" s="134">
        <f t="shared" si="48"/>
        <v>1.58</v>
      </c>
      <c r="J124" s="134">
        <f t="shared" si="48"/>
        <v>1.58</v>
      </c>
      <c r="K124" s="134">
        <f t="shared" si="48"/>
        <v>1.58</v>
      </c>
      <c r="L124" s="134">
        <f t="shared" si="48"/>
        <v>1.58</v>
      </c>
      <c r="M124" s="134">
        <f t="shared" si="48"/>
        <v>1.58</v>
      </c>
      <c r="N124" s="134">
        <f t="shared" si="48"/>
        <v>1.58</v>
      </c>
      <c r="O124" s="134">
        <f t="shared" si="48"/>
        <v>1.58</v>
      </c>
      <c r="P124" s="134">
        <f t="shared" si="48"/>
        <v>1.58</v>
      </c>
      <c r="Q124" s="134">
        <f t="shared" si="48"/>
        <v>1.58</v>
      </c>
      <c r="R124" s="134">
        <f t="shared" si="48"/>
        <v>1.58</v>
      </c>
      <c r="S124" s="134">
        <f t="shared" si="47"/>
        <v>1.58</v>
      </c>
      <c r="T124" s="134">
        <f t="shared" si="47"/>
        <v>1.58</v>
      </c>
      <c r="U124" s="134">
        <f t="shared" si="47"/>
        <v>1.58</v>
      </c>
      <c r="V124" s="134">
        <f t="shared" si="47"/>
        <v>1.58</v>
      </c>
      <c r="W124" s="134">
        <f t="shared" si="47"/>
        <v>1.58</v>
      </c>
      <c r="X124" s="134">
        <f t="shared" si="47"/>
        <v>1.58</v>
      </c>
      <c r="Y124" s="134">
        <f t="shared" si="47"/>
        <v>1.58</v>
      </c>
      <c r="Z124" s="134">
        <f t="shared" si="47"/>
        <v>1.58</v>
      </c>
      <c r="AA124" s="134">
        <f t="shared" si="47"/>
        <v>1.58</v>
      </c>
      <c r="AB124" s="134">
        <f t="shared" si="47"/>
        <v>1.58</v>
      </c>
      <c r="AC124" s="134">
        <f t="shared" si="47"/>
        <v>1.58</v>
      </c>
      <c r="AD124" s="134">
        <f t="shared" si="47"/>
        <v>1.58</v>
      </c>
      <c r="AE124" s="134">
        <f t="shared" si="47"/>
        <v>1.58</v>
      </c>
      <c r="AF124" s="134">
        <f t="shared" si="47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48"/>
        <v>1.46</v>
      </c>
      <c r="D125" s="134">
        <f t="shared" si="48"/>
        <v>1.46</v>
      </c>
      <c r="E125" s="134">
        <f t="shared" si="48"/>
        <v>1.46</v>
      </c>
      <c r="F125" s="134">
        <f t="shared" si="48"/>
        <v>1.46</v>
      </c>
      <c r="G125" s="134">
        <f t="shared" si="48"/>
        <v>1.46</v>
      </c>
      <c r="H125" s="134">
        <f t="shared" si="48"/>
        <v>1.46</v>
      </c>
      <c r="I125" s="134">
        <f t="shared" si="48"/>
        <v>1.46</v>
      </c>
      <c r="J125" s="134">
        <f t="shared" si="48"/>
        <v>1.46</v>
      </c>
      <c r="K125" s="134">
        <f t="shared" si="48"/>
        <v>1.46</v>
      </c>
      <c r="L125" s="134">
        <f t="shared" si="48"/>
        <v>1.46</v>
      </c>
      <c r="M125" s="134">
        <f t="shared" si="48"/>
        <v>1.46</v>
      </c>
      <c r="N125" s="134">
        <f t="shared" si="48"/>
        <v>1.46</v>
      </c>
      <c r="O125" s="134">
        <f t="shared" si="48"/>
        <v>1.46</v>
      </c>
      <c r="P125" s="134">
        <f t="shared" si="48"/>
        <v>1.46</v>
      </c>
      <c r="Q125" s="134">
        <f t="shared" si="48"/>
        <v>1.46</v>
      </c>
      <c r="R125" s="134">
        <f t="shared" si="48"/>
        <v>1.46</v>
      </c>
      <c r="S125" s="134">
        <f t="shared" ref="S125:AF126" si="49">R125</f>
        <v>1.46</v>
      </c>
      <c r="T125" s="134">
        <f t="shared" si="49"/>
        <v>1.46</v>
      </c>
      <c r="U125" s="134">
        <f t="shared" si="49"/>
        <v>1.46</v>
      </c>
      <c r="V125" s="134">
        <f t="shared" si="49"/>
        <v>1.46</v>
      </c>
      <c r="W125" s="134">
        <f t="shared" si="49"/>
        <v>1.46</v>
      </c>
      <c r="X125" s="134">
        <f t="shared" si="49"/>
        <v>1.46</v>
      </c>
      <c r="Y125" s="134">
        <f t="shared" si="49"/>
        <v>1.46</v>
      </c>
      <c r="Z125" s="134">
        <f t="shared" si="49"/>
        <v>1.46</v>
      </c>
      <c r="AA125" s="134">
        <f t="shared" si="49"/>
        <v>1.46</v>
      </c>
      <c r="AB125" s="134">
        <f t="shared" si="49"/>
        <v>1.46</v>
      </c>
      <c r="AC125" s="134">
        <f t="shared" si="49"/>
        <v>1.46</v>
      </c>
      <c r="AD125" s="134">
        <f t="shared" si="49"/>
        <v>1.46</v>
      </c>
      <c r="AE125" s="134">
        <f t="shared" si="49"/>
        <v>1.46</v>
      </c>
      <c r="AF125" s="134">
        <f t="shared" si="49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48"/>
        <v>1.48</v>
      </c>
      <c r="D126" s="134">
        <f t="shared" si="48"/>
        <v>1.48</v>
      </c>
      <c r="E126" s="134">
        <f t="shared" si="48"/>
        <v>1.48</v>
      </c>
      <c r="F126" s="134">
        <f t="shared" si="48"/>
        <v>1.48</v>
      </c>
      <c r="G126" s="134">
        <f t="shared" si="48"/>
        <v>1.48</v>
      </c>
      <c r="H126" s="134">
        <f t="shared" si="48"/>
        <v>1.48</v>
      </c>
      <c r="I126" s="134">
        <f t="shared" si="48"/>
        <v>1.48</v>
      </c>
      <c r="J126" s="134">
        <f t="shared" si="48"/>
        <v>1.48</v>
      </c>
      <c r="K126" s="134">
        <f t="shared" si="48"/>
        <v>1.48</v>
      </c>
      <c r="L126" s="134">
        <f t="shared" si="48"/>
        <v>1.48</v>
      </c>
      <c r="M126" s="134">
        <f t="shared" si="48"/>
        <v>1.48</v>
      </c>
      <c r="N126" s="134">
        <f t="shared" si="48"/>
        <v>1.48</v>
      </c>
      <c r="O126" s="134">
        <f t="shared" si="48"/>
        <v>1.48</v>
      </c>
      <c r="P126" s="134">
        <f t="shared" si="48"/>
        <v>1.48</v>
      </c>
      <c r="Q126" s="134">
        <f t="shared" si="48"/>
        <v>1.48</v>
      </c>
      <c r="R126" s="134">
        <f t="shared" si="48"/>
        <v>1.48</v>
      </c>
      <c r="S126" s="134">
        <f t="shared" si="49"/>
        <v>1.48</v>
      </c>
      <c r="T126" s="134">
        <f t="shared" si="49"/>
        <v>1.48</v>
      </c>
      <c r="U126" s="134">
        <f t="shared" si="49"/>
        <v>1.48</v>
      </c>
      <c r="V126" s="134">
        <f t="shared" si="49"/>
        <v>1.48</v>
      </c>
      <c r="W126" s="134">
        <f t="shared" si="49"/>
        <v>1.48</v>
      </c>
      <c r="X126" s="134">
        <f t="shared" si="49"/>
        <v>1.48</v>
      </c>
      <c r="Y126" s="134">
        <f t="shared" si="49"/>
        <v>1.48</v>
      </c>
      <c r="Z126" s="134">
        <f t="shared" si="49"/>
        <v>1.48</v>
      </c>
      <c r="AA126" s="134">
        <f t="shared" si="49"/>
        <v>1.48</v>
      </c>
      <c r="AB126" s="134">
        <f t="shared" si="49"/>
        <v>1.48</v>
      </c>
      <c r="AC126" s="134">
        <f t="shared" si="49"/>
        <v>1.48</v>
      </c>
      <c r="AD126" s="134">
        <f t="shared" si="49"/>
        <v>1.48</v>
      </c>
      <c r="AE126" s="134">
        <f t="shared" si="49"/>
        <v>1.48</v>
      </c>
      <c r="AF126" s="134">
        <f t="shared" si="49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50">B128</f>
        <v>2.2000000000000002</v>
      </c>
      <c r="D128" s="134">
        <f t="shared" si="50"/>
        <v>2.2000000000000002</v>
      </c>
      <c r="E128" s="134">
        <f t="shared" si="50"/>
        <v>2.2000000000000002</v>
      </c>
      <c r="F128" s="134">
        <f t="shared" si="50"/>
        <v>2.2000000000000002</v>
      </c>
      <c r="G128" s="134">
        <f t="shared" si="50"/>
        <v>2.2000000000000002</v>
      </c>
      <c r="H128" s="134">
        <f t="shared" si="50"/>
        <v>2.2000000000000002</v>
      </c>
      <c r="I128" s="134">
        <f t="shared" si="50"/>
        <v>2.2000000000000002</v>
      </c>
      <c r="J128" s="134">
        <f t="shared" si="50"/>
        <v>2.2000000000000002</v>
      </c>
      <c r="K128" s="134">
        <f t="shared" si="50"/>
        <v>2.2000000000000002</v>
      </c>
      <c r="L128" s="134">
        <f t="shared" si="50"/>
        <v>2.2000000000000002</v>
      </c>
      <c r="M128" s="134">
        <f t="shared" si="50"/>
        <v>2.2000000000000002</v>
      </c>
      <c r="N128" s="134">
        <f t="shared" si="50"/>
        <v>2.2000000000000002</v>
      </c>
      <c r="O128" s="134">
        <f t="shared" si="50"/>
        <v>2.2000000000000002</v>
      </c>
      <c r="P128" s="134">
        <f t="shared" si="50"/>
        <v>2.2000000000000002</v>
      </c>
      <c r="Q128" s="134">
        <f t="shared" si="50"/>
        <v>2.2000000000000002</v>
      </c>
      <c r="R128" s="134">
        <f t="shared" si="50"/>
        <v>2.2000000000000002</v>
      </c>
      <c r="S128" s="134">
        <f t="shared" ref="S128:AF135" si="51">R128</f>
        <v>2.2000000000000002</v>
      </c>
      <c r="T128" s="134">
        <f t="shared" si="51"/>
        <v>2.2000000000000002</v>
      </c>
      <c r="U128" s="134">
        <f t="shared" si="51"/>
        <v>2.2000000000000002</v>
      </c>
      <c r="V128" s="134">
        <f t="shared" si="51"/>
        <v>2.2000000000000002</v>
      </c>
      <c r="W128" s="134">
        <f t="shared" si="51"/>
        <v>2.2000000000000002</v>
      </c>
      <c r="X128" s="134">
        <f t="shared" si="51"/>
        <v>2.2000000000000002</v>
      </c>
      <c r="Y128" s="134">
        <f t="shared" si="51"/>
        <v>2.2000000000000002</v>
      </c>
      <c r="Z128" s="134">
        <f t="shared" si="51"/>
        <v>2.2000000000000002</v>
      </c>
      <c r="AA128" s="134">
        <f t="shared" si="51"/>
        <v>2.2000000000000002</v>
      </c>
      <c r="AB128" s="134">
        <f t="shared" si="51"/>
        <v>2.2000000000000002</v>
      </c>
      <c r="AC128" s="134">
        <f t="shared" si="51"/>
        <v>2.2000000000000002</v>
      </c>
      <c r="AD128" s="134">
        <f t="shared" si="51"/>
        <v>2.2000000000000002</v>
      </c>
      <c r="AE128" s="134">
        <f t="shared" si="51"/>
        <v>2.2000000000000002</v>
      </c>
      <c r="AF128" s="134">
        <f t="shared" si="51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50"/>
        <v>2</v>
      </c>
      <c r="D129" s="134">
        <f t="shared" si="50"/>
        <v>2</v>
      </c>
      <c r="E129" s="134">
        <f t="shared" si="50"/>
        <v>2</v>
      </c>
      <c r="F129" s="134">
        <f t="shared" si="50"/>
        <v>2</v>
      </c>
      <c r="G129" s="134">
        <f t="shared" si="50"/>
        <v>2</v>
      </c>
      <c r="H129" s="134">
        <f t="shared" si="50"/>
        <v>2</v>
      </c>
      <c r="I129" s="134">
        <f t="shared" si="50"/>
        <v>2</v>
      </c>
      <c r="J129" s="134">
        <f t="shared" si="50"/>
        <v>2</v>
      </c>
      <c r="K129" s="134">
        <f t="shared" si="50"/>
        <v>2</v>
      </c>
      <c r="L129" s="134">
        <f t="shared" si="50"/>
        <v>2</v>
      </c>
      <c r="M129" s="134">
        <f t="shared" si="50"/>
        <v>2</v>
      </c>
      <c r="N129" s="134">
        <f t="shared" si="50"/>
        <v>2</v>
      </c>
      <c r="O129" s="134">
        <f t="shared" si="50"/>
        <v>2</v>
      </c>
      <c r="P129" s="134">
        <f t="shared" si="50"/>
        <v>2</v>
      </c>
      <c r="Q129" s="134">
        <f t="shared" si="50"/>
        <v>2</v>
      </c>
      <c r="R129" s="134">
        <f t="shared" si="50"/>
        <v>2</v>
      </c>
      <c r="S129" s="134">
        <f t="shared" si="51"/>
        <v>2</v>
      </c>
      <c r="T129" s="134">
        <f t="shared" si="51"/>
        <v>2</v>
      </c>
      <c r="U129" s="134">
        <f t="shared" si="51"/>
        <v>2</v>
      </c>
      <c r="V129" s="134">
        <f t="shared" si="51"/>
        <v>2</v>
      </c>
      <c r="W129" s="134">
        <f t="shared" si="51"/>
        <v>2</v>
      </c>
      <c r="X129" s="134">
        <f t="shared" si="51"/>
        <v>2</v>
      </c>
      <c r="Y129" s="134">
        <f t="shared" si="51"/>
        <v>2</v>
      </c>
      <c r="Z129" s="134">
        <f t="shared" si="51"/>
        <v>2</v>
      </c>
      <c r="AA129" s="134">
        <f t="shared" si="51"/>
        <v>2</v>
      </c>
      <c r="AB129" s="134">
        <f t="shared" si="51"/>
        <v>2</v>
      </c>
      <c r="AC129" s="134">
        <f t="shared" si="51"/>
        <v>2</v>
      </c>
      <c r="AD129" s="134">
        <f t="shared" si="51"/>
        <v>2</v>
      </c>
      <c r="AE129" s="134">
        <f t="shared" si="51"/>
        <v>2</v>
      </c>
      <c r="AF129" s="134">
        <f t="shared" si="51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50"/>
        <v>1.25</v>
      </c>
      <c r="D130" s="134">
        <f t="shared" si="50"/>
        <v>1.25</v>
      </c>
      <c r="E130" s="134">
        <f t="shared" si="50"/>
        <v>1.25</v>
      </c>
      <c r="F130" s="134">
        <f t="shared" si="50"/>
        <v>1.25</v>
      </c>
      <c r="G130" s="134">
        <f t="shared" si="50"/>
        <v>1.25</v>
      </c>
      <c r="H130" s="134">
        <f t="shared" si="50"/>
        <v>1.25</v>
      </c>
      <c r="I130" s="134">
        <f t="shared" si="50"/>
        <v>1.25</v>
      </c>
      <c r="J130" s="134">
        <f t="shared" si="50"/>
        <v>1.25</v>
      </c>
      <c r="K130" s="134">
        <f t="shared" si="50"/>
        <v>1.25</v>
      </c>
      <c r="L130" s="134">
        <f t="shared" si="50"/>
        <v>1.25</v>
      </c>
      <c r="M130" s="134">
        <f t="shared" si="50"/>
        <v>1.25</v>
      </c>
      <c r="N130" s="134">
        <f t="shared" si="50"/>
        <v>1.25</v>
      </c>
      <c r="O130" s="134">
        <f t="shared" si="50"/>
        <v>1.25</v>
      </c>
      <c r="P130" s="134">
        <f t="shared" si="50"/>
        <v>1.25</v>
      </c>
      <c r="Q130" s="134">
        <f t="shared" si="50"/>
        <v>1.25</v>
      </c>
      <c r="R130" s="134">
        <f t="shared" si="50"/>
        <v>1.25</v>
      </c>
      <c r="S130" s="134">
        <f t="shared" si="51"/>
        <v>1.25</v>
      </c>
      <c r="T130" s="134">
        <f t="shared" si="51"/>
        <v>1.25</v>
      </c>
      <c r="U130" s="134">
        <f t="shared" si="51"/>
        <v>1.25</v>
      </c>
      <c r="V130" s="134">
        <f t="shared" si="51"/>
        <v>1.25</v>
      </c>
      <c r="W130" s="134">
        <f t="shared" si="51"/>
        <v>1.25</v>
      </c>
      <c r="X130" s="134">
        <f t="shared" si="51"/>
        <v>1.25</v>
      </c>
      <c r="Y130" s="134">
        <f t="shared" si="51"/>
        <v>1.25</v>
      </c>
      <c r="Z130" s="134">
        <f t="shared" si="51"/>
        <v>1.25</v>
      </c>
      <c r="AA130" s="134">
        <f t="shared" si="51"/>
        <v>1.25</v>
      </c>
      <c r="AB130" s="134">
        <f t="shared" si="51"/>
        <v>1.25</v>
      </c>
      <c r="AC130" s="134">
        <f t="shared" si="51"/>
        <v>1.25</v>
      </c>
      <c r="AD130" s="134">
        <f t="shared" si="51"/>
        <v>1.25</v>
      </c>
      <c r="AE130" s="134">
        <f t="shared" si="51"/>
        <v>1.25</v>
      </c>
      <c r="AF130" s="134">
        <f t="shared" si="51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50"/>
        <v>1.1499999999999999</v>
      </c>
      <c r="D131" s="134">
        <f t="shared" si="50"/>
        <v>1.1499999999999999</v>
      </c>
      <c r="E131" s="134">
        <f t="shared" si="50"/>
        <v>1.1499999999999999</v>
      </c>
      <c r="F131" s="134">
        <f t="shared" si="50"/>
        <v>1.1499999999999999</v>
      </c>
      <c r="G131" s="134">
        <f t="shared" si="50"/>
        <v>1.1499999999999999</v>
      </c>
      <c r="H131" s="134">
        <f t="shared" si="50"/>
        <v>1.1499999999999999</v>
      </c>
      <c r="I131" s="134">
        <f t="shared" si="50"/>
        <v>1.1499999999999999</v>
      </c>
      <c r="J131" s="134">
        <f t="shared" si="50"/>
        <v>1.1499999999999999</v>
      </c>
      <c r="K131" s="134">
        <f t="shared" si="50"/>
        <v>1.1499999999999999</v>
      </c>
      <c r="L131" s="134">
        <f t="shared" si="50"/>
        <v>1.1499999999999999</v>
      </c>
      <c r="M131" s="134">
        <f t="shared" si="50"/>
        <v>1.1499999999999999</v>
      </c>
      <c r="N131" s="134">
        <f t="shared" si="50"/>
        <v>1.1499999999999999</v>
      </c>
      <c r="O131" s="134">
        <f t="shared" si="50"/>
        <v>1.1499999999999999</v>
      </c>
      <c r="P131" s="134">
        <f t="shared" si="50"/>
        <v>1.1499999999999999</v>
      </c>
      <c r="Q131" s="134">
        <f t="shared" si="50"/>
        <v>1.1499999999999999</v>
      </c>
      <c r="R131" s="134">
        <f t="shared" si="50"/>
        <v>1.1499999999999999</v>
      </c>
      <c r="S131" s="134">
        <f t="shared" si="51"/>
        <v>1.1499999999999999</v>
      </c>
      <c r="T131" s="134">
        <f t="shared" si="51"/>
        <v>1.1499999999999999</v>
      </c>
      <c r="U131" s="134">
        <f t="shared" si="51"/>
        <v>1.1499999999999999</v>
      </c>
      <c r="V131" s="134">
        <f t="shared" si="51"/>
        <v>1.1499999999999999</v>
      </c>
      <c r="W131" s="134">
        <f t="shared" si="51"/>
        <v>1.1499999999999999</v>
      </c>
      <c r="X131" s="134">
        <f t="shared" si="51"/>
        <v>1.1499999999999999</v>
      </c>
      <c r="Y131" s="134">
        <f t="shared" si="51"/>
        <v>1.1499999999999999</v>
      </c>
      <c r="Z131" s="134">
        <f t="shared" si="51"/>
        <v>1.1499999999999999</v>
      </c>
      <c r="AA131" s="134">
        <f t="shared" si="51"/>
        <v>1.1499999999999999</v>
      </c>
      <c r="AB131" s="134">
        <f t="shared" si="51"/>
        <v>1.1499999999999999</v>
      </c>
      <c r="AC131" s="134">
        <f t="shared" si="51"/>
        <v>1.1499999999999999</v>
      </c>
      <c r="AD131" s="134">
        <f t="shared" si="51"/>
        <v>1.1499999999999999</v>
      </c>
      <c r="AE131" s="134">
        <f t="shared" si="51"/>
        <v>1.1499999999999999</v>
      </c>
      <c r="AF131" s="134">
        <f t="shared" si="51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50"/>
        <v>2.133</v>
      </c>
      <c r="D132" s="134">
        <f t="shared" si="50"/>
        <v>2.133</v>
      </c>
      <c r="E132" s="134">
        <f t="shared" si="50"/>
        <v>2.133</v>
      </c>
      <c r="F132" s="134">
        <f t="shared" si="50"/>
        <v>2.133</v>
      </c>
      <c r="G132" s="134">
        <f t="shared" si="50"/>
        <v>2.133</v>
      </c>
      <c r="H132" s="134">
        <f t="shared" si="50"/>
        <v>2.133</v>
      </c>
      <c r="I132" s="134">
        <f t="shared" si="50"/>
        <v>2.133</v>
      </c>
      <c r="J132" s="134">
        <f t="shared" si="50"/>
        <v>2.133</v>
      </c>
      <c r="K132" s="134">
        <f t="shared" si="50"/>
        <v>2.133</v>
      </c>
      <c r="L132" s="134">
        <f t="shared" si="50"/>
        <v>2.133</v>
      </c>
      <c r="M132" s="134">
        <f t="shared" si="50"/>
        <v>2.133</v>
      </c>
      <c r="N132" s="134">
        <f t="shared" si="50"/>
        <v>2.133</v>
      </c>
      <c r="O132" s="134">
        <f t="shared" si="50"/>
        <v>2.133</v>
      </c>
      <c r="P132" s="134">
        <f t="shared" si="50"/>
        <v>2.133</v>
      </c>
      <c r="Q132" s="134">
        <f t="shared" si="50"/>
        <v>2.133</v>
      </c>
      <c r="R132" s="134">
        <f t="shared" si="50"/>
        <v>2.133</v>
      </c>
      <c r="S132" s="134">
        <f t="shared" si="51"/>
        <v>2.133</v>
      </c>
      <c r="T132" s="134">
        <f t="shared" si="51"/>
        <v>2.133</v>
      </c>
      <c r="U132" s="134">
        <f t="shared" si="51"/>
        <v>2.133</v>
      </c>
      <c r="V132" s="134">
        <f t="shared" si="51"/>
        <v>2.133</v>
      </c>
      <c r="W132" s="134">
        <f t="shared" si="51"/>
        <v>2.133</v>
      </c>
      <c r="X132" s="134">
        <f t="shared" si="51"/>
        <v>2.133</v>
      </c>
      <c r="Y132" s="134">
        <f t="shared" si="51"/>
        <v>2.133</v>
      </c>
      <c r="Z132" s="134">
        <f t="shared" si="51"/>
        <v>2.133</v>
      </c>
      <c r="AA132" s="134">
        <f t="shared" si="51"/>
        <v>2.133</v>
      </c>
      <c r="AB132" s="134">
        <f t="shared" si="51"/>
        <v>2.133</v>
      </c>
      <c r="AC132" s="134">
        <f t="shared" si="51"/>
        <v>2.133</v>
      </c>
      <c r="AD132" s="134">
        <f t="shared" si="51"/>
        <v>2.133</v>
      </c>
      <c r="AE132" s="134">
        <f t="shared" si="51"/>
        <v>2.133</v>
      </c>
      <c r="AF132" s="134">
        <f t="shared" si="51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50"/>
        <v>2.09</v>
      </c>
      <c r="D133" s="134">
        <f t="shared" si="50"/>
        <v>2.09</v>
      </c>
      <c r="E133" s="134">
        <f t="shared" si="50"/>
        <v>2.09</v>
      </c>
      <c r="F133" s="134">
        <f t="shared" si="50"/>
        <v>2.09</v>
      </c>
      <c r="G133" s="134">
        <f t="shared" si="50"/>
        <v>2.09</v>
      </c>
      <c r="H133" s="134">
        <f t="shared" si="50"/>
        <v>2.09</v>
      </c>
      <c r="I133" s="134">
        <f t="shared" si="50"/>
        <v>2.09</v>
      </c>
      <c r="J133" s="134">
        <f t="shared" si="50"/>
        <v>2.09</v>
      </c>
      <c r="K133" s="134">
        <f t="shared" si="50"/>
        <v>2.09</v>
      </c>
      <c r="L133" s="134">
        <f t="shared" si="50"/>
        <v>2.09</v>
      </c>
      <c r="M133" s="134">
        <f t="shared" si="50"/>
        <v>2.09</v>
      </c>
      <c r="N133" s="134">
        <f t="shared" si="50"/>
        <v>2.09</v>
      </c>
      <c r="O133" s="134">
        <f t="shared" si="50"/>
        <v>2.09</v>
      </c>
      <c r="P133" s="134">
        <f t="shared" si="50"/>
        <v>2.09</v>
      </c>
      <c r="Q133" s="134">
        <f t="shared" si="50"/>
        <v>2.09</v>
      </c>
      <c r="R133" s="134">
        <f t="shared" si="50"/>
        <v>2.09</v>
      </c>
      <c r="S133" s="134">
        <f t="shared" si="51"/>
        <v>2.09</v>
      </c>
      <c r="T133" s="134">
        <f t="shared" si="51"/>
        <v>2.09</v>
      </c>
      <c r="U133" s="134">
        <f t="shared" si="51"/>
        <v>2.09</v>
      </c>
      <c r="V133" s="134">
        <f t="shared" si="51"/>
        <v>2.09</v>
      </c>
      <c r="W133" s="134">
        <f t="shared" si="51"/>
        <v>2.09</v>
      </c>
      <c r="X133" s="134">
        <f t="shared" si="51"/>
        <v>2.09</v>
      </c>
      <c r="Y133" s="134">
        <f t="shared" si="51"/>
        <v>2.09</v>
      </c>
      <c r="Z133" s="134">
        <f t="shared" si="51"/>
        <v>2.09</v>
      </c>
      <c r="AA133" s="134">
        <f t="shared" si="51"/>
        <v>2.09</v>
      </c>
      <c r="AB133" s="134">
        <f t="shared" si="51"/>
        <v>2.09</v>
      </c>
      <c r="AC133" s="134">
        <f t="shared" si="51"/>
        <v>2.09</v>
      </c>
      <c r="AD133" s="134">
        <f t="shared" si="51"/>
        <v>2.09</v>
      </c>
      <c r="AE133" s="134">
        <f t="shared" si="51"/>
        <v>2.09</v>
      </c>
      <c r="AF133" s="134">
        <f t="shared" si="51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50"/>
        <v>1.1399999999999999</v>
      </c>
      <c r="D134" s="134">
        <f t="shared" si="50"/>
        <v>1.1399999999999999</v>
      </c>
      <c r="E134" s="134">
        <f t="shared" si="50"/>
        <v>1.1399999999999999</v>
      </c>
      <c r="F134" s="134">
        <f t="shared" si="50"/>
        <v>1.1399999999999999</v>
      </c>
      <c r="G134" s="134">
        <f t="shared" si="50"/>
        <v>1.1399999999999999</v>
      </c>
      <c r="H134" s="134">
        <f t="shared" si="50"/>
        <v>1.1399999999999999</v>
      </c>
      <c r="I134" s="134">
        <f t="shared" si="50"/>
        <v>1.1399999999999999</v>
      </c>
      <c r="J134" s="134">
        <f t="shared" si="50"/>
        <v>1.1399999999999999</v>
      </c>
      <c r="K134" s="134">
        <f t="shared" si="50"/>
        <v>1.1399999999999999</v>
      </c>
      <c r="L134" s="134">
        <f t="shared" si="50"/>
        <v>1.1399999999999999</v>
      </c>
      <c r="M134" s="134">
        <f t="shared" si="50"/>
        <v>1.1399999999999999</v>
      </c>
      <c r="N134" s="134">
        <f t="shared" si="50"/>
        <v>1.1399999999999999</v>
      </c>
      <c r="O134" s="134">
        <f t="shared" si="50"/>
        <v>1.1399999999999999</v>
      </c>
      <c r="P134" s="134">
        <f t="shared" si="50"/>
        <v>1.1399999999999999</v>
      </c>
      <c r="Q134" s="134">
        <f t="shared" si="50"/>
        <v>1.1399999999999999</v>
      </c>
      <c r="R134" s="134">
        <f t="shared" si="50"/>
        <v>1.1399999999999999</v>
      </c>
      <c r="S134" s="134">
        <f t="shared" si="51"/>
        <v>1.1399999999999999</v>
      </c>
      <c r="T134" s="134">
        <f t="shared" si="51"/>
        <v>1.1399999999999999</v>
      </c>
      <c r="U134" s="134">
        <f t="shared" si="51"/>
        <v>1.1399999999999999</v>
      </c>
      <c r="V134" s="134">
        <f t="shared" si="51"/>
        <v>1.1399999999999999</v>
      </c>
      <c r="W134" s="134">
        <f t="shared" si="51"/>
        <v>1.1399999999999999</v>
      </c>
      <c r="X134" s="134">
        <f t="shared" si="51"/>
        <v>1.1399999999999999</v>
      </c>
      <c r="Y134" s="134">
        <f t="shared" si="51"/>
        <v>1.1399999999999999</v>
      </c>
      <c r="Z134" s="134">
        <f t="shared" si="51"/>
        <v>1.1399999999999999</v>
      </c>
      <c r="AA134" s="134">
        <f t="shared" si="51"/>
        <v>1.1399999999999999</v>
      </c>
      <c r="AB134" s="134">
        <f t="shared" si="51"/>
        <v>1.1399999999999999</v>
      </c>
      <c r="AC134" s="134">
        <f t="shared" si="51"/>
        <v>1.1399999999999999</v>
      </c>
      <c r="AD134" s="134">
        <f t="shared" si="51"/>
        <v>1.1399999999999999</v>
      </c>
      <c r="AE134" s="134">
        <f t="shared" si="51"/>
        <v>1.1399999999999999</v>
      </c>
      <c r="AF134" s="134">
        <f t="shared" si="51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50"/>
        <v>0.82</v>
      </c>
      <c r="D135" s="134">
        <f t="shared" si="50"/>
        <v>0.82</v>
      </c>
      <c r="E135" s="134">
        <f t="shared" si="50"/>
        <v>0.82</v>
      </c>
      <c r="F135" s="134">
        <f t="shared" si="50"/>
        <v>0.82</v>
      </c>
      <c r="G135" s="134">
        <f t="shared" si="50"/>
        <v>0.82</v>
      </c>
      <c r="H135" s="134">
        <f t="shared" si="50"/>
        <v>0.82</v>
      </c>
      <c r="I135" s="134">
        <f t="shared" si="50"/>
        <v>0.82</v>
      </c>
      <c r="J135" s="134">
        <f t="shared" si="50"/>
        <v>0.82</v>
      </c>
      <c r="K135" s="134">
        <f t="shared" si="50"/>
        <v>0.82</v>
      </c>
      <c r="L135" s="134">
        <f t="shared" si="50"/>
        <v>0.82</v>
      </c>
      <c r="M135" s="134">
        <f t="shared" si="50"/>
        <v>0.82</v>
      </c>
      <c r="N135" s="134">
        <f t="shared" si="50"/>
        <v>0.82</v>
      </c>
      <c r="O135" s="134">
        <f t="shared" si="50"/>
        <v>0.82</v>
      </c>
      <c r="P135" s="134">
        <f t="shared" si="50"/>
        <v>0.82</v>
      </c>
      <c r="Q135" s="134">
        <f t="shared" si="50"/>
        <v>0.82</v>
      </c>
      <c r="R135" s="134">
        <f t="shared" si="50"/>
        <v>0.82</v>
      </c>
      <c r="S135" s="134">
        <f t="shared" si="51"/>
        <v>0.82</v>
      </c>
      <c r="T135" s="134">
        <f t="shared" si="51"/>
        <v>0.82</v>
      </c>
      <c r="U135" s="134">
        <f t="shared" si="51"/>
        <v>0.82</v>
      </c>
      <c r="V135" s="134">
        <f t="shared" si="51"/>
        <v>0.82</v>
      </c>
      <c r="W135" s="134">
        <f t="shared" si="51"/>
        <v>0.82</v>
      </c>
      <c r="X135" s="134">
        <f t="shared" si="51"/>
        <v>0.82</v>
      </c>
      <c r="Y135" s="134">
        <f t="shared" si="51"/>
        <v>0.82</v>
      </c>
      <c r="Z135" s="134">
        <f t="shared" si="51"/>
        <v>0.82</v>
      </c>
      <c r="AA135" s="134">
        <f t="shared" si="51"/>
        <v>0.82</v>
      </c>
      <c r="AB135" s="134">
        <f t="shared" si="51"/>
        <v>0.82</v>
      </c>
      <c r="AC135" s="134">
        <f t="shared" si="51"/>
        <v>0.82</v>
      </c>
      <c r="AD135" s="134">
        <f t="shared" si="51"/>
        <v>0.82</v>
      </c>
      <c r="AE135" s="134">
        <f t="shared" si="51"/>
        <v>0.82</v>
      </c>
      <c r="AF135" s="134">
        <f t="shared" si="51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52">B137</f>
        <v>2</v>
      </c>
      <c r="D137" s="134">
        <f t="shared" si="52"/>
        <v>2</v>
      </c>
      <c r="E137" s="134">
        <f t="shared" si="52"/>
        <v>2</v>
      </c>
      <c r="F137" s="134">
        <f t="shared" si="52"/>
        <v>2</v>
      </c>
      <c r="G137" s="134">
        <f t="shared" si="52"/>
        <v>2</v>
      </c>
      <c r="H137" s="134">
        <f t="shared" si="52"/>
        <v>2</v>
      </c>
      <c r="I137" s="134">
        <f t="shared" si="52"/>
        <v>2</v>
      </c>
      <c r="J137" s="134">
        <f t="shared" si="52"/>
        <v>2</v>
      </c>
      <c r="K137" s="134">
        <f t="shared" si="52"/>
        <v>2</v>
      </c>
      <c r="L137" s="134">
        <f t="shared" si="52"/>
        <v>2</v>
      </c>
      <c r="M137" s="134">
        <f t="shared" si="52"/>
        <v>2</v>
      </c>
      <c r="N137" s="134">
        <f t="shared" si="52"/>
        <v>2</v>
      </c>
      <c r="O137" s="134">
        <f t="shared" si="52"/>
        <v>2</v>
      </c>
      <c r="P137" s="134">
        <f t="shared" si="52"/>
        <v>2</v>
      </c>
      <c r="Q137" s="134">
        <f t="shared" si="52"/>
        <v>2</v>
      </c>
      <c r="R137" s="134">
        <f t="shared" si="52"/>
        <v>2</v>
      </c>
      <c r="S137" s="134">
        <f t="shared" ref="S137:AF143" si="53">R137</f>
        <v>2</v>
      </c>
      <c r="T137" s="134">
        <f t="shared" si="53"/>
        <v>2</v>
      </c>
      <c r="U137" s="134">
        <f t="shared" si="53"/>
        <v>2</v>
      </c>
      <c r="V137" s="134">
        <f t="shared" si="53"/>
        <v>2</v>
      </c>
      <c r="W137" s="134">
        <f t="shared" si="53"/>
        <v>2</v>
      </c>
      <c r="X137" s="134">
        <f t="shared" si="53"/>
        <v>2</v>
      </c>
      <c r="Y137" s="134">
        <f t="shared" si="53"/>
        <v>2</v>
      </c>
      <c r="Z137" s="134">
        <f t="shared" si="53"/>
        <v>2</v>
      </c>
      <c r="AA137" s="134">
        <f t="shared" si="53"/>
        <v>2</v>
      </c>
      <c r="AB137" s="134">
        <f t="shared" si="53"/>
        <v>2</v>
      </c>
      <c r="AC137" s="134">
        <f t="shared" si="53"/>
        <v>2</v>
      </c>
      <c r="AD137" s="134">
        <f t="shared" si="53"/>
        <v>2</v>
      </c>
      <c r="AE137" s="134">
        <f t="shared" si="53"/>
        <v>2</v>
      </c>
      <c r="AF137" s="134">
        <f t="shared" si="53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52"/>
        <v>5.61</v>
      </c>
      <c r="D138" s="134">
        <f t="shared" si="52"/>
        <v>5.61</v>
      </c>
      <c r="E138" s="134">
        <f t="shared" si="52"/>
        <v>5.61</v>
      </c>
      <c r="F138" s="134">
        <f t="shared" si="52"/>
        <v>5.61</v>
      </c>
      <c r="G138" s="134">
        <f t="shared" si="52"/>
        <v>5.61</v>
      </c>
      <c r="H138" s="134">
        <f t="shared" si="52"/>
        <v>5.61</v>
      </c>
      <c r="I138" s="134">
        <f t="shared" si="52"/>
        <v>5.61</v>
      </c>
      <c r="J138" s="134">
        <f t="shared" si="52"/>
        <v>5.61</v>
      </c>
      <c r="K138" s="134">
        <f t="shared" si="52"/>
        <v>5.61</v>
      </c>
      <c r="L138" s="134">
        <f t="shared" si="52"/>
        <v>5.61</v>
      </c>
      <c r="M138" s="134">
        <f t="shared" si="52"/>
        <v>5.61</v>
      </c>
      <c r="N138" s="134">
        <f t="shared" si="52"/>
        <v>5.61</v>
      </c>
      <c r="O138" s="134">
        <f t="shared" si="52"/>
        <v>5.61</v>
      </c>
      <c r="P138" s="134">
        <f t="shared" si="52"/>
        <v>5.61</v>
      </c>
      <c r="Q138" s="134">
        <f t="shared" si="52"/>
        <v>5.61</v>
      </c>
      <c r="R138" s="134">
        <f t="shared" si="52"/>
        <v>5.61</v>
      </c>
      <c r="S138" s="134">
        <f t="shared" si="53"/>
        <v>5.61</v>
      </c>
      <c r="T138" s="134">
        <f t="shared" si="53"/>
        <v>5.61</v>
      </c>
      <c r="U138" s="134">
        <f t="shared" si="53"/>
        <v>5.61</v>
      </c>
      <c r="V138" s="134">
        <f t="shared" si="53"/>
        <v>5.61</v>
      </c>
      <c r="W138" s="134">
        <f t="shared" si="53"/>
        <v>5.61</v>
      </c>
      <c r="X138" s="134">
        <f t="shared" si="53"/>
        <v>5.61</v>
      </c>
      <c r="Y138" s="134">
        <f t="shared" si="53"/>
        <v>5.61</v>
      </c>
      <c r="Z138" s="134">
        <f t="shared" si="53"/>
        <v>5.61</v>
      </c>
      <c r="AA138" s="134">
        <f t="shared" si="53"/>
        <v>5.61</v>
      </c>
      <c r="AB138" s="134">
        <f t="shared" si="53"/>
        <v>5.61</v>
      </c>
      <c r="AC138" s="134">
        <f t="shared" si="53"/>
        <v>5.61</v>
      </c>
      <c r="AD138" s="134">
        <f t="shared" si="53"/>
        <v>5.61</v>
      </c>
      <c r="AE138" s="134">
        <f t="shared" si="53"/>
        <v>5.61</v>
      </c>
      <c r="AF138" s="134">
        <f t="shared" si="53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52"/>
        <v>1.25</v>
      </c>
      <c r="D139" s="134">
        <f t="shared" si="52"/>
        <v>1.25</v>
      </c>
      <c r="E139" s="134">
        <f t="shared" si="52"/>
        <v>1.25</v>
      </c>
      <c r="F139" s="134">
        <f t="shared" si="52"/>
        <v>1.25</v>
      </c>
      <c r="G139" s="134">
        <f t="shared" si="52"/>
        <v>1.25</v>
      </c>
      <c r="H139" s="134">
        <f t="shared" si="52"/>
        <v>1.25</v>
      </c>
      <c r="I139" s="134">
        <f t="shared" si="52"/>
        <v>1.25</v>
      </c>
      <c r="J139" s="134">
        <f t="shared" si="52"/>
        <v>1.25</v>
      </c>
      <c r="K139" s="134">
        <f t="shared" si="52"/>
        <v>1.25</v>
      </c>
      <c r="L139" s="134">
        <f t="shared" si="52"/>
        <v>1.25</v>
      </c>
      <c r="M139" s="134">
        <f t="shared" si="52"/>
        <v>1.25</v>
      </c>
      <c r="N139" s="134">
        <f t="shared" si="52"/>
        <v>1.25</v>
      </c>
      <c r="O139" s="134">
        <f t="shared" si="52"/>
        <v>1.25</v>
      </c>
      <c r="P139" s="134">
        <f t="shared" si="52"/>
        <v>1.25</v>
      </c>
      <c r="Q139" s="134">
        <f t="shared" si="52"/>
        <v>1.25</v>
      </c>
      <c r="R139" s="134">
        <f t="shared" si="52"/>
        <v>1.25</v>
      </c>
      <c r="S139" s="134">
        <f t="shared" si="53"/>
        <v>1.25</v>
      </c>
      <c r="T139" s="134">
        <f t="shared" si="53"/>
        <v>1.25</v>
      </c>
      <c r="U139" s="134">
        <f t="shared" si="53"/>
        <v>1.25</v>
      </c>
      <c r="V139" s="134">
        <f t="shared" si="53"/>
        <v>1.25</v>
      </c>
      <c r="W139" s="134">
        <f t="shared" si="53"/>
        <v>1.25</v>
      </c>
      <c r="X139" s="134">
        <f t="shared" si="53"/>
        <v>1.25</v>
      </c>
      <c r="Y139" s="134">
        <f t="shared" si="53"/>
        <v>1.25</v>
      </c>
      <c r="Z139" s="134">
        <f t="shared" si="53"/>
        <v>1.25</v>
      </c>
      <c r="AA139" s="134">
        <f t="shared" si="53"/>
        <v>1.25</v>
      </c>
      <c r="AB139" s="134">
        <f t="shared" si="53"/>
        <v>1.25</v>
      </c>
      <c r="AC139" s="134">
        <f t="shared" si="53"/>
        <v>1.25</v>
      </c>
      <c r="AD139" s="134">
        <f t="shared" si="53"/>
        <v>1.25</v>
      </c>
      <c r="AE139" s="134">
        <f t="shared" si="53"/>
        <v>1.25</v>
      </c>
      <c r="AF139" s="134">
        <f t="shared" si="53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52"/>
        <v>1.25</v>
      </c>
      <c r="D140" s="134">
        <f t="shared" si="52"/>
        <v>1.25</v>
      </c>
      <c r="E140" s="134">
        <f t="shared" si="52"/>
        <v>1.25</v>
      </c>
      <c r="F140" s="134">
        <f t="shared" si="52"/>
        <v>1.25</v>
      </c>
      <c r="G140" s="134">
        <f t="shared" si="52"/>
        <v>1.25</v>
      </c>
      <c r="H140" s="134">
        <f t="shared" si="52"/>
        <v>1.25</v>
      </c>
      <c r="I140" s="134">
        <f t="shared" si="52"/>
        <v>1.25</v>
      </c>
      <c r="J140" s="134">
        <f t="shared" si="52"/>
        <v>1.25</v>
      </c>
      <c r="K140" s="134">
        <f t="shared" si="52"/>
        <v>1.25</v>
      </c>
      <c r="L140" s="134">
        <f t="shared" si="52"/>
        <v>1.25</v>
      </c>
      <c r="M140" s="134">
        <f t="shared" si="52"/>
        <v>1.25</v>
      </c>
      <c r="N140" s="134">
        <f t="shared" si="52"/>
        <v>1.25</v>
      </c>
      <c r="O140" s="134">
        <f t="shared" si="52"/>
        <v>1.25</v>
      </c>
      <c r="P140" s="134">
        <f t="shared" si="52"/>
        <v>1.25</v>
      </c>
      <c r="Q140" s="134">
        <f t="shared" si="52"/>
        <v>1.25</v>
      </c>
      <c r="R140" s="134">
        <f t="shared" si="52"/>
        <v>1.25</v>
      </c>
      <c r="S140" s="134">
        <f t="shared" si="53"/>
        <v>1.25</v>
      </c>
      <c r="T140" s="134">
        <f t="shared" si="53"/>
        <v>1.25</v>
      </c>
      <c r="U140" s="134">
        <f t="shared" si="53"/>
        <v>1.25</v>
      </c>
      <c r="V140" s="134">
        <f t="shared" si="53"/>
        <v>1.25</v>
      </c>
      <c r="W140" s="134">
        <f t="shared" si="53"/>
        <v>1.25</v>
      </c>
      <c r="X140" s="134">
        <f t="shared" si="53"/>
        <v>1.25</v>
      </c>
      <c r="Y140" s="134">
        <f t="shared" si="53"/>
        <v>1.25</v>
      </c>
      <c r="Z140" s="134">
        <f t="shared" si="53"/>
        <v>1.25</v>
      </c>
      <c r="AA140" s="134">
        <f t="shared" si="53"/>
        <v>1.25</v>
      </c>
      <c r="AB140" s="134">
        <f t="shared" si="53"/>
        <v>1.25</v>
      </c>
      <c r="AC140" s="134">
        <f t="shared" si="53"/>
        <v>1.25</v>
      </c>
      <c r="AD140" s="134">
        <f t="shared" si="53"/>
        <v>1.25</v>
      </c>
      <c r="AE140" s="134">
        <f t="shared" si="53"/>
        <v>1.25</v>
      </c>
      <c r="AF140" s="134">
        <f t="shared" si="53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52"/>
        <v>1.46</v>
      </c>
      <c r="D141" s="134">
        <f t="shared" si="52"/>
        <v>1.46</v>
      </c>
      <c r="E141" s="134">
        <f t="shared" si="52"/>
        <v>1.46</v>
      </c>
      <c r="F141" s="134">
        <f t="shared" si="52"/>
        <v>1.46</v>
      </c>
      <c r="G141" s="134">
        <f t="shared" si="52"/>
        <v>1.46</v>
      </c>
      <c r="H141" s="134">
        <f t="shared" si="52"/>
        <v>1.46</v>
      </c>
      <c r="I141" s="134">
        <f t="shared" si="52"/>
        <v>1.46</v>
      </c>
      <c r="J141" s="134">
        <f t="shared" si="52"/>
        <v>1.46</v>
      </c>
      <c r="K141" s="134">
        <f t="shared" si="52"/>
        <v>1.46</v>
      </c>
      <c r="L141" s="134">
        <f t="shared" si="52"/>
        <v>1.46</v>
      </c>
      <c r="M141" s="134">
        <f t="shared" si="52"/>
        <v>1.46</v>
      </c>
      <c r="N141" s="134">
        <f t="shared" si="52"/>
        <v>1.46</v>
      </c>
      <c r="O141" s="134">
        <f t="shared" si="52"/>
        <v>1.46</v>
      </c>
      <c r="P141" s="134">
        <f t="shared" si="52"/>
        <v>1.46</v>
      </c>
      <c r="Q141" s="134">
        <f t="shared" si="52"/>
        <v>1.46</v>
      </c>
      <c r="R141" s="134">
        <f t="shared" si="52"/>
        <v>1.46</v>
      </c>
      <c r="S141" s="134">
        <f t="shared" si="53"/>
        <v>1.46</v>
      </c>
      <c r="T141" s="134">
        <f t="shared" si="53"/>
        <v>1.46</v>
      </c>
      <c r="U141" s="134">
        <f t="shared" si="53"/>
        <v>1.46</v>
      </c>
      <c r="V141" s="134">
        <f t="shared" si="53"/>
        <v>1.46</v>
      </c>
      <c r="W141" s="134">
        <f t="shared" si="53"/>
        <v>1.46</v>
      </c>
      <c r="X141" s="134">
        <f t="shared" si="53"/>
        <v>1.46</v>
      </c>
      <c r="Y141" s="134">
        <f t="shared" si="53"/>
        <v>1.46</v>
      </c>
      <c r="Z141" s="134">
        <f t="shared" si="53"/>
        <v>1.46</v>
      </c>
      <c r="AA141" s="134">
        <f t="shared" si="53"/>
        <v>1.46</v>
      </c>
      <c r="AB141" s="134">
        <f t="shared" si="53"/>
        <v>1.46</v>
      </c>
      <c r="AC141" s="134">
        <f t="shared" si="53"/>
        <v>1.46</v>
      </c>
      <c r="AD141" s="134">
        <f t="shared" si="53"/>
        <v>1.46</v>
      </c>
      <c r="AE141" s="134">
        <f t="shared" si="53"/>
        <v>1.46</v>
      </c>
      <c r="AF141" s="134">
        <f t="shared" si="53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52"/>
        <v>3</v>
      </c>
      <c r="D142" s="134">
        <f t="shared" si="52"/>
        <v>3</v>
      </c>
      <c r="E142" s="134">
        <f t="shared" si="52"/>
        <v>3</v>
      </c>
      <c r="F142" s="134">
        <f t="shared" si="52"/>
        <v>3</v>
      </c>
      <c r="G142" s="134">
        <f t="shared" si="52"/>
        <v>3</v>
      </c>
      <c r="H142" s="134">
        <f t="shared" si="52"/>
        <v>3</v>
      </c>
      <c r="I142" s="134">
        <f t="shared" si="52"/>
        <v>3</v>
      </c>
      <c r="J142" s="134">
        <f t="shared" si="52"/>
        <v>3</v>
      </c>
      <c r="K142" s="134">
        <f t="shared" si="52"/>
        <v>3</v>
      </c>
      <c r="L142" s="134">
        <f t="shared" si="52"/>
        <v>3</v>
      </c>
      <c r="M142" s="134">
        <f t="shared" si="52"/>
        <v>3</v>
      </c>
      <c r="N142" s="134">
        <f t="shared" si="52"/>
        <v>3</v>
      </c>
      <c r="O142" s="134">
        <f t="shared" si="52"/>
        <v>3</v>
      </c>
      <c r="P142" s="134">
        <f t="shared" si="52"/>
        <v>3</v>
      </c>
      <c r="Q142" s="134">
        <f t="shared" si="52"/>
        <v>3</v>
      </c>
      <c r="R142" s="134">
        <f t="shared" si="52"/>
        <v>3</v>
      </c>
      <c r="S142" s="134">
        <f t="shared" si="53"/>
        <v>3</v>
      </c>
      <c r="T142" s="134">
        <f t="shared" si="53"/>
        <v>3</v>
      </c>
      <c r="U142" s="134">
        <f t="shared" si="53"/>
        <v>3</v>
      </c>
      <c r="V142" s="134">
        <f t="shared" si="53"/>
        <v>3</v>
      </c>
      <c r="W142" s="134">
        <f t="shared" si="53"/>
        <v>3</v>
      </c>
      <c r="X142" s="134">
        <f t="shared" si="53"/>
        <v>3</v>
      </c>
      <c r="Y142" s="134">
        <f t="shared" si="53"/>
        <v>3</v>
      </c>
      <c r="Z142" s="134">
        <f t="shared" si="53"/>
        <v>3</v>
      </c>
      <c r="AA142" s="134">
        <f t="shared" si="53"/>
        <v>3</v>
      </c>
      <c r="AB142" s="134">
        <f t="shared" si="53"/>
        <v>3</v>
      </c>
      <c r="AC142" s="134">
        <f t="shared" si="53"/>
        <v>3</v>
      </c>
      <c r="AD142" s="134">
        <f t="shared" si="53"/>
        <v>3</v>
      </c>
      <c r="AE142" s="134">
        <f t="shared" si="53"/>
        <v>3</v>
      </c>
      <c r="AF142" s="134">
        <f t="shared" si="53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52"/>
        <v>3.3</v>
      </c>
      <c r="D143" s="134">
        <f t="shared" si="52"/>
        <v>3.3</v>
      </c>
      <c r="E143" s="134">
        <f t="shared" si="52"/>
        <v>3.3</v>
      </c>
      <c r="F143" s="134">
        <f t="shared" si="52"/>
        <v>3.3</v>
      </c>
      <c r="G143" s="134">
        <f t="shared" si="52"/>
        <v>3.3</v>
      </c>
      <c r="H143" s="134">
        <f t="shared" si="52"/>
        <v>3.3</v>
      </c>
      <c r="I143" s="134">
        <f t="shared" si="52"/>
        <v>3.3</v>
      </c>
      <c r="J143" s="134">
        <f t="shared" si="52"/>
        <v>3.3</v>
      </c>
      <c r="K143" s="134">
        <f t="shared" si="52"/>
        <v>3.3</v>
      </c>
      <c r="L143" s="134">
        <f t="shared" si="52"/>
        <v>3.3</v>
      </c>
      <c r="M143" s="134">
        <f t="shared" si="52"/>
        <v>3.3</v>
      </c>
      <c r="N143" s="134">
        <f t="shared" si="52"/>
        <v>3.3</v>
      </c>
      <c r="O143" s="134">
        <f t="shared" si="52"/>
        <v>3.3</v>
      </c>
      <c r="P143" s="134">
        <f t="shared" si="52"/>
        <v>3.3</v>
      </c>
      <c r="Q143" s="134">
        <f t="shared" si="52"/>
        <v>3.3</v>
      </c>
      <c r="R143" s="134">
        <f t="shared" si="52"/>
        <v>3.3</v>
      </c>
      <c r="S143" s="134">
        <f t="shared" si="53"/>
        <v>3.3</v>
      </c>
      <c r="T143" s="134">
        <f t="shared" si="53"/>
        <v>3.3</v>
      </c>
      <c r="U143" s="134">
        <f t="shared" si="53"/>
        <v>3.3</v>
      </c>
      <c r="V143" s="134">
        <f t="shared" si="53"/>
        <v>3.3</v>
      </c>
      <c r="W143" s="134">
        <f t="shared" si="53"/>
        <v>3.3</v>
      </c>
      <c r="X143" s="134">
        <f t="shared" si="53"/>
        <v>3.3</v>
      </c>
      <c r="Y143" s="134">
        <f t="shared" si="53"/>
        <v>3.3</v>
      </c>
      <c r="Z143" s="134">
        <f t="shared" si="53"/>
        <v>3.3</v>
      </c>
      <c r="AA143" s="134">
        <f t="shared" si="53"/>
        <v>3.3</v>
      </c>
      <c r="AB143" s="134">
        <f t="shared" si="53"/>
        <v>3.3</v>
      </c>
      <c r="AC143" s="134">
        <f t="shared" si="53"/>
        <v>3.3</v>
      </c>
      <c r="AD143" s="134">
        <f t="shared" si="53"/>
        <v>3.3</v>
      </c>
      <c r="AE143" s="134">
        <f t="shared" si="53"/>
        <v>3.3</v>
      </c>
      <c r="AF143" s="134">
        <f t="shared" si="53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54">B145</f>
        <v>1.76</v>
      </c>
      <c r="D145" s="134">
        <f t="shared" si="54"/>
        <v>1.76</v>
      </c>
      <c r="E145" s="134">
        <f t="shared" si="54"/>
        <v>1.76</v>
      </c>
      <c r="F145" s="134">
        <f t="shared" si="54"/>
        <v>1.76</v>
      </c>
      <c r="G145" s="134">
        <f t="shared" si="54"/>
        <v>1.76</v>
      </c>
      <c r="H145" s="134">
        <f t="shared" si="54"/>
        <v>1.76</v>
      </c>
      <c r="I145" s="134">
        <f t="shared" si="54"/>
        <v>1.76</v>
      </c>
      <c r="J145" s="134">
        <f t="shared" si="54"/>
        <v>1.76</v>
      </c>
      <c r="K145" s="134">
        <f t="shared" si="54"/>
        <v>1.76</v>
      </c>
      <c r="L145" s="134">
        <f t="shared" si="54"/>
        <v>1.76</v>
      </c>
      <c r="M145" s="134">
        <f t="shared" si="54"/>
        <v>1.76</v>
      </c>
      <c r="N145" s="134">
        <f t="shared" si="54"/>
        <v>1.76</v>
      </c>
      <c r="O145" s="134">
        <f t="shared" si="54"/>
        <v>1.76</v>
      </c>
      <c r="P145" s="134">
        <f t="shared" si="54"/>
        <v>1.76</v>
      </c>
      <c r="Q145" s="134">
        <f t="shared" si="54"/>
        <v>1.76</v>
      </c>
      <c r="R145" s="134">
        <f t="shared" si="54"/>
        <v>1.76</v>
      </c>
      <c r="S145" s="134">
        <f t="shared" ref="S145:AF146" si="55">R145</f>
        <v>1.76</v>
      </c>
      <c r="T145" s="134">
        <f t="shared" si="55"/>
        <v>1.76</v>
      </c>
      <c r="U145" s="134">
        <f t="shared" si="55"/>
        <v>1.76</v>
      </c>
      <c r="V145" s="134">
        <f t="shared" si="55"/>
        <v>1.76</v>
      </c>
      <c r="W145" s="134">
        <f t="shared" si="55"/>
        <v>1.76</v>
      </c>
      <c r="X145" s="134">
        <f t="shared" si="55"/>
        <v>1.76</v>
      </c>
      <c r="Y145" s="134">
        <f t="shared" si="55"/>
        <v>1.76</v>
      </c>
      <c r="Z145" s="134">
        <f t="shared" si="55"/>
        <v>1.76</v>
      </c>
      <c r="AA145" s="134">
        <f t="shared" si="55"/>
        <v>1.76</v>
      </c>
      <c r="AB145" s="134">
        <f t="shared" si="55"/>
        <v>1.76</v>
      </c>
      <c r="AC145" s="134">
        <f t="shared" si="55"/>
        <v>1.76</v>
      </c>
      <c r="AD145" s="134">
        <f t="shared" si="55"/>
        <v>1.76</v>
      </c>
      <c r="AE145" s="134">
        <f t="shared" si="55"/>
        <v>1.76</v>
      </c>
      <c r="AF145" s="134">
        <f t="shared" si="55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54"/>
        <v>0</v>
      </c>
      <c r="D146" s="134">
        <f t="shared" si="54"/>
        <v>0</v>
      </c>
      <c r="E146" s="134">
        <f t="shared" si="54"/>
        <v>0</v>
      </c>
      <c r="F146" s="134">
        <f t="shared" si="54"/>
        <v>0</v>
      </c>
      <c r="G146" s="134">
        <f t="shared" si="54"/>
        <v>0</v>
      </c>
      <c r="H146" s="134">
        <f t="shared" si="54"/>
        <v>0</v>
      </c>
      <c r="I146" s="134">
        <f t="shared" si="54"/>
        <v>0</v>
      </c>
      <c r="J146" s="134">
        <f t="shared" si="54"/>
        <v>0</v>
      </c>
      <c r="K146" s="134">
        <f t="shared" si="54"/>
        <v>0</v>
      </c>
      <c r="L146" s="134">
        <f t="shared" si="54"/>
        <v>0</v>
      </c>
      <c r="M146" s="134">
        <f t="shared" si="54"/>
        <v>0</v>
      </c>
      <c r="N146" s="134">
        <f t="shared" si="54"/>
        <v>0</v>
      </c>
      <c r="O146" s="134">
        <f t="shared" si="54"/>
        <v>0</v>
      </c>
      <c r="P146" s="134">
        <f t="shared" si="54"/>
        <v>0</v>
      </c>
      <c r="Q146" s="134">
        <f t="shared" si="54"/>
        <v>0</v>
      </c>
      <c r="R146" s="134">
        <f t="shared" si="54"/>
        <v>0</v>
      </c>
      <c r="S146" s="134">
        <f t="shared" si="55"/>
        <v>0</v>
      </c>
      <c r="T146" s="134">
        <f t="shared" si="55"/>
        <v>0</v>
      </c>
      <c r="U146" s="134">
        <f t="shared" si="55"/>
        <v>0</v>
      </c>
      <c r="V146" s="134">
        <f t="shared" si="55"/>
        <v>0</v>
      </c>
      <c r="W146" s="134">
        <f t="shared" si="55"/>
        <v>0</v>
      </c>
      <c r="X146" s="134">
        <f t="shared" si="55"/>
        <v>0</v>
      </c>
      <c r="Y146" s="134">
        <f t="shared" si="55"/>
        <v>0</v>
      </c>
      <c r="Z146" s="134">
        <f t="shared" si="55"/>
        <v>0</v>
      </c>
      <c r="AA146" s="134">
        <f t="shared" si="55"/>
        <v>0</v>
      </c>
      <c r="AB146" s="134">
        <f t="shared" si="55"/>
        <v>0</v>
      </c>
      <c r="AC146" s="134">
        <f t="shared" si="55"/>
        <v>0</v>
      </c>
      <c r="AD146" s="134">
        <f t="shared" si="55"/>
        <v>0</v>
      </c>
      <c r="AE146" s="134">
        <f t="shared" si="55"/>
        <v>0</v>
      </c>
      <c r="AF146" s="134">
        <f t="shared" si="55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56">B148</f>
        <v>0.1</v>
      </c>
      <c r="D148" s="134">
        <f t="shared" si="56"/>
        <v>0.1</v>
      </c>
      <c r="E148" s="134">
        <f t="shared" si="56"/>
        <v>0.1</v>
      </c>
      <c r="F148" s="134">
        <f t="shared" si="56"/>
        <v>0.1</v>
      </c>
      <c r="G148" s="134">
        <f t="shared" si="56"/>
        <v>0.1</v>
      </c>
      <c r="H148" s="134">
        <f t="shared" si="56"/>
        <v>0.1</v>
      </c>
      <c r="I148" s="134">
        <f t="shared" si="56"/>
        <v>0.1</v>
      </c>
      <c r="J148" s="134">
        <f t="shared" si="56"/>
        <v>0.1</v>
      </c>
      <c r="K148" s="134">
        <f t="shared" si="56"/>
        <v>0.1</v>
      </c>
      <c r="L148" s="134">
        <f t="shared" si="56"/>
        <v>0.1</v>
      </c>
      <c r="M148" s="134">
        <f t="shared" si="56"/>
        <v>0.1</v>
      </c>
      <c r="N148" s="134">
        <f t="shared" si="56"/>
        <v>0.1</v>
      </c>
      <c r="O148" s="134">
        <f t="shared" si="56"/>
        <v>0.1</v>
      </c>
      <c r="P148" s="134">
        <f t="shared" si="56"/>
        <v>0.1</v>
      </c>
      <c r="Q148" s="134">
        <f t="shared" si="56"/>
        <v>0.1</v>
      </c>
      <c r="R148" s="134">
        <f t="shared" si="56"/>
        <v>0.1</v>
      </c>
      <c r="S148" s="134">
        <f t="shared" ref="S148:AF151" si="57">R148</f>
        <v>0.1</v>
      </c>
      <c r="T148" s="134">
        <f t="shared" si="57"/>
        <v>0.1</v>
      </c>
      <c r="U148" s="134">
        <f t="shared" si="57"/>
        <v>0.1</v>
      </c>
      <c r="V148" s="134">
        <f t="shared" si="57"/>
        <v>0.1</v>
      </c>
      <c r="W148" s="134">
        <f t="shared" si="57"/>
        <v>0.1</v>
      </c>
      <c r="X148" s="134">
        <f t="shared" si="57"/>
        <v>0.1</v>
      </c>
      <c r="Y148" s="134">
        <f t="shared" si="57"/>
        <v>0.1</v>
      </c>
      <c r="Z148" s="134">
        <f t="shared" si="57"/>
        <v>0.1</v>
      </c>
      <c r="AA148" s="134">
        <f t="shared" si="57"/>
        <v>0.1</v>
      </c>
      <c r="AB148" s="134">
        <f t="shared" si="57"/>
        <v>0.1</v>
      </c>
      <c r="AC148" s="134">
        <f t="shared" si="57"/>
        <v>0.1</v>
      </c>
      <c r="AD148" s="134">
        <f t="shared" si="57"/>
        <v>0.1</v>
      </c>
      <c r="AE148" s="134">
        <f t="shared" si="57"/>
        <v>0.1</v>
      </c>
      <c r="AF148" s="134">
        <f t="shared" si="57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56"/>
        <v>2.0499999999999998</v>
      </c>
      <c r="D149" s="134">
        <f t="shared" si="56"/>
        <v>2.0499999999999998</v>
      </c>
      <c r="E149" s="134">
        <f t="shared" si="56"/>
        <v>2.0499999999999998</v>
      </c>
      <c r="F149" s="134">
        <f t="shared" si="56"/>
        <v>2.0499999999999998</v>
      </c>
      <c r="G149" s="134">
        <f t="shared" si="56"/>
        <v>2.0499999999999998</v>
      </c>
      <c r="H149" s="134">
        <f t="shared" si="56"/>
        <v>2.0499999999999998</v>
      </c>
      <c r="I149" s="134">
        <f t="shared" si="56"/>
        <v>2.0499999999999998</v>
      </c>
      <c r="J149" s="134">
        <f t="shared" si="56"/>
        <v>2.0499999999999998</v>
      </c>
      <c r="K149" s="134">
        <f t="shared" si="56"/>
        <v>2.0499999999999998</v>
      </c>
      <c r="L149" s="134">
        <f t="shared" si="56"/>
        <v>2.0499999999999998</v>
      </c>
      <c r="M149" s="134">
        <f t="shared" si="56"/>
        <v>2.0499999999999998</v>
      </c>
      <c r="N149" s="134">
        <f t="shared" si="56"/>
        <v>2.0499999999999998</v>
      </c>
      <c r="O149" s="134">
        <f t="shared" si="56"/>
        <v>2.0499999999999998</v>
      </c>
      <c r="P149" s="134">
        <f t="shared" si="56"/>
        <v>2.0499999999999998</v>
      </c>
      <c r="Q149" s="134">
        <f t="shared" si="56"/>
        <v>2.0499999999999998</v>
      </c>
      <c r="R149" s="134">
        <f t="shared" si="56"/>
        <v>2.0499999999999998</v>
      </c>
      <c r="S149" s="134">
        <f t="shared" si="57"/>
        <v>2.0499999999999998</v>
      </c>
      <c r="T149" s="134">
        <f t="shared" si="57"/>
        <v>2.0499999999999998</v>
      </c>
      <c r="U149" s="134">
        <f t="shared" si="57"/>
        <v>2.0499999999999998</v>
      </c>
      <c r="V149" s="134">
        <f t="shared" si="57"/>
        <v>2.0499999999999998</v>
      </c>
      <c r="W149" s="134">
        <f t="shared" si="57"/>
        <v>2.0499999999999998</v>
      </c>
      <c r="X149" s="134">
        <f t="shared" si="57"/>
        <v>2.0499999999999998</v>
      </c>
      <c r="Y149" s="134">
        <f t="shared" si="57"/>
        <v>2.0499999999999998</v>
      </c>
      <c r="Z149" s="134">
        <f t="shared" si="57"/>
        <v>2.0499999999999998</v>
      </c>
      <c r="AA149" s="134">
        <f t="shared" si="57"/>
        <v>2.0499999999999998</v>
      </c>
      <c r="AB149" s="134">
        <f t="shared" si="57"/>
        <v>2.0499999999999998</v>
      </c>
      <c r="AC149" s="134">
        <f t="shared" si="57"/>
        <v>2.0499999999999998</v>
      </c>
      <c r="AD149" s="134">
        <f t="shared" si="57"/>
        <v>2.0499999999999998</v>
      </c>
      <c r="AE149" s="134">
        <f t="shared" si="57"/>
        <v>2.0499999999999998</v>
      </c>
      <c r="AF149" s="134">
        <f t="shared" si="57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56"/>
        <v>2.7</v>
      </c>
      <c r="D150" s="134">
        <f t="shared" si="56"/>
        <v>2.7</v>
      </c>
      <c r="E150" s="134">
        <f t="shared" si="56"/>
        <v>2.7</v>
      </c>
      <c r="F150" s="134">
        <f t="shared" si="56"/>
        <v>2.7</v>
      </c>
      <c r="G150" s="134">
        <f t="shared" si="56"/>
        <v>2.7</v>
      </c>
      <c r="H150" s="134">
        <f t="shared" si="56"/>
        <v>2.7</v>
      </c>
      <c r="I150" s="134">
        <f t="shared" si="56"/>
        <v>2.7</v>
      </c>
      <c r="J150" s="134">
        <f t="shared" si="56"/>
        <v>2.7</v>
      </c>
      <c r="K150" s="134">
        <f t="shared" si="56"/>
        <v>2.7</v>
      </c>
      <c r="L150" s="134">
        <f t="shared" si="56"/>
        <v>2.7</v>
      </c>
      <c r="M150" s="134">
        <f t="shared" si="56"/>
        <v>2.7</v>
      </c>
      <c r="N150" s="134">
        <f t="shared" si="56"/>
        <v>2.7</v>
      </c>
      <c r="O150" s="134">
        <f t="shared" si="56"/>
        <v>2.7</v>
      </c>
      <c r="P150" s="134">
        <f t="shared" si="56"/>
        <v>2.7</v>
      </c>
      <c r="Q150" s="134">
        <f t="shared" si="56"/>
        <v>2.7</v>
      </c>
      <c r="R150" s="134">
        <f t="shared" si="56"/>
        <v>2.7</v>
      </c>
      <c r="S150" s="134">
        <f t="shared" si="57"/>
        <v>2.7</v>
      </c>
      <c r="T150" s="134">
        <f t="shared" si="57"/>
        <v>2.7</v>
      </c>
      <c r="U150" s="134">
        <f t="shared" si="57"/>
        <v>2.7</v>
      </c>
      <c r="V150" s="134">
        <f t="shared" si="57"/>
        <v>2.7</v>
      </c>
      <c r="W150" s="134">
        <f t="shared" si="57"/>
        <v>2.7</v>
      </c>
      <c r="X150" s="134">
        <f t="shared" si="57"/>
        <v>2.7</v>
      </c>
      <c r="Y150" s="134">
        <f t="shared" si="57"/>
        <v>2.7</v>
      </c>
      <c r="Z150" s="134">
        <f t="shared" si="57"/>
        <v>2.7</v>
      </c>
      <c r="AA150" s="134">
        <f t="shared" si="57"/>
        <v>2.7</v>
      </c>
      <c r="AB150" s="134">
        <f t="shared" si="57"/>
        <v>2.7</v>
      </c>
      <c r="AC150" s="134">
        <f t="shared" si="57"/>
        <v>2.7</v>
      </c>
      <c r="AD150" s="134">
        <f t="shared" si="57"/>
        <v>2.7</v>
      </c>
      <c r="AE150" s="134">
        <f t="shared" si="57"/>
        <v>2.7</v>
      </c>
      <c r="AF150" s="134">
        <f t="shared" si="57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56"/>
        <v>2.15</v>
      </c>
      <c r="D151" s="134">
        <f t="shared" si="56"/>
        <v>2.15</v>
      </c>
      <c r="E151" s="134">
        <f t="shared" si="56"/>
        <v>2.15</v>
      </c>
      <c r="F151" s="134">
        <f t="shared" si="56"/>
        <v>2.15</v>
      </c>
      <c r="G151" s="134">
        <f t="shared" si="56"/>
        <v>2.15</v>
      </c>
      <c r="H151" s="134">
        <f t="shared" si="56"/>
        <v>2.15</v>
      </c>
      <c r="I151" s="134">
        <f t="shared" si="56"/>
        <v>2.15</v>
      </c>
      <c r="J151" s="134">
        <f t="shared" si="56"/>
        <v>2.15</v>
      </c>
      <c r="K151" s="134">
        <f t="shared" si="56"/>
        <v>2.15</v>
      </c>
      <c r="L151" s="134">
        <f t="shared" si="56"/>
        <v>2.15</v>
      </c>
      <c r="M151" s="134">
        <f t="shared" si="56"/>
        <v>2.15</v>
      </c>
      <c r="N151" s="134">
        <f t="shared" si="56"/>
        <v>2.15</v>
      </c>
      <c r="O151" s="134">
        <f t="shared" si="56"/>
        <v>2.15</v>
      </c>
      <c r="P151" s="134">
        <f t="shared" si="56"/>
        <v>2.15</v>
      </c>
      <c r="Q151" s="134">
        <f t="shared" si="56"/>
        <v>2.15</v>
      </c>
      <c r="R151" s="134">
        <f t="shared" si="56"/>
        <v>2.15</v>
      </c>
      <c r="S151" s="134">
        <f t="shared" si="57"/>
        <v>2.15</v>
      </c>
      <c r="T151" s="134">
        <f t="shared" si="57"/>
        <v>2.15</v>
      </c>
      <c r="U151" s="134">
        <f t="shared" si="57"/>
        <v>2.15</v>
      </c>
      <c r="V151" s="134">
        <f t="shared" si="57"/>
        <v>2.15</v>
      </c>
      <c r="W151" s="134">
        <f t="shared" si="57"/>
        <v>2.15</v>
      </c>
      <c r="X151" s="134">
        <f t="shared" si="57"/>
        <v>2.15</v>
      </c>
      <c r="Y151" s="134">
        <f t="shared" si="57"/>
        <v>2.15</v>
      </c>
      <c r="Z151" s="134">
        <f t="shared" si="57"/>
        <v>2.15</v>
      </c>
      <c r="AA151" s="134">
        <f t="shared" si="57"/>
        <v>2.15</v>
      </c>
      <c r="AB151" s="134">
        <f t="shared" si="57"/>
        <v>2.15</v>
      </c>
      <c r="AC151" s="134">
        <f t="shared" si="57"/>
        <v>2.15</v>
      </c>
      <c r="AD151" s="134">
        <f t="shared" si="57"/>
        <v>2.15</v>
      </c>
      <c r="AE151" s="134">
        <f t="shared" si="57"/>
        <v>2.15</v>
      </c>
      <c r="AF151" s="134">
        <f t="shared" si="57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58">B153</f>
        <v>0.9</v>
      </c>
      <c r="D153" s="134">
        <f t="shared" si="58"/>
        <v>0.9</v>
      </c>
      <c r="E153" s="134">
        <f t="shared" si="58"/>
        <v>0.9</v>
      </c>
      <c r="F153" s="134">
        <f t="shared" si="58"/>
        <v>0.9</v>
      </c>
      <c r="G153" s="134">
        <f t="shared" si="58"/>
        <v>0.9</v>
      </c>
      <c r="H153" s="134">
        <f t="shared" si="58"/>
        <v>0.9</v>
      </c>
      <c r="I153" s="134">
        <f t="shared" si="58"/>
        <v>0.9</v>
      </c>
      <c r="J153" s="134">
        <f t="shared" si="58"/>
        <v>0.9</v>
      </c>
      <c r="K153" s="134">
        <f t="shared" si="58"/>
        <v>0.9</v>
      </c>
      <c r="L153" s="134">
        <f t="shared" si="58"/>
        <v>0.9</v>
      </c>
      <c r="M153" s="134">
        <f t="shared" si="58"/>
        <v>0.9</v>
      </c>
      <c r="N153" s="134">
        <f t="shared" si="58"/>
        <v>0.9</v>
      </c>
      <c r="O153" s="134">
        <f t="shared" si="58"/>
        <v>0.9</v>
      </c>
      <c r="P153" s="134">
        <f t="shared" si="58"/>
        <v>0.9</v>
      </c>
      <c r="Q153" s="134">
        <f t="shared" si="58"/>
        <v>0.9</v>
      </c>
      <c r="R153" s="134">
        <f t="shared" si="58"/>
        <v>0.9</v>
      </c>
      <c r="S153" s="134">
        <f t="shared" ref="R153:AF165" si="59">R153</f>
        <v>0.9</v>
      </c>
      <c r="T153" s="134">
        <f t="shared" si="59"/>
        <v>0.9</v>
      </c>
      <c r="U153" s="134">
        <f t="shared" si="59"/>
        <v>0.9</v>
      </c>
      <c r="V153" s="134">
        <f t="shared" si="59"/>
        <v>0.9</v>
      </c>
      <c r="W153" s="134">
        <f t="shared" si="59"/>
        <v>0.9</v>
      </c>
      <c r="X153" s="134">
        <f t="shared" si="59"/>
        <v>0.9</v>
      </c>
      <c r="Y153" s="134">
        <f t="shared" si="59"/>
        <v>0.9</v>
      </c>
      <c r="Z153" s="134">
        <f t="shared" si="59"/>
        <v>0.9</v>
      </c>
      <c r="AA153" s="134">
        <f t="shared" si="59"/>
        <v>0.9</v>
      </c>
      <c r="AB153" s="134">
        <f t="shared" si="59"/>
        <v>0.9</v>
      </c>
      <c r="AC153" s="134">
        <f t="shared" si="59"/>
        <v>0.9</v>
      </c>
      <c r="AD153" s="134">
        <f t="shared" si="59"/>
        <v>0.9</v>
      </c>
      <c r="AE153" s="134">
        <f t="shared" si="59"/>
        <v>0.9</v>
      </c>
      <c r="AF153" s="134">
        <f t="shared" si="59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58"/>
        <v>1.08</v>
      </c>
      <c r="D154" s="134">
        <f t="shared" si="58"/>
        <v>1.08</v>
      </c>
      <c r="E154" s="134">
        <f t="shared" si="58"/>
        <v>1.08</v>
      </c>
      <c r="F154" s="134">
        <f t="shared" si="58"/>
        <v>1.08</v>
      </c>
      <c r="G154" s="134">
        <f t="shared" si="58"/>
        <v>1.08</v>
      </c>
      <c r="H154" s="134">
        <f t="shared" si="58"/>
        <v>1.08</v>
      </c>
      <c r="I154" s="134">
        <f t="shared" si="58"/>
        <v>1.08</v>
      </c>
      <c r="J154" s="134">
        <f t="shared" si="58"/>
        <v>1.08</v>
      </c>
      <c r="K154" s="134">
        <f t="shared" si="58"/>
        <v>1.08</v>
      </c>
      <c r="L154" s="134">
        <f t="shared" si="58"/>
        <v>1.08</v>
      </c>
      <c r="M154" s="134">
        <f t="shared" si="58"/>
        <v>1.08</v>
      </c>
      <c r="N154" s="134">
        <f t="shared" si="58"/>
        <v>1.08</v>
      </c>
      <c r="O154" s="134">
        <f t="shared" si="58"/>
        <v>1.08</v>
      </c>
      <c r="P154" s="134">
        <f t="shared" si="58"/>
        <v>1.08</v>
      </c>
      <c r="Q154" s="134">
        <f t="shared" si="58"/>
        <v>1.08</v>
      </c>
      <c r="R154" s="134">
        <f t="shared" si="58"/>
        <v>1.08</v>
      </c>
      <c r="S154" s="134">
        <f t="shared" si="59"/>
        <v>1.08</v>
      </c>
      <c r="T154" s="134">
        <f t="shared" si="59"/>
        <v>1.08</v>
      </c>
      <c r="U154" s="134">
        <f t="shared" si="59"/>
        <v>1.08</v>
      </c>
      <c r="V154" s="134">
        <f t="shared" si="59"/>
        <v>1.08</v>
      </c>
      <c r="W154" s="134">
        <f t="shared" si="59"/>
        <v>1.08</v>
      </c>
      <c r="X154" s="134">
        <f t="shared" si="59"/>
        <v>1.08</v>
      </c>
      <c r="Y154" s="134">
        <f t="shared" si="59"/>
        <v>1.08</v>
      </c>
      <c r="Z154" s="134">
        <f t="shared" si="59"/>
        <v>1.08</v>
      </c>
      <c r="AA154" s="134">
        <f t="shared" si="59"/>
        <v>1.08</v>
      </c>
      <c r="AB154" s="134">
        <f t="shared" si="59"/>
        <v>1.08</v>
      </c>
      <c r="AC154" s="134">
        <f t="shared" si="59"/>
        <v>1.08</v>
      </c>
      <c r="AD154" s="134">
        <f t="shared" si="59"/>
        <v>1.08</v>
      </c>
      <c r="AE154" s="134">
        <f t="shared" si="59"/>
        <v>1.08</v>
      </c>
      <c r="AF154" s="134">
        <f t="shared" si="59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58"/>
        <v>2.37</v>
      </c>
      <c r="D155" s="134">
        <f t="shared" si="58"/>
        <v>2.37</v>
      </c>
      <c r="E155" s="134">
        <f t="shared" si="58"/>
        <v>2.37</v>
      </c>
      <c r="F155" s="134">
        <f t="shared" si="58"/>
        <v>2.37</v>
      </c>
      <c r="G155" s="134">
        <f t="shared" si="58"/>
        <v>2.37</v>
      </c>
      <c r="H155" s="134">
        <f t="shared" si="58"/>
        <v>2.37</v>
      </c>
      <c r="I155" s="134">
        <f t="shared" si="58"/>
        <v>2.37</v>
      </c>
      <c r="J155" s="134">
        <f t="shared" si="58"/>
        <v>2.37</v>
      </c>
      <c r="K155" s="134">
        <f t="shared" si="58"/>
        <v>2.37</v>
      </c>
      <c r="L155" s="134">
        <f t="shared" si="58"/>
        <v>2.37</v>
      </c>
      <c r="M155" s="134">
        <f t="shared" si="58"/>
        <v>2.37</v>
      </c>
      <c r="N155" s="134">
        <f t="shared" si="58"/>
        <v>2.37</v>
      </c>
      <c r="O155" s="134">
        <f t="shared" si="58"/>
        <v>2.37</v>
      </c>
      <c r="P155" s="134">
        <f t="shared" si="58"/>
        <v>2.37</v>
      </c>
      <c r="Q155" s="134">
        <f t="shared" si="58"/>
        <v>2.37</v>
      </c>
      <c r="R155" s="134">
        <f t="shared" si="58"/>
        <v>2.37</v>
      </c>
      <c r="S155" s="134">
        <f t="shared" si="59"/>
        <v>2.37</v>
      </c>
      <c r="T155" s="134">
        <f t="shared" si="59"/>
        <v>2.37</v>
      </c>
      <c r="U155" s="134">
        <f t="shared" si="59"/>
        <v>2.37</v>
      </c>
      <c r="V155" s="134">
        <f t="shared" si="59"/>
        <v>2.37</v>
      </c>
      <c r="W155" s="134">
        <f t="shared" si="59"/>
        <v>2.37</v>
      </c>
      <c r="X155" s="134">
        <f t="shared" si="59"/>
        <v>2.37</v>
      </c>
      <c r="Y155" s="134">
        <f t="shared" si="59"/>
        <v>2.37</v>
      </c>
      <c r="Z155" s="134">
        <f t="shared" si="59"/>
        <v>2.37</v>
      </c>
      <c r="AA155" s="134">
        <f t="shared" si="59"/>
        <v>2.37</v>
      </c>
      <c r="AB155" s="134">
        <f t="shared" si="59"/>
        <v>2.37</v>
      </c>
      <c r="AC155" s="134">
        <f t="shared" si="59"/>
        <v>2.37</v>
      </c>
      <c r="AD155" s="134">
        <f t="shared" si="59"/>
        <v>2.37</v>
      </c>
      <c r="AE155" s="134">
        <f t="shared" si="59"/>
        <v>2.37</v>
      </c>
      <c r="AF155" s="134">
        <f t="shared" si="59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58"/>
        <v>1.81</v>
      </c>
      <c r="D156" s="134">
        <f t="shared" si="58"/>
        <v>1.81</v>
      </c>
      <c r="E156" s="134">
        <f t="shared" si="58"/>
        <v>1.81</v>
      </c>
      <c r="F156" s="134">
        <f t="shared" si="58"/>
        <v>1.81</v>
      </c>
      <c r="G156" s="134">
        <f t="shared" si="58"/>
        <v>1.81</v>
      </c>
      <c r="H156" s="134">
        <f t="shared" si="58"/>
        <v>1.81</v>
      </c>
      <c r="I156" s="134">
        <f t="shared" si="58"/>
        <v>1.81</v>
      </c>
      <c r="J156" s="134">
        <f t="shared" si="58"/>
        <v>1.81</v>
      </c>
      <c r="K156" s="134">
        <f t="shared" si="58"/>
        <v>1.81</v>
      </c>
      <c r="L156" s="134">
        <f t="shared" si="58"/>
        <v>1.81</v>
      </c>
      <c r="M156" s="134">
        <f t="shared" si="58"/>
        <v>1.81</v>
      </c>
      <c r="N156" s="134">
        <f t="shared" si="58"/>
        <v>1.81</v>
      </c>
      <c r="O156" s="134">
        <f t="shared" si="58"/>
        <v>1.81</v>
      </c>
      <c r="P156" s="134">
        <f t="shared" si="58"/>
        <v>1.81</v>
      </c>
      <c r="Q156" s="134">
        <f t="shared" si="58"/>
        <v>1.81</v>
      </c>
      <c r="R156" s="134">
        <f t="shared" si="58"/>
        <v>1.81</v>
      </c>
      <c r="S156" s="134">
        <f t="shared" si="59"/>
        <v>1.81</v>
      </c>
      <c r="T156" s="134">
        <f t="shared" si="59"/>
        <v>1.81</v>
      </c>
      <c r="U156" s="134">
        <f t="shared" si="59"/>
        <v>1.81</v>
      </c>
      <c r="V156" s="134">
        <f t="shared" si="59"/>
        <v>1.81</v>
      </c>
      <c r="W156" s="134">
        <f t="shared" si="59"/>
        <v>1.81</v>
      </c>
      <c r="X156" s="134">
        <f t="shared" si="59"/>
        <v>1.81</v>
      </c>
      <c r="Y156" s="134">
        <f t="shared" si="59"/>
        <v>1.81</v>
      </c>
      <c r="Z156" s="134">
        <f t="shared" si="59"/>
        <v>1.81</v>
      </c>
      <c r="AA156" s="134">
        <f t="shared" si="59"/>
        <v>1.81</v>
      </c>
      <c r="AB156" s="134">
        <f t="shared" si="59"/>
        <v>1.81</v>
      </c>
      <c r="AC156" s="134">
        <f t="shared" si="59"/>
        <v>1.81</v>
      </c>
      <c r="AD156" s="134">
        <f t="shared" si="59"/>
        <v>1.81</v>
      </c>
      <c r="AE156" s="134">
        <f t="shared" si="59"/>
        <v>1.81</v>
      </c>
      <c r="AF156" s="134">
        <f t="shared" si="59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58"/>
        <v>1.0900000000000001</v>
      </c>
      <c r="D157" s="134">
        <f t="shared" si="58"/>
        <v>1.0900000000000001</v>
      </c>
      <c r="E157" s="134">
        <f t="shared" si="58"/>
        <v>1.0900000000000001</v>
      </c>
      <c r="F157" s="134">
        <f t="shared" si="58"/>
        <v>1.0900000000000001</v>
      </c>
      <c r="G157" s="134">
        <f t="shared" si="58"/>
        <v>1.0900000000000001</v>
      </c>
      <c r="H157" s="134">
        <f t="shared" si="58"/>
        <v>1.0900000000000001</v>
      </c>
      <c r="I157" s="134">
        <f t="shared" si="58"/>
        <v>1.0900000000000001</v>
      </c>
      <c r="J157" s="134">
        <f t="shared" si="58"/>
        <v>1.0900000000000001</v>
      </c>
      <c r="K157" s="134">
        <f t="shared" si="58"/>
        <v>1.0900000000000001</v>
      </c>
      <c r="L157" s="134">
        <f t="shared" si="58"/>
        <v>1.0900000000000001</v>
      </c>
      <c r="M157" s="134">
        <f t="shared" si="58"/>
        <v>1.0900000000000001</v>
      </c>
      <c r="N157" s="134">
        <f t="shared" si="58"/>
        <v>1.0900000000000001</v>
      </c>
      <c r="O157" s="134">
        <f t="shared" si="58"/>
        <v>1.0900000000000001</v>
      </c>
      <c r="P157" s="134">
        <f t="shared" si="58"/>
        <v>1.0900000000000001</v>
      </c>
      <c r="Q157" s="134">
        <f t="shared" si="58"/>
        <v>1.0900000000000001</v>
      </c>
      <c r="R157" s="134">
        <f t="shared" si="58"/>
        <v>1.0900000000000001</v>
      </c>
      <c r="S157" s="134">
        <f t="shared" si="59"/>
        <v>1.0900000000000001</v>
      </c>
      <c r="T157" s="134">
        <f t="shared" si="59"/>
        <v>1.0900000000000001</v>
      </c>
      <c r="U157" s="134">
        <f t="shared" si="59"/>
        <v>1.0900000000000001</v>
      </c>
      <c r="V157" s="134">
        <f t="shared" si="59"/>
        <v>1.0900000000000001</v>
      </c>
      <c r="W157" s="134">
        <f t="shared" si="59"/>
        <v>1.0900000000000001</v>
      </c>
      <c r="X157" s="134">
        <f t="shared" si="59"/>
        <v>1.0900000000000001</v>
      </c>
      <c r="Y157" s="134">
        <f t="shared" si="59"/>
        <v>1.0900000000000001</v>
      </c>
      <c r="Z157" s="134">
        <f t="shared" si="59"/>
        <v>1.0900000000000001</v>
      </c>
      <c r="AA157" s="134">
        <f t="shared" si="59"/>
        <v>1.0900000000000001</v>
      </c>
      <c r="AB157" s="134">
        <f t="shared" si="59"/>
        <v>1.0900000000000001</v>
      </c>
      <c r="AC157" s="134">
        <f t="shared" si="59"/>
        <v>1.0900000000000001</v>
      </c>
      <c r="AD157" s="134">
        <f t="shared" si="59"/>
        <v>1.0900000000000001</v>
      </c>
      <c r="AE157" s="134">
        <f t="shared" si="59"/>
        <v>1.0900000000000001</v>
      </c>
      <c r="AF157" s="134">
        <f t="shared" si="59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58"/>
        <v>1.58</v>
      </c>
      <c r="D158" s="134">
        <f t="shared" si="58"/>
        <v>1.58</v>
      </c>
      <c r="E158" s="134">
        <f t="shared" si="58"/>
        <v>1.58</v>
      </c>
      <c r="F158" s="134">
        <f t="shared" si="58"/>
        <v>1.58</v>
      </c>
      <c r="G158" s="134">
        <f t="shared" si="58"/>
        <v>1.58</v>
      </c>
      <c r="H158" s="134">
        <f t="shared" si="58"/>
        <v>1.58</v>
      </c>
      <c r="I158" s="134">
        <f t="shared" si="58"/>
        <v>1.58</v>
      </c>
      <c r="J158" s="134">
        <f t="shared" si="58"/>
        <v>1.58</v>
      </c>
      <c r="K158" s="134">
        <f t="shared" si="58"/>
        <v>1.58</v>
      </c>
      <c r="L158" s="134">
        <f t="shared" si="58"/>
        <v>1.58</v>
      </c>
      <c r="M158" s="134">
        <f t="shared" si="58"/>
        <v>1.58</v>
      </c>
      <c r="N158" s="134">
        <f t="shared" si="58"/>
        <v>1.58</v>
      </c>
      <c r="O158" s="134">
        <f t="shared" si="58"/>
        <v>1.58</v>
      </c>
      <c r="P158" s="134">
        <f t="shared" si="58"/>
        <v>1.58</v>
      </c>
      <c r="Q158" s="134">
        <f t="shared" si="58"/>
        <v>1.58</v>
      </c>
      <c r="R158" s="134">
        <f t="shared" si="58"/>
        <v>1.58</v>
      </c>
      <c r="S158" s="134">
        <f t="shared" si="59"/>
        <v>1.58</v>
      </c>
      <c r="T158" s="134">
        <f t="shared" si="59"/>
        <v>1.58</v>
      </c>
      <c r="U158" s="134">
        <f t="shared" si="59"/>
        <v>1.58</v>
      </c>
      <c r="V158" s="134">
        <f t="shared" si="59"/>
        <v>1.58</v>
      </c>
      <c r="W158" s="134">
        <f t="shared" si="59"/>
        <v>1.58</v>
      </c>
      <c r="X158" s="134">
        <f t="shared" si="59"/>
        <v>1.58</v>
      </c>
      <c r="Y158" s="134">
        <f t="shared" si="59"/>
        <v>1.58</v>
      </c>
      <c r="Z158" s="134">
        <f t="shared" si="59"/>
        <v>1.58</v>
      </c>
      <c r="AA158" s="134">
        <f t="shared" si="59"/>
        <v>1.58</v>
      </c>
      <c r="AB158" s="134">
        <f t="shared" si="59"/>
        <v>1.58</v>
      </c>
      <c r="AC158" s="134">
        <f t="shared" si="59"/>
        <v>1.58</v>
      </c>
      <c r="AD158" s="134">
        <f t="shared" si="59"/>
        <v>1.58</v>
      </c>
      <c r="AE158" s="134">
        <f t="shared" si="59"/>
        <v>1.58</v>
      </c>
      <c r="AF158" s="134">
        <f t="shared" si="59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58"/>
        <v>2</v>
      </c>
      <c r="D159" s="134">
        <f t="shared" si="58"/>
        <v>2</v>
      </c>
      <c r="E159" s="134">
        <f t="shared" si="58"/>
        <v>2</v>
      </c>
      <c r="F159" s="134">
        <f t="shared" si="58"/>
        <v>2</v>
      </c>
      <c r="G159" s="134">
        <f t="shared" si="58"/>
        <v>2</v>
      </c>
      <c r="H159" s="134">
        <f t="shared" si="58"/>
        <v>2</v>
      </c>
      <c r="I159" s="134">
        <f t="shared" si="58"/>
        <v>2</v>
      </c>
      <c r="J159" s="134">
        <f t="shared" si="58"/>
        <v>2</v>
      </c>
      <c r="K159" s="134">
        <f t="shared" si="58"/>
        <v>2</v>
      </c>
      <c r="L159" s="134">
        <f t="shared" si="58"/>
        <v>2</v>
      </c>
      <c r="M159" s="134">
        <f t="shared" si="58"/>
        <v>2</v>
      </c>
      <c r="N159" s="134">
        <f t="shared" si="58"/>
        <v>2</v>
      </c>
      <c r="O159" s="134">
        <f t="shared" si="58"/>
        <v>2</v>
      </c>
      <c r="P159" s="134">
        <f t="shared" si="58"/>
        <v>2</v>
      </c>
      <c r="Q159" s="134">
        <f t="shared" si="58"/>
        <v>2</v>
      </c>
      <c r="R159" s="134">
        <f t="shared" si="58"/>
        <v>2</v>
      </c>
      <c r="S159" s="134">
        <f t="shared" si="59"/>
        <v>2</v>
      </c>
      <c r="T159" s="134">
        <f t="shared" si="59"/>
        <v>2</v>
      </c>
      <c r="U159" s="134">
        <f t="shared" si="59"/>
        <v>2</v>
      </c>
      <c r="V159" s="134">
        <f t="shared" si="59"/>
        <v>2</v>
      </c>
      <c r="W159" s="134">
        <f t="shared" si="59"/>
        <v>2</v>
      </c>
      <c r="X159" s="134">
        <f t="shared" si="59"/>
        <v>2</v>
      </c>
      <c r="Y159" s="134">
        <f t="shared" si="59"/>
        <v>2</v>
      </c>
      <c r="Z159" s="134">
        <f t="shared" si="59"/>
        <v>2</v>
      </c>
      <c r="AA159" s="134">
        <f t="shared" si="59"/>
        <v>2</v>
      </c>
      <c r="AB159" s="134">
        <f t="shared" si="59"/>
        <v>2</v>
      </c>
      <c r="AC159" s="134">
        <f t="shared" si="59"/>
        <v>2</v>
      </c>
      <c r="AD159" s="134">
        <f t="shared" si="59"/>
        <v>2</v>
      </c>
      <c r="AE159" s="134">
        <f t="shared" si="59"/>
        <v>2</v>
      </c>
      <c r="AF159" s="134">
        <f t="shared" si="59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58"/>
        <v>0.47</v>
      </c>
      <c r="D160" s="134">
        <f t="shared" si="58"/>
        <v>0.47</v>
      </c>
      <c r="E160" s="134">
        <f t="shared" si="58"/>
        <v>0.47</v>
      </c>
      <c r="F160" s="134">
        <f t="shared" si="58"/>
        <v>0.47</v>
      </c>
      <c r="G160" s="134">
        <f t="shared" si="58"/>
        <v>0.47</v>
      </c>
      <c r="H160" s="134">
        <f t="shared" si="58"/>
        <v>0.47</v>
      </c>
      <c r="I160" s="134">
        <f t="shared" si="58"/>
        <v>0.47</v>
      </c>
      <c r="J160" s="134">
        <f t="shared" si="58"/>
        <v>0.47</v>
      </c>
      <c r="K160" s="134">
        <f t="shared" si="58"/>
        <v>0.47</v>
      </c>
      <c r="L160" s="134">
        <f t="shared" si="58"/>
        <v>0.47</v>
      </c>
      <c r="M160" s="134">
        <f t="shared" si="58"/>
        <v>0.47</v>
      </c>
      <c r="N160" s="134">
        <f t="shared" si="58"/>
        <v>0.47</v>
      </c>
      <c r="O160" s="134">
        <f t="shared" si="58"/>
        <v>0.47</v>
      </c>
      <c r="P160" s="134">
        <f t="shared" si="58"/>
        <v>0.47</v>
      </c>
      <c r="Q160" s="134">
        <f t="shared" si="58"/>
        <v>0.47</v>
      </c>
      <c r="R160" s="134">
        <f t="shared" si="58"/>
        <v>0.47</v>
      </c>
      <c r="S160" s="134">
        <f t="shared" si="59"/>
        <v>0.47</v>
      </c>
      <c r="T160" s="134">
        <f t="shared" si="59"/>
        <v>0.47</v>
      </c>
      <c r="U160" s="134">
        <f t="shared" si="59"/>
        <v>0.47</v>
      </c>
      <c r="V160" s="134">
        <f t="shared" si="59"/>
        <v>0.47</v>
      </c>
      <c r="W160" s="134">
        <f t="shared" si="59"/>
        <v>0.47</v>
      </c>
      <c r="X160" s="134">
        <f t="shared" si="59"/>
        <v>0.47</v>
      </c>
      <c r="Y160" s="134">
        <f t="shared" si="59"/>
        <v>0.47</v>
      </c>
      <c r="Z160" s="134">
        <f t="shared" si="59"/>
        <v>0.47</v>
      </c>
      <c r="AA160" s="134">
        <f t="shared" si="59"/>
        <v>0.47</v>
      </c>
      <c r="AB160" s="134">
        <f t="shared" si="59"/>
        <v>0.47</v>
      </c>
      <c r="AC160" s="134">
        <f t="shared" si="59"/>
        <v>0.47</v>
      </c>
      <c r="AD160" s="134">
        <f t="shared" si="59"/>
        <v>0.47</v>
      </c>
      <c r="AE160" s="134">
        <f t="shared" si="59"/>
        <v>0.47</v>
      </c>
      <c r="AF160" s="134">
        <f t="shared" si="59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58"/>
        <v>0</v>
      </c>
      <c r="D161" s="134">
        <f t="shared" si="58"/>
        <v>0</v>
      </c>
      <c r="E161" s="134">
        <f t="shared" si="58"/>
        <v>0</v>
      </c>
      <c r="F161" s="134">
        <f t="shared" si="58"/>
        <v>0</v>
      </c>
      <c r="G161" s="134">
        <f t="shared" si="58"/>
        <v>0</v>
      </c>
      <c r="H161" s="134">
        <f t="shared" si="58"/>
        <v>0</v>
      </c>
      <c r="I161" s="134">
        <f t="shared" si="58"/>
        <v>0</v>
      </c>
      <c r="J161" s="134">
        <f t="shared" si="58"/>
        <v>0</v>
      </c>
      <c r="K161" s="134">
        <f t="shared" si="58"/>
        <v>0</v>
      </c>
      <c r="L161" s="134">
        <f t="shared" si="58"/>
        <v>0</v>
      </c>
      <c r="M161" s="134">
        <f t="shared" si="58"/>
        <v>0</v>
      </c>
      <c r="N161" s="134">
        <f t="shared" si="58"/>
        <v>0</v>
      </c>
      <c r="O161" s="134">
        <f t="shared" si="58"/>
        <v>0</v>
      </c>
      <c r="P161" s="134">
        <f t="shared" si="58"/>
        <v>0</v>
      </c>
      <c r="Q161" s="134">
        <f t="shared" si="58"/>
        <v>0</v>
      </c>
      <c r="R161" s="134">
        <f t="shared" si="58"/>
        <v>0</v>
      </c>
      <c r="S161" s="134">
        <f t="shared" si="59"/>
        <v>0</v>
      </c>
      <c r="T161" s="134">
        <f t="shared" si="59"/>
        <v>0</v>
      </c>
      <c r="U161" s="134">
        <f t="shared" si="59"/>
        <v>0</v>
      </c>
      <c r="V161" s="134">
        <f t="shared" si="59"/>
        <v>0</v>
      </c>
      <c r="W161" s="134">
        <f t="shared" si="59"/>
        <v>0</v>
      </c>
      <c r="X161" s="134">
        <f t="shared" si="59"/>
        <v>0</v>
      </c>
      <c r="Y161" s="134">
        <f t="shared" si="59"/>
        <v>0</v>
      </c>
      <c r="Z161" s="134">
        <f t="shared" si="59"/>
        <v>0</v>
      </c>
      <c r="AA161" s="134">
        <f t="shared" si="59"/>
        <v>0</v>
      </c>
      <c r="AB161" s="134">
        <f t="shared" si="59"/>
        <v>0</v>
      </c>
      <c r="AC161" s="134">
        <f t="shared" si="59"/>
        <v>0</v>
      </c>
      <c r="AD161" s="134">
        <f t="shared" si="59"/>
        <v>0</v>
      </c>
      <c r="AE161" s="134">
        <f t="shared" si="59"/>
        <v>0</v>
      </c>
      <c r="AF161" s="134">
        <f t="shared" si="59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58"/>
        <v>0</v>
      </c>
      <c r="D162" s="134">
        <f t="shared" si="58"/>
        <v>0</v>
      </c>
      <c r="E162" s="134">
        <f t="shared" si="58"/>
        <v>0</v>
      </c>
      <c r="F162" s="134">
        <f t="shared" si="58"/>
        <v>0</v>
      </c>
      <c r="G162" s="134">
        <f t="shared" si="58"/>
        <v>0</v>
      </c>
      <c r="H162" s="134">
        <f t="shared" si="58"/>
        <v>0</v>
      </c>
      <c r="I162" s="134">
        <f t="shared" si="58"/>
        <v>0</v>
      </c>
      <c r="J162" s="134">
        <f t="shared" si="58"/>
        <v>0</v>
      </c>
      <c r="K162" s="134">
        <f t="shared" si="58"/>
        <v>0</v>
      </c>
      <c r="L162" s="134">
        <f t="shared" si="58"/>
        <v>0</v>
      </c>
      <c r="M162" s="134">
        <f t="shared" si="58"/>
        <v>0</v>
      </c>
      <c r="N162" s="134">
        <f t="shared" si="58"/>
        <v>0</v>
      </c>
      <c r="O162" s="134">
        <f t="shared" si="58"/>
        <v>0</v>
      </c>
      <c r="P162" s="134">
        <f t="shared" si="58"/>
        <v>0</v>
      </c>
      <c r="Q162" s="134">
        <f t="shared" si="58"/>
        <v>0</v>
      </c>
      <c r="R162" s="134">
        <f t="shared" si="59"/>
        <v>0</v>
      </c>
      <c r="S162" s="134">
        <f t="shared" si="59"/>
        <v>0</v>
      </c>
      <c r="T162" s="134">
        <f t="shared" si="59"/>
        <v>0</v>
      </c>
      <c r="U162" s="134">
        <f t="shared" si="59"/>
        <v>0</v>
      </c>
      <c r="V162" s="134">
        <f t="shared" si="59"/>
        <v>0</v>
      </c>
      <c r="W162" s="134">
        <f t="shared" si="59"/>
        <v>0</v>
      </c>
      <c r="X162" s="134">
        <f t="shared" si="59"/>
        <v>0</v>
      </c>
      <c r="Y162" s="134">
        <f t="shared" si="59"/>
        <v>0</v>
      </c>
      <c r="Z162" s="134">
        <f t="shared" si="59"/>
        <v>0</v>
      </c>
      <c r="AA162" s="134">
        <f t="shared" si="59"/>
        <v>0</v>
      </c>
      <c r="AB162" s="134">
        <f t="shared" si="59"/>
        <v>0</v>
      </c>
      <c r="AC162" s="134">
        <f t="shared" si="59"/>
        <v>0</v>
      </c>
      <c r="AD162" s="134">
        <f t="shared" si="59"/>
        <v>0</v>
      </c>
      <c r="AE162" s="134">
        <f t="shared" si="59"/>
        <v>0</v>
      </c>
      <c r="AF162" s="134">
        <f t="shared" si="59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58"/>
        <v>0.8</v>
      </c>
      <c r="D163" s="134">
        <f t="shared" si="58"/>
        <v>0.8</v>
      </c>
      <c r="E163" s="134">
        <f t="shared" si="58"/>
        <v>0.8</v>
      </c>
      <c r="F163" s="134">
        <f t="shared" si="58"/>
        <v>0.8</v>
      </c>
      <c r="G163" s="134">
        <f t="shared" si="58"/>
        <v>0.8</v>
      </c>
      <c r="H163" s="134">
        <f t="shared" si="58"/>
        <v>0.8</v>
      </c>
      <c r="I163" s="134">
        <f t="shared" si="58"/>
        <v>0.8</v>
      </c>
      <c r="J163" s="134">
        <f t="shared" si="58"/>
        <v>0.8</v>
      </c>
      <c r="K163" s="134">
        <f t="shared" si="58"/>
        <v>0.8</v>
      </c>
      <c r="L163" s="134">
        <f t="shared" si="58"/>
        <v>0.8</v>
      </c>
      <c r="M163" s="134">
        <f t="shared" si="58"/>
        <v>0.8</v>
      </c>
      <c r="N163" s="134">
        <f t="shared" si="58"/>
        <v>0.8</v>
      </c>
      <c r="O163" s="134">
        <f t="shared" si="58"/>
        <v>0.8</v>
      </c>
      <c r="P163" s="134">
        <f t="shared" si="58"/>
        <v>0.8</v>
      </c>
      <c r="Q163" s="134">
        <f t="shared" si="58"/>
        <v>0.8</v>
      </c>
      <c r="R163" s="134">
        <f t="shared" si="59"/>
        <v>0.8</v>
      </c>
      <c r="S163" s="134">
        <f t="shared" si="59"/>
        <v>0.8</v>
      </c>
      <c r="T163" s="134">
        <f t="shared" si="59"/>
        <v>0.8</v>
      </c>
      <c r="U163" s="134">
        <f t="shared" si="59"/>
        <v>0.8</v>
      </c>
      <c r="V163" s="134">
        <f t="shared" si="59"/>
        <v>0.8</v>
      </c>
      <c r="W163" s="134">
        <f t="shared" si="59"/>
        <v>0.8</v>
      </c>
      <c r="X163" s="134">
        <f t="shared" si="59"/>
        <v>0.8</v>
      </c>
      <c r="Y163" s="134">
        <f t="shared" si="59"/>
        <v>0.8</v>
      </c>
      <c r="Z163" s="134">
        <f t="shared" si="59"/>
        <v>0.8</v>
      </c>
      <c r="AA163" s="134">
        <f t="shared" si="59"/>
        <v>0.8</v>
      </c>
      <c r="AB163" s="134">
        <f t="shared" si="59"/>
        <v>0.8</v>
      </c>
      <c r="AC163" s="134">
        <f t="shared" si="59"/>
        <v>0.8</v>
      </c>
      <c r="AD163" s="134">
        <f t="shared" si="59"/>
        <v>0.8</v>
      </c>
      <c r="AE163" s="134">
        <f t="shared" si="59"/>
        <v>0.8</v>
      </c>
      <c r="AF163" s="134">
        <f t="shared" si="59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58"/>
        <v>1.5</v>
      </c>
      <c r="D164" s="134">
        <f t="shared" si="58"/>
        <v>1.5</v>
      </c>
      <c r="E164" s="134">
        <f t="shared" si="58"/>
        <v>1.5</v>
      </c>
      <c r="F164" s="134">
        <f t="shared" si="58"/>
        <v>1.5</v>
      </c>
      <c r="G164" s="134">
        <f t="shared" si="58"/>
        <v>1.5</v>
      </c>
      <c r="H164" s="134">
        <f t="shared" si="58"/>
        <v>1.5</v>
      </c>
      <c r="I164" s="134">
        <f t="shared" si="58"/>
        <v>1.5</v>
      </c>
      <c r="J164" s="134">
        <f t="shared" si="58"/>
        <v>1.5</v>
      </c>
      <c r="K164" s="134">
        <f t="shared" si="58"/>
        <v>1.5</v>
      </c>
      <c r="L164" s="134">
        <f t="shared" si="58"/>
        <v>1.5</v>
      </c>
      <c r="M164" s="134">
        <f t="shared" si="58"/>
        <v>1.5</v>
      </c>
      <c r="N164" s="134">
        <f t="shared" si="58"/>
        <v>1.5</v>
      </c>
      <c r="O164" s="134">
        <f t="shared" si="58"/>
        <v>1.5</v>
      </c>
      <c r="P164" s="134">
        <f t="shared" si="58"/>
        <v>1.5</v>
      </c>
      <c r="Q164" s="134">
        <f t="shared" si="58"/>
        <v>1.5</v>
      </c>
      <c r="R164" s="134">
        <f t="shared" si="59"/>
        <v>1.5</v>
      </c>
      <c r="S164" s="134">
        <f t="shared" si="59"/>
        <v>1.5</v>
      </c>
      <c r="T164" s="134">
        <f t="shared" si="59"/>
        <v>1.5</v>
      </c>
      <c r="U164" s="134">
        <f t="shared" si="59"/>
        <v>1.5</v>
      </c>
      <c r="V164" s="134">
        <f t="shared" si="59"/>
        <v>1.5</v>
      </c>
      <c r="W164" s="134">
        <f t="shared" si="59"/>
        <v>1.5</v>
      </c>
      <c r="X164" s="134">
        <f t="shared" si="59"/>
        <v>1.5</v>
      </c>
      <c r="Y164" s="134">
        <f t="shared" si="59"/>
        <v>1.5</v>
      </c>
      <c r="Z164" s="134">
        <f t="shared" si="59"/>
        <v>1.5</v>
      </c>
      <c r="AA164" s="134">
        <f t="shared" si="59"/>
        <v>1.5</v>
      </c>
      <c r="AB164" s="134">
        <f t="shared" si="59"/>
        <v>1.5</v>
      </c>
      <c r="AC164" s="134">
        <f t="shared" si="59"/>
        <v>1.5</v>
      </c>
      <c r="AD164" s="134">
        <f t="shared" si="59"/>
        <v>1.5</v>
      </c>
      <c r="AE164" s="134">
        <f t="shared" si="59"/>
        <v>1.5</v>
      </c>
      <c r="AF164" s="134">
        <f t="shared" si="59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58"/>
        <v>1</v>
      </c>
      <c r="D165" s="134">
        <f t="shared" si="58"/>
        <v>1</v>
      </c>
      <c r="E165" s="134">
        <f t="shared" si="58"/>
        <v>1</v>
      </c>
      <c r="F165" s="134">
        <f t="shared" si="58"/>
        <v>1</v>
      </c>
      <c r="G165" s="134">
        <f t="shared" si="58"/>
        <v>1</v>
      </c>
      <c r="H165" s="134">
        <f t="shared" si="58"/>
        <v>1</v>
      </c>
      <c r="I165" s="134">
        <f t="shared" si="58"/>
        <v>1</v>
      </c>
      <c r="J165" s="134">
        <f t="shared" si="58"/>
        <v>1</v>
      </c>
      <c r="K165" s="134">
        <f t="shared" si="58"/>
        <v>1</v>
      </c>
      <c r="L165" s="134">
        <f t="shared" si="58"/>
        <v>1</v>
      </c>
      <c r="M165" s="134">
        <f t="shared" si="58"/>
        <v>1</v>
      </c>
      <c r="N165" s="134">
        <f t="shared" si="58"/>
        <v>1</v>
      </c>
      <c r="O165" s="134">
        <f t="shared" si="58"/>
        <v>1</v>
      </c>
      <c r="P165" s="134">
        <f t="shared" si="58"/>
        <v>1</v>
      </c>
      <c r="Q165" s="134">
        <f t="shared" si="58"/>
        <v>1</v>
      </c>
      <c r="R165" s="134">
        <f t="shared" si="59"/>
        <v>1</v>
      </c>
      <c r="S165" s="134">
        <f t="shared" si="59"/>
        <v>1</v>
      </c>
      <c r="T165" s="134">
        <f t="shared" si="59"/>
        <v>1</v>
      </c>
      <c r="U165" s="134">
        <f t="shared" si="59"/>
        <v>1</v>
      </c>
      <c r="V165" s="134">
        <f t="shared" si="59"/>
        <v>1</v>
      </c>
      <c r="W165" s="134">
        <f t="shared" si="59"/>
        <v>1</v>
      </c>
      <c r="X165" s="134">
        <f t="shared" si="59"/>
        <v>1</v>
      </c>
      <c r="Y165" s="134">
        <f t="shared" si="59"/>
        <v>1</v>
      </c>
      <c r="Z165" s="134">
        <f t="shared" si="59"/>
        <v>1</v>
      </c>
      <c r="AA165" s="134">
        <f t="shared" si="59"/>
        <v>1</v>
      </c>
      <c r="AB165" s="134">
        <f t="shared" si="59"/>
        <v>1</v>
      </c>
      <c r="AC165" s="134">
        <f t="shared" si="59"/>
        <v>1</v>
      </c>
      <c r="AD165" s="134">
        <f t="shared" si="59"/>
        <v>1</v>
      </c>
      <c r="AE165" s="134">
        <f t="shared" si="59"/>
        <v>1</v>
      </c>
      <c r="AF165" s="134">
        <f t="shared" si="59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60">B167</f>
        <v>1</v>
      </c>
      <c r="D167" s="134">
        <f t="shared" si="60"/>
        <v>1</v>
      </c>
      <c r="E167" s="134">
        <f t="shared" si="60"/>
        <v>1</v>
      </c>
      <c r="F167" s="134">
        <f t="shared" si="60"/>
        <v>1</v>
      </c>
      <c r="G167" s="134">
        <f t="shared" si="60"/>
        <v>1</v>
      </c>
      <c r="H167" s="134">
        <f t="shared" si="60"/>
        <v>1</v>
      </c>
      <c r="I167" s="134">
        <f t="shared" si="60"/>
        <v>1</v>
      </c>
      <c r="J167" s="134">
        <f t="shared" si="60"/>
        <v>1</v>
      </c>
      <c r="K167" s="134">
        <f t="shared" si="60"/>
        <v>1</v>
      </c>
      <c r="L167" s="134">
        <f t="shared" si="60"/>
        <v>1</v>
      </c>
      <c r="M167" s="134">
        <f t="shared" si="60"/>
        <v>1</v>
      </c>
      <c r="N167" s="134">
        <f t="shared" si="60"/>
        <v>1</v>
      </c>
      <c r="O167" s="134">
        <f t="shared" si="60"/>
        <v>1</v>
      </c>
      <c r="P167" s="134">
        <f t="shared" si="60"/>
        <v>1</v>
      </c>
      <c r="Q167" s="134">
        <f t="shared" si="60"/>
        <v>1</v>
      </c>
      <c r="R167" s="134">
        <f t="shared" si="60"/>
        <v>1</v>
      </c>
      <c r="S167" s="134">
        <f t="shared" ref="R167:AF174" si="61">R167</f>
        <v>1</v>
      </c>
      <c r="T167" s="134">
        <f t="shared" si="61"/>
        <v>1</v>
      </c>
      <c r="U167" s="134">
        <f t="shared" si="61"/>
        <v>1</v>
      </c>
      <c r="V167" s="134">
        <f t="shared" si="61"/>
        <v>1</v>
      </c>
      <c r="W167" s="134">
        <f t="shared" si="61"/>
        <v>1</v>
      </c>
      <c r="X167" s="134">
        <f t="shared" si="61"/>
        <v>1</v>
      </c>
      <c r="Y167" s="134">
        <f t="shared" si="61"/>
        <v>1</v>
      </c>
      <c r="Z167" s="134">
        <f t="shared" si="61"/>
        <v>1</v>
      </c>
      <c r="AA167" s="134">
        <f t="shared" si="61"/>
        <v>1</v>
      </c>
      <c r="AB167" s="134">
        <f t="shared" si="61"/>
        <v>1</v>
      </c>
      <c r="AC167" s="134">
        <f t="shared" si="61"/>
        <v>1</v>
      </c>
      <c r="AD167" s="134">
        <f t="shared" si="61"/>
        <v>1</v>
      </c>
      <c r="AE167" s="134">
        <f t="shared" si="61"/>
        <v>1</v>
      </c>
      <c r="AF167" s="134">
        <f t="shared" si="61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60"/>
        <v>0.42</v>
      </c>
      <c r="D168" s="134">
        <f t="shared" si="60"/>
        <v>0.42</v>
      </c>
      <c r="E168" s="134">
        <f t="shared" si="60"/>
        <v>0.42</v>
      </c>
      <c r="F168" s="134">
        <f t="shared" si="60"/>
        <v>0.42</v>
      </c>
      <c r="G168" s="134">
        <f t="shared" si="60"/>
        <v>0.42</v>
      </c>
      <c r="H168" s="134">
        <f t="shared" si="60"/>
        <v>0.42</v>
      </c>
      <c r="I168" s="134">
        <f t="shared" si="60"/>
        <v>0.42</v>
      </c>
      <c r="J168" s="134">
        <f t="shared" si="60"/>
        <v>0.42</v>
      </c>
      <c r="K168" s="134">
        <f t="shared" si="60"/>
        <v>0.42</v>
      </c>
      <c r="L168" s="134">
        <f t="shared" si="60"/>
        <v>0.42</v>
      </c>
      <c r="M168" s="134">
        <f t="shared" si="60"/>
        <v>0.42</v>
      </c>
      <c r="N168" s="134">
        <f t="shared" si="60"/>
        <v>0.42</v>
      </c>
      <c r="O168" s="134">
        <f t="shared" si="60"/>
        <v>0.42</v>
      </c>
      <c r="P168" s="134">
        <f t="shared" si="60"/>
        <v>0.42</v>
      </c>
      <c r="Q168" s="134">
        <f t="shared" si="60"/>
        <v>0.42</v>
      </c>
      <c r="R168" s="134">
        <f t="shared" si="61"/>
        <v>0.42</v>
      </c>
      <c r="S168" s="134">
        <f t="shared" si="61"/>
        <v>0.42</v>
      </c>
      <c r="T168" s="134">
        <f t="shared" si="61"/>
        <v>0.42</v>
      </c>
      <c r="U168" s="134">
        <f t="shared" si="61"/>
        <v>0.42</v>
      </c>
      <c r="V168" s="134">
        <f t="shared" si="61"/>
        <v>0.42</v>
      </c>
      <c r="W168" s="134">
        <f t="shared" si="61"/>
        <v>0.42</v>
      </c>
      <c r="X168" s="134">
        <f t="shared" si="61"/>
        <v>0.42</v>
      </c>
      <c r="Y168" s="134">
        <f t="shared" si="61"/>
        <v>0.42</v>
      </c>
      <c r="Z168" s="134">
        <f t="shared" si="61"/>
        <v>0.42</v>
      </c>
      <c r="AA168" s="134">
        <f t="shared" si="61"/>
        <v>0.42</v>
      </c>
      <c r="AB168" s="134">
        <f t="shared" si="61"/>
        <v>0.42</v>
      </c>
      <c r="AC168" s="134">
        <f t="shared" si="61"/>
        <v>0.42</v>
      </c>
      <c r="AD168" s="134">
        <f t="shared" si="61"/>
        <v>0.42</v>
      </c>
      <c r="AE168" s="134">
        <f t="shared" si="61"/>
        <v>0.42</v>
      </c>
      <c r="AF168" s="134">
        <f t="shared" si="61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60"/>
        <v>0.46</v>
      </c>
      <c r="D169" s="134">
        <f t="shared" si="60"/>
        <v>0.46</v>
      </c>
      <c r="E169" s="134">
        <f t="shared" si="60"/>
        <v>0.46</v>
      </c>
      <c r="F169" s="134">
        <f t="shared" si="60"/>
        <v>0.46</v>
      </c>
      <c r="G169" s="134">
        <f t="shared" si="60"/>
        <v>0.46</v>
      </c>
      <c r="H169" s="134">
        <f t="shared" si="60"/>
        <v>0.46</v>
      </c>
      <c r="I169" s="134">
        <f t="shared" si="60"/>
        <v>0.46</v>
      </c>
      <c r="J169" s="134">
        <f t="shared" si="60"/>
        <v>0.46</v>
      </c>
      <c r="K169" s="134">
        <f t="shared" si="60"/>
        <v>0.46</v>
      </c>
      <c r="L169" s="134">
        <f t="shared" si="60"/>
        <v>0.46</v>
      </c>
      <c r="M169" s="134">
        <f t="shared" si="60"/>
        <v>0.46</v>
      </c>
      <c r="N169" s="134">
        <f t="shared" si="60"/>
        <v>0.46</v>
      </c>
      <c r="O169" s="134">
        <f t="shared" si="60"/>
        <v>0.46</v>
      </c>
      <c r="P169" s="134">
        <f t="shared" si="60"/>
        <v>0.46</v>
      </c>
      <c r="Q169" s="134">
        <f t="shared" si="60"/>
        <v>0.46</v>
      </c>
      <c r="R169" s="134">
        <f t="shared" si="61"/>
        <v>0.46</v>
      </c>
      <c r="S169" s="134">
        <f t="shared" si="61"/>
        <v>0.46</v>
      </c>
      <c r="T169" s="134">
        <f t="shared" si="61"/>
        <v>0.46</v>
      </c>
      <c r="U169" s="134">
        <f t="shared" si="61"/>
        <v>0.46</v>
      </c>
      <c r="V169" s="134">
        <f t="shared" si="61"/>
        <v>0.46</v>
      </c>
      <c r="W169" s="134">
        <f t="shared" si="61"/>
        <v>0.46</v>
      </c>
      <c r="X169" s="134">
        <f t="shared" si="61"/>
        <v>0.46</v>
      </c>
      <c r="Y169" s="134">
        <f t="shared" si="61"/>
        <v>0.46</v>
      </c>
      <c r="Z169" s="134">
        <f t="shared" si="61"/>
        <v>0.46</v>
      </c>
      <c r="AA169" s="134">
        <f t="shared" si="61"/>
        <v>0.46</v>
      </c>
      <c r="AB169" s="134">
        <f t="shared" si="61"/>
        <v>0.46</v>
      </c>
      <c r="AC169" s="134">
        <f t="shared" si="61"/>
        <v>0.46</v>
      </c>
      <c r="AD169" s="134">
        <f t="shared" si="61"/>
        <v>0.46</v>
      </c>
      <c r="AE169" s="134">
        <f t="shared" si="61"/>
        <v>0.46</v>
      </c>
      <c r="AF169" s="134">
        <f t="shared" si="61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60"/>
        <v>0.85</v>
      </c>
      <c r="D170" s="134">
        <f t="shared" si="60"/>
        <v>0.85</v>
      </c>
      <c r="E170" s="134">
        <f t="shared" si="60"/>
        <v>0.85</v>
      </c>
      <c r="F170" s="134">
        <f t="shared" si="60"/>
        <v>0.85</v>
      </c>
      <c r="G170" s="134">
        <f t="shared" si="60"/>
        <v>0.85</v>
      </c>
      <c r="H170" s="134">
        <f t="shared" si="60"/>
        <v>0.85</v>
      </c>
      <c r="I170" s="134">
        <f t="shared" si="60"/>
        <v>0.85</v>
      </c>
      <c r="J170" s="134">
        <f t="shared" si="60"/>
        <v>0.85</v>
      </c>
      <c r="K170" s="134">
        <f t="shared" si="60"/>
        <v>0.85</v>
      </c>
      <c r="L170" s="134">
        <f t="shared" si="60"/>
        <v>0.85</v>
      </c>
      <c r="M170" s="134">
        <f t="shared" si="60"/>
        <v>0.85</v>
      </c>
      <c r="N170" s="134">
        <f t="shared" si="60"/>
        <v>0.85</v>
      </c>
      <c r="O170" s="134">
        <f t="shared" si="60"/>
        <v>0.85</v>
      </c>
      <c r="P170" s="134">
        <f t="shared" si="60"/>
        <v>0.85</v>
      </c>
      <c r="Q170" s="134">
        <f t="shared" si="60"/>
        <v>0.85</v>
      </c>
      <c r="R170" s="134">
        <f t="shared" si="61"/>
        <v>0.85</v>
      </c>
      <c r="S170" s="134">
        <f t="shared" si="61"/>
        <v>0.85</v>
      </c>
      <c r="T170" s="134">
        <f t="shared" si="61"/>
        <v>0.85</v>
      </c>
      <c r="U170" s="134">
        <f t="shared" si="61"/>
        <v>0.85</v>
      </c>
      <c r="V170" s="134">
        <f t="shared" si="61"/>
        <v>0.85</v>
      </c>
      <c r="W170" s="134">
        <f t="shared" si="61"/>
        <v>0.85</v>
      </c>
      <c r="X170" s="134">
        <f t="shared" si="61"/>
        <v>0.85</v>
      </c>
      <c r="Y170" s="134">
        <f t="shared" si="61"/>
        <v>0.85</v>
      </c>
      <c r="Z170" s="134">
        <f t="shared" si="61"/>
        <v>0.85</v>
      </c>
      <c r="AA170" s="134">
        <f t="shared" si="61"/>
        <v>0.85</v>
      </c>
      <c r="AB170" s="134">
        <f t="shared" si="61"/>
        <v>0.85</v>
      </c>
      <c r="AC170" s="134">
        <f t="shared" si="61"/>
        <v>0.85</v>
      </c>
      <c r="AD170" s="134">
        <f t="shared" si="61"/>
        <v>0.85</v>
      </c>
      <c r="AE170" s="134">
        <f t="shared" si="61"/>
        <v>0.85</v>
      </c>
      <c r="AF170" s="134">
        <f t="shared" si="61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60"/>
        <v>0.9</v>
      </c>
      <c r="D171" s="134">
        <f t="shared" si="60"/>
        <v>0.9</v>
      </c>
      <c r="E171" s="134">
        <f t="shared" si="60"/>
        <v>0.9</v>
      </c>
      <c r="F171" s="134">
        <f t="shared" si="60"/>
        <v>0.9</v>
      </c>
      <c r="G171" s="134">
        <f t="shared" si="60"/>
        <v>0.9</v>
      </c>
      <c r="H171" s="134">
        <f t="shared" si="60"/>
        <v>0.9</v>
      </c>
      <c r="I171" s="134">
        <f t="shared" si="60"/>
        <v>0.9</v>
      </c>
      <c r="J171" s="134">
        <f t="shared" si="60"/>
        <v>0.9</v>
      </c>
      <c r="K171" s="134">
        <f t="shared" si="60"/>
        <v>0.9</v>
      </c>
      <c r="L171" s="134">
        <f t="shared" si="60"/>
        <v>0.9</v>
      </c>
      <c r="M171" s="134">
        <f t="shared" si="60"/>
        <v>0.9</v>
      </c>
      <c r="N171" s="134">
        <f t="shared" si="60"/>
        <v>0.9</v>
      </c>
      <c r="O171" s="134">
        <f t="shared" si="60"/>
        <v>0.9</v>
      </c>
      <c r="P171" s="134">
        <f t="shared" si="60"/>
        <v>0.9</v>
      </c>
      <c r="Q171" s="134">
        <f t="shared" si="60"/>
        <v>0.9</v>
      </c>
      <c r="R171" s="134">
        <f t="shared" si="61"/>
        <v>0.9</v>
      </c>
      <c r="S171" s="134">
        <f t="shared" si="61"/>
        <v>0.9</v>
      </c>
      <c r="T171" s="134">
        <f t="shared" si="61"/>
        <v>0.9</v>
      </c>
      <c r="U171" s="134">
        <f t="shared" si="61"/>
        <v>0.9</v>
      </c>
      <c r="V171" s="134">
        <f t="shared" si="61"/>
        <v>0.9</v>
      </c>
      <c r="W171" s="134">
        <f t="shared" si="61"/>
        <v>0.9</v>
      </c>
      <c r="X171" s="134">
        <f t="shared" si="61"/>
        <v>0.9</v>
      </c>
      <c r="Y171" s="134">
        <f t="shared" si="61"/>
        <v>0.9</v>
      </c>
      <c r="Z171" s="134">
        <f t="shared" si="61"/>
        <v>0.9</v>
      </c>
      <c r="AA171" s="134">
        <f t="shared" si="61"/>
        <v>0.9</v>
      </c>
      <c r="AB171" s="134">
        <f t="shared" si="61"/>
        <v>0.9</v>
      </c>
      <c r="AC171" s="134">
        <f t="shared" si="61"/>
        <v>0.9</v>
      </c>
      <c r="AD171" s="134">
        <f t="shared" si="61"/>
        <v>0.9</v>
      </c>
      <c r="AE171" s="134">
        <f t="shared" si="61"/>
        <v>0.9</v>
      </c>
      <c r="AF171" s="134">
        <f t="shared" si="61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60"/>
        <v>0.44</v>
      </c>
      <c r="D172" s="134">
        <f t="shared" si="60"/>
        <v>0.44</v>
      </c>
      <c r="E172" s="134">
        <f t="shared" si="60"/>
        <v>0.44</v>
      </c>
      <c r="F172" s="134">
        <f t="shared" si="60"/>
        <v>0.44</v>
      </c>
      <c r="G172" s="134">
        <f t="shared" si="60"/>
        <v>0.44</v>
      </c>
      <c r="H172" s="134">
        <f t="shared" si="60"/>
        <v>0.44</v>
      </c>
      <c r="I172" s="134">
        <f t="shared" si="60"/>
        <v>0.44</v>
      </c>
      <c r="J172" s="134">
        <f t="shared" si="60"/>
        <v>0.44</v>
      </c>
      <c r="K172" s="134">
        <f t="shared" si="60"/>
        <v>0.44</v>
      </c>
      <c r="L172" s="134">
        <f t="shared" si="60"/>
        <v>0.44</v>
      </c>
      <c r="M172" s="134">
        <f t="shared" si="60"/>
        <v>0.44</v>
      </c>
      <c r="N172" s="134">
        <f t="shared" si="60"/>
        <v>0.44</v>
      </c>
      <c r="O172" s="134">
        <f t="shared" si="60"/>
        <v>0.44</v>
      </c>
      <c r="P172" s="134">
        <f t="shared" si="60"/>
        <v>0.44</v>
      </c>
      <c r="Q172" s="134">
        <f t="shared" si="60"/>
        <v>0.44</v>
      </c>
      <c r="R172" s="134">
        <f t="shared" si="61"/>
        <v>0.44</v>
      </c>
      <c r="S172" s="134">
        <f t="shared" si="61"/>
        <v>0.44</v>
      </c>
      <c r="T172" s="134">
        <f t="shared" si="61"/>
        <v>0.44</v>
      </c>
      <c r="U172" s="134">
        <f t="shared" si="61"/>
        <v>0.44</v>
      </c>
      <c r="V172" s="134">
        <f t="shared" si="61"/>
        <v>0.44</v>
      </c>
      <c r="W172" s="134">
        <f t="shared" si="61"/>
        <v>0.44</v>
      </c>
      <c r="X172" s="134">
        <f t="shared" si="61"/>
        <v>0.44</v>
      </c>
      <c r="Y172" s="134">
        <f t="shared" si="61"/>
        <v>0.44</v>
      </c>
      <c r="Z172" s="134">
        <f t="shared" si="61"/>
        <v>0.44</v>
      </c>
      <c r="AA172" s="134">
        <f t="shared" si="61"/>
        <v>0.44</v>
      </c>
      <c r="AB172" s="134">
        <f t="shared" si="61"/>
        <v>0.44</v>
      </c>
      <c r="AC172" s="134">
        <f t="shared" si="61"/>
        <v>0.44</v>
      </c>
      <c r="AD172" s="134">
        <f t="shared" si="61"/>
        <v>0.44</v>
      </c>
      <c r="AE172" s="134">
        <f t="shared" si="61"/>
        <v>0.44</v>
      </c>
      <c r="AF172" s="134">
        <f t="shared" si="61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60"/>
        <v>2.1</v>
      </c>
      <c r="D173" s="134">
        <f t="shared" si="60"/>
        <v>2.1</v>
      </c>
      <c r="E173" s="134">
        <f t="shared" si="60"/>
        <v>2.1</v>
      </c>
      <c r="F173" s="134">
        <f t="shared" si="60"/>
        <v>2.1</v>
      </c>
      <c r="G173" s="134">
        <f t="shared" si="60"/>
        <v>2.1</v>
      </c>
      <c r="H173" s="134">
        <f t="shared" si="60"/>
        <v>2.1</v>
      </c>
      <c r="I173" s="134">
        <f t="shared" si="60"/>
        <v>2.1</v>
      </c>
      <c r="J173" s="134">
        <f t="shared" si="60"/>
        <v>2.1</v>
      </c>
      <c r="K173" s="134">
        <f t="shared" si="60"/>
        <v>2.1</v>
      </c>
      <c r="L173" s="134">
        <f t="shared" si="60"/>
        <v>2.1</v>
      </c>
      <c r="M173" s="134">
        <f t="shared" si="60"/>
        <v>2.1</v>
      </c>
      <c r="N173" s="134">
        <f t="shared" si="60"/>
        <v>2.1</v>
      </c>
      <c r="O173" s="134">
        <f t="shared" si="60"/>
        <v>2.1</v>
      </c>
      <c r="P173" s="134">
        <f t="shared" si="60"/>
        <v>2.1</v>
      </c>
      <c r="Q173" s="134">
        <f t="shared" si="60"/>
        <v>2.1</v>
      </c>
      <c r="R173" s="134">
        <f t="shared" si="61"/>
        <v>2.1</v>
      </c>
      <c r="S173" s="134">
        <f t="shared" si="61"/>
        <v>2.1</v>
      </c>
      <c r="T173" s="134">
        <f t="shared" si="61"/>
        <v>2.1</v>
      </c>
      <c r="U173" s="134">
        <f t="shared" si="61"/>
        <v>2.1</v>
      </c>
      <c r="V173" s="134">
        <f t="shared" si="61"/>
        <v>2.1</v>
      </c>
      <c r="W173" s="134">
        <f t="shared" si="61"/>
        <v>2.1</v>
      </c>
      <c r="X173" s="134">
        <f t="shared" si="61"/>
        <v>2.1</v>
      </c>
      <c r="Y173" s="134">
        <f t="shared" si="61"/>
        <v>2.1</v>
      </c>
      <c r="Z173" s="134">
        <f t="shared" si="61"/>
        <v>2.1</v>
      </c>
      <c r="AA173" s="134">
        <f t="shared" si="61"/>
        <v>2.1</v>
      </c>
      <c r="AB173" s="134">
        <f t="shared" si="61"/>
        <v>2.1</v>
      </c>
      <c r="AC173" s="134">
        <f t="shared" si="61"/>
        <v>2.1</v>
      </c>
      <c r="AD173" s="134">
        <f t="shared" si="61"/>
        <v>2.1</v>
      </c>
      <c r="AE173" s="134">
        <f t="shared" si="61"/>
        <v>2.1</v>
      </c>
      <c r="AF173" s="134">
        <f t="shared" si="61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60"/>
        <v>0.9</v>
      </c>
      <c r="D174" s="134">
        <f t="shared" si="60"/>
        <v>0.9</v>
      </c>
      <c r="E174" s="134">
        <f t="shared" si="60"/>
        <v>0.9</v>
      </c>
      <c r="F174" s="134">
        <f t="shared" si="60"/>
        <v>0.9</v>
      </c>
      <c r="G174" s="134">
        <f t="shared" si="60"/>
        <v>0.9</v>
      </c>
      <c r="H174" s="134">
        <f t="shared" si="60"/>
        <v>0.9</v>
      </c>
      <c r="I174" s="134">
        <f t="shared" si="60"/>
        <v>0.9</v>
      </c>
      <c r="J174" s="134">
        <f t="shared" si="60"/>
        <v>0.9</v>
      </c>
      <c r="K174" s="134">
        <f t="shared" si="60"/>
        <v>0.9</v>
      </c>
      <c r="L174" s="134">
        <f t="shared" si="60"/>
        <v>0.9</v>
      </c>
      <c r="M174" s="134">
        <f t="shared" si="60"/>
        <v>0.9</v>
      </c>
      <c r="N174" s="134">
        <f t="shared" si="60"/>
        <v>0.9</v>
      </c>
      <c r="O174" s="134">
        <f t="shared" si="60"/>
        <v>0.9</v>
      </c>
      <c r="P174" s="134">
        <f t="shared" si="60"/>
        <v>0.9</v>
      </c>
      <c r="Q174" s="134">
        <f t="shared" si="60"/>
        <v>0.9</v>
      </c>
      <c r="R174" s="134">
        <f t="shared" si="61"/>
        <v>0.9</v>
      </c>
      <c r="S174" s="134">
        <f t="shared" si="61"/>
        <v>0.9</v>
      </c>
      <c r="T174" s="134">
        <f t="shared" si="61"/>
        <v>0.9</v>
      </c>
      <c r="U174" s="134">
        <f t="shared" si="61"/>
        <v>0.9</v>
      </c>
      <c r="V174" s="134">
        <f t="shared" si="61"/>
        <v>0.9</v>
      </c>
      <c r="W174" s="134">
        <f t="shared" si="61"/>
        <v>0.9</v>
      </c>
      <c r="X174" s="134">
        <f t="shared" si="61"/>
        <v>0.9</v>
      </c>
      <c r="Y174" s="134">
        <f t="shared" si="61"/>
        <v>0.9</v>
      </c>
      <c r="Z174" s="134">
        <f t="shared" si="61"/>
        <v>0.9</v>
      </c>
      <c r="AA174" s="134">
        <f t="shared" si="61"/>
        <v>0.9</v>
      </c>
      <c r="AB174" s="134">
        <f t="shared" si="61"/>
        <v>0.9</v>
      </c>
      <c r="AC174" s="134">
        <f t="shared" si="61"/>
        <v>0.9</v>
      </c>
      <c r="AD174" s="134">
        <f t="shared" si="61"/>
        <v>0.9</v>
      </c>
      <c r="AE174" s="134">
        <f t="shared" si="61"/>
        <v>0.9</v>
      </c>
      <c r="AF174" s="134">
        <f t="shared" si="61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62">B176</f>
        <v>0.57999999999999996</v>
      </c>
      <c r="D176" s="134">
        <f t="shared" si="62"/>
        <v>0.57999999999999996</v>
      </c>
      <c r="E176" s="134">
        <f t="shared" si="62"/>
        <v>0.57999999999999996</v>
      </c>
      <c r="F176" s="134">
        <f t="shared" si="62"/>
        <v>0.57999999999999996</v>
      </c>
      <c r="G176" s="134">
        <f t="shared" si="62"/>
        <v>0.57999999999999996</v>
      </c>
      <c r="H176" s="134">
        <f t="shared" si="62"/>
        <v>0.57999999999999996</v>
      </c>
      <c r="I176" s="134">
        <f t="shared" si="62"/>
        <v>0.57999999999999996</v>
      </c>
      <c r="J176" s="134">
        <f t="shared" si="62"/>
        <v>0.57999999999999996</v>
      </c>
      <c r="K176" s="134">
        <f t="shared" si="62"/>
        <v>0.57999999999999996</v>
      </c>
      <c r="L176" s="134">
        <f t="shared" si="62"/>
        <v>0.57999999999999996</v>
      </c>
      <c r="M176" s="134">
        <f t="shared" si="62"/>
        <v>0.57999999999999996</v>
      </c>
      <c r="N176" s="134">
        <f t="shared" si="62"/>
        <v>0.57999999999999996</v>
      </c>
      <c r="O176" s="134">
        <f t="shared" si="62"/>
        <v>0.57999999999999996</v>
      </c>
      <c r="P176" s="134">
        <f t="shared" si="62"/>
        <v>0.57999999999999996</v>
      </c>
      <c r="Q176" s="134">
        <f t="shared" si="62"/>
        <v>0.57999999999999996</v>
      </c>
      <c r="R176" s="134">
        <f t="shared" si="62"/>
        <v>0.57999999999999996</v>
      </c>
      <c r="S176" s="134">
        <f t="shared" ref="R176:AF188" si="63">R176</f>
        <v>0.57999999999999996</v>
      </c>
      <c r="T176" s="134">
        <f t="shared" si="63"/>
        <v>0.57999999999999996</v>
      </c>
      <c r="U176" s="134">
        <f t="shared" si="63"/>
        <v>0.57999999999999996</v>
      </c>
      <c r="V176" s="134">
        <f t="shared" si="63"/>
        <v>0.57999999999999996</v>
      </c>
      <c r="W176" s="134">
        <f t="shared" si="63"/>
        <v>0.57999999999999996</v>
      </c>
      <c r="X176" s="134">
        <f t="shared" si="63"/>
        <v>0.57999999999999996</v>
      </c>
      <c r="Y176" s="134">
        <f t="shared" si="63"/>
        <v>0.57999999999999996</v>
      </c>
      <c r="Z176" s="134">
        <f t="shared" si="63"/>
        <v>0.57999999999999996</v>
      </c>
      <c r="AA176" s="134">
        <f t="shared" si="63"/>
        <v>0.57999999999999996</v>
      </c>
      <c r="AB176" s="134">
        <f t="shared" si="63"/>
        <v>0.57999999999999996</v>
      </c>
      <c r="AC176" s="134">
        <f t="shared" si="63"/>
        <v>0.57999999999999996</v>
      </c>
      <c r="AD176" s="134">
        <f t="shared" si="63"/>
        <v>0.57999999999999996</v>
      </c>
      <c r="AE176" s="134">
        <f t="shared" si="63"/>
        <v>0.57999999999999996</v>
      </c>
      <c r="AF176" s="134">
        <f t="shared" si="63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62"/>
        <v>0.8</v>
      </c>
      <c r="D177" s="134">
        <f t="shared" si="62"/>
        <v>0.8</v>
      </c>
      <c r="E177" s="134">
        <f t="shared" si="62"/>
        <v>0.8</v>
      </c>
      <c r="F177" s="134">
        <f t="shared" si="62"/>
        <v>0.8</v>
      </c>
      <c r="G177" s="134">
        <f t="shared" si="62"/>
        <v>0.8</v>
      </c>
      <c r="H177" s="134">
        <f t="shared" si="62"/>
        <v>0.8</v>
      </c>
      <c r="I177" s="134">
        <f t="shared" si="62"/>
        <v>0.8</v>
      </c>
      <c r="J177" s="134">
        <f t="shared" si="62"/>
        <v>0.8</v>
      </c>
      <c r="K177" s="134">
        <f t="shared" si="62"/>
        <v>0.8</v>
      </c>
      <c r="L177" s="134">
        <f t="shared" si="62"/>
        <v>0.8</v>
      </c>
      <c r="M177" s="134">
        <f t="shared" si="62"/>
        <v>0.8</v>
      </c>
      <c r="N177" s="134">
        <f t="shared" si="62"/>
        <v>0.8</v>
      </c>
      <c r="O177" s="134">
        <f t="shared" si="62"/>
        <v>0.8</v>
      </c>
      <c r="P177" s="134">
        <f t="shared" si="62"/>
        <v>0.8</v>
      </c>
      <c r="Q177" s="134">
        <f t="shared" si="62"/>
        <v>0.8</v>
      </c>
      <c r="R177" s="134">
        <f t="shared" si="62"/>
        <v>0.8</v>
      </c>
      <c r="S177" s="134">
        <f t="shared" si="63"/>
        <v>0.8</v>
      </c>
      <c r="T177" s="134">
        <f t="shared" si="63"/>
        <v>0.8</v>
      </c>
      <c r="U177" s="134">
        <f t="shared" si="63"/>
        <v>0.8</v>
      </c>
      <c r="V177" s="134">
        <f t="shared" si="63"/>
        <v>0.8</v>
      </c>
      <c r="W177" s="134">
        <f t="shared" si="63"/>
        <v>0.8</v>
      </c>
      <c r="X177" s="134">
        <f t="shared" si="63"/>
        <v>0.8</v>
      </c>
      <c r="Y177" s="134">
        <f t="shared" si="63"/>
        <v>0.8</v>
      </c>
      <c r="Z177" s="134">
        <f t="shared" si="63"/>
        <v>0.8</v>
      </c>
      <c r="AA177" s="134">
        <f t="shared" si="63"/>
        <v>0.8</v>
      </c>
      <c r="AB177" s="134">
        <f t="shared" si="63"/>
        <v>0.8</v>
      </c>
      <c r="AC177" s="134">
        <f t="shared" si="63"/>
        <v>0.8</v>
      </c>
      <c r="AD177" s="134">
        <f t="shared" si="63"/>
        <v>0.8</v>
      </c>
      <c r="AE177" s="134">
        <f t="shared" si="63"/>
        <v>0.8</v>
      </c>
      <c r="AF177" s="134">
        <f t="shared" si="63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62"/>
        <v>0</v>
      </c>
      <c r="D178" s="134">
        <f t="shared" si="62"/>
        <v>0</v>
      </c>
      <c r="E178" s="134">
        <f t="shared" si="62"/>
        <v>0</v>
      </c>
      <c r="F178" s="134">
        <f t="shared" si="62"/>
        <v>0</v>
      </c>
      <c r="G178" s="134">
        <f t="shared" si="62"/>
        <v>0</v>
      </c>
      <c r="H178" s="134">
        <f t="shared" si="62"/>
        <v>0</v>
      </c>
      <c r="I178" s="134">
        <f t="shared" si="62"/>
        <v>0</v>
      </c>
      <c r="J178" s="134">
        <f t="shared" si="62"/>
        <v>0</v>
      </c>
      <c r="K178" s="134">
        <f t="shared" si="62"/>
        <v>0</v>
      </c>
      <c r="L178" s="134">
        <f t="shared" si="62"/>
        <v>0</v>
      </c>
      <c r="M178" s="134">
        <f t="shared" si="62"/>
        <v>0</v>
      </c>
      <c r="N178" s="134">
        <f t="shared" si="62"/>
        <v>0</v>
      </c>
      <c r="O178" s="134">
        <f t="shared" si="62"/>
        <v>0</v>
      </c>
      <c r="P178" s="134">
        <f t="shared" si="62"/>
        <v>0</v>
      </c>
      <c r="Q178" s="134">
        <f t="shared" si="62"/>
        <v>0</v>
      </c>
      <c r="R178" s="134">
        <f t="shared" si="62"/>
        <v>0</v>
      </c>
      <c r="S178" s="134">
        <f t="shared" si="63"/>
        <v>0</v>
      </c>
      <c r="T178" s="134">
        <f t="shared" si="63"/>
        <v>0</v>
      </c>
      <c r="U178" s="134">
        <f t="shared" si="63"/>
        <v>0</v>
      </c>
      <c r="V178" s="134">
        <f t="shared" si="63"/>
        <v>0</v>
      </c>
      <c r="W178" s="134">
        <f t="shared" si="63"/>
        <v>0</v>
      </c>
      <c r="X178" s="134">
        <f t="shared" si="63"/>
        <v>0</v>
      </c>
      <c r="Y178" s="134">
        <f t="shared" si="63"/>
        <v>0</v>
      </c>
      <c r="Z178" s="134">
        <f t="shared" si="63"/>
        <v>0</v>
      </c>
      <c r="AA178" s="134">
        <f t="shared" si="63"/>
        <v>0</v>
      </c>
      <c r="AB178" s="134">
        <f t="shared" si="63"/>
        <v>0</v>
      </c>
      <c r="AC178" s="134">
        <f t="shared" si="63"/>
        <v>0</v>
      </c>
      <c r="AD178" s="134">
        <f t="shared" si="63"/>
        <v>0</v>
      </c>
      <c r="AE178" s="134">
        <f t="shared" si="63"/>
        <v>0</v>
      </c>
      <c r="AF178" s="134">
        <f t="shared" si="63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62"/>
        <v>0.6</v>
      </c>
      <c r="D179" s="134">
        <f t="shared" si="62"/>
        <v>0.6</v>
      </c>
      <c r="E179" s="134">
        <f t="shared" si="62"/>
        <v>0.6</v>
      </c>
      <c r="F179" s="134">
        <f t="shared" si="62"/>
        <v>0.6</v>
      </c>
      <c r="G179" s="134">
        <f t="shared" si="62"/>
        <v>0.6</v>
      </c>
      <c r="H179" s="134">
        <f t="shared" si="62"/>
        <v>0.6</v>
      </c>
      <c r="I179" s="134">
        <f t="shared" si="62"/>
        <v>0.6</v>
      </c>
      <c r="J179" s="134">
        <f t="shared" si="62"/>
        <v>0.6</v>
      </c>
      <c r="K179" s="134">
        <f t="shared" si="62"/>
        <v>0.6</v>
      </c>
      <c r="L179" s="134">
        <f t="shared" si="62"/>
        <v>0.6</v>
      </c>
      <c r="M179" s="134">
        <f t="shared" si="62"/>
        <v>0.6</v>
      </c>
      <c r="N179" s="134">
        <f t="shared" si="62"/>
        <v>0.6</v>
      </c>
      <c r="O179" s="134">
        <f t="shared" si="62"/>
        <v>0.6</v>
      </c>
      <c r="P179" s="134">
        <f t="shared" si="62"/>
        <v>0.6</v>
      </c>
      <c r="Q179" s="134">
        <f t="shared" si="62"/>
        <v>0.6</v>
      </c>
      <c r="R179" s="134">
        <f t="shared" si="62"/>
        <v>0.6</v>
      </c>
      <c r="S179" s="134">
        <f t="shared" si="63"/>
        <v>0.6</v>
      </c>
      <c r="T179" s="134">
        <f t="shared" si="63"/>
        <v>0.6</v>
      </c>
      <c r="U179" s="134">
        <f t="shared" si="63"/>
        <v>0.6</v>
      </c>
      <c r="V179" s="134">
        <f t="shared" si="63"/>
        <v>0.6</v>
      </c>
      <c r="W179" s="134">
        <f t="shared" si="63"/>
        <v>0.6</v>
      </c>
      <c r="X179" s="134">
        <f t="shared" si="63"/>
        <v>0.6</v>
      </c>
      <c r="Y179" s="134">
        <f t="shared" si="63"/>
        <v>0.6</v>
      </c>
      <c r="Z179" s="134">
        <f t="shared" si="63"/>
        <v>0.6</v>
      </c>
      <c r="AA179" s="134">
        <f t="shared" si="63"/>
        <v>0.6</v>
      </c>
      <c r="AB179" s="134">
        <f t="shared" si="63"/>
        <v>0.6</v>
      </c>
      <c r="AC179" s="134">
        <f t="shared" si="63"/>
        <v>0.6</v>
      </c>
      <c r="AD179" s="134">
        <f t="shared" si="63"/>
        <v>0.6</v>
      </c>
      <c r="AE179" s="134">
        <f t="shared" si="63"/>
        <v>0.6</v>
      </c>
      <c r="AF179" s="134">
        <f t="shared" si="63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62"/>
        <v>0.6</v>
      </c>
      <c r="D180" s="134">
        <f t="shared" si="62"/>
        <v>0.6</v>
      </c>
      <c r="E180" s="134">
        <f t="shared" si="62"/>
        <v>0.6</v>
      </c>
      <c r="F180" s="134">
        <f t="shared" si="62"/>
        <v>0.6</v>
      </c>
      <c r="G180" s="134">
        <f t="shared" si="62"/>
        <v>0.6</v>
      </c>
      <c r="H180" s="134">
        <f t="shared" si="62"/>
        <v>0.6</v>
      </c>
      <c r="I180" s="134">
        <f t="shared" si="62"/>
        <v>0.6</v>
      </c>
      <c r="J180" s="134">
        <f t="shared" si="62"/>
        <v>0.6</v>
      </c>
      <c r="K180" s="134">
        <f t="shared" si="62"/>
        <v>0.6</v>
      </c>
      <c r="L180" s="134">
        <f t="shared" si="62"/>
        <v>0.6</v>
      </c>
      <c r="M180" s="134">
        <f t="shared" si="62"/>
        <v>0.6</v>
      </c>
      <c r="N180" s="134">
        <f t="shared" si="62"/>
        <v>0.6</v>
      </c>
      <c r="O180" s="134">
        <f t="shared" si="62"/>
        <v>0.6</v>
      </c>
      <c r="P180" s="134">
        <f t="shared" si="62"/>
        <v>0.6</v>
      </c>
      <c r="Q180" s="134">
        <f t="shared" si="62"/>
        <v>0.6</v>
      </c>
      <c r="R180" s="134">
        <f t="shared" si="62"/>
        <v>0.6</v>
      </c>
      <c r="S180" s="134">
        <f t="shared" si="63"/>
        <v>0.6</v>
      </c>
      <c r="T180" s="134">
        <f t="shared" si="63"/>
        <v>0.6</v>
      </c>
      <c r="U180" s="134">
        <f t="shared" si="63"/>
        <v>0.6</v>
      </c>
      <c r="V180" s="134">
        <f t="shared" si="63"/>
        <v>0.6</v>
      </c>
      <c r="W180" s="134">
        <f t="shared" si="63"/>
        <v>0.6</v>
      </c>
      <c r="X180" s="134">
        <f t="shared" si="63"/>
        <v>0.6</v>
      </c>
      <c r="Y180" s="134">
        <f t="shared" si="63"/>
        <v>0.6</v>
      </c>
      <c r="Z180" s="134">
        <f t="shared" si="63"/>
        <v>0.6</v>
      </c>
      <c r="AA180" s="134">
        <f t="shared" si="63"/>
        <v>0.6</v>
      </c>
      <c r="AB180" s="134">
        <f t="shared" si="63"/>
        <v>0.6</v>
      </c>
      <c r="AC180" s="134">
        <f t="shared" si="63"/>
        <v>0.6</v>
      </c>
      <c r="AD180" s="134">
        <f t="shared" si="63"/>
        <v>0.6</v>
      </c>
      <c r="AE180" s="134">
        <f t="shared" si="63"/>
        <v>0.6</v>
      </c>
      <c r="AF180" s="134">
        <f t="shared" si="63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62"/>
        <v>0.35</v>
      </c>
      <c r="D181" s="134">
        <f t="shared" si="62"/>
        <v>0.35</v>
      </c>
      <c r="E181" s="134">
        <f t="shared" si="62"/>
        <v>0.35</v>
      </c>
      <c r="F181" s="134">
        <f t="shared" si="62"/>
        <v>0.35</v>
      </c>
      <c r="G181" s="134">
        <f t="shared" si="62"/>
        <v>0.35</v>
      </c>
      <c r="H181" s="134">
        <f t="shared" si="62"/>
        <v>0.35</v>
      </c>
      <c r="I181" s="134">
        <f t="shared" si="62"/>
        <v>0.35</v>
      </c>
      <c r="J181" s="134">
        <f t="shared" si="62"/>
        <v>0.35</v>
      </c>
      <c r="K181" s="134">
        <f t="shared" si="62"/>
        <v>0.35</v>
      </c>
      <c r="L181" s="134">
        <f t="shared" si="62"/>
        <v>0.35</v>
      </c>
      <c r="M181" s="134">
        <f t="shared" si="62"/>
        <v>0.35</v>
      </c>
      <c r="N181" s="134">
        <f t="shared" si="62"/>
        <v>0.35</v>
      </c>
      <c r="O181" s="134">
        <f t="shared" si="62"/>
        <v>0.35</v>
      </c>
      <c r="P181" s="134">
        <f t="shared" si="62"/>
        <v>0.35</v>
      </c>
      <c r="Q181" s="134">
        <f t="shared" si="62"/>
        <v>0.35</v>
      </c>
      <c r="R181" s="134">
        <f t="shared" si="62"/>
        <v>0.35</v>
      </c>
      <c r="S181" s="134">
        <f t="shared" si="63"/>
        <v>0.35</v>
      </c>
      <c r="T181" s="134">
        <f t="shared" si="63"/>
        <v>0.35</v>
      </c>
      <c r="U181" s="134">
        <f t="shared" si="63"/>
        <v>0.35</v>
      </c>
      <c r="V181" s="134">
        <f t="shared" si="63"/>
        <v>0.35</v>
      </c>
      <c r="W181" s="134">
        <f t="shared" si="63"/>
        <v>0.35</v>
      </c>
      <c r="X181" s="134">
        <f t="shared" si="63"/>
        <v>0.35</v>
      </c>
      <c r="Y181" s="134">
        <f t="shared" si="63"/>
        <v>0.35</v>
      </c>
      <c r="Z181" s="134">
        <f t="shared" si="63"/>
        <v>0.35</v>
      </c>
      <c r="AA181" s="134">
        <f t="shared" si="63"/>
        <v>0.35</v>
      </c>
      <c r="AB181" s="134">
        <f t="shared" si="63"/>
        <v>0.35</v>
      </c>
      <c r="AC181" s="134">
        <f t="shared" si="63"/>
        <v>0.35</v>
      </c>
      <c r="AD181" s="134">
        <f t="shared" si="63"/>
        <v>0.35</v>
      </c>
      <c r="AE181" s="134">
        <f t="shared" si="63"/>
        <v>0.35</v>
      </c>
      <c r="AF181" s="134">
        <f t="shared" si="63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62"/>
        <v>0.28999999999999998</v>
      </c>
      <c r="D182" s="134">
        <f t="shared" si="62"/>
        <v>0.28999999999999998</v>
      </c>
      <c r="E182" s="134">
        <f t="shared" si="62"/>
        <v>0.28999999999999998</v>
      </c>
      <c r="F182" s="134">
        <f t="shared" si="62"/>
        <v>0.28999999999999998</v>
      </c>
      <c r="G182" s="134">
        <f t="shared" si="62"/>
        <v>0.28999999999999998</v>
      </c>
      <c r="H182" s="134">
        <f t="shared" si="62"/>
        <v>0.28999999999999998</v>
      </c>
      <c r="I182" s="134">
        <f t="shared" si="62"/>
        <v>0.28999999999999998</v>
      </c>
      <c r="J182" s="134">
        <f t="shared" si="62"/>
        <v>0.28999999999999998</v>
      </c>
      <c r="K182" s="134">
        <f t="shared" si="62"/>
        <v>0.28999999999999998</v>
      </c>
      <c r="L182" s="134">
        <f t="shared" si="62"/>
        <v>0.28999999999999998</v>
      </c>
      <c r="M182" s="134">
        <f t="shared" si="62"/>
        <v>0.28999999999999998</v>
      </c>
      <c r="N182" s="134">
        <f t="shared" si="62"/>
        <v>0.28999999999999998</v>
      </c>
      <c r="O182" s="134">
        <f t="shared" si="62"/>
        <v>0.28999999999999998</v>
      </c>
      <c r="P182" s="134">
        <f t="shared" si="62"/>
        <v>0.28999999999999998</v>
      </c>
      <c r="Q182" s="134">
        <f t="shared" si="62"/>
        <v>0.28999999999999998</v>
      </c>
      <c r="R182" s="134">
        <f t="shared" si="62"/>
        <v>0.28999999999999998</v>
      </c>
      <c r="S182" s="134">
        <f t="shared" si="63"/>
        <v>0.28999999999999998</v>
      </c>
      <c r="T182" s="134">
        <f t="shared" si="63"/>
        <v>0.28999999999999998</v>
      </c>
      <c r="U182" s="134">
        <f t="shared" si="63"/>
        <v>0.28999999999999998</v>
      </c>
      <c r="V182" s="134">
        <f t="shared" si="63"/>
        <v>0.28999999999999998</v>
      </c>
      <c r="W182" s="134">
        <f t="shared" si="63"/>
        <v>0.28999999999999998</v>
      </c>
      <c r="X182" s="134">
        <f t="shared" si="63"/>
        <v>0.28999999999999998</v>
      </c>
      <c r="Y182" s="134">
        <f t="shared" si="63"/>
        <v>0.28999999999999998</v>
      </c>
      <c r="Z182" s="134">
        <f t="shared" si="63"/>
        <v>0.28999999999999998</v>
      </c>
      <c r="AA182" s="134">
        <f t="shared" si="63"/>
        <v>0.28999999999999998</v>
      </c>
      <c r="AB182" s="134">
        <f t="shared" si="63"/>
        <v>0.28999999999999998</v>
      </c>
      <c r="AC182" s="134">
        <f t="shared" si="63"/>
        <v>0.28999999999999998</v>
      </c>
      <c r="AD182" s="134">
        <f t="shared" si="63"/>
        <v>0.28999999999999998</v>
      </c>
      <c r="AE182" s="134">
        <f t="shared" si="63"/>
        <v>0.28999999999999998</v>
      </c>
      <c r="AF182" s="134">
        <f t="shared" si="63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62"/>
        <v>0.06</v>
      </c>
      <c r="D183" s="134">
        <f t="shared" si="62"/>
        <v>0.06</v>
      </c>
      <c r="E183" s="134">
        <f t="shared" si="62"/>
        <v>0.06</v>
      </c>
      <c r="F183" s="134">
        <f t="shared" si="62"/>
        <v>0.06</v>
      </c>
      <c r="G183" s="134">
        <f t="shared" si="62"/>
        <v>0.06</v>
      </c>
      <c r="H183" s="134">
        <f t="shared" si="62"/>
        <v>0.06</v>
      </c>
      <c r="I183" s="134">
        <f t="shared" si="62"/>
        <v>0.06</v>
      </c>
      <c r="J183" s="134">
        <f t="shared" si="62"/>
        <v>0.06</v>
      </c>
      <c r="K183" s="134">
        <f t="shared" si="62"/>
        <v>0.06</v>
      </c>
      <c r="L183" s="134">
        <f t="shared" si="62"/>
        <v>0.06</v>
      </c>
      <c r="M183" s="134">
        <f t="shared" si="62"/>
        <v>0.06</v>
      </c>
      <c r="N183" s="134">
        <f t="shared" si="62"/>
        <v>0.06</v>
      </c>
      <c r="O183" s="134">
        <f t="shared" si="62"/>
        <v>0.06</v>
      </c>
      <c r="P183" s="134">
        <f t="shared" si="62"/>
        <v>0.06</v>
      </c>
      <c r="Q183" s="134">
        <f t="shared" si="62"/>
        <v>0.06</v>
      </c>
      <c r="R183" s="134">
        <f t="shared" si="62"/>
        <v>0.06</v>
      </c>
      <c r="S183" s="134">
        <f t="shared" si="63"/>
        <v>0.06</v>
      </c>
      <c r="T183" s="134">
        <f t="shared" si="63"/>
        <v>0.06</v>
      </c>
      <c r="U183" s="134">
        <f t="shared" si="63"/>
        <v>0.06</v>
      </c>
      <c r="V183" s="134">
        <f t="shared" si="63"/>
        <v>0.06</v>
      </c>
      <c r="W183" s="134">
        <f t="shared" si="63"/>
        <v>0.06</v>
      </c>
      <c r="X183" s="134">
        <f t="shared" si="63"/>
        <v>0.06</v>
      </c>
      <c r="Y183" s="134">
        <f t="shared" si="63"/>
        <v>0.06</v>
      </c>
      <c r="Z183" s="134">
        <f t="shared" si="63"/>
        <v>0.06</v>
      </c>
      <c r="AA183" s="134">
        <f t="shared" si="63"/>
        <v>0.06</v>
      </c>
      <c r="AB183" s="134">
        <f t="shared" si="63"/>
        <v>0.06</v>
      </c>
      <c r="AC183" s="134">
        <f t="shared" si="63"/>
        <v>0.06</v>
      </c>
      <c r="AD183" s="134">
        <f t="shared" si="63"/>
        <v>0.06</v>
      </c>
      <c r="AE183" s="134">
        <f t="shared" si="63"/>
        <v>0.06</v>
      </c>
      <c r="AF183" s="134">
        <f t="shared" si="63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62"/>
        <v>0.11</v>
      </c>
      <c r="D184" s="134">
        <f t="shared" si="62"/>
        <v>0.11</v>
      </c>
      <c r="E184" s="134">
        <f t="shared" si="62"/>
        <v>0.11</v>
      </c>
      <c r="F184" s="134">
        <f t="shared" si="62"/>
        <v>0.11</v>
      </c>
      <c r="G184" s="134">
        <f t="shared" si="62"/>
        <v>0.11</v>
      </c>
      <c r="H184" s="134">
        <f t="shared" si="62"/>
        <v>0.11</v>
      </c>
      <c r="I184" s="134">
        <f t="shared" si="62"/>
        <v>0.11</v>
      </c>
      <c r="J184" s="134">
        <f t="shared" si="62"/>
        <v>0.11</v>
      </c>
      <c r="K184" s="134">
        <f t="shared" si="62"/>
        <v>0.11</v>
      </c>
      <c r="L184" s="134">
        <f t="shared" si="62"/>
        <v>0.11</v>
      </c>
      <c r="M184" s="134">
        <f t="shared" si="62"/>
        <v>0.11</v>
      </c>
      <c r="N184" s="134">
        <f t="shared" si="62"/>
        <v>0.11</v>
      </c>
      <c r="O184" s="134">
        <f t="shared" si="62"/>
        <v>0.11</v>
      </c>
      <c r="P184" s="134">
        <f t="shared" si="62"/>
        <v>0.11</v>
      </c>
      <c r="Q184" s="134">
        <f t="shared" si="62"/>
        <v>0.11</v>
      </c>
      <c r="R184" s="134">
        <f t="shared" si="62"/>
        <v>0.11</v>
      </c>
      <c r="S184" s="134">
        <f t="shared" si="63"/>
        <v>0.11</v>
      </c>
      <c r="T184" s="134">
        <f t="shared" si="63"/>
        <v>0.11</v>
      </c>
      <c r="U184" s="134">
        <f t="shared" si="63"/>
        <v>0.11</v>
      </c>
      <c r="V184" s="134">
        <f t="shared" si="63"/>
        <v>0.11</v>
      </c>
      <c r="W184" s="134">
        <f t="shared" si="63"/>
        <v>0.11</v>
      </c>
      <c r="X184" s="134">
        <f t="shared" si="63"/>
        <v>0.11</v>
      </c>
      <c r="Y184" s="134">
        <f t="shared" si="63"/>
        <v>0.11</v>
      </c>
      <c r="Z184" s="134">
        <f t="shared" si="63"/>
        <v>0.11</v>
      </c>
      <c r="AA184" s="134">
        <f t="shared" si="63"/>
        <v>0.11</v>
      </c>
      <c r="AB184" s="134">
        <f t="shared" si="63"/>
        <v>0.11</v>
      </c>
      <c r="AC184" s="134">
        <f t="shared" si="63"/>
        <v>0.11</v>
      </c>
      <c r="AD184" s="134">
        <f t="shared" si="63"/>
        <v>0.11</v>
      </c>
      <c r="AE184" s="134">
        <f t="shared" si="63"/>
        <v>0.11</v>
      </c>
      <c r="AF184" s="134">
        <f t="shared" si="63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62"/>
        <v>0.1</v>
      </c>
      <c r="D185" s="134">
        <f t="shared" si="62"/>
        <v>0.1</v>
      </c>
      <c r="E185" s="134">
        <f t="shared" si="62"/>
        <v>0.1</v>
      </c>
      <c r="F185" s="134">
        <f t="shared" si="62"/>
        <v>0.1</v>
      </c>
      <c r="G185" s="134">
        <f t="shared" si="62"/>
        <v>0.1</v>
      </c>
      <c r="H185" s="134">
        <f t="shared" si="62"/>
        <v>0.1</v>
      </c>
      <c r="I185" s="134">
        <f t="shared" si="62"/>
        <v>0.1</v>
      </c>
      <c r="J185" s="134">
        <f t="shared" si="62"/>
        <v>0.1</v>
      </c>
      <c r="K185" s="134">
        <f t="shared" si="62"/>
        <v>0.1</v>
      </c>
      <c r="L185" s="134">
        <f t="shared" si="62"/>
        <v>0.1</v>
      </c>
      <c r="M185" s="134">
        <f t="shared" si="62"/>
        <v>0.1</v>
      </c>
      <c r="N185" s="134">
        <f t="shared" si="62"/>
        <v>0.1</v>
      </c>
      <c r="O185" s="134">
        <f t="shared" si="62"/>
        <v>0.1</v>
      </c>
      <c r="P185" s="134">
        <f t="shared" si="62"/>
        <v>0.1</v>
      </c>
      <c r="Q185" s="134">
        <f t="shared" si="62"/>
        <v>0.1</v>
      </c>
      <c r="R185" s="134">
        <f t="shared" si="63"/>
        <v>0.1</v>
      </c>
      <c r="S185" s="134">
        <f t="shared" si="63"/>
        <v>0.1</v>
      </c>
      <c r="T185" s="134">
        <f t="shared" si="63"/>
        <v>0.1</v>
      </c>
      <c r="U185" s="134">
        <f t="shared" si="63"/>
        <v>0.1</v>
      </c>
      <c r="V185" s="134">
        <f t="shared" si="63"/>
        <v>0.1</v>
      </c>
      <c r="W185" s="134">
        <f t="shared" si="63"/>
        <v>0.1</v>
      </c>
      <c r="X185" s="134">
        <f t="shared" si="63"/>
        <v>0.1</v>
      </c>
      <c r="Y185" s="134">
        <f t="shared" si="63"/>
        <v>0.1</v>
      </c>
      <c r="Z185" s="134">
        <f t="shared" si="63"/>
        <v>0.1</v>
      </c>
      <c r="AA185" s="134">
        <f t="shared" si="63"/>
        <v>0.1</v>
      </c>
      <c r="AB185" s="134">
        <f t="shared" si="63"/>
        <v>0.1</v>
      </c>
      <c r="AC185" s="134">
        <f t="shared" si="63"/>
        <v>0.1</v>
      </c>
      <c r="AD185" s="134">
        <f t="shared" si="63"/>
        <v>0.1</v>
      </c>
      <c r="AE185" s="134">
        <f t="shared" si="63"/>
        <v>0.1</v>
      </c>
      <c r="AF185" s="134">
        <f t="shared" si="63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62"/>
        <v>0.09</v>
      </c>
      <c r="D186" s="134">
        <f t="shared" si="62"/>
        <v>0.09</v>
      </c>
      <c r="E186" s="134">
        <f t="shared" si="62"/>
        <v>0.09</v>
      </c>
      <c r="F186" s="134">
        <f t="shared" si="62"/>
        <v>0.09</v>
      </c>
      <c r="G186" s="134">
        <f t="shared" si="62"/>
        <v>0.09</v>
      </c>
      <c r="H186" s="134">
        <f t="shared" si="62"/>
        <v>0.09</v>
      </c>
      <c r="I186" s="134">
        <f t="shared" si="62"/>
        <v>0.09</v>
      </c>
      <c r="J186" s="134">
        <f t="shared" si="62"/>
        <v>0.09</v>
      </c>
      <c r="K186" s="134">
        <f t="shared" si="62"/>
        <v>0.09</v>
      </c>
      <c r="L186" s="134">
        <f t="shared" si="62"/>
        <v>0.09</v>
      </c>
      <c r="M186" s="134">
        <f t="shared" si="62"/>
        <v>0.09</v>
      </c>
      <c r="N186" s="134">
        <f t="shared" si="62"/>
        <v>0.09</v>
      </c>
      <c r="O186" s="134">
        <f t="shared" si="62"/>
        <v>0.09</v>
      </c>
      <c r="P186" s="134">
        <f t="shared" si="62"/>
        <v>0.09</v>
      </c>
      <c r="Q186" s="134">
        <f t="shared" si="62"/>
        <v>0.09</v>
      </c>
      <c r="R186" s="134">
        <f t="shared" si="63"/>
        <v>0.09</v>
      </c>
      <c r="S186" s="134">
        <f t="shared" si="63"/>
        <v>0.09</v>
      </c>
      <c r="T186" s="134">
        <f t="shared" si="63"/>
        <v>0.09</v>
      </c>
      <c r="U186" s="134">
        <f t="shared" si="63"/>
        <v>0.09</v>
      </c>
      <c r="V186" s="134">
        <f t="shared" si="63"/>
        <v>0.09</v>
      </c>
      <c r="W186" s="134">
        <f t="shared" si="63"/>
        <v>0.09</v>
      </c>
      <c r="X186" s="134">
        <f t="shared" si="63"/>
        <v>0.09</v>
      </c>
      <c r="Y186" s="134">
        <f t="shared" si="63"/>
        <v>0.09</v>
      </c>
      <c r="Z186" s="134">
        <f t="shared" si="63"/>
        <v>0.09</v>
      </c>
      <c r="AA186" s="134">
        <f t="shared" si="63"/>
        <v>0.09</v>
      </c>
      <c r="AB186" s="134">
        <f t="shared" si="63"/>
        <v>0.09</v>
      </c>
      <c r="AC186" s="134">
        <f t="shared" si="63"/>
        <v>0.09</v>
      </c>
      <c r="AD186" s="134">
        <f t="shared" si="63"/>
        <v>0.09</v>
      </c>
      <c r="AE186" s="134">
        <f t="shared" si="63"/>
        <v>0.09</v>
      </c>
      <c r="AF186" s="134">
        <f t="shared" si="63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62"/>
        <v>0.04</v>
      </c>
      <c r="D187" s="134">
        <f t="shared" si="62"/>
        <v>0.04</v>
      </c>
      <c r="E187" s="134">
        <f t="shared" si="62"/>
        <v>0.04</v>
      </c>
      <c r="F187" s="134">
        <f t="shared" si="62"/>
        <v>0.04</v>
      </c>
      <c r="G187" s="134">
        <f t="shared" si="62"/>
        <v>0.04</v>
      </c>
      <c r="H187" s="134">
        <f t="shared" si="62"/>
        <v>0.04</v>
      </c>
      <c r="I187" s="134">
        <f t="shared" si="62"/>
        <v>0.04</v>
      </c>
      <c r="J187" s="134">
        <f t="shared" si="62"/>
        <v>0.04</v>
      </c>
      <c r="K187" s="134">
        <f t="shared" si="62"/>
        <v>0.04</v>
      </c>
      <c r="L187" s="134">
        <f t="shared" si="62"/>
        <v>0.04</v>
      </c>
      <c r="M187" s="134">
        <f t="shared" si="62"/>
        <v>0.04</v>
      </c>
      <c r="N187" s="134">
        <f t="shared" si="62"/>
        <v>0.04</v>
      </c>
      <c r="O187" s="134">
        <f t="shared" si="62"/>
        <v>0.04</v>
      </c>
      <c r="P187" s="134">
        <f t="shared" si="62"/>
        <v>0.04</v>
      </c>
      <c r="Q187" s="134">
        <f t="shared" si="62"/>
        <v>0.04</v>
      </c>
      <c r="R187" s="134">
        <f t="shared" si="63"/>
        <v>0.04</v>
      </c>
      <c r="S187" s="134">
        <f t="shared" si="63"/>
        <v>0.04</v>
      </c>
      <c r="T187" s="134">
        <f t="shared" si="63"/>
        <v>0.04</v>
      </c>
      <c r="U187" s="134">
        <f t="shared" si="63"/>
        <v>0.04</v>
      </c>
      <c r="V187" s="134">
        <f t="shared" si="63"/>
        <v>0.04</v>
      </c>
      <c r="W187" s="134">
        <f t="shared" si="63"/>
        <v>0.04</v>
      </c>
      <c r="X187" s="134">
        <f t="shared" si="63"/>
        <v>0.04</v>
      </c>
      <c r="Y187" s="134">
        <f t="shared" si="63"/>
        <v>0.04</v>
      </c>
      <c r="Z187" s="134">
        <f t="shared" si="63"/>
        <v>0.04</v>
      </c>
      <c r="AA187" s="134">
        <f t="shared" si="63"/>
        <v>0.04</v>
      </c>
      <c r="AB187" s="134">
        <f t="shared" si="63"/>
        <v>0.04</v>
      </c>
      <c r="AC187" s="134">
        <f t="shared" si="63"/>
        <v>0.04</v>
      </c>
      <c r="AD187" s="134">
        <f t="shared" si="63"/>
        <v>0.04</v>
      </c>
      <c r="AE187" s="134">
        <f t="shared" si="63"/>
        <v>0.04</v>
      </c>
      <c r="AF187" s="134">
        <f t="shared" si="63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62"/>
        <v>2.3E-2</v>
      </c>
      <c r="E188" s="134">
        <f t="shared" si="62"/>
        <v>2.3E-2</v>
      </c>
      <c r="F188" s="134">
        <f t="shared" si="62"/>
        <v>2.3E-2</v>
      </c>
      <c r="G188" s="134">
        <f t="shared" si="62"/>
        <v>2.3E-2</v>
      </c>
      <c r="H188" s="134">
        <f t="shared" si="62"/>
        <v>2.3E-2</v>
      </c>
      <c r="I188" s="134">
        <f t="shared" si="62"/>
        <v>2.3E-2</v>
      </c>
      <c r="J188" s="134">
        <f t="shared" si="62"/>
        <v>2.3E-2</v>
      </c>
      <c r="K188" s="134">
        <f t="shared" si="62"/>
        <v>2.3E-2</v>
      </c>
      <c r="L188" s="134">
        <f t="shared" si="62"/>
        <v>2.3E-2</v>
      </c>
      <c r="M188" s="134">
        <f t="shared" si="62"/>
        <v>2.3E-2</v>
      </c>
      <c r="N188" s="134">
        <f t="shared" si="62"/>
        <v>2.3E-2</v>
      </c>
      <c r="O188" s="134">
        <f t="shared" si="62"/>
        <v>2.3E-2</v>
      </c>
      <c r="P188" s="134">
        <f t="shared" si="62"/>
        <v>2.3E-2</v>
      </c>
      <c r="Q188" s="134">
        <f t="shared" si="62"/>
        <v>2.3E-2</v>
      </c>
      <c r="R188" s="134">
        <f t="shared" si="63"/>
        <v>2.3E-2</v>
      </c>
      <c r="S188" s="134">
        <f t="shared" si="63"/>
        <v>2.3E-2</v>
      </c>
      <c r="T188" s="134">
        <f t="shared" si="63"/>
        <v>2.3E-2</v>
      </c>
      <c r="U188" s="134">
        <f t="shared" si="63"/>
        <v>2.3E-2</v>
      </c>
      <c r="V188" s="134">
        <f t="shared" si="63"/>
        <v>2.3E-2</v>
      </c>
      <c r="W188" s="134">
        <f t="shared" si="63"/>
        <v>2.3E-2</v>
      </c>
      <c r="X188" s="134">
        <f t="shared" si="63"/>
        <v>2.3E-2</v>
      </c>
      <c r="Y188" s="134">
        <f t="shared" si="63"/>
        <v>2.3E-2</v>
      </c>
      <c r="Z188" s="134">
        <f t="shared" si="63"/>
        <v>2.3E-2</v>
      </c>
      <c r="AA188" s="134">
        <f t="shared" si="63"/>
        <v>2.3E-2</v>
      </c>
      <c r="AB188" s="134">
        <f t="shared" si="63"/>
        <v>2.3E-2</v>
      </c>
      <c r="AC188" s="134">
        <f t="shared" si="63"/>
        <v>2.3E-2</v>
      </c>
      <c r="AD188" s="134">
        <f t="shared" si="63"/>
        <v>2.3E-2</v>
      </c>
      <c r="AE188" s="134">
        <f t="shared" si="63"/>
        <v>2.3E-2</v>
      </c>
      <c r="AF188" s="134">
        <f t="shared" si="63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64">SUM(B99:B188)</f>
        <v>194.70600000000002</v>
      </c>
      <c r="C189" s="138">
        <f t="shared" si="64"/>
        <v>194.70600000000002</v>
      </c>
      <c r="D189" s="138">
        <f t="shared" si="64"/>
        <v>194.70600000000002</v>
      </c>
      <c r="E189" s="138">
        <f t="shared" si="64"/>
        <v>194.70600000000002</v>
      </c>
      <c r="F189" s="138">
        <f t="shared" si="64"/>
        <v>194.70600000000002</v>
      </c>
      <c r="G189" s="138">
        <f t="shared" si="64"/>
        <v>194.70600000000002</v>
      </c>
      <c r="H189" s="138">
        <f t="shared" si="64"/>
        <v>194.70600000000002</v>
      </c>
      <c r="I189" s="138">
        <f t="shared" si="64"/>
        <v>192.10600000000005</v>
      </c>
      <c r="J189" s="138">
        <f t="shared" si="64"/>
        <v>192.10600000000005</v>
      </c>
      <c r="K189" s="138">
        <f t="shared" si="64"/>
        <v>192.10600000000005</v>
      </c>
      <c r="L189" s="138">
        <f t="shared" si="64"/>
        <v>192.10600000000005</v>
      </c>
      <c r="M189" s="138">
        <f t="shared" si="64"/>
        <v>192.10600000000005</v>
      </c>
      <c r="N189" s="138">
        <f t="shared" si="64"/>
        <v>192.10600000000005</v>
      </c>
      <c r="O189" s="138">
        <f t="shared" si="64"/>
        <v>192.10600000000005</v>
      </c>
      <c r="P189" s="138">
        <f t="shared" si="64"/>
        <v>192.10600000000005</v>
      </c>
      <c r="Q189" s="138">
        <f t="shared" si="64"/>
        <v>192.10600000000005</v>
      </c>
      <c r="R189" s="138">
        <f t="shared" si="64"/>
        <v>192.10600000000005</v>
      </c>
      <c r="S189" s="138">
        <f t="shared" si="64"/>
        <v>192.10600000000005</v>
      </c>
      <c r="T189" s="138">
        <f t="shared" si="64"/>
        <v>192.10600000000005</v>
      </c>
      <c r="U189" s="138">
        <f t="shared" si="64"/>
        <v>192.10600000000005</v>
      </c>
      <c r="V189" s="138">
        <f t="shared" si="64"/>
        <v>192.10600000000005</v>
      </c>
      <c r="W189" s="138">
        <f t="shared" si="64"/>
        <v>192.10600000000005</v>
      </c>
      <c r="X189" s="138">
        <f t="shared" si="64"/>
        <v>192.10600000000005</v>
      </c>
      <c r="Y189" s="138">
        <f t="shared" si="64"/>
        <v>192.10600000000005</v>
      </c>
      <c r="Z189" s="138">
        <f t="shared" si="64"/>
        <v>192.10600000000005</v>
      </c>
      <c r="AA189" s="138">
        <f t="shared" si="64"/>
        <v>192.10600000000005</v>
      </c>
      <c r="AB189" s="138">
        <f t="shared" si="64"/>
        <v>192.10600000000005</v>
      </c>
      <c r="AC189" s="138">
        <f t="shared" si="64"/>
        <v>192.10600000000005</v>
      </c>
      <c r="AD189" s="138">
        <f t="shared" si="64"/>
        <v>192.10600000000005</v>
      </c>
      <c r="AE189" s="138">
        <f t="shared" si="64"/>
        <v>192.10600000000005</v>
      </c>
      <c r="AF189" s="138">
        <f t="shared" si="64"/>
        <v>192.10600000000005</v>
      </c>
      <c r="AG189" s="139">
        <f t="shared" si="64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65">B191</f>
        <v>0.3</v>
      </c>
      <c r="D191" s="140">
        <f t="shared" si="65"/>
        <v>0.3</v>
      </c>
      <c r="E191" s="140">
        <f t="shared" si="65"/>
        <v>0.3</v>
      </c>
      <c r="F191" s="140">
        <f t="shared" si="65"/>
        <v>0.3</v>
      </c>
      <c r="G191" s="140">
        <f t="shared" si="65"/>
        <v>0.3</v>
      </c>
      <c r="H191" s="140">
        <f t="shared" si="65"/>
        <v>0.3</v>
      </c>
      <c r="I191" s="140">
        <f t="shared" si="65"/>
        <v>0.3</v>
      </c>
      <c r="J191" s="140">
        <f t="shared" si="65"/>
        <v>0.3</v>
      </c>
      <c r="K191" s="140">
        <f t="shared" si="65"/>
        <v>0.3</v>
      </c>
      <c r="L191" s="140">
        <f t="shared" si="65"/>
        <v>0.3</v>
      </c>
      <c r="M191" s="140">
        <f t="shared" si="65"/>
        <v>0.3</v>
      </c>
      <c r="N191" s="140">
        <f t="shared" si="65"/>
        <v>0.3</v>
      </c>
      <c r="O191" s="140">
        <f t="shared" si="65"/>
        <v>0.3</v>
      </c>
      <c r="P191" s="140">
        <f t="shared" si="65"/>
        <v>0.3</v>
      </c>
      <c r="Q191" s="140">
        <f t="shared" si="65"/>
        <v>0.3</v>
      </c>
      <c r="R191" s="140">
        <f t="shared" si="65"/>
        <v>0.3</v>
      </c>
      <c r="S191" s="140">
        <f t="shared" ref="S191:AF196" si="66">R191</f>
        <v>0.3</v>
      </c>
      <c r="T191" s="140">
        <f t="shared" si="66"/>
        <v>0.3</v>
      </c>
      <c r="U191" s="140">
        <f t="shared" si="66"/>
        <v>0.3</v>
      </c>
      <c r="V191" s="140">
        <f t="shared" si="66"/>
        <v>0.3</v>
      </c>
      <c r="W191" s="140">
        <f t="shared" si="66"/>
        <v>0.3</v>
      </c>
      <c r="X191" s="140">
        <f t="shared" si="66"/>
        <v>0.3</v>
      </c>
      <c r="Y191" s="140">
        <f t="shared" si="66"/>
        <v>0.3</v>
      </c>
      <c r="Z191" s="140">
        <f t="shared" si="66"/>
        <v>0.3</v>
      </c>
      <c r="AA191" s="140">
        <f t="shared" si="66"/>
        <v>0.3</v>
      </c>
      <c r="AB191" s="140">
        <f t="shared" si="66"/>
        <v>0.3</v>
      </c>
      <c r="AC191" s="140">
        <f t="shared" si="66"/>
        <v>0.3</v>
      </c>
      <c r="AD191" s="140">
        <f t="shared" si="66"/>
        <v>0.3</v>
      </c>
      <c r="AE191" s="140">
        <f t="shared" si="66"/>
        <v>0.3</v>
      </c>
      <c r="AF191" s="140">
        <f t="shared" si="66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65"/>
        <v>0.4</v>
      </c>
      <c r="D192" s="134">
        <f t="shared" si="65"/>
        <v>0.4</v>
      </c>
      <c r="E192" s="134">
        <f t="shared" si="65"/>
        <v>0.4</v>
      </c>
      <c r="F192" s="134">
        <f t="shared" si="65"/>
        <v>0.4</v>
      </c>
      <c r="G192" s="134">
        <f t="shared" si="65"/>
        <v>0.4</v>
      </c>
      <c r="H192" s="134">
        <f t="shared" si="65"/>
        <v>0.4</v>
      </c>
      <c r="I192" s="134">
        <f t="shared" si="65"/>
        <v>0.4</v>
      </c>
      <c r="J192" s="134">
        <f t="shared" si="65"/>
        <v>0.4</v>
      </c>
      <c r="K192" s="134">
        <f t="shared" si="65"/>
        <v>0.4</v>
      </c>
      <c r="L192" s="134">
        <f t="shared" si="65"/>
        <v>0.4</v>
      </c>
      <c r="M192" s="134">
        <f t="shared" si="65"/>
        <v>0.4</v>
      </c>
      <c r="N192" s="134">
        <f t="shared" si="65"/>
        <v>0.4</v>
      </c>
      <c r="O192" s="134">
        <f t="shared" si="65"/>
        <v>0.4</v>
      </c>
      <c r="P192" s="134">
        <f t="shared" si="65"/>
        <v>0.4</v>
      </c>
      <c r="Q192" s="134">
        <f t="shared" si="65"/>
        <v>0.4</v>
      </c>
      <c r="R192" s="134">
        <f t="shared" si="65"/>
        <v>0.4</v>
      </c>
      <c r="S192" s="134">
        <f t="shared" si="66"/>
        <v>0.4</v>
      </c>
      <c r="T192" s="134">
        <f t="shared" si="66"/>
        <v>0.4</v>
      </c>
      <c r="U192" s="134">
        <f t="shared" si="66"/>
        <v>0.4</v>
      </c>
      <c r="V192" s="134">
        <f>U192</f>
        <v>0.4</v>
      </c>
      <c r="W192" s="134">
        <f>V192</f>
        <v>0.4</v>
      </c>
      <c r="X192" s="134">
        <f t="shared" si="66"/>
        <v>0.4</v>
      </c>
      <c r="Y192" s="134">
        <f t="shared" si="66"/>
        <v>0.4</v>
      </c>
      <c r="Z192" s="134">
        <f t="shared" si="66"/>
        <v>0.4</v>
      </c>
      <c r="AA192" s="134">
        <f t="shared" si="66"/>
        <v>0.4</v>
      </c>
      <c r="AB192" s="134">
        <f t="shared" si="66"/>
        <v>0.4</v>
      </c>
      <c r="AC192" s="134">
        <f t="shared" si="66"/>
        <v>0.4</v>
      </c>
      <c r="AD192" s="134">
        <f t="shared" si="66"/>
        <v>0.4</v>
      </c>
      <c r="AE192" s="134">
        <f t="shared" si="66"/>
        <v>0.4</v>
      </c>
      <c r="AF192" s="134">
        <f t="shared" si="66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65"/>
        <v>1.5</v>
      </c>
      <c r="D193" s="134">
        <f t="shared" si="65"/>
        <v>1.5</v>
      </c>
      <c r="E193" s="134">
        <f t="shared" si="65"/>
        <v>1.5</v>
      </c>
      <c r="F193" s="134">
        <f t="shared" si="65"/>
        <v>1.5</v>
      </c>
      <c r="G193" s="134">
        <f t="shared" si="65"/>
        <v>1.5</v>
      </c>
      <c r="H193" s="134">
        <f t="shared" si="65"/>
        <v>1.5</v>
      </c>
      <c r="I193" s="134">
        <f t="shared" si="65"/>
        <v>1.5</v>
      </c>
      <c r="J193" s="134">
        <f t="shared" si="65"/>
        <v>1.5</v>
      </c>
      <c r="K193" s="134">
        <f t="shared" si="65"/>
        <v>1.5</v>
      </c>
      <c r="L193" s="134">
        <f t="shared" si="65"/>
        <v>1.5</v>
      </c>
      <c r="M193" s="134">
        <f t="shared" si="65"/>
        <v>1.5</v>
      </c>
      <c r="N193" s="134">
        <f t="shared" si="65"/>
        <v>1.5</v>
      </c>
      <c r="O193" s="134">
        <f t="shared" si="65"/>
        <v>1.5</v>
      </c>
      <c r="P193" s="134">
        <f t="shared" si="65"/>
        <v>1.5</v>
      </c>
      <c r="Q193" s="134">
        <f t="shared" si="65"/>
        <v>1.5</v>
      </c>
      <c r="R193" s="134">
        <f t="shared" si="65"/>
        <v>1.5</v>
      </c>
      <c r="S193" s="134">
        <f t="shared" si="66"/>
        <v>1.5</v>
      </c>
      <c r="T193" s="134">
        <f t="shared" si="66"/>
        <v>1.5</v>
      </c>
      <c r="U193" s="134">
        <f t="shared" si="66"/>
        <v>1.5</v>
      </c>
      <c r="V193" s="134">
        <f t="shared" si="66"/>
        <v>1.5</v>
      </c>
      <c r="W193" s="134">
        <f t="shared" si="66"/>
        <v>1.5</v>
      </c>
      <c r="X193" s="134">
        <f t="shared" si="66"/>
        <v>1.5</v>
      </c>
      <c r="Y193" s="134">
        <f t="shared" si="66"/>
        <v>1.5</v>
      </c>
      <c r="Z193" s="134">
        <f t="shared" si="66"/>
        <v>1.5</v>
      </c>
      <c r="AA193" s="134">
        <f t="shared" si="66"/>
        <v>1.5</v>
      </c>
      <c r="AB193" s="134">
        <f t="shared" si="66"/>
        <v>1.5</v>
      </c>
      <c r="AC193" s="134">
        <f t="shared" si="66"/>
        <v>1.5</v>
      </c>
      <c r="AD193" s="134">
        <f t="shared" si="66"/>
        <v>1.5</v>
      </c>
      <c r="AE193" s="134">
        <f t="shared" si="66"/>
        <v>1.5</v>
      </c>
      <c r="AF193" s="134">
        <f t="shared" si="66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65"/>
        <v>0.3</v>
      </c>
      <c r="D194" s="134">
        <f t="shared" si="65"/>
        <v>0.3</v>
      </c>
      <c r="E194" s="134">
        <f t="shared" si="65"/>
        <v>0.3</v>
      </c>
      <c r="F194" s="134">
        <f t="shared" si="65"/>
        <v>0.3</v>
      </c>
      <c r="G194" s="134">
        <f t="shared" si="65"/>
        <v>0.3</v>
      </c>
      <c r="H194" s="134">
        <f t="shared" si="65"/>
        <v>0.3</v>
      </c>
      <c r="I194" s="134">
        <f t="shared" si="65"/>
        <v>0.3</v>
      </c>
      <c r="J194" s="134">
        <f t="shared" si="65"/>
        <v>0.3</v>
      </c>
      <c r="K194" s="134">
        <f t="shared" si="65"/>
        <v>0.3</v>
      </c>
      <c r="L194" s="134">
        <f t="shared" si="65"/>
        <v>0.3</v>
      </c>
      <c r="M194" s="134">
        <f t="shared" si="65"/>
        <v>0.3</v>
      </c>
      <c r="N194" s="134">
        <f t="shared" si="65"/>
        <v>0.3</v>
      </c>
      <c r="O194" s="134">
        <f t="shared" si="65"/>
        <v>0.3</v>
      </c>
      <c r="P194" s="134">
        <f t="shared" si="65"/>
        <v>0.3</v>
      </c>
      <c r="Q194" s="134">
        <f t="shared" si="65"/>
        <v>0.3</v>
      </c>
      <c r="R194" s="134">
        <f t="shared" si="65"/>
        <v>0.3</v>
      </c>
      <c r="S194" s="134">
        <f t="shared" si="66"/>
        <v>0.3</v>
      </c>
      <c r="T194" s="134">
        <f t="shared" si="66"/>
        <v>0.3</v>
      </c>
      <c r="U194" s="134">
        <f t="shared" si="66"/>
        <v>0.3</v>
      </c>
      <c r="V194" s="134">
        <f t="shared" si="66"/>
        <v>0.3</v>
      </c>
      <c r="W194" s="134">
        <f t="shared" si="66"/>
        <v>0.3</v>
      </c>
      <c r="X194" s="134">
        <f t="shared" si="66"/>
        <v>0.3</v>
      </c>
      <c r="Y194" s="134">
        <f t="shared" si="66"/>
        <v>0.3</v>
      </c>
      <c r="Z194" s="134">
        <f t="shared" si="66"/>
        <v>0.3</v>
      </c>
      <c r="AA194" s="134">
        <f t="shared" si="66"/>
        <v>0.3</v>
      </c>
      <c r="AB194" s="134">
        <f t="shared" si="66"/>
        <v>0.3</v>
      </c>
      <c r="AC194" s="134">
        <f t="shared" si="66"/>
        <v>0.3</v>
      </c>
      <c r="AD194" s="134">
        <f t="shared" si="66"/>
        <v>0.3</v>
      </c>
      <c r="AE194" s="134">
        <f t="shared" si="66"/>
        <v>0.3</v>
      </c>
      <c r="AF194" s="134">
        <f t="shared" si="66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65"/>
        <v>0.4</v>
      </c>
      <c r="D195" s="134">
        <f t="shared" si="65"/>
        <v>0.4</v>
      </c>
      <c r="E195" s="134">
        <f t="shared" si="65"/>
        <v>0.4</v>
      </c>
      <c r="F195" s="134">
        <f t="shared" si="65"/>
        <v>0.4</v>
      </c>
      <c r="G195" s="134">
        <f t="shared" si="65"/>
        <v>0.4</v>
      </c>
      <c r="H195" s="134">
        <f t="shared" si="65"/>
        <v>0.4</v>
      </c>
      <c r="I195" s="134">
        <f t="shared" si="65"/>
        <v>0.4</v>
      </c>
      <c r="J195" s="134">
        <f t="shared" si="65"/>
        <v>0.4</v>
      </c>
      <c r="K195" s="134">
        <f t="shared" si="65"/>
        <v>0.4</v>
      </c>
      <c r="L195" s="134">
        <f t="shared" si="65"/>
        <v>0.4</v>
      </c>
      <c r="M195" s="134">
        <f t="shared" si="65"/>
        <v>0.4</v>
      </c>
      <c r="N195" s="134">
        <f t="shared" si="65"/>
        <v>0.4</v>
      </c>
      <c r="O195" s="134">
        <f t="shared" si="65"/>
        <v>0.4</v>
      </c>
      <c r="P195" s="134">
        <f t="shared" si="65"/>
        <v>0.4</v>
      </c>
      <c r="Q195" s="134">
        <f t="shared" si="65"/>
        <v>0.4</v>
      </c>
      <c r="R195" s="134">
        <f t="shared" si="65"/>
        <v>0.4</v>
      </c>
      <c r="S195" s="134">
        <f t="shared" si="66"/>
        <v>0.4</v>
      </c>
      <c r="T195" s="134">
        <f t="shared" si="66"/>
        <v>0.4</v>
      </c>
      <c r="U195" s="134">
        <f t="shared" si="66"/>
        <v>0.4</v>
      </c>
      <c r="V195" s="134">
        <f t="shared" si="66"/>
        <v>0.4</v>
      </c>
      <c r="W195" s="134">
        <f t="shared" si="66"/>
        <v>0.4</v>
      </c>
      <c r="X195" s="134">
        <f t="shared" si="66"/>
        <v>0.4</v>
      </c>
      <c r="Y195" s="134">
        <f t="shared" si="66"/>
        <v>0.4</v>
      </c>
      <c r="Z195" s="134">
        <f t="shared" si="66"/>
        <v>0.4</v>
      </c>
      <c r="AA195" s="134">
        <f t="shared" si="66"/>
        <v>0.4</v>
      </c>
      <c r="AB195" s="134">
        <f t="shared" si="66"/>
        <v>0.4</v>
      </c>
      <c r="AC195" s="134">
        <f t="shared" si="66"/>
        <v>0.4</v>
      </c>
      <c r="AD195" s="134">
        <f t="shared" si="66"/>
        <v>0.4</v>
      </c>
      <c r="AE195" s="134">
        <f t="shared" si="66"/>
        <v>0.4</v>
      </c>
      <c r="AF195" s="134">
        <f t="shared" si="66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65"/>
        <v>0.64</v>
      </c>
      <c r="D196" s="143">
        <f t="shared" si="65"/>
        <v>0.64</v>
      </c>
      <c r="E196" s="143">
        <f t="shared" si="65"/>
        <v>0.64</v>
      </c>
      <c r="F196" s="143">
        <f t="shared" si="65"/>
        <v>0.64</v>
      </c>
      <c r="G196" s="143">
        <f t="shared" si="65"/>
        <v>0.64</v>
      </c>
      <c r="H196" s="143">
        <f t="shared" si="65"/>
        <v>0.64</v>
      </c>
      <c r="I196" s="143">
        <f t="shared" si="65"/>
        <v>0.64</v>
      </c>
      <c r="J196" s="143">
        <f t="shared" si="65"/>
        <v>0.64</v>
      </c>
      <c r="K196" s="143">
        <f t="shared" si="65"/>
        <v>0.64</v>
      </c>
      <c r="L196" s="143">
        <f t="shared" si="65"/>
        <v>0.64</v>
      </c>
      <c r="M196" s="143">
        <f t="shared" si="65"/>
        <v>0.64</v>
      </c>
      <c r="N196" s="143">
        <f t="shared" si="65"/>
        <v>0.64</v>
      </c>
      <c r="O196" s="143">
        <f t="shared" si="65"/>
        <v>0.64</v>
      </c>
      <c r="P196" s="143">
        <f t="shared" si="65"/>
        <v>0.64</v>
      </c>
      <c r="Q196" s="143">
        <f t="shared" si="65"/>
        <v>0.64</v>
      </c>
      <c r="R196" s="143">
        <f t="shared" si="65"/>
        <v>0.64</v>
      </c>
      <c r="S196" s="143">
        <f t="shared" si="66"/>
        <v>0.64</v>
      </c>
      <c r="T196" s="143">
        <f t="shared" si="66"/>
        <v>0.64</v>
      </c>
      <c r="U196" s="143">
        <f t="shared" si="66"/>
        <v>0.64</v>
      </c>
      <c r="V196" s="143">
        <f t="shared" si="66"/>
        <v>0.64</v>
      </c>
      <c r="W196" s="143">
        <f t="shared" si="66"/>
        <v>0.64</v>
      </c>
      <c r="X196" s="143">
        <f t="shared" si="66"/>
        <v>0.64</v>
      </c>
      <c r="Y196" s="143">
        <f t="shared" si="66"/>
        <v>0.64</v>
      </c>
      <c r="Z196" s="143">
        <f t="shared" si="66"/>
        <v>0.64</v>
      </c>
      <c r="AA196" s="143">
        <f t="shared" si="66"/>
        <v>0.64</v>
      </c>
      <c r="AB196" s="143">
        <f t="shared" si="66"/>
        <v>0.64</v>
      </c>
      <c r="AC196" s="143">
        <f t="shared" si="66"/>
        <v>0.64</v>
      </c>
      <c r="AD196" s="143">
        <f t="shared" si="66"/>
        <v>0.64</v>
      </c>
      <c r="AE196" s="143">
        <f t="shared" si="66"/>
        <v>0.64</v>
      </c>
      <c r="AF196" s="143">
        <f t="shared" si="66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67">SUM(C191:C196)</f>
        <v>3.54</v>
      </c>
      <c r="D197" s="146">
        <f t="shared" si="67"/>
        <v>3.54</v>
      </c>
      <c r="E197" s="146">
        <f t="shared" si="67"/>
        <v>3.54</v>
      </c>
      <c r="F197" s="146">
        <f t="shared" si="67"/>
        <v>3.54</v>
      </c>
      <c r="G197" s="146">
        <f t="shared" si="67"/>
        <v>3.54</v>
      </c>
      <c r="H197" s="146">
        <f t="shared" si="67"/>
        <v>3.54</v>
      </c>
      <c r="I197" s="146">
        <f t="shared" si="67"/>
        <v>3.54</v>
      </c>
      <c r="J197" s="146">
        <f t="shared" si="67"/>
        <v>3.54</v>
      </c>
      <c r="K197" s="146">
        <f t="shared" si="67"/>
        <v>3.54</v>
      </c>
      <c r="L197" s="146">
        <f>SUM(L191:L196)</f>
        <v>3.54</v>
      </c>
      <c r="M197" s="146">
        <f t="shared" ref="M197:R197" si="68">SUM(M191:M196)</f>
        <v>3.54</v>
      </c>
      <c r="N197" s="146">
        <f t="shared" si="68"/>
        <v>3.54</v>
      </c>
      <c r="O197" s="146">
        <f t="shared" si="68"/>
        <v>3.54</v>
      </c>
      <c r="P197" s="146">
        <f t="shared" si="68"/>
        <v>3.54</v>
      </c>
      <c r="Q197" s="146">
        <f t="shared" si="68"/>
        <v>3.54</v>
      </c>
      <c r="R197" s="146">
        <f t="shared" si="68"/>
        <v>3.54</v>
      </c>
      <c r="S197" s="146">
        <f>SUM(S191:S196)</f>
        <v>3.54</v>
      </c>
      <c r="T197" s="146">
        <f t="shared" ref="T197:AG197" si="69">SUM(T191:T196)</f>
        <v>3.54</v>
      </c>
      <c r="U197" s="146">
        <f t="shared" si="69"/>
        <v>3.54</v>
      </c>
      <c r="V197" s="146">
        <f t="shared" si="69"/>
        <v>3.54</v>
      </c>
      <c r="W197" s="146">
        <f t="shared" si="69"/>
        <v>3.54</v>
      </c>
      <c r="X197" s="146">
        <f t="shared" si="69"/>
        <v>3.54</v>
      </c>
      <c r="Y197" s="146">
        <f t="shared" si="69"/>
        <v>3.54</v>
      </c>
      <c r="Z197" s="146">
        <f t="shared" si="69"/>
        <v>3.54</v>
      </c>
      <c r="AA197" s="146">
        <f t="shared" si="69"/>
        <v>3.54</v>
      </c>
      <c r="AB197" s="146">
        <f t="shared" si="69"/>
        <v>3.54</v>
      </c>
      <c r="AC197" s="146">
        <f t="shared" si="69"/>
        <v>3.54</v>
      </c>
      <c r="AD197" s="146">
        <f t="shared" si="69"/>
        <v>3.54</v>
      </c>
      <c r="AE197" s="146">
        <f t="shared" si="69"/>
        <v>3.54</v>
      </c>
      <c r="AF197" s="146">
        <f t="shared" si="69"/>
        <v>3.54</v>
      </c>
      <c r="AG197" s="147">
        <f t="shared" si="69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927.84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30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2078/04/30)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2078/04/30)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70">B73</f>
        <v>976.04</v>
      </c>
      <c r="U211" s="170">
        <f t="shared" si="70"/>
        <v>939.6400000000001</v>
      </c>
      <c r="V211" s="170">
        <f t="shared" si="70"/>
        <v>904.1400000000001</v>
      </c>
      <c r="W211" s="170">
        <f t="shared" si="70"/>
        <v>894.24</v>
      </c>
      <c r="X211" s="170">
        <f t="shared" si="70"/>
        <v>865.14</v>
      </c>
      <c r="Y211" s="170">
        <f t="shared" si="70"/>
        <v>851.54</v>
      </c>
      <c r="Z211" s="170">
        <f t="shared" si="70"/>
        <v>845.6400000000001</v>
      </c>
      <c r="AA211" s="170">
        <f t="shared" si="70"/>
        <v>851.04</v>
      </c>
      <c r="AB211" s="170">
        <f t="shared" si="70"/>
        <v>839.04000000000008</v>
      </c>
      <c r="AC211" s="170">
        <f t="shared" si="70"/>
        <v>852.84</v>
      </c>
      <c r="AD211" s="170">
        <f t="shared" si="70"/>
        <v>893.84</v>
      </c>
      <c r="AE211" s="170">
        <f t="shared" si="70"/>
        <v>927.84</v>
      </c>
      <c r="AF211" s="170">
        <f t="shared" si="70"/>
        <v>947.04000000000008</v>
      </c>
      <c r="AG211" s="170">
        <f t="shared" si="70"/>
        <v>909.04000000000008</v>
      </c>
      <c r="AH211" s="170">
        <f t="shared" si="70"/>
        <v>941.1400000000001</v>
      </c>
      <c r="AI211" s="170">
        <f t="shared" si="70"/>
        <v>927.24</v>
      </c>
      <c r="AJ211" s="170">
        <f t="shared" si="70"/>
        <v>936.34</v>
      </c>
      <c r="AK211" s="170">
        <f t="shared" si="70"/>
        <v>926.14</v>
      </c>
      <c r="AL211" s="170">
        <f t="shared" si="70"/>
        <v>881.83999999999992</v>
      </c>
      <c r="AM211" s="170">
        <f t="shared" si="70"/>
        <v>889.74</v>
      </c>
      <c r="AN211" s="170">
        <f t="shared" si="70"/>
        <v>941.34</v>
      </c>
      <c r="AO211" s="170">
        <f t="shared" si="70"/>
        <v>1040.6399999999999</v>
      </c>
      <c r="AP211" s="170">
        <f t="shared" si="70"/>
        <v>1234.6999999999998</v>
      </c>
      <c r="AQ211" s="170">
        <f t="shared" si="70"/>
        <v>1234.3400000000001</v>
      </c>
      <c r="AR211" s="170">
        <f t="shared" si="70"/>
        <v>1236.04</v>
      </c>
      <c r="AS211" s="170">
        <f t="shared" si="70"/>
        <v>203.54</v>
      </c>
      <c r="AT211" s="170">
        <f t="shared" si="70"/>
        <v>1188.54</v>
      </c>
      <c r="AU211" s="170">
        <f t="shared" si="70"/>
        <v>1162.74</v>
      </c>
      <c r="AV211" s="170">
        <f t="shared" si="70"/>
        <v>1133.44</v>
      </c>
      <c r="AW211" s="170">
        <f t="shared" si="70"/>
        <v>1079.2399999999998</v>
      </c>
      <c r="AX211" s="170">
        <f t="shared" si="70"/>
        <v>1057.74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71">B196</f>
        <v>0.64</v>
      </c>
      <c r="C232" s="173">
        <f t="shared" si="71"/>
        <v>0.64</v>
      </c>
      <c r="D232" s="173">
        <f t="shared" si="71"/>
        <v>0.64</v>
      </c>
      <c r="E232" s="173">
        <f t="shared" si="71"/>
        <v>0.64</v>
      </c>
      <c r="F232" s="173">
        <f t="shared" si="71"/>
        <v>0.64</v>
      </c>
      <c r="G232" s="173">
        <f t="shared" si="71"/>
        <v>0.64</v>
      </c>
      <c r="H232" s="173">
        <f t="shared" si="71"/>
        <v>0.64</v>
      </c>
      <c r="I232" s="173">
        <f t="shared" si="71"/>
        <v>0.64</v>
      </c>
      <c r="J232" s="173">
        <f t="shared" si="71"/>
        <v>0.64</v>
      </c>
      <c r="K232" s="173">
        <f t="shared" si="71"/>
        <v>0.64</v>
      </c>
      <c r="L232" s="173">
        <f t="shared" si="71"/>
        <v>0.64</v>
      </c>
      <c r="M232" s="173">
        <f t="shared" si="71"/>
        <v>0.64</v>
      </c>
      <c r="N232" s="173">
        <f t="shared" si="71"/>
        <v>0.64</v>
      </c>
      <c r="O232" s="173">
        <f t="shared" si="71"/>
        <v>0.64</v>
      </c>
      <c r="P232" s="173">
        <f t="shared" si="71"/>
        <v>0.64</v>
      </c>
      <c r="Q232" s="173">
        <f t="shared" si="71"/>
        <v>0.64</v>
      </c>
      <c r="R232" s="173">
        <f t="shared" si="71"/>
        <v>0.64</v>
      </c>
      <c r="S232" s="173">
        <f t="shared" si="71"/>
        <v>0.64</v>
      </c>
      <c r="T232" s="173">
        <f t="shared" si="71"/>
        <v>0.64</v>
      </c>
      <c r="U232" s="173">
        <f t="shared" si="71"/>
        <v>0.64</v>
      </c>
      <c r="V232" s="173">
        <f t="shared" si="71"/>
        <v>0.64</v>
      </c>
      <c r="W232" s="173">
        <f t="shared" si="71"/>
        <v>0.64</v>
      </c>
      <c r="X232" s="173">
        <f t="shared" si="71"/>
        <v>0.64</v>
      </c>
      <c r="Y232" s="173">
        <f t="shared" si="71"/>
        <v>0.64</v>
      </c>
      <c r="Z232" s="173">
        <f t="shared" si="71"/>
        <v>0.64</v>
      </c>
      <c r="AA232" s="173">
        <f t="shared" si="71"/>
        <v>0.64</v>
      </c>
      <c r="AB232" s="173">
        <f t="shared" si="71"/>
        <v>0.64</v>
      </c>
      <c r="AC232" s="173">
        <f t="shared" si="71"/>
        <v>0.64</v>
      </c>
      <c r="AD232" s="173">
        <f t="shared" si="71"/>
        <v>0.64</v>
      </c>
      <c r="AE232" s="173">
        <f t="shared" si="71"/>
        <v>0.64</v>
      </c>
      <c r="AF232" s="173">
        <f t="shared" si="71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72">IF(C200&lt;100,"",C200-520)</f>
        <v/>
      </c>
      <c r="D233" s="117" t="str">
        <f t="shared" si="72"/>
        <v/>
      </c>
      <c r="E233" s="117" t="str">
        <f t="shared" si="72"/>
        <v/>
      </c>
      <c r="F233" s="117" t="str">
        <f t="shared" si="72"/>
        <v/>
      </c>
      <c r="G233" s="117" t="str">
        <f t="shared" si="72"/>
        <v/>
      </c>
      <c r="H233" s="117" t="str">
        <f t="shared" si="72"/>
        <v/>
      </c>
      <c r="I233" s="117" t="str">
        <f t="shared" si="72"/>
        <v/>
      </c>
      <c r="J233" s="117" t="str">
        <f t="shared" si="72"/>
        <v/>
      </c>
      <c r="K233" s="117" t="str">
        <f t="shared" si="72"/>
        <v/>
      </c>
      <c r="L233" s="117" t="str">
        <f t="shared" si="72"/>
        <v/>
      </c>
      <c r="M233" s="117" t="str">
        <f t="shared" si="72"/>
        <v/>
      </c>
      <c r="N233" s="117" t="str">
        <f t="shared" si="72"/>
        <v/>
      </c>
      <c r="O233" s="117" t="str">
        <f t="shared" si="72"/>
        <v/>
      </c>
      <c r="P233" s="117" t="str">
        <f t="shared" si="72"/>
        <v/>
      </c>
      <c r="Q233" s="117" t="str">
        <f t="shared" si="72"/>
        <v/>
      </c>
      <c r="R233" s="117" t="str">
        <f t="shared" si="72"/>
        <v/>
      </c>
      <c r="S233" s="117" t="str">
        <f t="shared" si="72"/>
        <v/>
      </c>
      <c r="T233" s="117" t="str">
        <f t="shared" si="72"/>
        <v/>
      </c>
      <c r="U233" s="117" t="str">
        <f t="shared" si="72"/>
        <v/>
      </c>
      <c r="V233" s="117" t="str">
        <f t="shared" si="72"/>
        <v/>
      </c>
      <c r="W233" s="117" t="str">
        <f t="shared" si="72"/>
        <v/>
      </c>
      <c r="X233" s="117" t="str">
        <f t="shared" si="72"/>
        <v/>
      </c>
      <c r="Y233" s="117" t="str">
        <f t="shared" si="72"/>
        <v/>
      </c>
      <c r="Z233" s="117" t="str">
        <f t="shared" si="72"/>
        <v/>
      </c>
      <c r="AA233" s="117" t="str">
        <f t="shared" si="72"/>
        <v/>
      </c>
      <c r="AB233" s="117" t="str">
        <f t="shared" si="72"/>
        <v/>
      </c>
      <c r="AC233" s="117" t="str">
        <f t="shared" si="72"/>
        <v/>
      </c>
      <c r="AD233" s="117" t="str">
        <f t="shared" si="72"/>
        <v/>
      </c>
      <c r="AE233" s="117" t="str">
        <f t="shared" si="72"/>
        <v/>
      </c>
      <c r="AF233" s="117" t="str">
        <f t="shared" si="72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73">IF(B201&lt;100,"",B201-620)</f>
        <v/>
      </c>
      <c r="C234" s="117" t="str">
        <f t="shared" si="73"/>
        <v/>
      </c>
      <c r="D234" s="117" t="str">
        <f t="shared" si="73"/>
        <v/>
      </c>
      <c r="E234" s="117" t="str">
        <f t="shared" si="73"/>
        <v/>
      </c>
      <c r="F234" s="117" t="str">
        <f t="shared" si="73"/>
        <v/>
      </c>
      <c r="G234" s="117" t="str">
        <f t="shared" si="73"/>
        <v/>
      </c>
      <c r="H234" s="117" t="str">
        <f t="shared" si="73"/>
        <v/>
      </c>
      <c r="I234" s="117" t="str">
        <f t="shared" si="73"/>
        <v/>
      </c>
      <c r="J234" s="117" t="str">
        <f t="shared" si="73"/>
        <v/>
      </c>
      <c r="K234" s="117" t="str">
        <f t="shared" si="73"/>
        <v/>
      </c>
      <c r="L234" s="117" t="str">
        <f t="shared" si="73"/>
        <v/>
      </c>
      <c r="M234" s="117" t="str">
        <f t="shared" si="73"/>
        <v/>
      </c>
      <c r="N234" s="117" t="str">
        <f t="shared" si="73"/>
        <v/>
      </c>
      <c r="O234" s="117" t="str">
        <f t="shared" si="73"/>
        <v/>
      </c>
      <c r="P234" s="117" t="str">
        <f t="shared" si="73"/>
        <v/>
      </c>
      <c r="Q234" s="117" t="str">
        <f t="shared" si="73"/>
        <v/>
      </c>
      <c r="R234" s="117" t="str">
        <f t="shared" si="73"/>
        <v/>
      </c>
      <c r="S234" s="117" t="str">
        <f t="shared" si="73"/>
        <v/>
      </c>
      <c r="T234" s="117" t="str">
        <f t="shared" si="73"/>
        <v/>
      </c>
      <c r="U234" s="117" t="str">
        <f t="shared" si="73"/>
        <v/>
      </c>
      <c r="V234" s="117" t="str">
        <f t="shared" si="73"/>
        <v/>
      </c>
      <c r="W234" s="117" t="str">
        <f t="shared" si="73"/>
        <v/>
      </c>
      <c r="X234" s="117" t="str">
        <f t="shared" si="73"/>
        <v/>
      </c>
      <c r="Y234" s="117" t="str">
        <f t="shared" si="73"/>
        <v/>
      </c>
      <c r="Z234" s="117" t="str">
        <f t="shared" si="73"/>
        <v/>
      </c>
      <c r="AA234" s="117" t="str">
        <f t="shared" si="73"/>
        <v/>
      </c>
      <c r="AB234" s="117" t="str">
        <f t="shared" si="73"/>
        <v/>
      </c>
      <c r="AC234" s="117" t="str">
        <f t="shared" si="73"/>
        <v/>
      </c>
      <c r="AD234" s="117" t="str">
        <f t="shared" si="73"/>
        <v/>
      </c>
      <c r="AE234" s="117" t="str">
        <f t="shared" si="73"/>
        <v/>
      </c>
      <c r="AF234" s="117" t="str">
        <f t="shared" si="73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74">IF(B202&lt;100,"",B202-330)</f>
        <v/>
      </c>
      <c r="C235" s="117" t="str">
        <f t="shared" si="74"/>
        <v/>
      </c>
      <c r="D235" s="117" t="str">
        <f t="shared" si="74"/>
        <v/>
      </c>
      <c r="E235" s="117" t="str">
        <f t="shared" si="74"/>
        <v/>
      </c>
      <c r="F235" s="117" t="str">
        <f t="shared" si="74"/>
        <v/>
      </c>
      <c r="G235" s="117" t="str">
        <f t="shared" si="74"/>
        <v/>
      </c>
      <c r="H235" s="117" t="str">
        <f t="shared" si="74"/>
        <v/>
      </c>
      <c r="I235" s="117" t="str">
        <f t="shared" si="74"/>
        <v/>
      </c>
      <c r="J235" s="117" t="str">
        <f t="shared" si="74"/>
        <v/>
      </c>
      <c r="K235" s="117" t="str">
        <f t="shared" si="74"/>
        <v/>
      </c>
      <c r="L235" s="117" t="str">
        <f t="shared" si="74"/>
        <v/>
      </c>
      <c r="M235" s="117" t="str">
        <f t="shared" si="74"/>
        <v/>
      </c>
      <c r="N235" s="117" t="str">
        <f t="shared" si="74"/>
        <v/>
      </c>
      <c r="O235" s="117" t="str">
        <f t="shared" si="74"/>
        <v/>
      </c>
      <c r="P235" s="117" t="str">
        <f t="shared" si="74"/>
        <v/>
      </c>
      <c r="Q235" s="117" t="str">
        <f t="shared" si="74"/>
        <v/>
      </c>
      <c r="R235" s="117" t="str">
        <f t="shared" si="74"/>
        <v/>
      </c>
      <c r="S235" s="117" t="str">
        <f t="shared" si="74"/>
        <v/>
      </c>
      <c r="T235" s="117" t="str">
        <f t="shared" si="74"/>
        <v/>
      </c>
      <c r="U235" s="117" t="str">
        <f t="shared" si="74"/>
        <v/>
      </c>
      <c r="V235" s="117" t="str">
        <f t="shared" si="74"/>
        <v/>
      </c>
      <c r="W235" s="117" t="str">
        <f t="shared" si="74"/>
        <v/>
      </c>
      <c r="X235" s="117" t="str">
        <f t="shared" si="74"/>
        <v/>
      </c>
      <c r="Y235" s="117" t="str">
        <f t="shared" si="74"/>
        <v/>
      </c>
      <c r="Z235" s="117" t="str">
        <f t="shared" si="74"/>
        <v/>
      </c>
      <c r="AA235" s="117" t="str">
        <f t="shared" si="74"/>
        <v/>
      </c>
      <c r="AB235" s="117" t="str">
        <f t="shared" si="74"/>
        <v/>
      </c>
      <c r="AC235" s="117" t="str">
        <f t="shared" si="74"/>
        <v/>
      </c>
      <c r="AD235" s="117" t="str">
        <f t="shared" si="74"/>
        <v/>
      </c>
      <c r="AE235" s="117" t="str">
        <f t="shared" si="74"/>
        <v/>
      </c>
      <c r="AF235" s="117" t="str">
        <f t="shared" si="74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75">IF(C203&lt;100,"",C203-1500)</f>
        <v/>
      </c>
      <c r="D236" s="117" t="str">
        <f t="shared" si="75"/>
        <v/>
      </c>
      <c r="E236" s="117" t="str">
        <f t="shared" si="75"/>
        <v/>
      </c>
      <c r="F236" s="117" t="str">
        <f t="shared" si="75"/>
        <v/>
      </c>
      <c r="G236" s="117" t="str">
        <f t="shared" si="75"/>
        <v/>
      </c>
      <c r="H236" s="117" t="str">
        <f t="shared" si="75"/>
        <v/>
      </c>
      <c r="I236" s="117" t="str">
        <f t="shared" si="75"/>
        <v/>
      </c>
      <c r="J236" s="117" t="str">
        <f t="shared" si="75"/>
        <v/>
      </c>
      <c r="K236" s="117" t="str">
        <f t="shared" si="75"/>
        <v/>
      </c>
      <c r="L236" s="117" t="str">
        <f t="shared" si="75"/>
        <v/>
      </c>
      <c r="M236" s="117" t="str">
        <f t="shared" si="75"/>
        <v/>
      </c>
      <c r="N236" s="117" t="str">
        <f t="shared" si="75"/>
        <v/>
      </c>
      <c r="O236" s="117" t="str">
        <f t="shared" si="75"/>
        <v/>
      </c>
      <c r="P236" s="117" t="str">
        <f t="shared" si="75"/>
        <v/>
      </c>
      <c r="Q236" s="117" t="str">
        <f t="shared" si="75"/>
        <v/>
      </c>
      <c r="R236" s="117" t="str">
        <f t="shared" si="75"/>
        <v/>
      </c>
      <c r="S236" s="117" t="str">
        <f t="shared" si="75"/>
        <v/>
      </c>
      <c r="T236" s="117" t="str">
        <f t="shared" si="75"/>
        <v/>
      </c>
      <c r="U236" s="117" t="str">
        <f t="shared" si="75"/>
        <v/>
      </c>
      <c r="V236" s="117" t="str">
        <f t="shared" si="75"/>
        <v/>
      </c>
      <c r="W236" s="117" t="str">
        <f t="shared" si="75"/>
        <v/>
      </c>
      <c r="X236" s="117" t="str">
        <f t="shared" si="75"/>
        <v/>
      </c>
      <c r="Y236" s="117" t="str">
        <f t="shared" si="75"/>
        <v/>
      </c>
      <c r="Z236" s="117" t="str">
        <f t="shared" si="75"/>
        <v/>
      </c>
      <c r="AA236" s="117" t="str">
        <f t="shared" si="75"/>
        <v/>
      </c>
      <c r="AB236" s="117" t="str">
        <f t="shared" si="75"/>
        <v/>
      </c>
      <c r="AC236" s="117" t="str">
        <f t="shared" si="75"/>
        <v/>
      </c>
      <c r="AD236" s="117" t="str">
        <f t="shared" si="75"/>
        <v/>
      </c>
      <c r="AE236" s="117" t="str">
        <f t="shared" si="75"/>
        <v/>
      </c>
      <c r="AF236" s="117" t="str">
        <f t="shared" si="75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209" priority="422">
      <formula>S$9&gt;=20/24</formula>
    </cfRule>
    <cfRule type="expression" dxfId="1208" priority="423">
      <formula>AND(S$9&gt;=14/24,S$9&lt;20/24)</formula>
    </cfRule>
    <cfRule type="expression" dxfId="1207" priority="424">
      <formula>AND(S$9&gt;=8/24,S$9&lt;14/24)</formula>
    </cfRule>
    <cfRule type="expression" dxfId="1206" priority="425">
      <formula>S$9&lt;8/24</formula>
    </cfRule>
  </conditionalFormatting>
  <conditionalFormatting sqref="B8:AF10 AA79:AF79 C79:Q79 C54:AF54 C80:AF80 C191:AF197 AE55:AF58 C66:AF70 T210:AX210 Q37 Q40 Q43:Q46 Q13 Q38:S39 W83:Z89 AA15:AA25 AA27:AA30 AA82:AF89 C72:AF76 C78:AF78 Q58:Q65 C55:K59 Q56:V57 L11:Q11 C61:P65 L56:P59 Q15:S18 R11:S13 T11:AA11 T17:X20 T22:X29 L21:X21 AA12:AA13 Y17:Z29 AA38:AA41 T38:Z40 AD38:AD41 AD11:AE13 AD15:AE20 AF19:AF20 L51:AF53">
    <cfRule type="expression" dxfId="1205" priority="418">
      <formula>B$9&gt;=20/24</formula>
    </cfRule>
    <cfRule type="expression" dxfId="1204" priority="419">
      <formula>AND(B$9&gt;=14/24,B$9&lt;20/24)</formula>
    </cfRule>
    <cfRule type="expression" dxfId="1203" priority="420">
      <formula>AND(B$9&gt;=8/24,B$9&lt;14/24)</formula>
    </cfRule>
    <cfRule type="expression" dxfId="1202" priority="421">
      <formula>B$9&lt;8/24</formula>
    </cfRule>
  </conditionalFormatting>
  <conditionalFormatting sqref="B189:AF189">
    <cfRule type="expression" dxfId="1201" priority="414">
      <formula>B$9&gt;=20/24</formula>
    </cfRule>
    <cfRule type="expression" dxfId="1200" priority="415">
      <formula>AND(B$9&gt;=14/24,B$9&lt;20/24)</formula>
    </cfRule>
    <cfRule type="expression" dxfId="1199" priority="416">
      <formula>AND(B$9&gt;=8/24,B$9&lt;14/24)</formula>
    </cfRule>
    <cfRule type="expression" dxfId="1198" priority="417">
      <formula>B$9&lt;8/24</formula>
    </cfRule>
  </conditionalFormatting>
  <conditionalFormatting sqref="AL4:AL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1197" priority="409">
      <formula>L$9&gt;=20/24</formula>
    </cfRule>
    <cfRule type="expression" dxfId="1196" priority="410">
      <formula>AND(L$9&gt;=14/24,L$9&lt;20/24)</formula>
    </cfRule>
    <cfRule type="expression" dxfId="1195" priority="411">
      <formula>AND(L$9&gt;=8/24,L$9&lt;14/24)</formula>
    </cfRule>
    <cfRule type="expression" dxfId="1194" priority="412">
      <formula>L$9&lt;8/24</formula>
    </cfRule>
  </conditionalFormatting>
  <conditionalFormatting sqref="Q41">
    <cfRule type="expression" dxfId="1193" priority="405">
      <formula>Q$9&gt;=20/24</formula>
    </cfRule>
    <cfRule type="expression" dxfId="1192" priority="406">
      <formula>AND(Q$9&gt;=14/24,Q$9&lt;20/24)</formula>
    </cfRule>
    <cfRule type="expression" dxfId="1191" priority="407">
      <formula>AND(Q$9&gt;=8/24,Q$9&lt;14/24)</formula>
    </cfRule>
    <cfRule type="expression" dxfId="1190" priority="408">
      <formula>Q$9&lt;8/24</formula>
    </cfRule>
  </conditionalFormatting>
  <conditionalFormatting sqref="AA31">
    <cfRule type="expression" dxfId="1189" priority="401">
      <formula>AA$9&gt;=20/24</formula>
    </cfRule>
    <cfRule type="expression" dxfId="1188" priority="402">
      <formula>AND(AA$9&gt;=14/24,AA$9&lt;20/24)</formula>
    </cfRule>
    <cfRule type="expression" dxfId="1187" priority="403">
      <formula>AND(AA$9&gt;=8/24,AA$9&lt;14/24)</formula>
    </cfRule>
    <cfRule type="expression" dxfId="1186" priority="404">
      <formula>AA$9&lt;8/24</formula>
    </cfRule>
  </conditionalFormatting>
  <conditionalFormatting sqref="R37:AA37 AD37">
    <cfRule type="expression" dxfId="1185" priority="397">
      <formula>R$9&gt;=20/24</formula>
    </cfRule>
    <cfRule type="expression" dxfId="1184" priority="398">
      <formula>AND(R$9&gt;=14/24,R$9&lt;20/24)</formula>
    </cfRule>
    <cfRule type="expression" dxfId="1183" priority="399">
      <formula>AND(R$9&gt;=8/24,R$9&lt;14/24)</formula>
    </cfRule>
    <cfRule type="expression" dxfId="1182" priority="400">
      <formula>R$9&lt;8/24</formula>
    </cfRule>
  </conditionalFormatting>
  <conditionalFormatting sqref="R55:AD55">
    <cfRule type="expression" dxfId="1181" priority="393">
      <formula>R$9&gt;=20/24</formula>
    </cfRule>
    <cfRule type="expression" dxfId="1180" priority="394">
      <formula>AND(R$9&gt;=14/24,R$9&lt;20/24)</formula>
    </cfRule>
    <cfRule type="expression" dxfId="1179" priority="395">
      <formula>AND(R$9&gt;=8/24,R$9&lt;14/24)</formula>
    </cfRule>
    <cfRule type="expression" dxfId="1178" priority="396">
      <formula>R$9&lt;8/24</formula>
    </cfRule>
  </conditionalFormatting>
  <conditionalFormatting sqref="R79:Z79">
    <cfRule type="expression" dxfId="1177" priority="389">
      <formula>R$9&gt;=20/24</formula>
    </cfRule>
    <cfRule type="expression" dxfId="1176" priority="390">
      <formula>AND(R$9&gt;=14/24,R$9&lt;20/24)</formula>
    </cfRule>
    <cfRule type="expression" dxfId="1175" priority="391">
      <formula>AND(R$9&gt;=8/24,R$9&lt;14/24)</formula>
    </cfRule>
    <cfRule type="expression" dxfId="1174" priority="392">
      <formula>R$9&lt;8/24</formula>
    </cfRule>
  </conditionalFormatting>
  <conditionalFormatting sqref="T82:Z82">
    <cfRule type="expression" dxfId="1173" priority="385">
      <formula>T$9&gt;=20/24</formula>
    </cfRule>
    <cfRule type="expression" dxfId="1172" priority="386">
      <formula>AND(T$9&gt;=14/24,T$9&lt;20/24)</formula>
    </cfRule>
    <cfRule type="expression" dxfId="1171" priority="387">
      <formula>AND(T$9&gt;=8/24,T$9&lt;14/24)</formula>
    </cfRule>
    <cfRule type="expression" dxfId="1170" priority="388">
      <formula>T$9&lt;8/24</formula>
    </cfRule>
  </conditionalFormatting>
  <conditionalFormatting sqref="Q47:S47">
    <cfRule type="expression" dxfId="1169" priority="377">
      <formula>Q$9&gt;=20/24</formula>
    </cfRule>
    <cfRule type="expression" dxfId="1168" priority="378">
      <formula>AND(Q$9&gt;=14/24,Q$9&lt;20/24)</formula>
    </cfRule>
    <cfRule type="expression" dxfId="1167" priority="379">
      <formula>AND(Q$9&gt;=8/24,Q$9&lt;14/24)</formula>
    </cfRule>
    <cfRule type="expression" dxfId="1166" priority="380">
      <formula>Q$9&lt;8/24</formula>
    </cfRule>
  </conditionalFormatting>
  <conditionalFormatting sqref="Q48">
    <cfRule type="expression" dxfId="1165" priority="373">
      <formula>Q$9&gt;=20/24</formula>
    </cfRule>
    <cfRule type="expression" dxfId="1164" priority="374">
      <formula>AND(Q$9&gt;=14/24,Q$9&lt;20/24)</formula>
    </cfRule>
    <cfRule type="expression" dxfId="1163" priority="375">
      <formula>AND(Q$9&gt;=8/24,Q$9&lt;14/24)</formula>
    </cfRule>
    <cfRule type="expression" dxfId="1162" priority="376">
      <formula>Q$9&lt;8/24</formula>
    </cfRule>
  </conditionalFormatting>
  <conditionalFormatting sqref="Q43:Q46">
    <cfRule type="expression" dxfId="1161" priority="369">
      <formula>Q$9&gt;=20/24</formula>
    </cfRule>
    <cfRule type="expression" dxfId="1160" priority="370">
      <formula>AND(Q$9&gt;=14/24,Q$9&lt;20/24)</formula>
    </cfRule>
    <cfRule type="expression" dxfId="1159" priority="371">
      <formula>AND(Q$9&gt;=8/24,Q$9&lt;14/24)</formula>
    </cfRule>
    <cfRule type="expression" dxfId="1158" priority="372">
      <formula>Q$9&lt;8/24</formula>
    </cfRule>
  </conditionalFormatting>
  <conditionalFormatting sqref="S35:AD35">
    <cfRule type="expression" dxfId="1157" priority="365">
      <formula>S$9&gt;=20/24</formula>
    </cfRule>
    <cfRule type="expression" dxfId="1156" priority="366">
      <formula>AND(S$9&gt;=14/24,S$9&lt;20/24)</formula>
    </cfRule>
    <cfRule type="expression" dxfId="1155" priority="367">
      <formula>AND(S$9&gt;=8/24,S$9&lt;14/24)</formula>
    </cfRule>
    <cfRule type="expression" dxfId="1154" priority="368">
      <formula>S$9&lt;8/24</formula>
    </cfRule>
  </conditionalFormatting>
  <conditionalFormatting sqref="T30:Z31 T33:AA33">
    <cfRule type="expression" dxfId="1153" priority="361">
      <formula>T$9&gt;=20/24</formula>
    </cfRule>
    <cfRule type="expression" dxfId="1152" priority="362">
      <formula>AND(T$9&gt;=14/24,T$9&lt;20/24)</formula>
    </cfRule>
    <cfRule type="expression" dxfId="1151" priority="363">
      <formula>AND(T$9&gt;=8/24,T$9&lt;14/24)</formula>
    </cfRule>
    <cfRule type="expression" dxfId="1150" priority="364">
      <formula>T$9&lt;8/24</formula>
    </cfRule>
  </conditionalFormatting>
  <conditionalFormatting sqref="R40:S41 T41:Z41 R43:AA46">
    <cfRule type="expression" dxfId="1149" priority="357">
      <formula>R$9&gt;=20/24</formula>
    </cfRule>
    <cfRule type="expression" dxfId="1148" priority="358">
      <formula>AND(R$9&gt;=14/24,R$9&lt;20/24)</formula>
    </cfRule>
    <cfRule type="expression" dxfId="1147" priority="359">
      <formula>AND(R$9&gt;=8/24,R$9&lt;14/24)</formula>
    </cfRule>
    <cfRule type="expression" dxfId="1146" priority="360">
      <formula>R$9&lt;8/24</formula>
    </cfRule>
  </conditionalFormatting>
  <conditionalFormatting sqref="R47:AA47">
    <cfRule type="expression" dxfId="1145" priority="353">
      <formula>R$9&gt;=20/24</formula>
    </cfRule>
    <cfRule type="expression" dxfId="1144" priority="354">
      <formula>AND(R$9&gt;=14/24,R$9&lt;20/24)</formula>
    </cfRule>
    <cfRule type="expression" dxfId="1143" priority="355">
      <formula>AND(R$9&gt;=8/24,R$9&lt;14/24)</formula>
    </cfRule>
    <cfRule type="expression" dxfId="1142" priority="356">
      <formula>R$9&lt;8/24</formula>
    </cfRule>
  </conditionalFormatting>
  <conditionalFormatting sqref="R48:AA48">
    <cfRule type="expression" dxfId="1141" priority="349">
      <formula>R$9&gt;=20/24</formula>
    </cfRule>
    <cfRule type="expression" dxfId="1140" priority="350">
      <formula>AND(R$9&gt;=14/24,R$9&lt;20/24)</formula>
    </cfRule>
    <cfRule type="expression" dxfId="1139" priority="351">
      <formula>AND(R$9&gt;=8/24,R$9&lt;14/24)</formula>
    </cfRule>
    <cfRule type="expression" dxfId="1138" priority="352">
      <formula>R$9&lt;8/24</formula>
    </cfRule>
  </conditionalFormatting>
  <conditionalFormatting sqref="R58:S65 W58:AD65 AE59:AF65">
    <cfRule type="expression" dxfId="1137" priority="345">
      <formula>R$9&gt;=20/24</formula>
    </cfRule>
    <cfRule type="expression" dxfId="1136" priority="346">
      <formula>AND(R$9&gt;=14/24,R$9&lt;20/24)</formula>
    </cfRule>
    <cfRule type="expression" dxfId="1135" priority="347">
      <formula>AND(R$9&gt;=8/24,R$9&lt;14/24)</formula>
    </cfRule>
    <cfRule type="expression" dxfId="1134" priority="348">
      <formula>R$9&lt;8/24</formula>
    </cfRule>
  </conditionalFormatting>
  <conditionalFormatting sqref="AA92:AF95">
    <cfRule type="expression" dxfId="1133" priority="341">
      <formula>AA$9&gt;=20/24</formula>
    </cfRule>
    <cfRule type="expression" dxfId="1132" priority="342">
      <formula>AND(AA$9&gt;=14/24,AA$9&lt;20/24)</formula>
    </cfRule>
    <cfRule type="expression" dxfId="1131" priority="343">
      <formula>AND(AA$9&gt;=8/24,AA$9&lt;14/24)</formula>
    </cfRule>
    <cfRule type="expression" dxfId="1130" priority="344">
      <formula>AA$9&lt;8/24</formula>
    </cfRule>
  </conditionalFormatting>
  <conditionalFormatting sqref="C60:P60">
    <cfRule type="expression" dxfId="1129" priority="337">
      <formula>C$9&gt;=20/24</formula>
    </cfRule>
    <cfRule type="expression" dxfId="1128" priority="338">
      <formula>AND(C$9&gt;=14/24,C$9&lt;20/24)</formula>
    </cfRule>
    <cfRule type="expression" dxfId="1127" priority="339">
      <formula>AND(C$9&gt;=8/24,C$9&lt;14/24)</formula>
    </cfRule>
    <cfRule type="expression" dxfId="1126" priority="340">
      <formula>C$9&lt;8/24</formula>
    </cfRule>
  </conditionalFormatting>
  <conditionalFormatting sqref="T92:Z95">
    <cfRule type="expression" dxfId="1125" priority="333">
      <formula>T$9&gt;=20/24</formula>
    </cfRule>
    <cfRule type="expression" dxfId="1124" priority="334">
      <formula>AND(T$9&gt;=14/24,T$9&lt;20/24)</formula>
    </cfRule>
    <cfRule type="expression" dxfId="1123" priority="335">
      <formula>AND(T$9&gt;=8/24,T$9&lt;14/24)</formula>
    </cfRule>
    <cfRule type="expression" dxfId="1122" priority="336">
      <formula>T$9&lt;8/24</formula>
    </cfRule>
  </conditionalFormatting>
  <conditionalFormatting sqref="AG49 AA15:AA31 AA12:AA13 S35:AF35 C36:AF36 Q15:S18 C43:K48 C37:K41 Q13:S13 R12:S12 D12:K12 D11:AA11 T17:X20 T22:X31 L21:X21 Y17:Z31 T34:AF34 Q43:AA48 Q37:AA41 T33:AA33 AD37:AF41 AD11:AF13 AD15:AF20 C49:AF54">
    <cfRule type="expression" dxfId="1121" priority="332">
      <formula>C11&gt;$AG11</formula>
    </cfRule>
  </conditionalFormatting>
  <conditionalFormatting sqref="A98:A154 A82:A95 A11:A13 A15:A31 A43:A70 A78:A80 A72:A76 A33:A41 A167:A198">
    <cfRule type="expression" dxfId="1120" priority="331">
      <formula>$AH11=0</formula>
    </cfRule>
  </conditionalFormatting>
  <conditionalFormatting sqref="AA96:AF96">
    <cfRule type="expression" dxfId="1119" priority="327">
      <formula>AA$9&gt;=20/24</formula>
    </cfRule>
    <cfRule type="expression" dxfId="1118" priority="328">
      <formula>AND(AA$9&gt;=14/24,AA$9&lt;20/24)</formula>
    </cfRule>
    <cfRule type="expression" dxfId="1117" priority="329">
      <formula>AND(AA$9&gt;=8/24,AA$9&lt;14/24)</formula>
    </cfRule>
    <cfRule type="expression" dxfId="1116" priority="330">
      <formula>AA$9&lt;8/24</formula>
    </cfRule>
  </conditionalFormatting>
  <conditionalFormatting sqref="T96:Z96">
    <cfRule type="expression" dxfId="1115" priority="323">
      <formula>T$9&gt;=20/24</formula>
    </cfRule>
    <cfRule type="expression" dxfId="1114" priority="324">
      <formula>AND(T$9&gt;=14/24,T$9&lt;20/24)</formula>
    </cfRule>
    <cfRule type="expression" dxfId="1113" priority="325">
      <formula>AND(T$9&gt;=8/24,T$9&lt;14/24)</formula>
    </cfRule>
    <cfRule type="expression" dxfId="1112" priority="326">
      <formula>T$9&lt;8/24</formula>
    </cfRule>
  </conditionalFormatting>
  <conditionalFormatting sqref="A96">
    <cfRule type="expression" dxfId="1111" priority="322">
      <formula>$AH96=0</formula>
    </cfRule>
  </conditionalFormatting>
  <conditionalFormatting sqref="T34:AF34">
    <cfRule type="expression" dxfId="1110" priority="318">
      <formula>T$9&gt;=20/24</formula>
    </cfRule>
    <cfRule type="expression" dxfId="1109" priority="319">
      <formula>AND(T$9&gt;=14/24,T$9&lt;20/24)</formula>
    </cfRule>
    <cfRule type="expression" dxfId="1108" priority="320">
      <formula>AND(T$9&gt;=8/24,T$9&lt;14/24)</formula>
    </cfRule>
    <cfRule type="expression" dxfId="1107" priority="321">
      <formula>T$9&lt;8/24</formula>
    </cfRule>
  </conditionalFormatting>
  <conditionalFormatting sqref="T34:AF34">
    <cfRule type="expression" dxfId="1106" priority="314">
      <formula>T$9&gt;=20/24</formula>
    </cfRule>
    <cfRule type="expression" dxfId="1105" priority="315">
      <formula>AND(T$9&gt;=14/24,T$9&lt;20/24)</formula>
    </cfRule>
    <cfRule type="expression" dxfId="1104" priority="316">
      <formula>AND(T$9&gt;=8/24,T$9&lt;14/24)</formula>
    </cfRule>
    <cfRule type="expression" dxfId="1103" priority="317">
      <formula>T$9&lt;8/24</formula>
    </cfRule>
  </conditionalFormatting>
  <conditionalFormatting sqref="AL31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AA32">
    <cfRule type="expression" dxfId="1102" priority="297">
      <formula>AA$9&gt;=20/24</formula>
    </cfRule>
    <cfRule type="expression" dxfId="1101" priority="298">
      <formula>AND(AA$9&gt;=14/24,AA$9&lt;20/24)</formula>
    </cfRule>
    <cfRule type="expression" dxfId="1100" priority="299">
      <formula>AND(AA$9&gt;=8/24,AA$9&lt;14/24)</formula>
    </cfRule>
    <cfRule type="expression" dxfId="1099" priority="300">
      <formula>AA$9&lt;8/24</formula>
    </cfRule>
  </conditionalFormatting>
  <conditionalFormatting sqref="T32:Z32">
    <cfRule type="expression" dxfId="1098" priority="289">
      <formula>T$9&gt;=20/24</formula>
    </cfRule>
    <cfRule type="expression" dxfId="1097" priority="290">
      <formula>AND(T$9&gt;=14/24,T$9&lt;20/24)</formula>
    </cfRule>
    <cfRule type="expression" dxfId="1096" priority="291">
      <formula>AND(T$9&gt;=8/24,T$9&lt;14/24)</formula>
    </cfRule>
    <cfRule type="expression" dxfId="1095" priority="292">
      <formula>T$9&lt;8/24</formula>
    </cfRule>
  </conditionalFormatting>
  <conditionalFormatting sqref="T32:AA32">
    <cfRule type="expression" dxfId="1094" priority="288">
      <formula>T32&gt;$AG32</formula>
    </cfRule>
  </conditionalFormatting>
  <conditionalFormatting sqref="A32">
    <cfRule type="expression" dxfId="1093" priority="287">
      <formula>$AH32=0</formula>
    </cfRule>
  </conditionalFormatting>
  <conditionalFormatting sqref="C81:AF81">
    <cfRule type="expression" dxfId="1092" priority="283">
      <formula>C$9&gt;=20/24</formula>
    </cfRule>
    <cfRule type="expression" dxfId="1091" priority="284">
      <formula>AND(C$9&gt;=14/24,C$9&lt;20/24)</formula>
    </cfRule>
    <cfRule type="expression" dxfId="1090" priority="285">
      <formula>AND(C$9&gt;=8/24,C$9&lt;14/24)</formula>
    </cfRule>
    <cfRule type="expression" dxfId="1089" priority="286">
      <formula>C$9&lt;8/24</formula>
    </cfRule>
  </conditionalFormatting>
  <conditionalFormatting sqref="A81">
    <cfRule type="expression" dxfId="1088" priority="282">
      <formula>$AH81=0</formula>
    </cfRule>
  </conditionalFormatting>
  <conditionalFormatting sqref="AA14 AD14:AE14">
    <cfRule type="expression" dxfId="1087" priority="278">
      <formula>AA$9&gt;=20/24</formula>
    </cfRule>
    <cfRule type="expression" dxfId="1086" priority="279">
      <formula>AND(AA$9&gt;=14/24,AA$9&lt;20/24)</formula>
    </cfRule>
    <cfRule type="expression" dxfId="1085" priority="280">
      <formula>AND(AA$9&gt;=8/24,AA$9&lt;14/24)</formula>
    </cfRule>
    <cfRule type="expression" dxfId="1084" priority="281">
      <formula>AA$9&lt;8/24</formula>
    </cfRule>
  </conditionalFormatting>
  <conditionalFormatting sqref="Q14:S14">
    <cfRule type="expression" dxfId="1083" priority="274">
      <formula>Q$9&gt;=20/24</formula>
    </cfRule>
    <cfRule type="expression" dxfId="1082" priority="275">
      <formula>AND(Q$9&gt;=14/24,Q$9&lt;20/24)</formula>
    </cfRule>
    <cfRule type="expression" dxfId="1081" priority="276">
      <formula>AND(Q$9&gt;=8/24,Q$9&lt;14/24)</formula>
    </cfRule>
    <cfRule type="expression" dxfId="1080" priority="277">
      <formula>Q$9&lt;8/24</formula>
    </cfRule>
  </conditionalFormatting>
  <conditionalFormatting sqref="AA14 Q14:S14 AD14:AF14">
    <cfRule type="expression" dxfId="1079" priority="273">
      <formula>Q14&gt;$AG14</formula>
    </cfRule>
  </conditionalFormatting>
  <conditionalFormatting sqref="A14">
    <cfRule type="expression" dxfId="1078" priority="272">
      <formula>$AH14=0</formula>
    </cfRule>
  </conditionalFormatting>
  <conditionalFormatting sqref="A161:A166">
    <cfRule type="expression" dxfId="1077" priority="271">
      <formula>$AH161=0</formula>
    </cfRule>
  </conditionalFormatting>
  <conditionalFormatting sqref="A155:A160">
    <cfRule type="expression" dxfId="1076" priority="270">
      <formula>$AH155=0</formula>
    </cfRule>
  </conditionalFormatting>
  <conditionalFormatting sqref="AA42 AD42:AE42">
    <cfRule type="expression" dxfId="1075" priority="266">
      <formula>AA$9&gt;=20/24</formula>
    </cfRule>
    <cfRule type="expression" dxfId="1074" priority="267">
      <formula>AND(AA$9&gt;=14/24,AA$9&lt;20/24)</formula>
    </cfRule>
    <cfRule type="expression" dxfId="1073" priority="268">
      <formula>AND(AA$9&gt;=8/24,AA$9&lt;14/24)</formula>
    </cfRule>
    <cfRule type="expression" dxfId="1072" priority="269">
      <formula>AA$9&lt;8/24</formula>
    </cfRule>
  </conditionalFormatting>
  <conditionalFormatting sqref="Q42">
    <cfRule type="expression" dxfId="1071" priority="262">
      <formula>Q$9&gt;=20/24</formula>
    </cfRule>
    <cfRule type="expression" dxfId="1070" priority="263">
      <formula>AND(Q$9&gt;=14/24,Q$9&lt;20/24)</formula>
    </cfRule>
    <cfRule type="expression" dxfId="1069" priority="264">
      <formula>AND(Q$9&gt;=8/24,Q$9&lt;14/24)</formula>
    </cfRule>
    <cfRule type="expression" dxfId="1068" priority="265">
      <formula>Q$9&lt;8/24</formula>
    </cfRule>
  </conditionalFormatting>
  <conditionalFormatting sqref="R42:Z42">
    <cfRule type="expression" dxfId="1067" priority="258">
      <formula>R$9&gt;=20/24</formula>
    </cfRule>
    <cfRule type="expression" dxfId="1066" priority="259">
      <formula>AND(R$9&gt;=14/24,R$9&lt;20/24)</formula>
    </cfRule>
    <cfRule type="expression" dxfId="1065" priority="260">
      <formula>AND(R$9&gt;=8/24,R$9&lt;14/24)</formula>
    </cfRule>
    <cfRule type="expression" dxfId="1064" priority="261">
      <formula>R$9&lt;8/24</formula>
    </cfRule>
  </conditionalFormatting>
  <conditionalFormatting sqref="C42:K42 Q42:AA42 AD42:AF42">
    <cfRule type="expression" dxfId="1063" priority="257">
      <formula>C42&gt;$AG42</formula>
    </cfRule>
  </conditionalFormatting>
  <conditionalFormatting sqref="A42">
    <cfRule type="expression" dxfId="1062" priority="256">
      <formula>$AH42=0</formula>
    </cfRule>
  </conditionalFormatting>
  <conditionalFormatting sqref="C77:AF77">
    <cfRule type="expression" dxfId="1061" priority="252">
      <formula>C$9&gt;=20/24</formula>
    </cfRule>
    <cfRule type="expression" dxfId="1060" priority="253">
      <formula>AND(C$9&gt;=14/24,C$9&lt;20/24)</formula>
    </cfRule>
    <cfRule type="expression" dxfId="1059" priority="254">
      <formula>AND(C$9&gt;=8/24,C$9&lt;14/24)</formula>
    </cfRule>
    <cfRule type="expression" dxfId="1058" priority="255">
      <formula>C$9&lt;8/24</formula>
    </cfRule>
  </conditionalFormatting>
  <conditionalFormatting sqref="A77">
    <cfRule type="expression" dxfId="1057" priority="251">
      <formula>$AH77=0</formula>
    </cfRule>
  </conditionalFormatting>
  <conditionalFormatting sqref="C71:AG71">
    <cfRule type="expression" dxfId="1056" priority="247">
      <formula>C$9&gt;=20/24</formula>
    </cfRule>
    <cfRule type="expression" dxfId="1055" priority="248">
      <formula>AND(C$9&gt;=14/24,C$9&lt;20/24)</formula>
    </cfRule>
    <cfRule type="expression" dxfId="1054" priority="249">
      <formula>AND(C$9&gt;=8/24,C$9&lt;14/24)</formula>
    </cfRule>
    <cfRule type="expression" dxfId="1053" priority="250">
      <formula>C$9&lt;8/24</formula>
    </cfRule>
  </conditionalFormatting>
  <conditionalFormatting sqref="A71">
    <cfRule type="expression" dxfId="1052" priority="246">
      <formula>$AH71=0</formula>
    </cfRule>
  </conditionalFormatting>
  <conditionalFormatting sqref="AL32:AL33 AL7:AL30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1051" priority="242">
      <formula>T$9&gt;=20/24</formula>
    </cfRule>
    <cfRule type="expression" dxfId="1050" priority="243">
      <formula>AND(T$9&gt;=14/24,T$9&lt;20/24)</formula>
    </cfRule>
    <cfRule type="expression" dxfId="1049" priority="244">
      <formula>AND(T$9&gt;=8/24,T$9&lt;14/24)</formula>
    </cfRule>
    <cfRule type="expression" dxfId="1048" priority="245">
      <formula>T$9&lt;8/24</formula>
    </cfRule>
  </conditionalFormatting>
  <conditionalFormatting sqref="T83:V89">
    <cfRule type="expression" dxfId="1047" priority="238">
      <formula>T$9&gt;=20/24</formula>
    </cfRule>
    <cfRule type="expression" dxfId="1046" priority="239">
      <formula>AND(T$9&gt;=14/24,T$9&lt;20/24)</formula>
    </cfRule>
    <cfRule type="expression" dxfId="1045" priority="240">
      <formula>AND(T$9&gt;=8/24,T$9&lt;14/24)</formula>
    </cfRule>
    <cfRule type="expression" dxfId="1044" priority="241">
      <formula>T$9&lt;8/24</formula>
    </cfRule>
  </conditionalFormatting>
  <conditionalFormatting sqref="C82:Q89 R83:S89">
    <cfRule type="expression" dxfId="1043" priority="234">
      <formula>C$9&gt;=20/24</formula>
    </cfRule>
    <cfRule type="expression" dxfId="1042" priority="235">
      <formula>AND(C$9&gt;=14/24,C$9&lt;20/24)</formula>
    </cfRule>
    <cfRule type="expression" dxfId="1041" priority="236">
      <formula>AND(C$9&gt;=8/24,C$9&lt;14/24)</formula>
    </cfRule>
    <cfRule type="expression" dxfId="1040" priority="237">
      <formula>C$9&lt;8/24</formula>
    </cfRule>
  </conditionalFormatting>
  <conditionalFormatting sqref="R82:S82">
    <cfRule type="expression" dxfId="1039" priority="230">
      <formula>R$9&gt;=20/24</formula>
    </cfRule>
    <cfRule type="expression" dxfId="1038" priority="231">
      <formula>AND(R$9&gt;=14/24,R$9&lt;20/24)</formula>
    </cfRule>
    <cfRule type="expression" dxfId="1037" priority="232">
      <formula>AND(R$9&gt;=8/24,R$9&lt;14/24)</formula>
    </cfRule>
    <cfRule type="expression" dxfId="1036" priority="233">
      <formula>R$9&lt;8/24</formula>
    </cfRule>
  </conditionalFormatting>
  <conditionalFormatting sqref="C92:F95 G93:L95">
    <cfRule type="expression" dxfId="1035" priority="226">
      <formula>C$9&gt;=20/24</formula>
    </cfRule>
    <cfRule type="expression" dxfId="1034" priority="227">
      <formula>AND(C$9&gt;=14/24,C$9&lt;20/24)</formula>
    </cfRule>
    <cfRule type="expression" dxfId="1033" priority="228">
      <formula>AND(C$9&gt;=8/24,C$9&lt;14/24)</formula>
    </cfRule>
    <cfRule type="expression" dxfId="1032" priority="229">
      <formula>C$9&lt;8/24</formula>
    </cfRule>
  </conditionalFormatting>
  <conditionalFormatting sqref="M93:Q95">
    <cfRule type="expression" dxfId="1031" priority="222">
      <formula>M$9&gt;=20/24</formula>
    </cfRule>
    <cfRule type="expression" dxfId="1030" priority="223">
      <formula>AND(M$9&gt;=14/24,M$9&lt;20/24)</formula>
    </cfRule>
    <cfRule type="expression" dxfId="1029" priority="224">
      <formula>AND(M$9&gt;=8/24,M$9&lt;14/24)</formula>
    </cfRule>
    <cfRule type="expression" dxfId="1028" priority="225">
      <formula>M$9&lt;8/24</formula>
    </cfRule>
  </conditionalFormatting>
  <conditionalFormatting sqref="R92:S95">
    <cfRule type="expression" dxfId="1027" priority="218">
      <formula>R$9&gt;=20/24</formula>
    </cfRule>
    <cfRule type="expression" dxfId="1026" priority="219">
      <formula>AND(R$9&gt;=14/24,R$9&lt;20/24)</formula>
    </cfRule>
    <cfRule type="expression" dxfId="1025" priority="220">
      <formula>AND(R$9&gt;=8/24,R$9&lt;14/24)</formula>
    </cfRule>
    <cfRule type="expression" dxfId="1024" priority="221">
      <formula>R$9&lt;8/24</formula>
    </cfRule>
  </conditionalFormatting>
  <conditionalFormatting sqref="C96:L96">
    <cfRule type="expression" dxfId="1023" priority="214">
      <formula>C$9&gt;=20/24</formula>
    </cfRule>
    <cfRule type="expression" dxfId="1022" priority="215">
      <formula>AND(C$9&gt;=14/24,C$9&lt;20/24)</formula>
    </cfRule>
    <cfRule type="expression" dxfId="1021" priority="216">
      <formula>AND(C$9&gt;=8/24,C$9&lt;14/24)</formula>
    </cfRule>
    <cfRule type="expression" dxfId="1020" priority="217">
      <formula>C$9&lt;8/24</formula>
    </cfRule>
  </conditionalFormatting>
  <conditionalFormatting sqref="M96:Q96">
    <cfRule type="expression" dxfId="1019" priority="210">
      <formula>M$9&gt;=20/24</formula>
    </cfRule>
    <cfRule type="expression" dxfId="1018" priority="211">
      <formula>AND(M$9&gt;=14/24,M$9&lt;20/24)</formula>
    </cfRule>
    <cfRule type="expression" dxfId="1017" priority="212">
      <formula>AND(M$9&gt;=8/24,M$9&lt;14/24)</formula>
    </cfRule>
    <cfRule type="expression" dxfId="1016" priority="213">
      <formula>M$9&lt;8/24</formula>
    </cfRule>
  </conditionalFormatting>
  <conditionalFormatting sqref="R96:S96">
    <cfRule type="expression" dxfId="1015" priority="206">
      <formula>R$9&gt;=20/24</formula>
    </cfRule>
    <cfRule type="expression" dxfId="1014" priority="207">
      <formula>AND(R$9&gt;=14/24,R$9&lt;20/24)</formula>
    </cfRule>
    <cfRule type="expression" dxfId="1013" priority="208">
      <formula>AND(R$9&gt;=8/24,R$9&lt;14/24)</formula>
    </cfRule>
    <cfRule type="expression" dxfId="1012" priority="209">
      <formula>R$9&lt;8/24</formula>
    </cfRule>
  </conditionalFormatting>
  <conditionalFormatting sqref="L92:Q92">
    <cfRule type="expression" dxfId="1011" priority="202">
      <formula>L$9&gt;=20/24</formula>
    </cfRule>
    <cfRule type="expression" dxfId="1010" priority="203">
      <formula>AND(L$9&gt;=14/24,L$9&lt;20/24)</formula>
    </cfRule>
    <cfRule type="expression" dxfId="1009" priority="204">
      <formula>AND(L$9&gt;=8/24,L$9&lt;14/24)</formula>
    </cfRule>
    <cfRule type="expression" dxfId="1008" priority="205">
      <formula>L$9&lt;8/24</formula>
    </cfRule>
  </conditionalFormatting>
  <conditionalFormatting sqref="G92:K92">
    <cfRule type="expression" dxfId="1007" priority="198">
      <formula>G$9&gt;=20/24</formula>
    </cfRule>
    <cfRule type="expression" dxfId="1006" priority="199">
      <formula>AND(G$9&gt;=14/24,G$9&lt;20/24)</formula>
    </cfRule>
    <cfRule type="expression" dxfId="1005" priority="200">
      <formula>AND(G$9&gt;=8/24,G$9&lt;14/24)</formula>
    </cfRule>
    <cfRule type="expression" dxfId="1004" priority="201">
      <formula>G$9&lt;8/24</formula>
    </cfRule>
  </conditionalFormatting>
  <conditionalFormatting sqref="T92:V92">
    <cfRule type="expression" dxfId="1003" priority="194">
      <formula>T$9&gt;=20/24</formula>
    </cfRule>
    <cfRule type="expression" dxfId="1002" priority="195">
      <formula>AND(T$9&gt;=14/24,T$9&lt;20/24)</formula>
    </cfRule>
    <cfRule type="expression" dxfId="1001" priority="196">
      <formula>AND(T$9&gt;=8/24,T$9&lt;14/24)</formula>
    </cfRule>
    <cfRule type="expression" dxfId="1000" priority="197">
      <formula>T$9&lt;8/24</formula>
    </cfRule>
  </conditionalFormatting>
  <conditionalFormatting sqref="M92:S92">
    <cfRule type="expression" dxfId="999" priority="190">
      <formula>M$9&gt;=20/24</formula>
    </cfRule>
    <cfRule type="expression" dxfId="998" priority="191">
      <formula>AND(M$9&gt;=14/24,M$9&lt;20/24)</formula>
    </cfRule>
    <cfRule type="expression" dxfId="997" priority="192">
      <formula>AND(M$9&gt;=8/24,M$9&lt;14/24)</formula>
    </cfRule>
    <cfRule type="expression" dxfId="996" priority="193">
      <formula>M$9&lt;8/24</formula>
    </cfRule>
  </conditionalFormatting>
  <conditionalFormatting sqref="AA97:AF97">
    <cfRule type="expression" dxfId="995" priority="186">
      <formula>AA$9&gt;=20/24</formula>
    </cfRule>
    <cfRule type="expression" dxfId="994" priority="187">
      <formula>AND(AA$9&gt;=14/24,AA$9&lt;20/24)</formula>
    </cfRule>
    <cfRule type="expression" dxfId="993" priority="188">
      <formula>AND(AA$9&gt;=8/24,AA$9&lt;14/24)</formula>
    </cfRule>
    <cfRule type="expression" dxfId="992" priority="189">
      <formula>AA$9&lt;8/24</formula>
    </cfRule>
  </conditionalFormatting>
  <conditionalFormatting sqref="T97:Z97">
    <cfRule type="expression" dxfId="991" priority="182">
      <formula>T$9&gt;=20/24</formula>
    </cfRule>
    <cfRule type="expression" dxfId="990" priority="183">
      <formula>AND(T$9&gt;=14/24,T$9&lt;20/24)</formula>
    </cfRule>
    <cfRule type="expression" dxfId="989" priority="184">
      <formula>AND(T$9&gt;=8/24,T$9&lt;14/24)</formula>
    </cfRule>
    <cfRule type="expression" dxfId="988" priority="185">
      <formula>T$9&lt;8/24</formula>
    </cfRule>
  </conditionalFormatting>
  <conditionalFormatting sqref="A97">
    <cfRule type="expression" dxfId="987" priority="181">
      <formula>$AH97=0</formula>
    </cfRule>
  </conditionalFormatting>
  <conditionalFormatting sqref="C97:L97">
    <cfRule type="expression" dxfId="986" priority="177">
      <formula>C$9&gt;=20/24</formula>
    </cfRule>
    <cfRule type="expression" dxfId="985" priority="178">
      <formula>AND(C$9&gt;=14/24,C$9&lt;20/24)</formula>
    </cfRule>
    <cfRule type="expression" dxfId="984" priority="179">
      <formula>AND(C$9&gt;=8/24,C$9&lt;14/24)</formula>
    </cfRule>
    <cfRule type="expression" dxfId="983" priority="180">
      <formula>C$9&lt;8/24</formula>
    </cfRule>
  </conditionalFormatting>
  <conditionalFormatting sqref="M97:Q97">
    <cfRule type="expression" dxfId="982" priority="173">
      <formula>M$9&gt;=20/24</formula>
    </cfRule>
    <cfRule type="expression" dxfId="981" priority="174">
      <formula>AND(M$9&gt;=14/24,M$9&lt;20/24)</formula>
    </cfRule>
    <cfRule type="expression" dxfId="980" priority="175">
      <formula>AND(M$9&gt;=8/24,M$9&lt;14/24)</formula>
    </cfRule>
    <cfRule type="expression" dxfId="979" priority="176">
      <formula>M$9&lt;8/24</formula>
    </cfRule>
  </conditionalFormatting>
  <conditionalFormatting sqref="R97:S97">
    <cfRule type="expression" dxfId="978" priority="169">
      <formula>R$9&gt;=20/24</formula>
    </cfRule>
    <cfRule type="expression" dxfId="977" priority="170">
      <formula>AND(R$9&gt;=14/24,R$9&lt;20/24)</formula>
    </cfRule>
    <cfRule type="expression" dxfId="976" priority="171">
      <formula>AND(R$9&gt;=8/24,R$9&lt;14/24)</formula>
    </cfRule>
    <cfRule type="expression" dxfId="975" priority="172">
      <formula>R$9&lt;8/24</formula>
    </cfRule>
  </conditionalFormatting>
  <conditionalFormatting sqref="T12:Z15">
    <cfRule type="expression" dxfId="974" priority="165">
      <formula>T$9&gt;=20/24</formula>
    </cfRule>
    <cfRule type="expression" dxfId="973" priority="166">
      <formula>AND(T$9&gt;=14/24,T$9&lt;20/24)</formula>
    </cfRule>
    <cfRule type="expression" dxfId="972" priority="167">
      <formula>AND(T$9&gt;=8/24,T$9&lt;14/24)</formula>
    </cfRule>
    <cfRule type="expression" dxfId="971" priority="168">
      <formula>T$9&lt;8/24</formula>
    </cfRule>
  </conditionalFormatting>
  <conditionalFormatting sqref="T16:Z16">
    <cfRule type="expression" dxfId="970" priority="161">
      <formula>T$9&gt;=20/24</formula>
    </cfRule>
    <cfRule type="expression" dxfId="969" priority="162">
      <formula>AND(T$9&gt;=14/24,T$9&lt;20/24)</formula>
    </cfRule>
    <cfRule type="expression" dxfId="968" priority="163">
      <formula>AND(T$9&gt;=8/24,T$9&lt;14/24)</formula>
    </cfRule>
    <cfRule type="expression" dxfId="967" priority="164">
      <formula>T$9&lt;8/24</formula>
    </cfRule>
  </conditionalFormatting>
  <conditionalFormatting sqref="T12:Z12">
    <cfRule type="expression" dxfId="966" priority="157">
      <formula>T$9&gt;=20/24</formula>
    </cfRule>
    <cfRule type="expression" dxfId="965" priority="158">
      <formula>AND(T$9&gt;=14/24,T$9&lt;20/24)</formula>
    </cfRule>
    <cfRule type="expression" dxfId="964" priority="159">
      <formula>AND(T$9&gt;=8/24,T$9&lt;14/24)</formula>
    </cfRule>
    <cfRule type="expression" dxfId="963" priority="160">
      <formula>T$9&lt;8/24</formula>
    </cfRule>
  </conditionalFormatting>
  <conditionalFormatting sqref="AA56:AD57">
    <cfRule type="expression" dxfId="962" priority="153">
      <formula>AA$9&gt;=20/24</formula>
    </cfRule>
    <cfRule type="expression" dxfId="961" priority="154">
      <formula>AND(AA$9&gt;=14/24,AA$9&lt;20/24)</formula>
    </cfRule>
    <cfRule type="expression" dxfId="960" priority="155">
      <formula>AND(AA$9&gt;=8/24,AA$9&lt;14/24)</formula>
    </cfRule>
    <cfRule type="expression" dxfId="959" priority="156">
      <formula>AA$9&lt;8/24</formula>
    </cfRule>
  </conditionalFormatting>
  <conditionalFormatting sqref="B66:B70 B72:B76 B78:B80 B51:B58 B82:B89 B11:C13 B15:P20 D13:P13 Q19:S20 B22:S30 B21:K21">
    <cfRule type="expression" dxfId="958" priority="149">
      <formula>B$9&gt;=20/24</formula>
    </cfRule>
    <cfRule type="expression" dxfId="957" priority="150">
      <formula>AND(B$9&gt;=14/24,B$9&lt;20/24)</formula>
    </cfRule>
    <cfRule type="expression" dxfId="956" priority="151">
      <formula>AND(B$9&gt;=8/24,B$9&lt;14/24)</formula>
    </cfRule>
    <cfRule type="expression" dxfId="955" priority="152">
      <formula>B$9&lt;8/24</formula>
    </cfRule>
  </conditionalFormatting>
  <conditionalFormatting sqref="B31:S31">
    <cfRule type="expression" dxfId="954" priority="145">
      <formula>B$9&gt;=20/24</formula>
    </cfRule>
    <cfRule type="expression" dxfId="953" priority="146">
      <formula>AND(B$9&gt;=14/24,B$9&lt;20/24)</formula>
    </cfRule>
    <cfRule type="expression" dxfId="952" priority="147">
      <formula>AND(B$9&gt;=8/24,B$9&lt;14/24)</formula>
    </cfRule>
    <cfRule type="expression" dxfId="951" priority="148">
      <formula>B$9&lt;8/24</formula>
    </cfRule>
  </conditionalFormatting>
  <conditionalFormatting sqref="B35:R35">
    <cfRule type="expression" dxfId="950" priority="141">
      <formula>B$9&gt;=20/24</formula>
    </cfRule>
    <cfRule type="expression" dxfId="949" priority="142">
      <formula>AND(B$9&gt;=14/24,B$9&lt;20/24)</formula>
    </cfRule>
    <cfRule type="expression" dxfId="948" priority="143">
      <formula>AND(B$9&gt;=8/24,B$9&lt;14/24)</formula>
    </cfRule>
    <cfRule type="expression" dxfId="947" priority="144">
      <formula>B$9&lt;8/24</formula>
    </cfRule>
  </conditionalFormatting>
  <conditionalFormatting sqref="B33:S33">
    <cfRule type="expression" dxfId="946" priority="137">
      <formula>B$9&gt;=20/24</formula>
    </cfRule>
    <cfRule type="expression" dxfId="945" priority="138">
      <formula>AND(B$9&gt;=14/24,B$9&lt;20/24)</formula>
    </cfRule>
    <cfRule type="expression" dxfId="944" priority="139">
      <formula>AND(B$9&gt;=8/24,B$9&lt;14/24)</formula>
    </cfRule>
    <cfRule type="expression" dxfId="943" priority="140">
      <formula>B$9&lt;8/24</formula>
    </cfRule>
  </conditionalFormatting>
  <conditionalFormatting sqref="B59:B65">
    <cfRule type="expression" dxfId="942" priority="133">
      <formula>B$9&gt;=20/24</formula>
    </cfRule>
    <cfRule type="expression" dxfId="941" priority="134">
      <formula>AND(B$9&gt;=14/24,B$9&lt;20/24)</formula>
    </cfRule>
    <cfRule type="expression" dxfId="940" priority="135">
      <formula>AND(B$9&gt;=8/24,B$9&lt;14/24)</formula>
    </cfRule>
    <cfRule type="expression" dxfId="939" priority="136">
      <formula>B$9&lt;8/24</formula>
    </cfRule>
  </conditionalFormatting>
  <conditionalFormatting sqref="B92:B95">
    <cfRule type="expression" dxfId="938" priority="129">
      <formula>B$9&gt;=20/24</formula>
    </cfRule>
    <cfRule type="expression" dxfId="937" priority="130">
      <formula>AND(B$9&gt;=14/24,B$9&lt;20/24)</formula>
    </cfRule>
    <cfRule type="expression" dxfId="936" priority="131">
      <formula>AND(B$9&gt;=8/24,B$9&lt;14/24)</formula>
    </cfRule>
    <cfRule type="expression" dxfId="935" priority="132">
      <formula>B$9&lt;8/24</formula>
    </cfRule>
  </conditionalFormatting>
  <conditionalFormatting sqref="B43:B54 B33:B41 B11:C13 B15:P20 D13:P13 C33:R35 Q19:S20 S33:S34 B22:S31 B21:K21">
    <cfRule type="expression" dxfId="934" priority="128">
      <formula>B11&gt;$AG11</formula>
    </cfRule>
  </conditionalFormatting>
  <conditionalFormatting sqref="B96">
    <cfRule type="expression" dxfId="933" priority="124">
      <formula>B$9&gt;=20/24</formula>
    </cfRule>
    <cfRule type="expression" dxfId="932" priority="125">
      <formula>AND(B$9&gt;=14/24,B$9&lt;20/24)</formula>
    </cfRule>
    <cfRule type="expression" dxfId="931" priority="126">
      <formula>AND(B$9&gt;=8/24,B$9&lt;14/24)</formula>
    </cfRule>
    <cfRule type="expression" dxfId="930" priority="127">
      <formula>B$9&lt;8/24</formula>
    </cfRule>
  </conditionalFormatting>
  <conditionalFormatting sqref="B34:S34">
    <cfRule type="expression" dxfId="929" priority="120">
      <formula>B$9&gt;=20/24</formula>
    </cfRule>
    <cfRule type="expression" dxfId="928" priority="121">
      <formula>AND(B$9&gt;=14/24,B$9&lt;20/24)</formula>
    </cfRule>
    <cfRule type="expression" dxfId="927" priority="122">
      <formula>AND(B$9&gt;=8/24,B$9&lt;14/24)</formula>
    </cfRule>
    <cfRule type="expression" dxfId="926" priority="123">
      <formula>B$9&lt;8/24</formula>
    </cfRule>
  </conditionalFormatting>
  <conditionalFormatting sqref="B34:S34">
    <cfRule type="expression" dxfId="925" priority="116">
      <formula>B$9&gt;=20/24</formula>
    </cfRule>
    <cfRule type="expression" dxfId="924" priority="117">
      <formula>AND(B$9&gt;=14/24,B$9&lt;20/24)</formula>
    </cfRule>
    <cfRule type="expression" dxfId="923" priority="118">
      <formula>AND(B$9&gt;=8/24,B$9&lt;14/24)</formula>
    </cfRule>
    <cfRule type="expression" dxfId="922" priority="119">
      <formula>B$9&lt;8/24</formula>
    </cfRule>
  </conditionalFormatting>
  <conditionalFormatting sqref="B32:S32">
    <cfRule type="expression" dxfId="921" priority="112">
      <formula>B$9&gt;=20/24</formula>
    </cfRule>
    <cfRule type="expression" dxfId="920" priority="113">
      <formula>AND(B$9&gt;=14/24,B$9&lt;20/24)</formula>
    </cfRule>
    <cfRule type="expression" dxfId="919" priority="114">
      <formula>AND(B$9&gt;=8/24,B$9&lt;14/24)</formula>
    </cfRule>
    <cfRule type="expression" dxfId="918" priority="115">
      <formula>B$9&lt;8/24</formula>
    </cfRule>
  </conditionalFormatting>
  <conditionalFormatting sqref="B32:S32">
    <cfRule type="expression" dxfId="917" priority="111">
      <formula>B32&gt;$AG32</formula>
    </cfRule>
  </conditionalFormatting>
  <conditionalFormatting sqref="B81">
    <cfRule type="expression" dxfId="916" priority="107">
      <formula>B$9&gt;=20/24</formula>
    </cfRule>
    <cfRule type="expression" dxfId="915" priority="108">
      <formula>AND(B$9&gt;=14/24,B$9&lt;20/24)</formula>
    </cfRule>
    <cfRule type="expression" dxfId="914" priority="109">
      <formula>AND(B$9&gt;=8/24,B$9&lt;14/24)</formula>
    </cfRule>
    <cfRule type="expression" dxfId="913" priority="110">
      <formula>B$9&lt;8/24</formula>
    </cfRule>
  </conditionalFormatting>
  <conditionalFormatting sqref="B14:P14">
    <cfRule type="expression" dxfId="912" priority="103">
      <formula>B$9&gt;=20/24</formula>
    </cfRule>
    <cfRule type="expression" dxfId="911" priority="104">
      <formula>AND(B$9&gt;=14/24,B$9&lt;20/24)</formula>
    </cfRule>
    <cfRule type="expression" dxfId="910" priority="105">
      <formula>AND(B$9&gt;=8/24,B$9&lt;14/24)</formula>
    </cfRule>
    <cfRule type="expression" dxfId="909" priority="106">
      <formula>B$9&lt;8/24</formula>
    </cfRule>
  </conditionalFormatting>
  <conditionalFormatting sqref="B14:P14">
    <cfRule type="expression" dxfId="908" priority="102">
      <formula>B14&gt;$AG14</formula>
    </cfRule>
  </conditionalFormatting>
  <conditionalFormatting sqref="B42">
    <cfRule type="expression" dxfId="907" priority="101">
      <formula>B42&gt;$AG42</formula>
    </cfRule>
  </conditionalFormatting>
  <conditionalFormatting sqref="B77">
    <cfRule type="expression" dxfId="906" priority="97">
      <formula>B$9&gt;=20/24</formula>
    </cfRule>
    <cfRule type="expression" dxfId="905" priority="98">
      <formula>AND(B$9&gt;=14/24,B$9&lt;20/24)</formula>
    </cfRule>
    <cfRule type="expression" dxfId="904" priority="99">
      <formula>AND(B$9&gt;=8/24,B$9&lt;14/24)</formula>
    </cfRule>
    <cfRule type="expression" dxfId="903" priority="100">
      <formula>B$9&lt;8/24</formula>
    </cfRule>
  </conditionalFormatting>
  <conditionalFormatting sqref="B71">
    <cfRule type="expression" dxfId="902" priority="93">
      <formula>B$9&gt;=20/24</formula>
    </cfRule>
    <cfRule type="expression" dxfId="901" priority="94">
      <formula>AND(B$9&gt;=14/24,B$9&lt;20/24)</formula>
    </cfRule>
    <cfRule type="expression" dxfId="900" priority="95">
      <formula>AND(B$9&gt;=8/24,B$9&lt;14/24)</formula>
    </cfRule>
    <cfRule type="expression" dxfId="899" priority="96">
      <formula>B$9&lt;8/24</formula>
    </cfRule>
  </conditionalFormatting>
  <conditionalFormatting sqref="B97">
    <cfRule type="expression" dxfId="898" priority="89">
      <formula>B$9&gt;=20/24</formula>
    </cfRule>
    <cfRule type="expression" dxfId="897" priority="90">
      <formula>AND(B$9&gt;=14/24,B$9&lt;20/24)</formula>
    </cfRule>
    <cfRule type="expression" dxfId="896" priority="91">
      <formula>AND(B$9&gt;=8/24,B$9&lt;14/24)</formula>
    </cfRule>
    <cfRule type="expression" dxfId="895" priority="92">
      <formula>B$9&lt;8/24</formula>
    </cfRule>
  </conditionalFormatting>
  <conditionalFormatting sqref="L37:P40 L43:P46">
    <cfRule type="expression" dxfId="894" priority="85">
      <formula>L$9&gt;=20/24</formula>
    </cfRule>
    <cfRule type="expression" dxfId="893" priority="86">
      <formula>AND(L$9&gt;=14/24,L$9&lt;20/24)</formula>
    </cfRule>
    <cfRule type="expression" dxfId="892" priority="87">
      <formula>AND(L$9&gt;=8/24,L$9&lt;14/24)</formula>
    </cfRule>
    <cfRule type="expression" dxfId="891" priority="88">
      <formula>L$9&lt;8/24</formula>
    </cfRule>
  </conditionalFormatting>
  <conditionalFormatting sqref="L41:P41">
    <cfRule type="expression" dxfId="890" priority="81">
      <formula>L$9&gt;=20/24</formula>
    </cfRule>
    <cfRule type="expression" dxfId="889" priority="82">
      <formula>AND(L$9&gt;=14/24,L$9&lt;20/24)</formula>
    </cfRule>
    <cfRule type="expression" dxfId="888" priority="83">
      <formula>AND(L$9&gt;=8/24,L$9&lt;14/24)</formula>
    </cfRule>
    <cfRule type="expression" dxfId="887" priority="84">
      <formula>L$9&lt;8/24</formula>
    </cfRule>
  </conditionalFormatting>
  <conditionalFormatting sqref="L47:P47">
    <cfRule type="expression" dxfId="886" priority="77">
      <formula>L$9&gt;=20/24</formula>
    </cfRule>
    <cfRule type="expression" dxfId="885" priority="78">
      <formula>AND(L$9&gt;=14/24,L$9&lt;20/24)</formula>
    </cfRule>
    <cfRule type="expression" dxfId="884" priority="79">
      <formula>AND(L$9&gt;=8/24,L$9&lt;14/24)</formula>
    </cfRule>
    <cfRule type="expression" dxfId="883" priority="80">
      <formula>L$9&lt;8/24</formula>
    </cfRule>
  </conditionalFormatting>
  <conditionalFormatting sqref="L48:P48">
    <cfRule type="expression" dxfId="882" priority="73">
      <formula>L$9&gt;=20/24</formula>
    </cfRule>
    <cfRule type="expression" dxfId="881" priority="74">
      <formula>AND(L$9&gt;=14/24,L$9&lt;20/24)</formula>
    </cfRule>
    <cfRule type="expression" dxfId="880" priority="75">
      <formula>AND(L$9&gt;=8/24,L$9&lt;14/24)</formula>
    </cfRule>
    <cfRule type="expression" dxfId="879" priority="76">
      <formula>L$9&lt;8/24</formula>
    </cfRule>
  </conditionalFormatting>
  <conditionalFormatting sqref="L43:P46">
    <cfRule type="expression" dxfId="878" priority="69">
      <formula>L$9&gt;=20/24</formula>
    </cfRule>
    <cfRule type="expression" dxfId="877" priority="70">
      <formula>AND(L$9&gt;=14/24,L$9&lt;20/24)</formula>
    </cfRule>
    <cfRule type="expression" dxfId="876" priority="71">
      <formula>AND(L$9&gt;=8/24,L$9&lt;14/24)</formula>
    </cfRule>
    <cfRule type="expression" dxfId="875" priority="72">
      <formula>L$9&lt;8/24</formula>
    </cfRule>
  </conditionalFormatting>
  <conditionalFormatting sqref="L43:P48 L37:P41">
    <cfRule type="expression" dxfId="874" priority="68">
      <formula>L37&gt;$AG37</formula>
    </cfRule>
  </conditionalFormatting>
  <conditionalFormatting sqref="L42:P42">
    <cfRule type="expression" dxfId="873" priority="64">
      <formula>L$9&gt;=20/24</formula>
    </cfRule>
    <cfRule type="expression" dxfId="872" priority="65">
      <formula>AND(L$9&gt;=14/24,L$9&lt;20/24)</formula>
    </cfRule>
    <cfRule type="expression" dxfId="871" priority="66">
      <formula>AND(L$9&gt;=8/24,L$9&lt;14/24)</formula>
    </cfRule>
    <cfRule type="expression" dxfId="870" priority="67">
      <formula>L$9&lt;8/24</formula>
    </cfRule>
  </conditionalFormatting>
  <conditionalFormatting sqref="L42:P42">
    <cfRule type="expression" dxfId="869" priority="63">
      <formula>L42&gt;$AG42</formula>
    </cfRule>
  </conditionalFormatting>
  <conditionalFormatting sqref="Q12">
    <cfRule type="expression" dxfId="868" priority="59">
      <formula>Q$9&gt;=20/24</formula>
    </cfRule>
    <cfRule type="expression" dxfId="867" priority="60">
      <formula>AND(Q$9&gt;=14/24,Q$9&lt;20/24)</formula>
    </cfRule>
    <cfRule type="expression" dxfId="866" priority="61">
      <formula>AND(Q$9&gt;=8/24,Q$9&lt;14/24)</formula>
    </cfRule>
    <cfRule type="expression" dxfId="865" priority="62">
      <formula>Q$9&lt;8/24</formula>
    </cfRule>
  </conditionalFormatting>
  <conditionalFormatting sqref="Q12">
    <cfRule type="expression" dxfId="864" priority="58">
      <formula>Q12&gt;$AG12</formula>
    </cfRule>
  </conditionalFormatting>
  <conditionalFormatting sqref="L12:P12">
    <cfRule type="expression" dxfId="863" priority="54">
      <formula>L$9&gt;=20/24</formula>
    </cfRule>
    <cfRule type="expression" dxfId="862" priority="55">
      <formula>AND(L$9&gt;=14/24,L$9&lt;20/24)</formula>
    </cfRule>
    <cfRule type="expression" dxfId="861" priority="56">
      <formula>AND(L$9&gt;=8/24,L$9&lt;14/24)</formula>
    </cfRule>
    <cfRule type="expression" dxfId="860" priority="57">
      <formula>L$9&lt;8/24</formula>
    </cfRule>
  </conditionalFormatting>
  <conditionalFormatting sqref="L12:P12">
    <cfRule type="expression" dxfId="859" priority="53">
      <formula>L12&gt;$AG12</formula>
    </cfRule>
  </conditionalFormatting>
  <conditionalFormatting sqref="AB11:AC11 AB17:AC29 AD21:AF29">
    <cfRule type="expression" dxfId="858" priority="49">
      <formula>AB$9&gt;=20/24</formula>
    </cfRule>
    <cfRule type="expression" dxfId="857" priority="50">
      <formula>AND(AB$9&gt;=14/24,AB$9&lt;20/24)</formula>
    </cfRule>
    <cfRule type="expression" dxfId="856" priority="51">
      <formula>AND(AB$9&gt;=8/24,AB$9&lt;14/24)</formula>
    </cfRule>
    <cfRule type="expression" dxfId="855" priority="52">
      <formula>AB$9&lt;8/24</formula>
    </cfRule>
  </conditionalFormatting>
  <conditionalFormatting sqref="AB30:AF31 AB33:AF33">
    <cfRule type="expression" dxfId="854" priority="45">
      <formula>AB$9&gt;=20/24</formula>
    </cfRule>
    <cfRule type="expression" dxfId="853" priority="46">
      <formula>AND(AB$9&gt;=14/24,AB$9&lt;20/24)</formula>
    </cfRule>
    <cfRule type="expression" dxfId="852" priority="47">
      <formula>AND(AB$9&gt;=8/24,AB$9&lt;14/24)</formula>
    </cfRule>
    <cfRule type="expression" dxfId="851" priority="48">
      <formula>AB$9&lt;8/24</formula>
    </cfRule>
  </conditionalFormatting>
  <conditionalFormatting sqref="AB11:AC11 AB17:AC31 AD21:AF31 AB33:AF33">
    <cfRule type="expression" dxfId="850" priority="44">
      <formula>AB11&gt;$AG11</formula>
    </cfRule>
  </conditionalFormatting>
  <conditionalFormatting sqref="AB32:AF32">
    <cfRule type="expression" dxfId="849" priority="40">
      <formula>AB$9&gt;=20/24</formula>
    </cfRule>
    <cfRule type="expression" dxfId="848" priority="41">
      <formula>AND(AB$9&gt;=14/24,AB$9&lt;20/24)</formula>
    </cfRule>
    <cfRule type="expression" dxfId="847" priority="42">
      <formula>AND(AB$9&gt;=8/24,AB$9&lt;14/24)</formula>
    </cfRule>
    <cfRule type="expression" dxfId="846" priority="43">
      <formula>AB$9&lt;8/24</formula>
    </cfRule>
  </conditionalFormatting>
  <conditionalFormatting sqref="AB32:AF32">
    <cfRule type="expression" dxfId="845" priority="39">
      <formula>AB32&gt;$AG32</formula>
    </cfRule>
  </conditionalFormatting>
  <conditionalFormatting sqref="AB12:AC15">
    <cfRule type="expression" dxfId="844" priority="35">
      <formula>AB$9&gt;=20/24</formula>
    </cfRule>
    <cfRule type="expression" dxfId="843" priority="36">
      <formula>AND(AB$9&gt;=14/24,AB$9&lt;20/24)</formula>
    </cfRule>
    <cfRule type="expression" dxfId="842" priority="37">
      <formula>AND(AB$9&gt;=8/24,AB$9&lt;14/24)</formula>
    </cfRule>
    <cfRule type="expression" dxfId="841" priority="38">
      <formula>AB$9&lt;8/24</formula>
    </cfRule>
  </conditionalFormatting>
  <conditionalFormatting sqref="AB16:AC16">
    <cfRule type="expression" dxfId="840" priority="31">
      <formula>AB$9&gt;=20/24</formula>
    </cfRule>
    <cfRule type="expression" dxfId="839" priority="32">
      <formula>AND(AB$9&gt;=14/24,AB$9&lt;20/24)</formula>
    </cfRule>
    <cfRule type="expression" dxfId="838" priority="33">
      <formula>AND(AB$9&gt;=8/24,AB$9&lt;14/24)</formula>
    </cfRule>
    <cfRule type="expression" dxfId="837" priority="34">
      <formula>AB$9&lt;8/24</formula>
    </cfRule>
  </conditionalFormatting>
  <conditionalFormatting sqref="AB12:AC12">
    <cfRule type="expression" dxfId="836" priority="27">
      <formula>AB$9&gt;=20/24</formula>
    </cfRule>
    <cfRule type="expression" dxfId="835" priority="28">
      <formula>AND(AB$9&gt;=14/24,AB$9&lt;20/24)</formula>
    </cfRule>
    <cfRule type="expression" dxfId="834" priority="29">
      <formula>AND(AB$9&gt;=8/24,AB$9&lt;14/24)</formula>
    </cfRule>
    <cfRule type="expression" dxfId="833" priority="30">
      <formula>AB$9&lt;8/24</formula>
    </cfRule>
  </conditionalFormatting>
  <conditionalFormatting sqref="AB38:AC40">
    <cfRule type="expression" dxfId="832" priority="23">
      <formula>AB$9&gt;=20/24</formula>
    </cfRule>
    <cfRule type="expression" dxfId="831" priority="24">
      <formula>AND(AB$9&gt;=14/24,AB$9&lt;20/24)</formula>
    </cfRule>
    <cfRule type="expression" dxfId="830" priority="25">
      <formula>AND(AB$9&gt;=8/24,AB$9&lt;14/24)</formula>
    </cfRule>
    <cfRule type="expression" dxfId="829" priority="26">
      <formula>AB$9&lt;8/24</formula>
    </cfRule>
  </conditionalFormatting>
  <conditionalFormatting sqref="AB37:AC37">
    <cfRule type="expression" dxfId="828" priority="19">
      <formula>AB$9&gt;=20/24</formula>
    </cfRule>
    <cfRule type="expression" dxfId="827" priority="20">
      <formula>AND(AB$9&gt;=14/24,AB$9&lt;20/24)</formula>
    </cfRule>
    <cfRule type="expression" dxfId="826" priority="21">
      <formula>AND(AB$9&gt;=8/24,AB$9&lt;14/24)</formula>
    </cfRule>
    <cfRule type="expression" dxfId="825" priority="22">
      <formula>AB$9&lt;8/24</formula>
    </cfRule>
  </conditionalFormatting>
  <conditionalFormatting sqref="AB41:AC41 AB43:AF46">
    <cfRule type="expression" dxfId="824" priority="15">
      <formula>AB$9&gt;=20/24</formula>
    </cfRule>
    <cfRule type="expression" dxfId="823" priority="16">
      <formula>AND(AB$9&gt;=14/24,AB$9&lt;20/24)</formula>
    </cfRule>
    <cfRule type="expression" dxfId="822" priority="17">
      <formula>AND(AB$9&gt;=8/24,AB$9&lt;14/24)</formula>
    </cfRule>
    <cfRule type="expression" dxfId="821" priority="18">
      <formula>AB$9&lt;8/24</formula>
    </cfRule>
  </conditionalFormatting>
  <conditionalFormatting sqref="AB47:AF47">
    <cfRule type="expression" dxfId="820" priority="11">
      <formula>AB$9&gt;=20/24</formula>
    </cfRule>
    <cfRule type="expression" dxfId="819" priority="12">
      <formula>AND(AB$9&gt;=14/24,AB$9&lt;20/24)</formula>
    </cfRule>
    <cfRule type="expression" dxfId="818" priority="13">
      <formula>AND(AB$9&gt;=8/24,AB$9&lt;14/24)</formula>
    </cfRule>
    <cfRule type="expression" dxfId="817" priority="14">
      <formula>AB$9&lt;8/24</formula>
    </cfRule>
  </conditionalFormatting>
  <conditionalFormatting sqref="AB48:AF48">
    <cfRule type="expression" dxfId="816" priority="7">
      <formula>AB$9&gt;=20/24</formula>
    </cfRule>
    <cfRule type="expression" dxfId="815" priority="8">
      <formula>AND(AB$9&gt;=14/24,AB$9&lt;20/24)</formula>
    </cfRule>
    <cfRule type="expression" dxfId="814" priority="9">
      <formula>AND(AB$9&gt;=8/24,AB$9&lt;14/24)</formula>
    </cfRule>
    <cfRule type="expression" dxfId="813" priority="10">
      <formula>AB$9&lt;8/24</formula>
    </cfRule>
  </conditionalFormatting>
  <conditionalFormatting sqref="AB37:AC41 AB43:AF48">
    <cfRule type="expression" dxfId="812" priority="6">
      <formula>AB37&gt;$AG37</formula>
    </cfRule>
  </conditionalFormatting>
  <conditionalFormatting sqref="AB42:AC42">
    <cfRule type="expression" dxfId="811" priority="2">
      <formula>AB$9&gt;=20/24</formula>
    </cfRule>
    <cfRule type="expression" dxfId="810" priority="3">
      <formula>AND(AB$9&gt;=14/24,AB$9&lt;20/24)</formula>
    </cfRule>
    <cfRule type="expression" dxfId="809" priority="4">
      <formula>AND(AB$9&gt;=8/24,AB$9&lt;14/24)</formula>
    </cfRule>
    <cfRule type="expression" dxfId="808" priority="5">
      <formula>AB$9&lt;8/24</formula>
    </cfRule>
  </conditionalFormatting>
  <conditionalFormatting sqref="AB42:AC42">
    <cfRule type="expression" dxfId="807" priority="1">
      <formula>AB42&gt;$AG42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33" sqref="P3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str">
        <f ca="1">"2078/"&amp;"04/"&amp;INT(MID(CELL("filename",D6),FIND("]",CELL("filename",D6))+1,200))</f>
        <v>2078/04/31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-186.60000000000002</v>
      </c>
      <c r="C5" s="32">
        <f t="shared" ref="C5:AF5" si="0">C66</f>
        <v>-225.2</v>
      </c>
      <c r="D5" s="32">
        <f t="shared" si="0"/>
        <v>-252.2</v>
      </c>
      <c r="E5" s="32">
        <f t="shared" si="0"/>
        <v>-259</v>
      </c>
      <c r="F5" s="32">
        <f t="shared" si="0"/>
        <v>-245.2</v>
      </c>
      <c r="G5" s="32">
        <f t="shared" si="0"/>
        <v>0</v>
      </c>
      <c r="H5" s="32">
        <f t="shared" si="0"/>
        <v>0</v>
      </c>
      <c r="I5" s="32">
        <f t="shared" si="0"/>
        <v>-204.9</v>
      </c>
      <c r="J5" s="32">
        <f t="shared" si="0"/>
        <v>-177.60000000000002</v>
      </c>
      <c r="K5" s="32">
        <f t="shared" si="0"/>
        <v>-78.800000000000011</v>
      </c>
      <c r="L5" s="32">
        <f t="shared" si="0"/>
        <v>-81.199999999999989</v>
      </c>
      <c r="M5" s="32">
        <f t="shared" si="0"/>
        <v>-81.2</v>
      </c>
      <c r="N5" s="32">
        <f t="shared" si="0"/>
        <v>-64.8</v>
      </c>
      <c r="O5" s="32">
        <f t="shared" si="0"/>
        <v>3</v>
      </c>
      <c r="P5" s="32">
        <f t="shared" si="0"/>
        <v>-62</v>
      </c>
      <c r="Q5" s="32">
        <f t="shared" si="0"/>
        <v>-59.8</v>
      </c>
      <c r="R5" s="32">
        <f t="shared" si="0"/>
        <v>-44.3</v>
      </c>
      <c r="S5" s="32">
        <f t="shared" si="0"/>
        <v>-28</v>
      </c>
      <c r="T5" s="32">
        <f t="shared" si="0"/>
        <v>-59.1</v>
      </c>
      <c r="U5" s="32">
        <f t="shared" si="0"/>
        <v>-54.5</v>
      </c>
      <c r="V5" s="32">
        <f t="shared" si="0"/>
        <v>-46.2</v>
      </c>
      <c r="W5" s="32">
        <f t="shared" si="0"/>
        <v>-49.9</v>
      </c>
      <c r="X5" s="32">
        <f t="shared" si="0"/>
        <v>-23.9</v>
      </c>
      <c r="Y5" s="32">
        <f t="shared" si="0"/>
        <v>-26.8</v>
      </c>
      <c r="Z5" s="32">
        <f t="shared" si="0"/>
        <v>-45</v>
      </c>
      <c r="AA5" s="32">
        <f t="shared" si="0"/>
        <v>-47.2</v>
      </c>
      <c r="AB5" s="32">
        <f t="shared" si="0"/>
        <v>-42.6</v>
      </c>
      <c r="AC5" s="32">
        <f t="shared" si="0"/>
        <v>-44</v>
      </c>
      <c r="AD5" s="32">
        <f t="shared" si="0"/>
        <v>-49</v>
      </c>
      <c r="AE5" s="32">
        <f t="shared" si="0"/>
        <v>-53</v>
      </c>
      <c r="AF5" s="32">
        <f t="shared" si="0"/>
        <v>-45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1062MW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Load=399</v>
      </c>
      <c r="B7" s="37">
        <f t="shared" ref="B7:AF7" si="1">B73</f>
        <v>1017.14</v>
      </c>
      <c r="C7" s="37">
        <f t="shared" si="1"/>
        <v>1028.54</v>
      </c>
      <c r="D7" s="37">
        <f t="shared" si="1"/>
        <v>1001.54</v>
      </c>
      <c r="E7" s="37">
        <f t="shared" si="1"/>
        <v>1000.8399999999999</v>
      </c>
      <c r="F7" s="37">
        <f t="shared" si="1"/>
        <v>957.93999999999994</v>
      </c>
      <c r="G7" s="37">
        <f t="shared" si="1"/>
        <v>399.44</v>
      </c>
      <c r="H7" s="37">
        <f t="shared" si="1"/>
        <v>399.44</v>
      </c>
      <c r="I7" s="37">
        <f t="shared" si="1"/>
        <v>924.84</v>
      </c>
      <c r="J7" s="37">
        <f t="shared" si="1"/>
        <v>914.93999999999994</v>
      </c>
      <c r="K7" s="37">
        <f t="shared" si="1"/>
        <v>983.44</v>
      </c>
      <c r="L7" s="37">
        <f>L73</f>
        <v>1016.8400000000001</v>
      </c>
      <c r="M7" s="37">
        <f t="shared" si="1"/>
        <v>1062.24</v>
      </c>
      <c r="N7" s="37">
        <f t="shared" si="1"/>
        <v>1089.44</v>
      </c>
      <c r="O7" s="37">
        <f t="shared" si="1"/>
        <v>1071.8400000000001</v>
      </c>
      <c r="P7" s="37">
        <f t="shared" si="1"/>
        <v>1036.44</v>
      </c>
      <c r="Q7" s="37">
        <f t="shared" si="1"/>
        <v>1005.5400000000002</v>
      </c>
      <c r="R7" s="37">
        <f t="shared" si="1"/>
        <v>1045.8400000000001</v>
      </c>
      <c r="S7" s="37">
        <f t="shared" si="1"/>
        <v>1001.9400000000002</v>
      </c>
      <c r="T7" s="37">
        <f t="shared" si="1"/>
        <v>971.44000000000017</v>
      </c>
      <c r="U7" s="37">
        <f t="shared" si="1"/>
        <v>973.74</v>
      </c>
      <c r="V7" s="37">
        <f t="shared" si="1"/>
        <v>1064.04</v>
      </c>
      <c r="W7" s="37">
        <f t="shared" si="1"/>
        <v>1187.1400000000001</v>
      </c>
      <c r="X7" s="37">
        <f t="shared" si="1"/>
        <v>1198.54</v>
      </c>
      <c r="Y7" s="37">
        <f t="shared" si="1"/>
        <v>1201.2400000000002</v>
      </c>
      <c r="Z7" s="37">
        <f t="shared" si="1"/>
        <v>1186.8400000000001</v>
      </c>
      <c r="AA7" s="37">
        <f t="shared" si="1"/>
        <v>1159.6400000000001</v>
      </c>
      <c r="AB7" s="37">
        <f t="shared" si="1"/>
        <v>1151.04</v>
      </c>
      <c r="AC7" s="37">
        <f t="shared" si="1"/>
        <v>1087.94</v>
      </c>
      <c r="AD7" s="37">
        <f t="shared" si="1"/>
        <v>1055.04</v>
      </c>
      <c r="AE7" s="37">
        <f t="shared" si="1"/>
        <v>1015.0400000000001</v>
      </c>
      <c r="AF7" s="37">
        <f t="shared" si="1"/>
        <v>1002.3400000000001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220</v>
      </c>
      <c r="C11" s="49">
        <v>240</v>
      </c>
      <c r="D11" s="49">
        <v>240</v>
      </c>
      <c r="E11" s="49">
        <v>260</v>
      </c>
      <c r="F11" s="49">
        <v>200</v>
      </c>
      <c r="G11" s="49"/>
      <c r="H11" s="49"/>
      <c r="I11" s="49">
        <v>200</v>
      </c>
      <c r="J11" s="49">
        <v>162.80000000000001</v>
      </c>
      <c r="K11" s="49">
        <v>160</v>
      </c>
      <c r="L11" s="50">
        <v>160</v>
      </c>
      <c r="M11" s="50">
        <v>180</v>
      </c>
      <c r="N11" s="50">
        <v>150</v>
      </c>
      <c r="O11" s="50">
        <v>100</v>
      </c>
      <c r="P11" s="50">
        <v>130</v>
      </c>
      <c r="Q11" s="50">
        <v>120</v>
      </c>
      <c r="R11" s="50">
        <v>120</v>
      </c>
      <c r="S11" s="52">
        <v>100</v>
      </c>
      <c r="T11" s="52">
        <v>110</v>
      </c>
      <c r="U11" s="52">
        <v>110</v>
      </c>
      <c r="V11" s="52">
        <v>160</v>
      </c>
      <c r="W11" s="52">
        <v>180</v>
      </c>
      <c r="X11" s="52">
        <v>160</v>
      </c>
      <c r="Y11" s="53">
        <v>180</v>
      </c>
      <c r="Z11" s="115">
        <v>200</v>
      </c>
      <c r="AA11" s="115">
        <v>190</v>
      </c>
      <c r="AB11" s="115">
        <v>190</v>
      </c>
      <c r="AC11" s="115">
        <v>170</v>
      </c>
      <c r="AD11" s="115">
        <v>170</v>
      </c>
      <c r="AE11" s="115">
        <v>170</v>
      </c>
      <c r="AF11" s="115">
        <v>170</v>
      </c>
      <c r="AG11" s="54">
        <v>456</v>
      </c>
      <c r="AH11" s="55">
        <f>MAX(B11:AF11)</f>
        <v>260</v>
      </c>
      <c r="AI11" s="56">
        <f>MIN(B11:AF11)</f>
        <v>100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>
        <v>20</v>
      </c>
      <c r="C12" s="49">
        <v>50</v>
      </c>
      <c r="D12" s="49">
        <v>50</v>
      </c>
      <c r="E12" s="49">
        <v>50</v>
      </c>
      <c r="F12" s="49">
        <v>50</v>
      </c>
      <c r="G12" s="49"/>
      <c r="H12" s="49"/>
      <c r="I12" s="49">
        <v>50</v>
      </c>
      <c r="J12" s="49">
        <v>50</v>
      </c>
      <c r="K12" s="49">
        <v>50</v>
      </c>
      <c r="L12" s="49">
        <v>50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60</v>
      </c>
      <c r="S12" s="59">
        <v>45</v>
      </c>
      <c r="T12" s="59">
        <v>50</v>
      </c>
      <c r="U12" s="59">
        <v>50</v>
      </c>
      <c r="V12" s="59">
        <v>50</v>
      </c>
      <c r="W12" s="59">
        <v>60</v>
      </c>
      <c r="X12" s="59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40</v>
      </c>
      <c r="AG12" s="60">
        <v>60</v>
      </c>
      <c r="AH12" s="55">
        <f t="shared" ref="AH12:AH76" si="2">MAX(B12:AF12)</f>
        <v>60</v>
      </c>
      <c r="AI12" s="56">
        <f t="shared" ref="AI12:AI76" si="3">MIN(B12:AF12)</f>
        <v>20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/>
      <c r="H13" s="49"/>
      <c r="I13" s="49">
        <v>0</v>
      </c>
      <c r="J13" s="49">
        <v>0</v>
      </c>
      <c r="K13" s="49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25</v>
      </c>
      <c r="S13" s="50">
        <v>0</v>
      </c>
      <c r="T13" s="50">
        <v>25</v>
      </c>
      <c r="U13" s="50">
        <v>25</v>
      </c>
      <c r="V13" s="50">
        <v>25</v>
      </c>
      <c r="W13" s="50">
        <v>25</v>
      </c>
      <c r="X13" s="61">
        <v>15</v>
      </c>
      <c r="Y13" s="50">
        <v>10</v>
      </c>
      <c r="Z13" s="50">
        <v>10</v>
      </c>
      <c r="AA13" s="50">
        <v>14.8</v>
      </c>
      <c r="AB13" s="50">
        <v>15</v>
      </c>
      <c r="AC13" s="50">
        <v>0</v>
      </c>
      <c r="AD13" s="50">
        <v>0</v>
      </c>
      <c r="AE13" s="50">
        <v>0</v>
      </c>
      <c r="AF13" s="50">
        <v>0</v>
      </c>
      <c r="AG13" s="60">
        <v>52.4</v>
      </c>
      <c r="AH13" s="55">
        <f t="shared" si="2"/>
        <v>25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>
        <v>36.799999999999997</v>
      </c>
      <c r="C14" s="62">
        <v>36.799999999999997</v>
      </c>
      <c r="D14" s="62">
        <v>36.799999999999997</v>
      </c>
      <c r="E14" s="62">
        <v>36.9</v>
      </c>
      <c r="F14" s="62">
        <v>36.9</v>
      </c>
      <c r="G14" s="62"/>
      <c r="H14" s="62"/>
      <c r="I14" s="62">
        <v>36.9</v>
      </c>
      <c r="J14" s="62">
        <v>36.9</v>
      </c>
      <c r="K14" s="62">
        <v>45.8</v>
      </c>
      <c r="L14" s="50">
        <v>45.8</v>
      </c>
      <c r="M14" s="50">
        <v>37</v>
      </c>
      <c r="N14" s="50">
        <v>37</v>
      </c>
      <c r="O14" s="50">
        <v>37</v>
      </c>
      <c r="P14" s="50">
        <v>37</v>
      </c>
      <c r="Q14" s="50">
        <v>37</v>
      </c>
      <c r="R14" s="50">
        <v>37</v>
      </c>
      <c r="S14" s="50">
        <v>37</v>
      </c>
      <c r="T14" s="50">
        <v>37</v>
      </c>
      <c r="U14" s="61">
        <v>37.1</v>
      </c>
      <c r="V14" s="61">
        <v>37.1</v>
      </c>
      <c r="W14" s="61">
        <v>45.8</v>
      </c>
      <c r="X14" s="61">
        <v>45.8</v>
      </c>
      <c r="Y14" s="50">
        <v>45.8</v>
      </c>
      <c r="Z14" s="50">
        <v>45.8</v>
      </c>
      <c r="AA14" s="50">
        <v>46.1</v>
      </c>
      <c r="AB14" s="50">
        <v>46.1</v>
      </c>
      <c r="AC14" s="50">
        <v>45.9</v>
      </c>
      <c r="AD14" s="50">
        <v>45</v>
      </c>
      <c r="AE14" s="50">
        <v>36</v>
      </c>
      <c r="AF14" s="50">
        <v>36</v>
      </c>
      <c r="AG14" s="63">
        <v>45</v>
      </c>
      <c r="AH14" s="55">
        <f t="shared" si="2"/>
        <v>46.1</v>
      </c>
      <c r="AI14" s="56">
        <f t="shared" si="3"/>
        <v>36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>
        <v>40</v>
      </c>
      <c r="C15" s="49">
        <v>40</v>
      </c>
      <c r="D15" s="49">
        <v>40</v>
      </c>
      <c r="E15" s="49">
        <v>40</v>
      </c>
      <c r="F15" s="49">
        <v>40</v>
      </c>
      <c r="G15" s="49"/>
      <c r="H15" s="49"/>
      <c r="I15" s="49">
        <v>36.9</v>
      </c>
      <c r="J15" s="49">
        <v>36.9</v>
      </c>
      <c r="K15" s="49">
        <v>28</v>
      </c>
      <c r="L15" s="50">
        <v>28</v>
      </c>
      <c r="M15" s="50">
        <v>28</v>
      </c>
      <c r="N15" s="50">
        <v>28</v>
      </c>
      <c r="O15" s="50">
        <v>28</v>
      </c>
      <c r="P15" s="50">
        <v>28</v>
      </c>
      <c r="Q15" s="50">
        <v>28</v>
      </c>
      <c r="R15" s="50">
        <v>28</v>
      </c>
      <c r="S15" s="50">
        <v>28</v>
      </c>
      <c r="T15" s="78">
        <v>28</v>
      </c>
      <c r="U15" s="84">
        <v>28</v>
      </c>
      <c r="V15" s="84">
        <v>28</v>
      </c>
      <c r="W15" s="84">
        <v>28</v>
      </c>
      <c r="X15" s="84">
        <v>28</v>
      </c>
      <c r="Y15" s="50">
        <v>28</v>
      </c>
      <c r="Z15" s="50">
        <v>28</v>
      </c>
      <c r="AA15" s="50">
        <v>28</v>
      </c>
      <c r="AB15" s="50">
        <v>28</v>
      </c>
      <c r="AC15" s="50">
        <v>26</v>
      </c>
      <c r="AD15" s="50">
        <v>26</v>
      </c>
      <c r="AE15" s="50">
        <v>26</v>
      </c>
      <c r="AF15" s="50">
        <v>26</v>
      </c>
      <c r="AG15" s="60">
        <v>45</v>
      </c>
      <c r="AH15" s="55">
        <f t="shared" si="2"/>
        <v>40</v>
      </c>
      <c r="AI15" s="56">
        <f t="shared" si="3"/>
        <v>26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/>
      <c r="H16" s="49"/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21</v>
      </c>
      <c r="S16" s="50">
        <v>21</v>
      </c>
      <c r="T16" s="52">
        <v>21</v>
      </c>
      <c r="U16" s="52">
        <v>21</v>
      </c>
      <c r="V16" s="52">
        <v>21</v>
      </c>
      <c r="W16" s="52">
        <v>21</v>
      </c>
      <c r="X16" s="52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0">
        <v>42</v>
      </c>
      <c r="AH16" s="55">
        <f t="shared" si="2"/>
        <v>25</v>
      </c>
      <c r="AI16" s="56">
        <f t="shared" si="3"/>
        <v>21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0">
        <v>36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22.5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25.2</v>
      </c>
      <c r="AD18" s="50">
        <v>25.2</v>
      </c>
      <c r="AE18" s="50">
        <v>25.2</v>
      </c>
      <c r="AF18" s="50">
        <v>25.2</v>
      </c>
      <c r="AG18" s="60">
        <v>30</v>
      </c>
      <c r="AH18" s="55">
        <f t="shared" si="2"/>
        <v>25.2</v>
      </c>
      <c r="AI18" s="56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0">
        <v>27</v>
      </c>
      <c r="AH19" s="55">
        <f t="shared" si="2"/>
        <v>6.2</v>
      </c>
      <c r="AI19" s="56">
        <f t="shared" si="3"/>
        <v>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0">
        <v>25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>
        <v>0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50">
        <v>0</v>
      </c>
      <c r="M21" s="50">
        <v>0</v>
      </c>
      <c r="N21" s="50">
        <v>0</v>
      </c>
      <c r="O21" s="50">
        <v>0</v>
      </c>
      <c r="P21" s="50">
        <v>13.5</v>
      </c>
      <c r="Q21" s="50">
        <v>13.5</v>
      </c>
      <c r="R21" s="50">
        <v>22</v>
      </c>
      <c r="S21" s="50">
        <v>22</v>
      </c>
      <c r="T21" s="50">
        <v>22</v>
      </c>
      <c r="U21" s="50">
        <v>18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0">
        <v>25</v>
      </c>
      <c r="AH21" s="55">
        <f t="shared" si="2"/>
        <v>22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>
        <v>15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60">
        <v>25</v>
      </c>
      <c r="AH22" s="55">
        <f t="shared" si="2"/>
        <v>15</v>
      </c>
      <c r="AI22" s="56">
        <f t="shared" si="3"/>
        <v>15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>
        <v>20</v>
      </c>
      <c r="C23" s="49">
        <v>20</v>
      </c>
      <c r="D23" s="49">
        <v>20</v>
      </c>
      <c r="E23" s="49">
        <v>20</v>
      </c>
      <c r="F23" s="49">
        <v>20</v>
      </c>
      <c r="G23" s="49">
        <v>20</v>
      </c>
      <c r="H23" s="49">
        <v>20</v>
      </c>
      <c r="I23" s="49">
        <v>20</v>
      </c>
      <c r="J23" s="49">
        <v>20</v>
      </c>
      <c r="K23" s="49">
        <v>20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20</v>
      </c>
      <c r="AB23" s="50">
        <v>20</v>
      </c>
      <c r="AC23" s="50">
        <v>20</v>
      </c>
      <c r="AD23" s="50">
        <v>20</v>
      </c>
      <c r="AE23" s="50">
        <v>20</v>
      </c>
      <c r="AF23" s="50">
        <v>20</v>
      </c>
      <c r="AG23" s="60">
        <v>25</v>
      </c>
      <c r="AH23" s="55">
        <f t="shared" si="2"/>
        <v>20</v>
      </c>
      <c r="AI23" s="56">
        <f t="shared" si="3"/>
        <v>20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0">
        <v>24.2</v>
      </c>
      <c r="AH24" s="55">
        <f t="shared" si="2"/>
        <v>22</v>
      </c>
      <c r="AI24" s="56">
        <f t="shared" si="3"/>
        <v>20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5</v>
      </c>
      <c r="AE25" s="50">
        <v>5</v>
      </c>
      <c r="AF25" s="50">
        <v>5</v>
      </c>
      <c r="AG25" s="60">
        <v>20</v>
      </c>
      <c r="AH25" s="55">
        <f>MAX(B25:AF25)</f>
        <v>10</v>
      </c>
      <c r="AI25" s="56">
        <f>MIN(B25:AF25)</f>
        <v>5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50">
        <v>14.5</v>
      </c>
      <c r="M26" s="50">
        <v>14.5</v>
      </c>
      <c r="N26" s="50">
        <v>14.5</v>
      </c>
      <c r="O26" s="50">
        <v>14.5</v>
      </c>
      <c r="P26" s="50">
        <v>12</v>
      </c>
      <c r="Q26" s="50">
        <v>12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12</v>
      </c>
      <c r="Y26" s="50">
        <v>12</v>
      </c>
      <c r="Z26" s="50">
        <v>12</v>
      </c>
      <c r="AA26" s="50">
        <v>12</v>
      </c>
      <c r="AB26" s="50">
        <v>12</v>
      </c>
      <c r="AC26" s="49">
        <v>12</v>
      </c>
      <c r="AD26" s="49">
        <v>12</v>
      </c>
      <c r="AE26" s="49">
        <v>12</v>
      </c>
      <c r="AF26" s="49">
        <v>12</v>
      </c>
      <c r="AG26" s="60">
        <v>23.5</v>
      </c>
      <c r="AH26" s="55">
        <f t="shared" si="2"/>
        <v>14.5</v>
      </c>
      <c r="AI26" s="56">
        <f t="shared" si="3"/>
        <v>10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0">
        <v>22.2</v>
      </c>
      <c r="AH27" s="55">
        <f t="shared" si="2"/>
        <v>10</v>
      </c>
      <c r="AI27" s="56">
        <f t="shared" si="3"/>
        <v>10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0">
        <v>22.1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0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>
        <v>12</v>
      </c>
      <c r="C30" s="62">
        <v>12</v>
      </c>
      <c r="D30" s="62">
        <v>12</v>
      </c>
      <c r="E30" s="62">
        <v>12</v>
      </c>
      <c r="F30" s="62">
        <v>12</v>
      </c>
      <c r="G30" s="62">
        <v>12</v>
      </c>
      <c r="H30" s="62">
        <v>12</v>
      </c>
      <c r="I30" s="62">
        <v>12</v>
      </c>
      <c r="J30" s="62">
        <v>12</v>
      </c>
      <c r="K30" s="62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3">
        <v>22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>
        <v>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200</v>
      </c>
      <c r="C34" s="62">
        <v>200</v>
      </c>
      <c r="D34" s="62">
        <v>200</v>
      </c>
      <c r="E34" s="62">
        <v>200</v>
      </c>
      <c r="F34" s="62">
        <v>200</v>
      </c>
      <c r="G34" s="62">
        <v>200</v>
      </c>
      <c r="H34" s="62">
        <v>200</v>
      </c>
      <c r="I34" s="62">
        <v>200</v>
      </c>
      <c r="J34" s="62">
        <v>200</v>
      </c>
      <c r="K34" s="62">
        <v>200</v>
      </c>
      <c r="L34" s="62">
        <v>200</v>
      </c>
      <c r="M34" s="62">
        <v>200</v>
      </c>
      <c r="N34" s="62">
        <v>200</v>
      </c>
      <c r="O34" s="62">
        <v>200</v>
      </c>
      <c r="P34" s="62">
        <v>200</v>
      </c>
      <c r="Q34" s="62">
        <v>200</v>
      </c>
      <c r="R34" s="62">
        <v>200</v>
      </c>
      <c r="S34" s="62">
        <v>200</v>
      </c>
      <c r="T34" s="62">
        <v>200</v>
      </c>
      <c r="U34" s="62">
        <v>200</v>
      </c>
      <c r="V34" s="62">
        <v>200</v>
      </c>
      <c r="W34" s="62">
        <v>200</v>
      </c>
      <c r="X34" s="62">
        <v>200</v>
      </c>
      <c r="Y34" s="62">
        <v>200</v>
      </c>
      <c r="Z34" s="62">
        <v>200</v>
      </c>
      <c r="AA34" s="62">
        <v>200</v>
      </c>
      <c r="AB34" s="62">
        <v>200</v>
      </c>
      <c r="AC34" s="62">
        <v>200</v>
      </c>
      <c r="AD34" s="62">
        <v>200</v>
      </c>
      <c r="AE34" s="62">
        <v>200</v>
      </c>
      <c r="AF34" s="62">
        <v>200</v>
      </c>
      <c r="AG34" s="67">
        <v>85</v>
      </c>
      <c r="AH34" s="55">
        <f t="shared" si="2"/>
        <v>200</v>
      </c>
      <c r="AI34" s="56">
        <f t="shared" si="3"/>
        <v>200</v>
      </c>
      <c r="AK34" s="57"/>
    </row>
    <row r="35" spans="1:88" ht="15.75" thickBot="1" x14ac:dyDescent="0.3">
      <c r="A35" s="69" t="s">
        <v>42</v>
      </c>
      <c r="B35" s="62">
        <v>148.9</v>
      </c>
      <c r="C35" s="62">
        <v>148.69999999999999</v>
      </c>
      <c r="D35" s="62">
        <v>144.80000000000001</v>
      </c>
      <c r="E35" s="62">
        <v>144.80000000000001</v>
      </c>
      <c r="F35" s="62">
        <v>144.80000000000001</v>
      </c>
      <c r="G35" s="62">
        <v>144.80000000000001</v>
      </c>
      <c r="H35" s="62">
        <v>144.80000000000001</v>
      </c>
      <c r="I35" s="62">
        <v>144.80000000000001</v>
      </c>
      <c r="J35" s="62">
        <v>145.80000000000001</v>
      </c>
      <c r="K35" s="62">
        <f>61.3+80.5</f>
        <v>141.80000000000001</v>
      </c>
      <c r="L35" s="70">
        <f>60.3+83.5</f>
        <v>143.80000000000001</v>
      </c>
      <c r="M35" s="70">
        <v>145.80000000000001</v>
      </c>
      <c r="N35" s="70">
        <v>146.9</v>
      </c>
      <c r="O35" s="70">
        <v>154.9</v>
      </c>
      <c r="P35" s="70">
        <v>150</v>
      </c>
      <c r="Q35" s="70">
        <v>144.80000000000001</v>
      </c>
      <c r="R35" s="70">
        <v>144.80000000000001</v>
      </c>
      <c r="S35" s="70">
        <v>144.4</v>
      </c>
      <c r="T35" s="70">
        <v>135.80000000000001</v>
      </c>
      <c r="U35" s="70">
        <v>134.30000000000001</v>
      </c>
      <c r="V35" s="70">
        <v>132</v>
      </c>
      <c r="W35" s="70">
        <v>129.9</v>
      </c>
      <c r="X35" s="70">
        <v>130.6</v>
      </c>
      <c r="Y35" s="70">
        <v>138</v>
      </c>
      <c r="Z35" s="70">
        <v>138</v>
      </c>
      <c r="AA35" s="70">
        <f>58.9+73.9</f>
        <v>132.80000000000001</v>
      </c>
      <c r="AB35" s="70">
        <f>59+77</f>
        <v>136</v>
      </c>
      <c r="AC35" s="70">
        <f>59.1+79.3</f>
        <v>138.4</v>
      </c>
      <c r="AD35" s="70">
        <f>58.9+79.4</f>
        <v>138.30000000000001</v>
      </c>
      <c r="AE35" s="70">
        <f>58.7+80.5</f>
        <v>139.19999999999999</v>
      </c>
      <c r="AF35" s="70">
        <f>58.6+80.7</f>
        <v>139.30000000000001</v>
      </c>
      <c r="AG35" s="67">
        <v>240</v>
      </c>
      <c r="AH35" s="55">
        <f t="shared" si="2"/>
        <v>154.9</v>
      </c>
      <c r="AI35" s="56">
        <f t="shared" si="3"/>
        <v>129.9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715</v>
      </c>
      <c r="C36" s="72">
        <f t="shared" si="4"/>
        <v>765</v>
      </c>
      <c r="D36" s="72">
        <f t="shared" si="4"/>
        <v>765</v>
      </c>
      <c r="E36" s="72">
        <f t="shared" si="4"/>
        <v>785.09999999999991</v>
      </c>
      <c r="F36" s="72">
        <f t="shared" si="4"/>
        <v>725.09999999999991</v>
      </c>
      <c r="G36" s="72">
        <f t="shared" ref="G36:I36" si="5">SUM(G11:G34)</f>
        <v>373.2</v>
      </c>
      <c r="H36" s="72">
        <f t="shared" si="5"/>
        <v>373.2</v>
      </c>
      <c r="I36" s="72">
        <f t="shared" si="5"/>
        <v>722</v>
      </c>
      <c r="J36" s="72">
        <f t="shared" si="4"/>
        <v>684.8</v>
      </c>
      <c r="K36" s="72">
        <f t="shared" si="4"/>
        <v>682</v>
      </c>
      <c r="L36" s="72">
        <f t="shared" si="4"/>
        <v>686.5</v>
      </c>
      <c r="M36" s="72">
        <f t="shared" si="4"/>
        <v>697.7</v>
      </c>
      <c r="N36" s="72">
        <f t="shared" si="4"/>
        <v>667.7</v>
      </c>
      <c r="O36" s="72">
        <f t="shared" si="4"/>
        <v>617.70000000000005</v>
      </c>
      <c r="P36" s="72">
        <f t="shared" si="4"/>
        <v>656.7</v>
      </c>
      <c r="Q36" s="72">
        <f t="shared" si="4"/>
        <v>646.70000000000005</v>
      </c>
      <c r="R36" s="72">
        <f t="shared" si="4"/>
        <v>684.2</v>
      </c>
      <c r="S36" s="72">
        <f t="shared" si="4"/>
        <v>624.20000000000005</v>
      </c>
      <c r="T36" s="72">
        <f t="shared" si="4"/>
        <v>666.7</v>
      </c>
      <c r="U36" s="72">
        <f t="shared" si="4"/>
        <v>665.3</v>
      </c>
      <c r="V36" s="72">
        <f t="shared" si="4"/>
        <v>719.3</v>
      </c>
      <c r="W36" s="72">
        <f t="shared" si="4"/>
        <v>758</v>
      </c>
      <c r="X36" s="72">
        <f t="shared" si="4"/>
        <v>736</v>
      </c>
      <c r="Y36" s="72">
        <f t="shared" si="4"/>
        <v>751</v>
      </c>
      <c r="Z36" s="72">
        <f t="shared" si="4"/>
        <v>771</v>
      </c>
      <c r="AA36" s="72">
        <f t="shared" si="4"/>
        <v>766.1</v>
      </c>
      <c r="AB36" s="72">
        <f t="shared" si="4"/>
        <v>766.3</v>
      </c>
      <c r="AC36" s="72">
        <f t="shared" si="4"/>
        <v>729.3</v>
      </c>
      <c r="AD36" s="72">
        <f t="shared" si="4"/>
        <v>723.4</v>
      </c>
      <c r="AE36" s="72">
        <f t="shared" si="4"/>
        <v>714.4</v>
      </c>
      <c r="AF36" s="72">
        <f t="shared" si="4"/>
        <v>694.4</v>
      </c>
      <c r="AG36" s="67">
        <f>SUM(AG11:AG35)</f>
        <v>1431.83</v>
      </c>
      <c r="AH36" s="55">
        <f t="shared" si="2"/>
        <v>785.09999999999991</v>
      </c>
      <c r="AI36" s="56">
        <f t="shared" si="3"/>
        <v>373.2</v>
      </c>
      <c r="AK36" s="57"/>
    </row>
    <row r="37" spans="1:88" x14ac:dyDescent="0.25">
      <c r="A37" s="58" t="s">
        <v>44</v>
      </c>
      <c r="B37" s="49">
        <v>140</v>
      </c>
      <c r="C37" s="49">
        <v>140</v>
      </c>
      <c r="D37" s="49">
        <v>140</v>
      </c>
      <c r="E37" s="62">
        <v>144</v>
      </c>
      <c r="F37" s="62">
        <v>144</v>
      </c>
      <c r="G37" s="62"/>
      <c r="H37" s="62"/>
      <c r="I37" s="62">
        <v>135</v>
      </c>
      <c r="J37" s="62">
        <v>135</v>
      </c>
      <c r="K37" s="62">
        <v>121.4</v>
      </c>
      <c r="L37" s="50">
        <v>131.4</v>
      </c>
      <c r="M37" s="50">
        <v>142.5</v>
      </c>
      <c r="N37" s="50">
        <v>142.6</v>
      </c>
      <c r="O37" s="50">
        <v>142.69999999999999</v>
      </c>
      <c r="P37" s="50">
        <v>145</v>
      </c>
      <c r="Q37" s="50">
        <v>145.30000000000001</v>
      </c>
      <c r="R37" s="50">
        <v>131.4</v>
      </c>
      <c r="S37" s="50">
        <v>116.2</v>
      </c>
      <c r="T37" s="50">
        <v>116.4</v>
      </c>
      <c r="U37" s="50">
        <v>111.6</v>
      </c>
      <c r="V37" s="50">
        <v>126.3</v>
      </c>
      <c r="W37" s="50">
        <v>136.30000000000001</v>
      </c>
      <c r="X37" s="50">
        <v>145</v>
      </c>
      <c r="Y37" s="50">
        <v>145</v>
      </c>
      <c r="Z37" s="50">
        <v>145</v>
      </c>
      <c r="AA37" s="50">
        <v>145.4</v>
      </c>
      <c r="AB37" s="50">
        <v>145.4</v>
      </c>
      <c r="AC37" s="50">
        <v>129.1</v>
      </c>
      <c r="AD37" s="50">
        <v>121.5</v>
      </c>
      <c r="AE37" s="49">
        <v>110.4</v>
      </c>
      <c r="AF37" s="49">
        <v>111.3</v>
      </c>
      <c r="AG37" s="63">
        <v>144</v>
      </c>
      <c r="AH37" s="55">
        <f t="shared" si="2"/>
        <v>145.4</v>
      </c>
      <c r="AI37" s="56">
        <f t="shared" si="3"/>
        <v>110.4</v>
      </c>
      <c r="AK37" s="57"/>
    </row>
    <row r="38" spans="1:88" x14ac:dyDescent="0.25">
      <c r="A38" s="66" t="s">
        <v>45</v>
      </c>
      <c r="B38" s="62">
        <v>60</v>
      </c>
      <c r="C38" s="62">
        <v>60</v>
      </c>
      <c r="D38" s="62">
        <v>60</v>
      </c>
      <c r="E38" s="62">
        <v>70</v>
      </c>
      <c r="F38" s="62">
        <v>70</v>
      </c>
      <c r="G38" s="62"/>
      <c r="H38" s="62"/>
      <c r="I38" s="62">
        <v>66</v>
      </c>
      <c r="J38" s="62">
        <v>66</v>
      </c>
      <c r="K38" s="62">
        <v>54.8</v>
      </c>
      <c r="L38" s="52">
        <v>55.6</v>
      </c>
      <c r="M38" s="52">
        <v>60</v>
      </c>
      <c r="N38" s="52">
        <v>65.7</v>
      </c>
      <c r="O38" s="52">
        <v>65.5</v>
      </c>
      <c r="P38" s="52">
        <v>65.7</v>
      </c>
      <c r="Q38" s="52">
        <v>52.2</v>
      </c>
      <c r="R38" s="52">
        <v>51.6</v>
      </c>
      <c r="S38" s="52">
        <v>52.6</v>
      </c>
      <c r="T38" s="52">
        <v>59.6</v>
      </c>
      <c r="U38" s="52">
        <v>50.7</v>
      </c>
      <c r="V38" s="52">
        <v>55.1</v>
      </c>
      <c r="W38" s="52">
        <v>70.400000000000006</v>
      </c>
      <c r="X38" s="52">
        <v>69.7</v>
      </c>
      <c r="Y38" s="52">
        <v>69.7</v>
      </c>
      <c r="Z38" s="52">
        <v>69.7</v>
      </c>
      <c r="AA38" s="52">
        <v>60.3</v>
      </c>
      <c r="AB38" s="52">
        <v>60.2</v>
      </c>
      <c r="AC38" s="52">
        <v>60.7</v>
      </c>
      <c r="AD38" s="52">
        <v>55.6</v>
      </c>
      <c r="AE38" s="62">
        <v>48</v>
      </c>
      <c r="AF38" s="62">
        <v>45.7</v>
      </c>
      <c r="AG38" s="67">
        <v>70</v>
      </c>
      <c r="AH38" s="55">
        <f t="shared" si="2"/>
        <v>70.400000000000006</v>
      </c>
      <c r="AI38" s="56">
        <f t="shared" si="3"/>
        <v>45.7</v>
      </c>
      <c r="AK38" s="57"/>
    </row>
    <row r="39" spans="1:88" x14ac:dyDescent="0.25">
      <c r="A39" s="66" t="s">
        <v>46</v>
      </c>
      <c r="B39" s="62">
        <v>62.1</v>
      </c>
      <c r="C39" s="62">
        <v>62.1</v>
      </c>
      <c r="D39" s="62">
        <v>62.1</v>
      </c>
      <c r="E39" s="62">
        <v>68.900000000000006</v>
      </c>
      <c r="F39" s="62">
        <v>69</v>
      </c>
      <c r="G39" s="62"/>
      <c r="H39" s="62"/>
      <c r="I39" s="62">
        <v>66.3</v>
      </c>
      <c r="J39" s="62">
        <v>66.3</v>
      </c>
      <c r="K39" s="62">
        <v>52.8</v>
      </c>
      <c r="L39" s="52">
        <v>61.8</v>
      </c>
      <c r="M39" s="52">
        <v>69</v>
      </c>
      <c r="N39" s="52">
        <v>69</v>
      </c>
      <c r="O39" s="52">
        <v>66.900000000000006</v>
      </c>
      <c r="P39" s="52">
        <v>67.3</v>
      </c>
      <c r="Q39" s="52">
        <v>61.9</v>
      </c>
      <c r="R39" s="52">
        <v>53.3</v>
      </c>
      <c r="S39" s="52">
        <v>67.400000000000006</v>
      </c>
      <c r="T39" s="52">
        <v>54.8</v>
      </c>
      <c r="U39" s="52">
        <v>51.6</v>
      </c>
      <c r="V39" s="52">
        <v>60.5</v>
      </c>
      <c r="W39" s="52">
        <v>70.3</v>
      </c>
      <c r="X39" s="52">
        <v>65.3</v>
      </c>
      <c r="Y39" s="52">
        <v>70.400000000000006</v>
      </c>
      <c r="Z39" s="52">
        <v>70.400000000000006</v>
      </c>
      <c r="AA39" s="52">
        <v>70.5</v>
      </c>
      <c r="AB39" s="52">
        <v>69.900000000000006</v>
      </c>
      <c r="AC39" s="52">
        <v>60.9</v>
      </c>
      <c r="AD39" s="52">
        <v>61.2</v>
      </c>
      <c r="AE39" s="62">
        <v>68.2</v>
      </c>
      <c r="AF39" s="62">
        <v>69</v>
      </c>
      <c r="AG39" s="67">
        <v>69</v>
      </c>
      <c r="AH39" s="55">
        <f t="shared" si="2"/>
        <v>70.5</v>
      </c>
      <c r="AI39" s="56">
        <f t="shared" si="3"/>
        <v>51.6</v>
      </c>
      <c r="AK39" s="57"/>
    </row>
    <row r="40" spans="1:88" x14ac:dyDescent="0.25">
      <c r="A40" s="66" t="s">
        <v>47</v>
      </c>
      <c r="B40" s="62">
        <v>55.4</v>
      </c>
      <c r="C40" s="62">
        <v>55.4</v>
      </c>
      <c r="D40" s="62">
        <v>55.4</v>
      </c>
      <c r="E40" s="62">
        <v>56.6</v>
      </c>
      <c r="F40" s="62">
        <v>60</v>
      </c>
      <c r="G40" s="62"/>
      <c r="H40" s="62"/>
      <c r="I40" s="62">
        <v>40</v>
      </c>
      <c r="J40" s="62">
        <v>40</v>
      </c>
      <c r="K40" s="62">
        <v>39.1</v>
      </c>
      <c r="L40" s="52">
        <v>50.6</v>
      </c>
      <c r="M40" s="52">
        <v>55.2</v>
      </c>
      <c r="N40" s="52">
        <v>55.2</v>
      </c>
      <c r="O40" s="52">
        <v>54.4</v>
      </c>
      <c r="P40" s="52">
        <v>55.2</v>
      </c>
      <c r="Q40" s="52">
        <v>51.1</v>
      </c>
      <c r="R40" s="52">
        <v>59.2</v>
      </c>
      <c r="S40" s="52">
        <v>58.9</v>
      </c>
      <c r="T40" s="52">
        <v>39.1</v>
      </c>
      <c r="U40" s="52">
        <v>60.7</v>
      </c>
      <c r="V40" s="52">
        <v>60.7</v>
      </c>
      <c r="W40" s="52">
        <v>60.7</v>
      </c>
      <c r="X40" s="52">
        <v>60.7</v>
      </c>
      <c r="Y40" s="52">
        <v>60.7</v>
      </c>
      <c r="Z40" s="52">
        <v>60.7</v>
      </c>
      <c r="AA40" s="52">
        <v>60.9</v>
      </c>
      <c r="AB40" s="52">
        <v>50.2</v>
      </c>
      <c r="AC40" s="52">
        <v>50.6</v>
      </c>
      <c r="AD40" s="52">
        <v>40.1</v>
      </c>
      <c r="AE40" s="62">
        <v>40.299999999999997</v>
      </c>
      <c r="AF40" s="62">
        <v>40.1</v>
      </c>
      <c r="AG40" s="67">
        <v>60</v>
      </c>
      <c r="AH40" s="55">
        <f t="shared" si="2"/>
        <v>60.9</v>
      </c>
      <c r="AI40" s="56">
        <f t="shared" si="3"/>
        <v>39.1</v>
      </c>
      <c r="AK40" s="57"/>
    </row>
    <row r="41" spans="1:88" x14ac:dyDescent="0.25">
      <c r="A41" s="66" t="s">
        <v>48</v>
      </c>
      <c r="B41" s="62">
        <v>29.8</v>
      </c>
      <c r="C41" s="62">
        <v>29.8</v>
      </c>
      <c r="D41" s="62">
        <v>29.8</v>
      </c>
      <c r="E41" s="62">
        <v>30</v>
      </c>
      <c r="F41" s="62">
        <v>30</v>
      </c>
      <c r="G41" s="62"/>
      <c r="H41" s="62"/>
      <c r="I41" s="62">
        <v>30</v>
      </c>
      <c r="J41" s="62">
        <v>30</v>
      </c>
      <c r="K41" s="62">
        <v>29.5</v>
      </c>
      <c r="L41" s="50">
        <v>29.6</v>
      </c>
      <c r="M41" s="50">
        <v>29.5</v>
      </c>
      <c r="N41" s="50">
        <v>29.6</v>
      </c>
      <c r="O41" s="50">
        <v>29.6</v>
      </c>
      <c r="P41" s="50">
        <v>29.5</v>
      </c>
      <c r="Q41" s="50">
        <v>29.5</v>
      </c>
      <c r="R41" s="50">
        <v>29.5</v>
      </c>
      <c r="S41" s="50">
        <v>29.3</v>
      </c>
      <c r="T41" s="50">
        <v>29.3</v>
      </c>
      <c r="U41" s="50">
        <v>29.3</v>
      </c>
      <c r="V41" s="50">
        <v>29.3</v>
      </c>
      <c r="W41" s="50">
        <v>29.3</v>
      </c>
      <c r="X41" s="50">
        <v>29.3</v>
      </c>
      <c r="Y41" s="52">
        <v>29.3</v>
      </c>
      <c r="Z41" s="52">
        <v>29.3</v>
      </c>
      <c r="AA41" s="52">
        <v>29.4</v>
      </c>
      <c r="AB41" s="52">
        <v>29.5</v>
      </c>
      <c r="AC41" s="52">
        <v>29.5</v>
      </c>
      <c r="AD41" s="52">
        <v>29.5</v>
      </c>
      <c r="AE41" s="62">
        <v>29.6</v>
      </c>
      <c r="AF41" s="62">
        <v>29.6</v>
      </c>
      <c r="AG41" s="67">
        <v>30</v>
      </c>
      <c r="AH41" s="55">
        <f t="shared" si="2"/>
        <v>30</v>
      </c>
      <c r="AI41" s="56">
        <f t="shared" si="3"/>
        <v>29.3</v>
      </c>
      <c r="AK41" s="57"/>
    </row>
    <row r="42" spans="1:88" x14ac:dyDescent="0.25">
      <c r="A42" s="66" t="s">
        <v>49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/>
      <c r="H42" s="62"/>
      <c r="I42" s="62">
        <v>0</v>
      </c>
      <c r="J42" s="62">
        <v>0</v>
      </c>
      <c r="K42" s="62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2">
        <v>0</v>
      </c>
      <c r="AF42" s="62">
        <v>0</v>
      </c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50">
        <v>0</v>
      </c>
      <c r="C43" s="50">
        <v>0</v>
      </c>
      <c r="D43" s="50">
        <v>0</v>
      </c>
      <c r="E43" s="73">
        <v>12.7</v>
      </c>
      <c r="F43" s="73">
        <v>12.2</v>
      </c>
      <c r="G43" s="73"/>
      <c r="H43" s="73"/>
      <c r="I43" s="73">
        <v>12.2</v>
      </c>
      <c r="J43" s="73">
        <v>12.2</v>
      </c>
      <c r="K43" s="73">
        <v>17.2</v>
      </c>
      <c r="L43" s="50">
        <v>16.7</v>
      </c>
      <c r="M43" s="50">
        <v>16.7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15.3</v>
      </c>
      <c r="AB43" s="50">
        <v>15.3</v>
      </c>
      <c r="AC43" s="50">
        <v>15.2</v>
      </c>
      <c r="AD43" s="50">
        <v>15.3</v>
      </c>
      <c r="AE43" s="62">
        <v>15.2</v>
      </c>
      <c r="AF43" s="62">
        <v>15.3</v>
      </c>
      <c r="AG43" s="67">
        <v>24</v>
      </c>
      <c r="AH43" s="55">
        <f t="shared" si="2"/>
        <v>17.2</v>
      </c>
      <c r="AI43" s="56">
        <f t="shared" si="3"/>
        <v>0</v>
      </c>
      <c r="AK43" s="57"/>
    </row>
    <row r="44" spans="1:88" x14ac:dyDescent="0.25">
      <c r="A44" s="66" t="s">
        <v>51</v>
      </c>
      <c r="B44" s="50">
        <v>3.2</v>
      </c>
      <c r="C44" s="50">
        <v>3.2</v>
      </c>
      <c r="D44" s="50">
        <v>3.2</v>
      </c>
      <c r="E44" s="62">
        <v>3.2</v>
      </c>
      <c r="F44" s="62">
        <v>3.2</v>
      </c>
      <c r="G44" s="62"/>
      <c r="H44" s="62"/>
      <c r="I44" s="62">
        <v>3.2</v>
      </c>
      <c r="J44" s="62">
        <v>3.2</v>
      </c>
      <c r="K44" s="62">
        <v>3.2</v>
      </c>
      <c r="L44" s="50">
        <v>3.2</v>
      </c>
      <c r="M44" s="50">
        <v>3.2</v>
      </c>
      <c r="N44" s="50">
        <v>3.2</v>
      </c>
      <c r="O44" s="50">
        <v>3.2</v>
      </c>
      <c r="P44" s="50">
        <v>0</v>
      </c>
      <c r="Q44" s="50">
        <v>0</v>
      </c>
      <c r="R44" s="50">
        <v>2.8</v>
      </c>
      <c r="S44" s="50">
        <v>2.8</v>
      </c>
      <c r="T44" s="50">
        <v>2.8</v>
      </c>
      <c r="U44" s="50">
        <v>2.8</v>
      </c>
      <c r="V44" s="50">
        <v>2.8</v>
      </c>
      <c r="W44" s="50">
        <v>2.8</v>
      </c>
      <c r="X44" s="50">
        <v>2.8</v>
      </c>
      <c r="Y44" s="50">
        <v>2.8</v>
      </c>
      <c r="Z44" s="50">
        <v>2.8</v>
      </c>
      <c r="AA44" s="50">
        <v>2.8</v>
      </c>
      <c r="AB44" s="50">
        <v>2.8</v>
      </c>
      <c r="AC44" s="50">
        <v>2.8</v>
      </c>
      <c r="AD44" s="50">
        <v>2.8</v>
      </c>
      <c r="AE44" s="50">
        <v>2.8</v>
      </c>
      <c r="AF44" s="50">
        <v>2.8</v>
      </c>
      <c r="AG44" s="67">
        <v>15</v>
      </c>
      <c r="AH44" s="55">
        <f t="shared" si="2"/>
        <v>3.2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50">
        <v>13</v>
      </c>
      <c r="C45" s="50">
        <v>13</v>
      </c>
      <c r="D45" s="50">
        <v>13</v>
      </c>
      <c r="E45" s="62">
        <v>13</v>
      </c>
      <c r="F45" s="62">
        <v>13</v>
      </c>
      <c r="G45" s="62"/>
      <c r="H45" s="62"/>
      <c r="I45" s="62">
        <v>13</v>
      </c>
      <c r="J45" s="62">
        <v>13</v>
      </c>
      <c r="K45" s="62">
        <v>13.1</v>
      </c>
      <c r="L45" s="50">
        <v>13.1</v>
      </c>
      <c r="M45" s="50">
        <v>13.1</v>
      </c>
      <c r="N45" s="50">
        <v>13.1</v>
      </c>
      <c r="O45" s="50">
        <v>13.1</v>
      </c>
      <c r="P45" s="50">
        <v>13.1</v>
      </c>
      <c r="Q45" s="50">
        <v>13.1</v>
      </c>
      <c r="R45" s="50">
        <v>13.1</v>
      </c>
      <c r="S45" s="50">
        <v>13.1</v>
      </c>
      <c r="T45" s="50">
        <v>13.1</v>
      </c>
      <c r="U45" s="50">
        <v>13.1</v>
      </c>
      <c r="V45" s="50">
        <v>13.1</v>
      </c>
      <c r="W45" s="50">
        <v>13.1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13.1</v>
      </c>
      <c r="AC45" s="50">
        <v>13.1</v>
      </c>
      <c r="AD45" s="50">
        <v>13</v>
      </c>
      <c r="AE45" s="62">
        <v>13</v>
      </c>
      <c r="AF45" s="62">
        <v>13</v>
      </c>
      <c r="AG45" s="67">
        <v>14.1</v>
      </c>
      <c r="AH45" s="55">
        <f t="shared" si="2"/>
        <v>13.1</v>
      </c>
      <c r="AI45" s="56">
        <f t="shared" si="3"/>
        <v>13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50">
        <v>7</v>
      </c>
      <c r="C46" s="50">
        <v>7</v>
      </c>
      <c r="D46" s="50">
        <v>7</v>
      </c>
      <c r="E46" s="50">
        <v>7</v>
      </c>
      <c r="F46" s="50">
        <v>7</v>
      </c>
      <c r="G46" s="50">
        <v>7</v>
      </c>
      <c r="H46" s="50">
        <v>7</v>
      </c>
      <c r="I46" s="50">
        <v>7</v>
      </c>
      <c r="J46" s="50">
        <v>7</v>
      </c>
      <c r="K46" s="73">
        <v>7</v>
      </c>
      <c r="L46" s="50">
        <v>7</v>
      </c>
      <c r="M46" s="50">
        <v>7</v>
      </c>
      <c r="N46" s="50">
        <v>7</v>
      </c>
      <c r="O46" s="50">
        <v>7</v>
      </c>
      <c r="P46" s="50">
        <v>7</v>
      </c>
      <c r="Q46" s="50">
        <v>7</v>
      </c>
      <c r="R46" s="50">
        <v>7</v>
      </c>
      <c r="S46" s="50">
        <v>7</v>
      </c>
      <c r="T46" s="50">
        <v>7</v>
      </c>
      <c r="U46" s="50">
        <v>7</v>
      </c>
      <c r="V46" s="50">
        <v>7</v>
      </c>
      <c r="W46" s="50">
        <v>7</v>
      </c>
      <c r="X46" s="50">
        <v>7</v>
      </c>
      <c r="Y46" s="50">
        <v>7</v>
      </c>
      <c r="Z46" s="50">
        <v>7</v>
      </c>
      <c r="AA46" s="50">
        <v>7</v>
      </c>
      <c r="AB46" s="50">
        <v>7</v>
      </c>
      <c r="AC46" s="50">
        <v>7</v>
      </c>
      <c r="AD46" s="50">
        <v>7</v>
      </c>
      <c r="AE46" s="62">
        <v>7</v>
      </c>
      <c r="AF46" s="62">
        <v>7</v>
      </c>
      <c r="AG46" s="67">
        <v>14</v>
      </c>
      <c r="AH46" s="55">
        <f t="shared" si="2"/>
        <v>7</v>
      </c>
      <c r="AI46" s="56">
        <f t="shared" si="3"/>
        <v>7</v>
      </c>
      <c r="AK46" s="57"/>
    </row>
    <row r="47" spans="1:88" x14ac:dyDescent="0.25">
      <c r="A47" s="66" t="s">
        <v>54</v>
      </c>
      <c r="B47" s="50">
        <v>9.6999999999999993</v>
      </c>
      <c r="C47" s="50">
        <v>9.6999999999999993</v>
      </c>
      <c r="D47" s="50">
        <v>9.6999999999999993</v>
      </c>
      <c r="E47" s="50">
        <v>9.6999999999999993</v>
      </c>
      <c r="F47" s="50">
        <v>9.6999999999999993</v>
      </c>
      <c r="G47" s="50">
        <v>9.6999999999999993</v>
      </c>
      <c r="H47" s="50">
        <v>9.6999999999999993</v>
      </c>
      <c r="I47" s="50">
        <v>9.6999999999999993</v>
      </c>
      <c r="J47" s="50">
        <v>9.6999999999999993</v>
      </c>
      <c r="K47" s="62">
        <v>9.6999999999999993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2">
        <v>9.6</v>
      </c>
      <c r="AF47" s="62">
        <v>9.6</v>
      </c>
      <c r="AG47" s="67">
        <v>10.050000000000001</v>
      </c>
      <c r="AH47" s="55">
        <f t="shared" si="2"/>
        <v>9.6999999999999993</v>
      </c>
      <c r="AI47" s="56">
        <f t="shared" si="3"/>
        <v>9.6</v>
      </c>
      <c r="AK47" s="57"/>
    </row>
    <row r="48" spans="1:88" x14ac:dyDescent="0.25">
      <c r="A48" s="66" t="s">
        <v>55</v>
      </c>
      <c r="B48" s="50">
        <v>6</v>
      </c>
      <c r="C48" s="50">
        <v>6</v>
      </c>
      <c r="D48" s="50">
        <v>6</v>
      </c>
      <c r="E48" s="50">
        <v>6</v>
      </c>
      <c r="F48" s="50">
        <v>6</v>
      </c>
      <c r="G48" s="50">
        <v>6</v>
      </c>
      <c r="H48" s="50">
        <v>6</v>
      </c>
      <c r="I48" s="50">
        <v>6</v>
      </c>
      <c r="J48" s="50">
        <v>6</v>
      </c>
      <c r="K48" s="62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62">
        <v>6</v>
      </c>
      <c r="AF48" s="62">
        <v>6</v>
      </c>
      <c r="AG48" s="67">
        <v>6.2</v>
      </c>
      <c r="AH48" s="55">
        <f t="shared" si="2"/>
        <v>6</v>
      </c>
      <c r="AI48" s="56">
        <f t="shared" si="3"/>
        <v>6</v>
      </c>
      <c r="AK48" s="57"/>
    </row>
    <row r="49" spans="1:37" ht="15.75" thickBot="1" x14ac:dyDescent="0.3">
      <c r="A49" s="68" t="s">
        <v>56</v>
      </c>
      <c r="B49" s="76">
        <f t="shared" ref="B49" si="6">B197</f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7">T197</f>
        <v>3.54</v>
      </c>
      <c r="U49" s="76">
        <f t="shared" si="7"/>
        <v>3.54</v>
      </c>
      <c r="V49" s="76">
        <f t="shared" si="7"/>
        <v>3.54</v>
      </c>
      <c r="W49" s="76">
        <f t="shared" si="7"/>
        <v>3.54</v>
      </c>
      <c r="X49" s="76">
        <f t="shared" si="7"/>
        <v>3.54</v>
      </c>
      <c r="Y49" s="76">
        <v>3.54</v>
      </c>
      <c r="Z49" s="76">
        <f t="shared" si="7"/>
        <v>3.54</v>
      </c>
      <c r="AA49" s="76">
        <f t="shared" si="7"/>
        <v>3.54</v>
      </c>
      <c r="AB49" s="76">
        <f t="shared" si="7"/>
        <v>3.54</v>
      </c>
      <c r="AC49" s="76">
        <f t="shared" si="7"/>
        <v>3.54</v>
      </c>
      <c r="AD49" s="76">
        <f t="shared" si="7"/>
        <v>3.54</v>
      </c>
      <c r="AE49" s="76">
        <f t="shared" si="7"/>
        <v>3.54</v>
      </c>
      <c r="AF49" s="76">
        <f t="shared" si="7"/>
        <v>3.54</v>
      </c>
      <c r="AG49" s="76">
        <f t="shared" si="7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8">SUM(B37:B49)</f>
        <v>389.74</v>
      </c>
      <c r="C50" s="72">
        <f t="shared" si="8"/>
        <v>389.74</v>
      </c>
      <c r="D50" s="72">
        <f t="shared" si="8"/>
        <v>389.74</v>
      </c>
      <c r="E50" s="72">
        <f t="shared" si="8"/>
        <v>424.64</v>
      </c>
      <c r="F50" s="72">
        <f t="shared" si="8"/>
        <v>427.64</v>
      </c>
      <c r="G50" s="72">
        <f t="shared" si="8"/>
        <v>26.24</v>
      </c>
      <c r="H50" s="72">
        <f t="shared" si="8"/>
        <v>26.24</v>
      </c>
      <c r="I50" s="72">
        <f t="shared" si="8"/>
        <v>391.94</v>
      </c>
      <c r="J50" s="72">
        <f t="shared" si="8"/>
        <v>391.94</v>
      </c>
      <c r="K50" s="72">
        <f t="shared" si="8"/>
        <v>357.34000000000003</v>
      </c>
      <c r="L50" s="72">
        <f t="shared" si="8"/>
        <v>388.1400000000001</v>
      </c>
      <c r="M50" s="72">
        <f t="shared" si="8"/>
        <v>415.34000000000003</v>
      </c>
      <c r="N50" s="72">
        <f t="shared" si="8"/>
        <v>421.54000000000008</v>
      </c>
      <c r="O50" s="72">
        <f t="shared" si="8"/>
        <v>418.54000000000008</v>
      </c>
      <c r="P50" s="72">
        <f t="shared" si="8"/>
        <v>418.94000000000005</v>
      </c>
      <c r="Q50" s="72">
        <f t="shared" si="8"/>
        <v>396.24000000000007</v>
      </c>
      <c r="R50" s="72">
        <f t="shared" si="8"/>
        <v>384.04000000000008</v>
      </c>
      <c r="S50" s="72">
        <f t="shared" si="8"/>
        <v>383.44000000000011</v>
      </c>
      <c r="T50" s="72">
        <f t="shared" si="8"/>
        <v>358.24000000000012</v>
      </c>
      <c r="U50" s="72">
        <f t="shared" si="8"/>
        <v>362.94000000000011</v>
      </c>
      <c r="V50" s="72">
        <f t="shared" si="8"/>
        <v>390.94000000000011</v>
      </c>
      <c r="W50" s="72">
        <f t="shared" si="8"/>
        <v>426.04000000000008</v>
      </c>
      <c r="X50" s="72">
        <f t="shared" si="8"/>
        <v>429.04000000000008</v>
      </c>
      <c r="Y50" s="72">
        <f t="shared" si="8"/>
        <v>434.1400000000001</v>
      </c>
      <c r="Z50" s="72">
        <f t="shared" si="8"/>
        <v>434.1400000000001</v>
      </c>
      <c r="AA50" s="72">
        <f t="shared" si="8"/>
        <v>423.84000000000003</v>
      </c>
      <c r="AB50" s="72">
        <f t="shared" si="8"/>
        <v>412.54000000000008</v>
      </c>
      <c r="AC50" s="72">
        <f t="shared" si="8"/>
        <v>388.04000000000008</v>
      </c>
      <c r="AD50" s="72">
        <f t="shared" si="8"/>
        <v>365.1400000000001</v>
      </c>
      <c r="AE50" s="72">
        <f t="shared" si="8"/>
        <v>353.6400000000001</v>
      </c>
      <c r="AF50" s="72">
        <f t="shared" si="8"/>
        <v>352.94000000000011</v>
      </c>
      <c r="AG50" s="77">
        <f>SUM(AG37:AG49)</f>
        <v>489.91</v>
      </c>
      <c r="AH50" s="55">
        <f t="shared" si="2"/>
        <v>434.1400000000001</v>
      </c>
      <c r="AI50" s="56">
        <f t="shared" si="3"/>
        <v>26.24</v>
      </c>
      <c r="AK50" s="57"/>
    </row>
    <row r="51" spans="1:37" x14ac:dyDescent="0.25">
      <c r="A51" s="58" t="s">
        <v>58</v>
      </c>
      <c r="B51" s="62">
        <v>59.7</v>
      </c>
      <c r="C51" s="62">
        <v>59.7</v>
      </c>
      <c r="D51" s="62">
        <v>59.7</v>
      </c>
      <c r="E51" s="62">
        <v>30</v>
      </c>
      <c r="F51" s="62">
        <v>30</v>
      </c>
      <c r="G51" s="62"/>
      <c r="H51" s="62"/>
      <c r="I51" s="62">
        <v>10.5</v>
      </c>
      <c r="J51" s="62">
        <v>10.5</v>
      </c>
      <c r="K51" s="62">
        <v>10.4</v>
      </c>
      <c r="L51" s="174">
        <v>14.5</v>
      </c>
      <c r="M51" s="174">
        <v>24.7</v>
      </c>
      <c r="N51" s="174">
        <v>40.6</v>
      </c>
      <c r="O51" s="174">
        <v>24.8</v>
      </c>
      <c r="P51" s="50">
        <v>13.5</v>
      </c>
      <c r="Q51" s="50">
        <v>14.2</v>
      </c>
      <c r="R51" s="50">
        <v>13.4</v>
      </c>
      <c r="S51" s="50">
        <v>14.2</v>
      </c>
      <c r="T51" s="50">
        <v>0.1</v>
      </c>
      <c r="U51" s="50">
        <v>0</v>
      </c>
      <c r="V51" s="50">
        <v>0</v>
      </c>
      <c r="W51" s="50">
        <v>34.9</v>
      </c>
      <c r="X51" s="50">
        <v>35.799999999999997</v>
      </c>
      <c r="Y51" s="50">
        <v>29.5</v>
      </c>
      <c r="Z51" s="50">
        <v>13.1</v>
      </c>
      <c r="AA51" s="50">
        <v>9.3000000000000007</v>
      </c>
      <c r="AB51" s="50">
        <v>9.6</v>
      </c>
      <c r="AC51" s="50">
        <v>9.6</v>
      </c>
      <c r="AD51" s="50">
        <v>9.6999999999999993</v>
      </c>
      <c r="AE51" s="50">
        <v>0</v>
      </c>
      <c r="AF51" s="50">
        <v>0</v>
      </c>
      <c r="AG51" s="63">
        <v>60</v>
      </c>
      <c r="AH51" s="55">
        <f t="shared" si="2"/>
        <v>59.7</v>
      </c>
      <c r="AI51" s="56">
        <f t="shared" si="3"/>
        <v>0</v>
      </c>
      <c r="AK51" s="57"/>
    </row>
    <row r="52" spans="1:37" x14ac:dyDescent="0.25">
      <c r="A52" s="66" t="s">
        <v>59</v>
      </c>
      <c r="B52" s="62">
        <v>28.8</v>
      </c>
      <c r="C52" s="62">
        <v>28.8</v>
      </c>
      <c r="D52" s="62">
        <v>28.8</v>
      </c>
      <c r="E52" s="62">
        <v>14.7</v>
      </c>
      <c r="F52" s="62">
        <v>15</v>
      </c>
      <c r="G52" s="62"/>
      <c r="H52" s="62"/>
      <c r="I52" s="62">
        <v>3.9</v>
      </c>
      <c r="J52" s="62">
        <v>3.9</v>
      </c>
      <c r="K52" s="62">
        <v>9.1999999999999993</v>
      </c>
      <c r="L52" s="174">
        <v>6.5</v>
      </c>
      <c r="M52" s="174">
        <v>4.2</v>
      </c>
      <c r="N52" s="174">
        <v>17.899999999999999</v>
      </c>
      <c r="O52" s="174">
        <v>5.7</v>
      </c>
      <c r="P52" s="52">
        <v>6.8</v>
      </c>
      <c r="Q52" s="52">
        <v>6</v>
      </c>
      <c r="R52" s="50">
        <v>6.2</v>
      </c>
      <c r="S52" s="50">
        <v>5.9</v>
      </c>
      <c r="T52" s="50">
        <v>4</v>
      </c>
      <c r="U52" s="52">
        <v>0</v>
      </c>
      <c r="V52" s="52">
        <v>0</v>
      </c>
      <c r="W52" s="52">
        <v>13.3</v>
      </c>
      <c r="X52" s="52">
        <v>15.8</v>
      </c>
      <c r="Y52" s="52">
        <v>9.8000000000000007</v>
      </c>
      <c r="Z52" s="52">
        <v>10</v>
      </c>
      <c r="AA52" s="52">
        <v>5.6</v>
      </c>
      <c r="AB52" s="52">
        <v>3.8</v>
      </c>
      <c r="AC52" s="52">
        <v>3.7</v>
      </c>
      <c r="AD52" s="52">
        <v>4.2</v>
      </c>
      <c r="AE52" s="52">
        <v>0</v>
      </c>
      <c r="AF52" s="52">
        <v>0</v>
      </c>
      <c r="AG52" s="67">
        <v>32</v>
      </c>
      <c r="AH52" s="55">
        <f t="shared" si="2"/>
        <v>28.8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>
        <v>10.5</v>
      </c>
      <c r="C53" s="73">
        <v>10.5</v>
      </c>
      <c r="D53" s="73">
        <v>10.5</v>
      </c>
      <c r="E53" s="73">
        <v>5.4</v>
      </c>
      <c r="F53" s="73">
        <v>5.4</v>
      </c>
      <c r="G53" s="73"/>
      <c r="H53" s="73"/>
      <c r="I53" s="73">
        <v>1.4</v>
      </c>
      <c r="J53" s="73">
        <v>1.4</v>
      </c>
      <c r="K53" s="73">
        <v>3.3</v>
      </c>
      <c r="L53" s="175">
        <v>2.4</v>
      </c>
      <c r="M53" s="175">
        <v>1.5</v>
      </c>
      <c r="N53" s="175">
        <v>6.5</v>
      </c>
      <c r="O53" s="175">
        <v>2.1</v>
      </c>
      <c r="P53" s="78">
        <v>2.5</v>
      </c>
      <c r="Q53" s="78">
        <v>2.2000000000000002</v>
      </c>
      <c r="R53" s="50">
        <v>2.2999999999999998</v>
      </c>
      <c r="S53" s="50">
        <v>2.2000000000000002</v>
      </c>
      <c r="T53" s="50">
        <v>1.5</v>
      </c>
      <c r="U53" s="78">
        <v>0</v>
      </c>
      <c r="V53" s="78">
        <v>0</v>
      </c>
      <c r="W53" s="78">
        <v>4.8</v>
      </c>
      <c r="X53" s="78">
        <v>5.8</v>
      </c>
      <c r="Y53" s="78">
        <v>3.6</v>
      </c>
      <c r="Z53" s="78">
        <v>3.6</v>
      </c>
      <c r="AA53" s="78">
        <v>2</v>
      </c>
      <c r="AB53" s="78">
        <v>1.4</v>
      </c>
      <c r="AC53" s="78">
        <v>1.3</v>
      </c>
      <c r="AD53" s="78">
        <v>1.6</v>
      </c>
      <c r="AE53" s="78">
        <v>0</v>
      </c>
      <c r="AF53" s="78">
        <v>0</v>
      </c>
      <c r="AG53" s="79">
        <v>14</v>
      </c>
      <c r="AH53" s="55">
        <f t="shared" si="2"/>
        <v>10.5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99</v>
      </c>
      <c r="C54" s="72">
        <f t="shared" ref="C54:AF54" si="9">SUM(C51:C53)</f>
        <v>99</v>
      </c>
      <c r="D54" s="72">
        <f t="shared" si="9"/>
        <v>99</v>
      </c>
      <c r="E54" s="72">
        <f t="shared" si="9"/>
        <v>50.1</v>
      </c>
      <c r="F54" s="72">
        <f t="shared" si="9"/>
        <v>50.4</v>
      </c>
      <c r="G54" s="72">
        <f t="shared" si="9"/>
        <v>0</v>
      </c>
      <c r="H54" s="72">
        <f t="shared" si="9"/>
        <v>0</v>
      </c>
      <c r="I54" s="72">
        <f t="shared" si="9"/>
        <v>15.8</v>
      </c>
      <c r="J54" s="72">
        <f t="shared" si="9"/>
        <v>15.8</v>
      </c>
      <c r="K54" s="72">
        <f t="shared" si="9"/>
        <v>22.900000000000002</v>
      </c>
      <c r="L54" s="72">
        <f t="shared" si="9"/>
        <v>23.4</v>
      </c>
      <c r="M54" s="72">
        <f t="shared" si="9"/>
        <v>30.4</v>
      </c>
      <c r="N54" s="72">
        <f t="shared" si="9"/>
        <v>65</v>
      </c>
      <c r="O54" s="72">
        <f t="shared" si="9"/>
        <v>32.6</v>
      </c>
      <c r="P54" s="72">
        <f t="shared" si="9"/>
        <v>22.8</v>
      </c>
      <c r="Q54" s="72">
        <f t="shared" si="9"/>
        <v>22.4</v>
      </c>
      <c r="R54" s="72">
        <f t="shared" si="9"/>
        <v>21.900000000000002</v>
      </c>
      <c r="S54" s="72">
        <f t="shared" si="9"/>
        <v>22.3</v>
      </c>
      <c r="T54" s="72">
        <f t="shared" si="9"/>
        <v>5.6</v>
      </c>
      <c r="U54" s="72">
        <f t="shared" si="9"/>
        <v>0</v>
      </c>
      <c r="V54" s="72">
        <f t="shared" si="9"/>
        <v>0</v>
      </c>
      <c r="W54" s="72">
        <f t="shared" si="9"/>
        <v>53</v>
      </c>
      <c r="X54" s="72">
        <f t="shared" si="9"/>
        <v>57.399999999999991</v>
      </c>
      <c r="Y54" s="72">
        <f t="shared" si="9"/>
        <v>42.9</v>
      </c>
      <c r="Z54" s="72">
        <f t="shared" si="9"/>
        <v>26.700000000000003</v>
      </c>
      <c r="AA54" s="72">
        <f t="shared" si="9"/>
        <v>16.899999999999999</v>
      </c>
      <c r="AB54" s="72">
        <f t="shared" si="9"/>
        <v>14.799999999999999</v>
      </c>
      <c r="AC54" s="72">
        <f t="shared" si="9"/>
        <v>14.600000000000001</v>
      </c>
      <c r="AD54" s="72">
        <f t="shared" si="9"/>
        <v>15.499999999999998</v>
      </c>
      <c r="AE54" s="72">
        <f t="shared" si="9"/>
        <v>0</v>
      </c>
      <c r="AF54" s="72">
        <f t="shared" si="9"/>
        <v>0</v>
      </c>
      <c r="AG54" s="77">
        <f>SUM(AG51:AG53)</f>
        <v>106</v>
      </c>
      <c r="AH54" s="55">
        <f t="shared" si="2"/>
        <v>99</v>
      </c>
      <c r="AI54" s="56">
        <f t="shared" si="3"/>
        <v>0</v>
      </c>
      <c r="AK54" s="57"/>
    </row>
    <row r="55" spans="1:37" x14ac:dyDescent="0.25">
      <c r="A55" s="58" t="s">
        <v>62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/>
      <c r="H55" s="50"/>
      <c r="I55" s="50">
        <v>0</v>
      </c>
      <c r="J55" s="50">
        <v>0</v>
      </c>
      <c r="K55" s="50">
        <v>8.4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3"/>
      <c r="AH55" s="55">
        <f t="shared" si="2"/>
        <v>8.4</v>
      </c>
      <c r="AI55" s="56">
        <f t="shared" si="3"/>
        <v>0</v>
      </c>
      <c r="AK55" s="57"/>
    </row>
    <row r="56" spans="1:37" x14ac:dyDescent="0.25">
      <c r="A56" s="66" t="s">
        <v>63</v>
      </c>
      <c r="B56" s="52">
        <v>-88.9</v>
      </c>
      <c r="C56" s="52">
        <v>-89</v>
      </c>
      <c r="D56" s="52">
        <v>-89.7</v>
      </c>
      <c r="E56" s="52">
        <v>-21</v>
      </c>
      <c r="F56" s="52">
        <v>-36.1</v>
      </c>
      <c r="G56" s="52"/>
      <c r="H56" s="52"/>
      <c r="I56" s="52">
        <v>-39.9</v>
      </c>
      <c r="J56" s="52">
        <v>-39.200000000000003</v>
      </c>
      <c r="K56" s="52">
        <v>-39</v>
      </c>
      <c r="L56" s="50">
        <v>-34.9</v>
      </c>
      <c r="M56" s="50">
        <v>-8.9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0">
        <v>0</v>
      </c>
      <c r="X56" s="80">
        <v>0</v>
      </c>
      <c r="Y56" s="80">
        <v>0</v>
      </c>
      <c r="Z56" s="8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7"/>
      <c r="AH56" s="55">
        <f t="shared" si="2"/>
        <v>0</v>
      </c>
      <c r="AI56" s="56">
        <f t="shared" si="3"/>
        <v>-89.7</v>
      </c>
      <c r="AK56" s="57"/>
    </row>
    <row r="57" spans="1:37" x14ac:dyDescent="0.25">
      <c r="A57" s="66" t="s">
        <v>64</v>
      </c>
      <c r="B57" s="52">
        <v>-6.9</v>
      </c>
      <c r="C57" s="52">
        <v>-46.4</v>
      </c>
      <c r="D57" s="52">
        <v>-73.2</v>
      </c>
      <c r="E57" s="52">
        <v>-150</v>
      </c>
      <c r="F57" s="52">
        <v>-120</v>
      </c>
      <c r="G57" s="50"/>
      <c r="H57" s="50"/>
      <c r="I57" s="50">
        <v>-165</v>
      </c>
      <c r="J57" s="50">
        <v>-138.4</v>
      </c>
      <c r="K57" s="50">
        <v>-48.2</v>
      </c>
      <c r="L57" s="52">
        <v>-46.3</v>
      </c>
      <c r="M57" s="52">
        <v>-72.3</v>
      </c>
      <c r="N57" s="52">
        <v>-64.8</v>
      </c>
      <c r="O57" s="52">
        <v>3</v>
      </c>
      <c r="P57" s="52">
        <v>-62</v>
      </c>
      <c r="Q57" s="52">
        <v>-59.8</v>
      </c>
      <c r="R57" s="52">
        <v>-44.3</v>
      </c>
      <c r="S57" s="52">
        <v>-28</v>
      </c>
      <c r="T57" s="52">
        <v>-59.1</v>
      </c>
      <c r="U57" s="52">
        <v>-54.5</v>
      </c>
      <c r="V57" s="52">
        <v>-46.2</v>
      </c>
      <c r="W57" s="81">
        <v>-49.9</v>
      </c>
      <c r="X57" s="81">
        <v>-23.9</v>
      </c>
      <c r="Y57" s="81">
        <v>-26.8</v>
      </c>
      <c r="Z57" s="81">
        <v>-45</v>
      </c>
      <c r="AA57" s="52">
        <v>-47.2</v>
      </c>
      <c r="AB57" s="52">
        <v>-42.6</v>
      </c>
      <c r="AC57" s="52">
        <v>-44</v>
      </c>
      <c r="AD57" s="52">
        <v>-49</v>
      </c>
      <c r="AE57" s="52">
        <v>-53</v>
      </c>
      <c r="AF57" s="52">
        <v>-45</v>
      </c>
      <c r="AG57" s="82"/>
      <c r="AH57" s="55">
        <f t="shared" si="2"/>
        <v>3</v>
      </c>
      <c r="AI57" s="56">
        <f t="shared" si="3"/>
        <v>-165</v>
      </c>
      <c r="AK57" s="57"/>
    </row>
    <row r="58" spans="1:37" x14ac:dyDescent="0.25">
      <c r="A58" s="66" t="s">
        <v>65</v>
      </c>
      <c r="B58" s="59">
        <v>-50</v>
      </c>
      <c r="C58" s="59">
        <v>-50</v>
      </c>
      <c r="D58" s="59">
        <v>-50</v>
      </c>
      <c r="E58" s="59">
        <v>-50</v>
      </c>
      <c r="F58" s="59">
        <v>-50</v>
      </c>
      <c r="G58" s="59"/>
      <c r="H58" s="59"/>
      <c r="I58" s="59">
        <v>0</v>
      </c>
      <c r="J58" s="59">
        <v>0</v>
      </c>
      <c r="K58" s="59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9">
        <v>0</v>
      </c>
      <c r="AF58" s="59">
        <v>0</v>
      </c>
      <c r="AG58" s="82"/>
      <c r="AH58" s="55">
        <f t="shared" si="2"/>
        <v>0</v>
      </c>
      <c r="AI58" s="56">
        <f t="shared" si="3"/>
        <v>-50</v>
      </c>
      <c r="AK58" s="57"/>
    </row>
    <row r="59" spans="1:37" x14ac:dyDescent="0.25">
      <c r="A59" s="66" t="s">
        <v>66</v>
      </c>
      <c r="B59" s="59">
        <v>-40.799999999999997</v>
      </c>
      <c r="C59" s="59">
        <v>-39.799999999999997</v>
      </c>
      <c r="D59" s="59">
        <v>-39.299999999999997</v>
      </c>
      <c r="E59" s="59">
        <v>-38</v>
      </c>
      <c r="F59" s="59">
        <v>-39.1</v>
      </c>
      <c r="G59" s="59"/>
      <c r="H59" s="59"/>
      <c r="I59" s="59">
        <v>0</v>
      </c>
      <c r="J59" s="59">
        <v>0</v>
      </c>
      <c r="K59" s="59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2"/>
      <c r="AH59" s="55">
        <f t="shared" si="2"/>
        <v>0</v>
      </c>
      <c r="AI59" s="56">
        <f t="shared" si="3"/>
        <v>-40.799999999999997</v>
      </c>
      <c r="AK59" s="57"/>
    </row>
    <row r="60" spans="1:37" x14ac:dyDescent="0.25">
      <c r="A60" s="66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/>
      <c r="H60" s="52"/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/>
      <c r="H61" s="50"/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/>
      <c r="H62" s="59"/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/>
      <c r="H63" s="59"/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/>
      <c r="H64" s="52"/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/>
      <c r="H65" s="50"/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-186.60000000000002</v>
      </c>
      <c r="C66" s="72">
        <f t="shared" ref="C66:AF66" si="10">SUM(C55:C65)</f>
        <v>-225.2</v>
      </c>
      <c r="D66" s="72">
        <f t="shared" si="10"/>
        <v>-252.2</v>
      </c>
      <c r="E66" s="72">
        <f t="shared" si="10"/>
        <v>-259</v>
      </c>
      <c r="F66" s="72">
        <f t="shared" si="10"/>
        <v>-245.2</v>
      </c>
      <c r="G66" s="72">
        <f t="shared" si="10"/>
        <v>0</v>
      </c>
      <c r="H66" s="72">
        <f t="shared" si="10"/>
        <v>0</v>
      </c>
      <c r="I66" s="72">
        <f t="shared" si="10"/>
        <v>-204.9</v>
      </c>
      <c r="J66" s="72">
        <f t="shared" si="10"/>
        <v>-177.60000000000002</v>
      </c>
      <c r="K66" s="72">
        <f t="shared" si="10"/>
        <v>-78.800000000000011</v>
      </c>
      <c r="L66" s="72">
        <f t="shared" si="10"/>
        <v>-81.199999999999989</v>
      </c>
      <c r="M66" s="72">
        <f t="shared" si="10"/>
        <v>-81.2</v>
      </c>
      <c r="N66" s="72">
        <f t="shared" si="10"/>
        <v>-64.8</v>
      </c>
      <c r="O66" s="72">
        <f t="shared" si="10"/>
        <v>3</v>
      </c>
      <c r="P66" s="72">
        <f t="shared" si="10"/>
        <v>-62</v>
      </c>
      <c r="Q66" s="72">
        <f t="shared" si="10"/>
        <v>-59.8</v>
      </c>
      <c r="R66" s="72">
        <f t="shared" si="10"/>
        <v>-44.3</v>
      </c>
      <c r="S66" s="72">
        <f t="shared" si="10"/>
        <v>-28</v>
      </c>
      <c r="T66" s="72">
        <f t="shared" si="10"/>
        <v>-59.1</v>
      </c>
      <c r="U66" s="72">
        <f t="shared" si="10"/>
        <v>-54.5</v>
      </c>
      <c r="V66" s="72">
        <f t="shared" si="10"/>
        <v>-46.2</v>
      </c>
      <c r="W66" s="72">
        <f t="shared" si="10"/>
        <v>-49.9</v>
      </c>
      <c r="X66" s="72">
        <f t="shared" si="10"/>
        <v>-23.9</v>
      </c>
      <c r="Y66" s="72">
        <f t="shared" si="10"/>
        <v>-26.8</v>
      </c>
      <c r="Z66" s="72">
        <f t="shared" si="10"/>
        <v>-45</v>
      </c>
      <c r="AA66" s="72">
        <f t="shared" si="10"/>
        <v>-47.2</v>
      </c>
      <c r="AB66" s="72">
        <f t="shared" si="10"/>
        <v>-42.6</v>
      </c>
      <c r="AC66" s="72">
        <f t="shared" si="10"/>
        <v>-44</v>
      </c>
      <c r="AD66" s="72">
        <f t="shared" si="10"/>
        <v>-49</v>
      </c>
      <c r="AE66" s="72">
        <f t="shared" si="10"/>
        <v>-53</v>
      </c>
      <c r="AF66" s="72">
        <f t="shared" si="10"/>
        <v>-45</v>
      </c>
      <c r="AG66" s="77">
        <f>SUM(AG55:AG65)</f>
        <v>0</v>
      </c>
      <c r="AH66" s="55">
        <f t="shared" si="2"/>
        <v>3</v>
      </c>
      <c r="AI66" s="56">
        <f t="shared" si="3"/>
        <v>-259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11">SUM(C67:C69)</f>
        <v>0</v>
      </c>
      <c r="D70" s="72">
        <f t="shared" si="11"/>
        <v>0</v>
      </c>
      <c r="E70" s="72">
        <f t="shared" si="11"/>
        <v>0</v>
      </c>
      <c r="F70" s="72">
        <f t="shared" si="11"/>
        <v>0</v>
      </c>
      <c r="G70" s="72">
        <f t="shared" si="11"/>
        <v>0</v>
      </c>
      <c r="H70" s="72">
        <f t="shared" si="11"/>
        <v>0</v>
      </c>
      <c r="I70" s="72">
        <f t="shared" si="11"/>
        <v>0</v>
      </c>
      <c r="J70" s="72">
        <f t="shared" si="11"/>
        <v>0</v>
      </c>
      <c r="K70" s="72">
        <f t="shared" si="11"/>
        <v>0</v>
      </c>
      <c r="L70" s="72">
        <f t="shared" si="11"/>
        <v>0</v>
      </c>
      <c r="M70" s="72">
        <f t="shared" si="11"/>
        <v>0</v>
      </c>
      <c r="N70" s="72">
        <f t="shared" si="11"/>
        <v>0</v>
      </c>
      <c r="O70" s="72">
        <f t="shared" si="11"/>
        <v>0</v>
      </c>
      <c r="P70" s="72">
        <f t="shared" si="11"/>
        <v>0</v>
      </c>
      <c r="Q70" s="72">
        <f t="shared" si="11"/>
        <v>0</v>
      </c>
      <c r="R70" s="72">
        <f t="shared" si="11"/>
        <v>0</v>
      </c>
      <c r="S70" s="72">
        <f t="shared" si="11"/>
        <v>0</v>
      </c>
      <c r="T70" s="72">
        <f t="shared" si="11"/>
        <v>0</v>
      </c>
      <c r="U70" s="72">
        <f t="shared" si="11"/>
        <v>0</v>
      </c>
      <c r="V70" s="72">
        <f t="shared" si="11"/>
        <v>0</v>
      </c>
      <c r="W70" s="72">
        <f t="shared" si="11"/>
        <v>0</v>
      </c>
      <c r="X70" s="72">
        <f t="shared" si="11"/>
        <v>0</v>
      </c>
      <c r="Y70" s="72">
        <f t="shared" si="11"/>
        <v>0</v>
      </c>
      <c r="Z70" s="72">
        <f t="shared" si="11"/>
        <v>0</v>
      </c>
      <c r="AA70" s="72">
        <f t="shared" si="11"/>
        <v>0</v>
      </c>
      <c r="AB70" s="72">
        <f t="shared" si="11"/>
        <v>0</v>
      </c>
      <c r="AC70" s="72">
        <f t="shared" si="11"/>
        <v>0</v>
      </c>
      <c r="AD70" s="72">
        <f t="shared" si="11"/>
        <v>0</v>
      </c>
      <c r="AE70" s="72">
        <f t="shared" si="11"/>
        <v>0</v>
      </c>
      <c r="AF70" s="72">
        <f t="shared" si="11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1017.14</v>
      </c>
      <c r="C71" s="87">
        <f t="shared" ref="C71:AG71" si="12">C66+C54+C50+C36+C70</f>
        <v>1028.54</v>
      </c>
      <c r="D71" s="87">
        <f t="shared" si="12"/>
        <v>1001.54</v>
      </c>
      <c r="E71" s="87">
        <f t="shared" si="12"/>
        <v>1000.8399999999999</v>
      </c>
      <c r="F71" s="87">
        <f t="shared" si="12"/>
        <v>957.93999999999994</v>
      </c>
      <c r="G71" s="87">
        <f t="shared" si="12"/>
        <v>399.44</v>
      </c>
      <c r="H71" s="87">
        <f t="shared" si="12"/>
        <v>399.44</v>
      </c>
      <c r="I71" s="87">
        <f t="shared" si="12"/>
        <v>924.84</v>
      </c>
      <c r="J71" s="87">
        <f t="shared" si="12"/>
        <v>914.93999999999994</v>
      </c>
      <c r="K71" s="87">
        <f t="shared" si="12"/>
        <v>983.44</v>
      </c>
      <c r="L71" s="87">
        <f t="shared" si="12"/>
        <v>1016.8400000000001</v>
      </c>
      <c r="M71" s="87">
        <f t="shared" si="12"/>
        <v>1062.24</v>
      </c>
      <c r="N71" s="87">
        <f t="shared" si="12"/>
        <v>1089.44</v>
      </c>
      <c r="O71" s="87">
        <f t="shared" si="12"/>
        <v>1071.8400000000001</v>
      </c>
      <c r="P71" s="87">
        <f t="shared" si="12"/>
        <v>1036.44</v>
      </c>
      <c r="Q71" s="87">
        <f t="shared" si="12"/>
        <v>1005.5400000000002</v>
      </c>
      <c r="R71" s="87">
        <f t="shared" si="12"/>
        <v>1045.8400000000001</v>
      </c>
      <c r="S71" s="87">
        <f t="shared" si="12"/>
        <v>1001.9400000000002</v>
      </c>
      <c r="T71" s="87">
        <f t="shared" si="12"/>
        <v>971.44000000000017</v>
      </c>
      <c r="U71" s="87">
        <f t="shared" si="12"/>
        <v>973.74</v>
      </c>
      <c r="V71" s="87">
        <f t="shared" si="12"/>
        <v>1064.04</v>
      </c>
      <c r="W71" s="87">
        <f t="shared" si="12"/>
        <v>1187.1400000000001</v>
      </c>
      <c r="X71" s="87">
        <f t="shared" si="12"/>
        <v>1198.54</v>
      </c>
      <c r="Y71" s="87">
        <f t="shared" si="12"/>
        <v>1201.2400000000002</v>
      </c>
      <c r="Z71" s="87">
        <f t="shared" si="12"/>
        <v>1186.8400000000001</v>
      </c>
      <c r="AA71" s="87">
        <f t="shared" si="12"/>
        <v>1159.6400000000001</v>
      </c>
      <c r="AB71" s="87">
        <f t="shared" si="12"/>
        <v>1151.04</v>
      </c>
      <c r="AC71" s="87">
        <f t="shared" si="12"/>
        <v>1087.94</v>
      </c>
      <c r="AD71" s="87">
        <f t="shared" si="12"/>
        <v>1055.04</v>
      </c>
      <c r="AE71" s="87">
        <f t="shared" si="12"/>
        <v>1015.0400000000001</v>
      </c>
      <c r="AF71" s="87">
        <f t="shared" si="12"/>
        <v>1002.3400000000001</v>
      </c>
      <c r="AG71" s="87">
        <f t="shared" si="12"/>
        <v>2083.14</v>
      </c>
      <c r="AH71" s="55">
        <f t="shared" si="2"/>
        <v>1201.2400000000002</v>
      </c>
      <c r="AI71" s="56">
        <f t="shared" si="3"/>
        <v>399.44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1017.14</v>
      </c>
      <c r="C73" s="87">
        <f t="shared" ref="C73:AF73" si="13">C70+C66+C54+C50+C36+C72</f>
        <v>1028.54</v>
      </c>
      <c r="D73" s="87">
        <f t="shared" si="13"/>
        <v>1001.54</v>
      </c>
      <c r="E73" s="87">
        <f t="shared" si="13"/>
        <v>1000.8399999999999</v>
      </c>
      <c r="F73" s="87">
        <f t="shared" si="13"/>
        <v>957.93999999999994</v>
      </c>
      <c r="G73" s="87">
        <f t="shared" si="13"/>
        <v>399.44</v>
      </c>
      <c r="H73" s="87">
        <f t="shared" si="13"/>
        <v>399.44</v>
      </c>
      <c r="I73" s="87">
        <f t="shared" si="13"/>
        <v>924.84</v>
      </c>
      <c r="J73" s="87">
        <f t="shared" si="13"/>
        <v>914.93999999999994</v>
      </c>
      <c r="K73" s="87">
        <f t="shared" si="13"/>
        <v>983.44</v>
      </c>
      <c r="L73" s="87">
        <f t="shared" si="13"/>
        <v>1016.8400000000001</v>
      </c>
      <c r="M73" s="87">
        <f t="shared" si="13"/>
        <v>1062.24</v>
      </c>
      <c r="N73" s="87">
        <f t="shared" si="13"/>
        <v>1089.44</v>
      </c>
      <c r="O73" s="87">
        <f t="shared" si="13"/>
        <v>1071.8400000000001</v>
      </c>
      <c r="P73" s="87">
        <f t="shared" si="13"/>
        <v>1036.44</v>
      </c>
      <c r="Q73" s="87">
        <f t="shared" si="13"/>
        <v>1005.5400000000002</v>
      </c>
      <c r="R73" s="87">
        <f t="shared" si="13"/>
        <v>1045.8400000000001</v>
      </c>
      <c r="S73" s="87">
        <f t="shared" si="13"/>
        <v>1001.9400000000002</v>
      </c>
      <c r="T73" s="87">
        <f t="shared" si="13"/>
        <v>971.44000000000017</v>
      </c>
      <c r="U73" s="87">
        <f t="shared" si="13"/>
        <v>973.74</v>
      </c>
      <c r="V73" s="87">
        <f t="shared" si="13"/>
        <v>1064.04</v>
      </c>
      <c r="W73" s="87">
        <f t="shared" si="13"/>
        <v>1187.1400000000001</v>
      </c>
      <c r="X73" s="87">
        <f t="shared" si="13"/>
        <v>1198.54</v>
      </c>
      <c r="Y73" s="87">
        <f t="shared" si="13"/>
        <v>1201.2400000000002</v>
      </c>
      <c r="Z73" s="87">
        <f t="shared" si="13"/>
        <v>1186.8400000000001</v>
      </c>
      <c r="AA73" s="87">
        <f t="shared" si="13"/>
        <v>1159.6400000000001</v>
      </c>
      <c r="AB73" s="87">
        <f t="shared" si="13"/>
        <v>1151.04</v>
      </c>
      <c r="AC73" s="87">
        <f t="shared" si="13"/>
        <v>1087.94</v>
      </c>
      <c r="AD73" s="87">
        <f t="shared" si="13"/>
        <v>1055.04</v>
      </c>
      <c r="AE73" s="87">
        <f t="shared" si="13"/>
        <v>1015.0400000000001</v>
      </c>
      <c r="AF73" s="87">
        <f t="shared" si="13"/>
        <v>1002.3400000000001</v>
      </c>
      <c r="AG73" s="77">
        <f>AG70+AG66+AG54+AG50+AG36+AG72</f>
        <v>2083.14</v>
      </c>
      <c r="AH73" s="55">
        <f t="shared" si="2"/>
        <v>1201.2400000000002</v>
      </c>
      <c r="AI73" s="56">
        <f t="shared" si="3"/>
        <v>399.44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50</v>
      </c>
      <c r="C74" s="59">
        <f t="shared" ref="C74:AF74" si="14">IF(C58&lt;0,C58*-1,0)</f>
        <v>50</v>
      </c>
      <c r="D74" s="59">
        <f t="shared" si="14"/>
        <v>50</v>
      </c>
      <c r="E74" s="59">
        <f t="shared" si="14"/>
        <v>50</v>
      </c>
      <c r="F74" s="59">
        <f t="shared" si="14"/>
        <v>50</v>
      </c>
      <c r="G74" s="59">
        <f t="shared" si="14"/>
        <v>0</v>
      </c>
      <c r="H74" s="59">
        <f t="shared" si="14"/>
        <v>0</v>
      </c>
      <c r="I74" s="59">
        <f t="shared" si="14"/>
        <v>0</v>
      </c>
      <c r="J74" s="59">
        <f t="shared" si="14"/>
        <v>0</v>
      </c>
      <c r="K74" s="59">
        <f t="shared" si="14"/>
        <v>0</v>
      </c>
      <c r="L74" s="59">
        <f t="shared" si="14"/>
        <v>0</v>
      </c>
      <c r="M74" s="59">
        <f t="shared" si="14"/>
        <v>0</v>
      </c>
      <c r="N74" s="59">
        <f t="shared" si="14"/>
        <v>0</v>
      </c>
      <c r="O74" s="59">
        <f t="shared" si="14"/>
        <v>0</v>
      </c>
      <c r="P74" s="59">
        <f t="shared" si="14"/>
        <v>0</v>
      </c>
      <c r="Q74" s="59">
        <f t="shared" si="14"/>
        <v>0</v>
      </c>
      <c r="R74" s="59">
        <f t="shared" si="14"/>
        <v>0</v>
      </c>
      <c r="S74" s="59">
        <f t="shared" si="14"/>
        <v>0</v>
      </c>
      <c r="T74" s="59">
        <f t="shared" si="14"/>
        <v>0</v>
      </c>
      <c r="U74" s="59">
        <f t="shared" si="14"/>
        <v>0</v>
      </c>
      <c r="V74" s="59">
        <f t="shared" si="14"/>
        <v>0</v>
      </c>
      <c r="W74" s="59">
        <f t="shared" si="14"/>
        <v>0</v>
      </c>
      <c r="X74" s="59">
        <f t="shared" si="14"/>
        <v>0</v>
      </c>
      <c r="Y74" s="59">
        <f t="shared" si="14"/>
        <v>0</v>
      </c>
      <c r="Z74" s="59">
        <f t="shared" si="14"/>
        <v>0</v>
      </c>
      <c r="AA74" s="59">
        <f t="shared" si="14"/>
        <v>0</v>
      </c>
      <c r="AB74" s="59">
        <f t="shared" si="14"/>
        <v>0</v>
      </c>
      <c r="AC74" s="59">
        <f t="shared" si="14"/>
        <v>0</v>
      </c>
      <c r="AD74" s="59">
        <f t="shared" si="14"/>
        <v>0</v>
      </c>
      <c r="AE74" s="59">
        <f t="shared" si="14"/>
        <v>0</v>
      </c>
      <c r="AF74" s="59">
        <f t="shared" si="14"/>
        <v>0</v>
      </c>
      <c r="AG74" s="63"/>
      <c r="AH74" s="55">
        <f t="shared" si="2"/>
        <v>50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88.9</v>
      </c>
      <c r="C75" s="59">
        <f t="shared" ref="C75:AF75" si="15">IF(C56&lt;0,C56*-1,0)</f>
        <v>89</v>
      </c>
      <c r="D75" s="59">
        <f t="shared" si="15"/>
        <v>89.7</v>
      </c>
      <c r="E75" s="59">
        <f t="shared" si="15"/>
        <v>21</v>
      </c>
      <c r="F75" s="59">
        <f t="shared" si="15"/>
        <v>36.1</v>
      </c>
      <c r="G75" s="59">
        <f t="shared" si="15"/>
        <v>0</v>
      </c>
      <c r="H75" s="59">
        <f t="shared" si="15"/>
        <v>0</v>
      </c>
      <c r="I75" s="59">
        <f t="shared" si="15"/>
        <v>39.9</v>
      </c>
      <c r="J75" s="59">
        <f t="shared" si="15"/>
        <v>39.200000000000003</v>
      </c>
      <c r="K75" s="59">
        <f t="shared" si="15"/>
        <v>39</v>
      </c>
      <c r="L75" s="59">
        <f t="shared" si="15"/>
        <v>34.9</v>
      </c>
      <c r="M75" s="59">
        <f t="shared" si="15"/>
        <v>8.9</v>
      </c>
      <c r="N75" s="59">
        <f t="shared" si="15"/>
        <v>0</v>
      </c>
      <c r="O75" s="59">
        <f t="shared" si="15"/>
        <v>0</v>
      </c>
      <c r="P75" s="59">
        <f t="shared" si="15"/>
        <v>0</v>
      </c>
      <c r="Q75" s="59">
        <f t="shared" si="15"/>
        <v>0</v>
      </c>
      <c r="R75" s="59">
        <f t="shared" si="15"/>
        <v>0</v>
      </c>
      <c r="S75" s="59">
        <f t="shared" si="15"/>
        <v>0</v>
      </c>
      <c r="T75" s="59">
        <f t="shared" si="15"/>
        <v>0</v>
      </c>
      <c r="U75" s="59">
        <f t="shared" si="15"/>
        <v>0</v>
      </c>
      <c r="V75" s="59">
        <f t="shared" si="15"/>
        <v>0</v>
      </c>
      <c r="W75" s="59">
        <f t="shared" si="15"/>
        <v>0</v>
      </c>
      <c r="X75" s="59">
        <f t="shared" si="15"/>
        <v>0</v>
      </c>
      <c r="Y75" s="59">
        <f t="shared" si="15"/>
        <v>0</v>
      </c>
      <c r="Z75" s="59">
        <f t="shared" si="15"/>
        <v>0</v>
      </c>
      <c r="AA75" s="59">
        <f t="shared" si="15"/>
        <v>0</v>
      </c>
      <c r="AB75" s="59">
        <f t="shared" si="15"/>
        <v>0</v>
      </c>
      <c r="AC75" s="59">
        <f t="shared" si="15"/>
        <v>0</v>
      </c>
      <c r="AD75" s="59">
        <f t="shared" si="15"/>
        <v>0</v>
      </c>
      <c r="AE75" s="59">
        <f t="shared" si="15"/>
        <v>0</v>
      </c>
      <c r="AF75" s="59">
        <f t="shared" si="15"/>
        <v>0</v>
      </c>
      <c r="AG75" s="67"/>
      <c r="AH75" s="55">
        <f t="shared" si="2"/>
        <v>89.7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40.799999999999997</v>
      </c>
      <c r="C76" s="59">
        <f t="shared" ref="C76:AF76" si="16">IF(C59&lt;0,C59*-1,0)</f>
        <v>39.799999999999997</v>
      </c>
      <c r="D76" s="59">
        <f t="shared" si="16"/>
        <v>39.299999999999997</v>
      </c>
      <c r="E76" s="59">
        <f t="shared" si="16"/>
        <v>38</v>
      </c>
      <c r="F76" s="59">
        <f t="shared" si="16"/>
        <v>39.1</v>
      </c>
      <c r="G76" s="59">
        <f t="shared" si="16"/>
        <v>0</v>
      </c>
      <c r="H76" s="59">
        <f t="shared" si="16"/>
        <v>0</v>
      </c>
      <c r="I76" s="59">
        <f t="shared" si="16"/>
        <v>0</v>
      </c>
      <c r="J76" s="59">
        <f t="shared" si="16"/>
        <v>0</v>
      </c>
      <c r="K76" s="59">
        <f t="shared" si="16"/>
        <v>0</v>
      </c>
      <c r="L76" s="59">
        <f t="shared" si="16"/>
        <v>0</v>
      </c>
      <c r="M76" s="59">
        <f t="shared" si="16"/>
        <v>0</v>
      </c>
      <c r="N76" s="59">
        <f t="shared" si="16"/>
        <v>0</v>
      </c>
      <c r="O76" s="59">
        <f t="shared" si="16"/>
        <v>0</v>
      </c>
      <c r="P76" s="59">
        <f t="shared" si="16"/>
        <v>0</v>
      </c>
      <c r="Q76" s="59">
        <f t="shared" si="16"/>
        <v>0</v>
      </c>
      <c r="R76" s="59">
        <f t="shared" si="16"/>
        <v>0</v>
      </c>
      <c r="S76" s="59">
        <f t="shared" si="16"/>
        <v>0</v>
      </c>
      <c r="T76" s="59">
        <f t="shared" si="16"/>
        <v>0</v>
      </c>
      <c r="U76" s="59">
        <f t="shared" si="16"/>
        <v>0</v>
      </c>
      <c r="V76" s="59">
        <f t="shared" si="16"/>
        <v>0</v>
      </c>
      <c r="W76" s="59">
        <f t="shared" si="16"/>
        <v>0</v>
      </c>
      <c r="X76" s="59">
        <f t="shared" si="16"/>
        <v>0</v>
      </c>
      <c r="Y76" s="59">
        <f t="shared" si="16"/>
        <v>0</v>
      </c>
      <c r="Z76" s="59">
        <f t="shared" si="16"/>
        <v>0</v>
      </c>
      <c r="AA76" s="59">
        <f t="shared" si="16"/>
        <v>0</v>
      </c>
      <c r="AB76" s="59">
        <f t="shared" si="16"/>
        <v>0</v>
      </c>
      <c r="AC76" s="59">
        <f t="shared" si="16"/>
        <v>0</v>
      </c>
      <c r="AD76" s="59">
        <f t="shared" si="16"/>
        <v>0</v>
      </c>
      <c r="AE76" s="59">
        <f t="shared" si="16"/>
        <v>0</v>
      </c>
      <c r="AF76" s="59">
        <f t="shared" si="16"/>
        <v>0</v>
      </c>
      <c r="AG76" s="90"/>
      <c r="AH76" s="55">
        <f t="shared" si="2"/>
        <v>40.799999999999997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6.9</v>
      </c>
      <c r="C77" s="59">
        <f t="shared" ref="C77:AF77" si="17">IF(C57&lt;0,C57*-1,0)</f>
        <v>46.4</v>
      </c>
      <c r="D77" s="59">
        <f t="shared" si="17"/>
        <v>73.2</v>
      </c>
      <c r="E77" s="59">
        <f t="shared" si="17"/>
        <v>150</v>
      </c>
      <c r="F77" s="59">
        <f t="shared" si="17"/>
        <v>120</v>
      </c>
      <c r="G77" s="59">
        <f t="shared" si="17"/>
        <v>0</v>
      </c>
      <c r="H77" s="59">
        <f t="shared" si="17"/>
        <v>0</v>
      </c>
      <c r="I77" s="59">
        <f t="shared" si="17"/>
        <v>165</v>
      </c>
      <c r="J77" s="59">
        <f t="shared" si="17"/>
        <v>138.4</v>
      </c>
      <c r="K77" s="59">
        <f t="shared" si="17"/>
        <v>48.2</v>
      </c>
      <c r="L77" s="59">
        <f t="shared" si="17"/>
        <v>46.3</v>
      </c>
      <c r="M77" s="59">
        <f t="shared" si="17"/>
        <v>72.3</v>
      </c>
      <c r="N77" s="59">
        <f t="shared" si="17"/>
        <v>64.8</v>
      </c>
      <c r="O77" s="59">
        <f t="shared" si="17"/>
        <v>0</v>
      </c>
      <c r="P77" s="59">
        <f t="shared" si="17"/>
        <v>62</v>
      </c>
      <c r="Q77" s="59">
        <f t="shared" si="17"/>
        <v>59.8</v>
      </c>
      <c r="R77" s="59">
        <f t="shared" si="17"/>
        <v>44.3</v>
      </c>
      <c r="S77" s="59">
        <f t="shared" si="17"/>
        <v>28</v>
      </c>
      <c r="T77" s="59">
        <f t="shared" si="17"/>
        <v>59.1</v>
      </c>
      <c r="U77" s="59">
        <f t="shared" si="17"/>
        <v>54.5</v>
      </c>
      <c r="V77" s="59">
        <f t="shared" si="17"/>
        <v>46.2</v>
      </c>
      <c r="W77" s="59">
        <f t="shared" si="17"/>
        <v>49.9</v>
      </c>
      <c r="X77" s="59">
        <f t="shared" si="17"/>
        <v>23.9</v>
      </c>
      <c r="Y77" s="59">
        <f t="shared" si="17"/>
        <v>26.8</v>
      </c>
      <c r="Z77" s="59">
        <f t="shared" si="17"/>
        <v>45</v>
      </c>
      <c r="AA77" s="59">
        <f t="shared" si="17"/>
        <v>47.2</v>
      </c>
      <c r="AB77" s="59">
        <f t="shared" si="17"/>
        <v>42.6</v>
      </c>
      <c r="AC77" s="59">
        <f t="shared" si="17"/>
        <v>44</v>
      </c>
      <c r="AD77" s="59">
        <f t="shared" si="17"/>
        <v>49</v>
      </c>
      <c r="AE77" s="59">
        <f t="shared" si="17"/>
        <v>53</v>
      </c>
      <c r="AF77" s="59">
        <f t="shared" si="17"/>
        <v>45</v>
      </c>
      <c r="AG77" s="90"/>
      <c r="AH77" s="55">
        <f t="shared" ref="AH77:AH89" si="18">MAX(B77:AF77)</f>
        <v>165</v>
      </c>
      <c r="AI77" s="56">
        <f t="shared" ref="AI77:AI89" si="19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20">IF(C55&lt;0,C55*-1,0)</f>
        <v>0</v>
      </c>
      <c r="D78" s="59">
        <f t="shared" si="20"/>
        <v>0</v>
      </c>
      <c r="E78" s="59">
        <f t="shared" si="20"/>
        <v>0</v>
      </c>
      <c r="F78" s="59">
        <f t="shared" si="20"/>
        <v>0</v>
      </c>
      <c r="G78" s="59">
        <f t="shared" si="20"/>
        <v>0</v>
      </c>
      <c r="H78" s="59">
        <f t="shared" si="20"/>
        <v>0</v>
      </c>
      <c r="I78" s="59">
        <f t="shared" si="20"/>
        <v>0</v>
      </c>
      <c r="J78" s="59">
        <f t="shared" si="20"/>
        <v>0</v>
      </c>
      <c r="K78" s="59">
        <f t="shared" si="20"/>
        <v>0</v>
      </c>
      <c r="L78" s="59">
        <f t="shared" si="20"/>
        <v>0</v>
      </c>
      <c r="M78" s="59">
        <f t="shared" si="20"/>
        <v>0</v>
      </c>
      <c r="N78" s="59">
        <f t="shared" si="20"/>
        <v>0</v>
      </c>
      <c r="O78" s="59">
        <f t="shared" si="20"/>
        <v>0</v>
      </c>
      <c r="P78" s="59">
        <f t="shared" si="20"/>
        <v>0</v>
      </c>
      <c r="Q78" s="59">
        <f t="shared" si="20"/>
        <v>0</v>
      </c>
      <c r="R78" s="59">
        <f t="shared" si="20"/>
        <v>0</v>
      </c>
      <c r="S78" s="59">
        <f t="shared" si="20"/>
        <v>0</v>
      </c>
      <c r="T78" s="59">
        <f t="shared" si="20"/>
        <v>0</v>
      </c>
      <c r="U78" s="59">
        <f t="shared" si="20"/>
        <v>0</v>
      </c>
      <c r="V78" s="59">
        <f t="shared" si="20"/>
        <v>0</v>
      </c>
      <c r="W78" s="59">
        <f t="shared" si="20"/>
        <v>0</v>
      </c>
      <c r="X78" s="59">
        <f t="shared" si="20"/>
        <v>0</v>
      </c>
      <c r="Y78" s="59">
        <f t="shared" si="20"/>
        <v>0</v>
      </c>
      <c r="Z78" s="59">
        <f t="shared" si="20"/>
        <v>0</v>
      </c>
      <c r="AA78" s="59">
        <f t="shared" si="20"/>
        <v>0</v>
      </c>
      <c r="AB78" s="59">
        <f t="shared" si="20"/>
        <v>0</v>
      </c>
      <c r="AC78" s="59">
        <f t="shared" si="20"/>
        <v>0</v>
      </c>
      <c r="AD78" s="59">
        <f t="shared" si="20"/>
        <v>0</v>
      </c>
      <c r="AE78" s="59">
        <f t="shared" si="20"/>
        <v>0</v>
      </c>
      <c r="AF78" s="59">
        <f t="shared" si="20"/>
        <v>0</v>
      </c>
      <c r="AG78" s="90"/>
      <c r="AH78" s="55">
        <f t="shared" si="18"/>
        <v>0</v>
      </c>
      <c r="AI78" s="56">
        <f t="shared" si="1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8"/>
        <v>0</v>
      </c>
      <c r="AI79" s="56">
        <f t="shared" si="1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1">SUM(B74:B79)</f>
        <v>186.6</v>
      </c>
      <c r="C80" s="72">
        <f t="shared" si="21"/>
        <v>225.20000000000002</v>
      </c>
      <c r="D80" s="72">
        <f t="shared" si="21"/>
        <v>252.2</v>
      </c>
      <c r="E80" s="72">
        <f t="shared" si="21"/>
        <v>259</v>
      </c>
      <c r="F80" s="72">
        <f t="shared" si="21"/>
        <v>245.2</v>
      </c>
      <c r="G80" s="72">
        <f t="shared" si="21"/>
        <v>0</v>
      </c>
      <c r="H80" s="72">
        <f t="shared" si="21"/>
        <v>0</v>
      </c>
      <c r="I80" s="72">
        <f t="shared" si="21"/>
        <v>204.9</v>
      </c>
      <c r="J80" s="72">
        <f t="shared" si="21"/>
        <v>177.60000000000002</v>
      </c>
      <c r="K80" s="72">
        <f t="shared" si="21"/>
        <v>87.2</v>
      </c>
      <c r="L80" s="72">
        <f t="shared" si="21"/>
        <v>81.199999999999989</v>
      </c>
      <c r="M80" s="72">
        <f t="shared" si="21"/>
        <v>81.2</v>
      </c>
      <c r="N80" s="72">
        <f t="shared" si="21"/>
        <v>64.8</v>
      </c>
      <c r="O80" s="72">
        <f t="shared" si="21"/>
        <v>0</v>
      </c>
      <c r="P80" s="72">
        <f t="shared" si="21"/>
        <v>62</v>
      </c>
      <c r="Q80" s="72">
        <f t="shared" si="21"/>
        <v>59.8</v>
      </c>
      <c r="R80" s="72">
        <f t="shared" si="21"/>
        <v>44.3</v>
      </c>
      <c r="S80" s="72">
        <f t="shared" si="21"/>
        <v>28</v>
      </c>
      <c r="T80" s="72">
        <f t="shared" si="21"/>
        <v>59.1</v>
      </c>
      <c r="U80" s="72">
        <f t="shared" si="21"/>
        <v>54.5</v>
      </c>
      <c r="V80" s="72">
        <f t="shared" si="21"/>
        <v>46.2</v>
      </c>
      <c r="W80" s="72">
        <f t="shared" si="21"/>
        <v>49.9</v>
      </c>
      <c r="X80" s="72">
        <f t="shared" si="21"/>
        <v>23.9</v>
      </c>
      <c r="Y80" s="72">
        <f t="shared" si="21"/>
        <v>26.8</v>
      </c>
      <c r="Z80" s="72">
        <f t="shared" si="21"/>
        <v>45</v>
      </c>
      <c r="AA80" s="72">
        <f t="shared" si="21"/>
        <v>47.2</v>
      </c>
      <c r="AB80" s="72">
        <f t="shared" si="21"/>
        <v>42.6</v>
      </c>
      <c r="AC80" s="72">
        <f t="shared" si="21"/>
        <v>44</v>
      </c>
      <c r="AD80" s="72">
        <f t="shared" si="21"/>
        <v>49</v>
      </c>
      <c r="AE80" s="72">
        <f t="shared" si="21"/>
        <v>53</v>
      </c>
      <c r="AF80" s="72">
        <f t="shared" si="21"/>
        <v>45</v>
      </c>
      <c r="AG80" s="77">
        <f t="shared" si="21"/>
        <v>0</v>
      </c>
      <c r="AH80" s="55">
        <f t="shared" si="18"/>
        <v>259</v>
      </c>
      <c r="AI80" s="56">
        <f t="shared" si="19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2">SUM(B68:B80)</f>
        <v>2407.48</v>
      </c>
      <c r="C81" s="72">
        <f t="shared" si="22"/>
        <v>2507.48</v>
      </c>
      <c r="D81" s="72">
        <f t="shared" si="22"/>
        <v>2507.4799999999996</v>
      </c>
      <c r="E81" s="72">
        <f t="shared" si="22"/>
        <v>2519.6799999999998</v>
      </c>
      <c r="F81" s="72">
        <f t="shared" si="22"/>
        <v>2406.2799999999997</v>
      </c>
      <c r="G81" s="72">
        <f t="shared" si="22"/>
        <v>798.88</v>
      </c>
      <c r="H81" s="72">
        <f t="shared" si="22"/>
        <v>798.88</v>
      </c>
      <c r="I81" s="72">
        <f t="shared" si="22"/>
        <v>2259.48</v>
      </c>
      <c r="J81" s="72">
        <f t="shared" si="22"/>
        <v>2185.08</v>
      </c>
      <c r="K81" s="72">
        <f t="shared" si="22"/>
        <v>2141.2799999999997</v>
      </c>
      <c r="L81" s="72">
        <f t="shared" si="22"/>
        <v>2196.0800000000004</v>
      </c>
      <c r="M81" s="72">
        <f t="shared" si="22"/>
        <v>2286.88</v>
      </c>
      <c r="N81" s="72">
        <f t="shared" si="22"/>
        <v>2308.4800000000005</v>
      </c>
      <c r="O81" s="72">
        <f t="shared" si="22"/>
        <v>2143.6800000000003</v>
      </c>
      <c r="P81" s="72">
        <f t="shared" si="22"/>
        <v>2196.88</v>
      </c>
      <c r="Q81" s="72">
        <f t="shared" si="22"/>
        <v>2130.6800000000007</v>
      </c>
      <c r="R81" s="72">
        <f t="shared" si="22"/>
        <v>2180.2800000000007</v>
      </c>
      <c r="S81" s="72">
        <f t="shared" si="22"/>
        <v>2059.88</v>
      </c>
      <c r="T81" s="72">
        <f t="shared" si="22"/>
        <v>2061.0800000000004</v>
      </c>
      <c r="U81" s="72">
        <f t="shared" si="22"/>
        <v>2056.48</v>
      </c>
      <c r="V81" s="72">
        <f t="shared" si="22"/>
        <v>2220.4799999999996</v>
      </c>
      <c r="W81" s="72">
        <f t="shared" si="22"/>
        <v>2474.0800000000004</v>
      </c>
      <c r="X81" s="72">
        <f t="shared" si="22"/>
        <v>2444.88</v>
      </c>
      <c r="Y81" s="72">
        <f t="shared" si="22"/>
        <v>2456.0800000000008</v>
      </c>
      <c r="Z81" s="72">
        <f t="shared" si="22"/>
        <v>2463.6800000000003</v>
      </c>
      <c r="AA81" s="72">
        <f t="shared" si="22"/>
        <v>2413.6799999999998</v>
      </c>
      <c r="AB81" s="72">
        <f t="shared" si="22"/>
        <v>2387.2799999999997</v>
      </c>
      <c r="AC81" s="72">
        <f t="shared" si="22"/>
        <v>2263.88</v>
      </c>
      <c r="AD81" s="72">
        <f t="shared" si="22"/>
        <v>2208.08</v>
      </c>
      <c r="AE81" s="72">
        <f t="shared" si="22"/>
        <v>2136.08</v>
      </c>
      <c r="AF81" s="72">
        <f t="shared" si="22"/>
        <v>2094.6800000000003</v>
      </c>
      <c r="AG81" s="77">
        <f t="shared" si="22"/>
        <v>4238.08</v>
      </c>
      <c r="AH81" s="55">
        <f t="shared" si="18"/>
        <v>2519.6799999999998</v>
      </c>
      <c r="AI81" s="56">
        <f t="shared" si="19"/>
        <v>798.88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>
        <v>49.951000000000001</v>
      </c>
      <c r="C82" s="93">
        <v>50.07</v>
      </c>
      <c r="D82" s="93">
        <v>50.024999999999999</v>
      </c>
      <c r="E82" s="93">
        <v>50.015000000000001</v>
      </c>
      <c r="F82" s="93">
        <v>50.034999999999997</v>
      </c>
      <c r="G82" s="93"/>
      <c r="H82" s="93"/>
      <c r="I82" s="93">
        <v>50.048000000000002</v>
      </c>
      <c r="J82" s="93">
        <v>50.030999999999999</v>
      </c>
      <c r="K82" s="93">
        <v>50.05</v>
      </c>
      <c r="L82" s="93">
        <v>49.984000000000002</v>
      </c>
      <c r="M82" s="93">
        <v>50.09</v>
      </c>
      <c r="N82" s="93">
        <v>50.06</v>
      </c>
      <c r="O82" s="93">
        <v>50.04</v>
      </c>
      <c r="P82" s="93">
        <v>50.04</v>
      </c>
      <c r="Q82" s="93">
        <v>49.95</v>
      </c>
      <c r="R82" s="93">
        <v>50.042000000000002</v>
      </c>
      <c r="S82" s="93">
        <v>50.006999999999998</v>
      </c>
      <c r="T82" s="93">
        <v>50.034999999999997</v>
      </c>
      <c r="U82" s="93">
        <v>49.832999999999998</v>
      </c>
      <c r="V82" s="93">
        <v>50.033999999999999</v>
      </c>
      <c r="W82" s="93">
        <v>49.970999999999997</v>
      </c>
      <c r="X82" s="93">
        <v>50.048999999999999</v>
      </c>
      <c r="Y82" s="93">
        <v>50.027000000000001</v>
      </c>
      <c r="Z82" s="93">
        <v>50.064999999999998</v>
      </c>
      <c r="AA82" s="93">
        <v>50</v>
      </c>
      <c r="AB82" s="93">
        <v>50.033000000000001</v>
      </c>
      <c r="AC82" s="93">
        <v>50.033999999999999</v>
      </c>
      <c r="AD82" s="93">
        <v>50</v>
      </c>
      <c r="AE82" s="93">
        <v>49.96</v>
      </c>
      <c r="AF82" s="94">
        <v>50.05</v>
      </c>
      <c r="AG82" s="95"/>
      <c r="AH82" s="55">
        <f t="shared" si="18"/>
        <v>50.09</v>
      </c>
      <c r="AI82" s="56">
        <f t="shared" si="19"/>
        <v>49.832999999999998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>
        <v>123.5</v>
      </c>
      <c r="C83" s="52">
        <v>123.3</v>
      </c>
      <c r="D83" s="52">
        <v>123.9</v>
      </c>
      <c r="E83" s="52">
        <v>122.6</v>
      </c>
      <c r="F83" s="52">
        <v>122.5</v>
      </c>
      <c r="G83" s="52"/>
      <c r="H83" s="52"/>
      <c r="I83" s="52">
        <v>123.9</v>
      </c>
      <c r="J83" s="52">
        <v>123</v>
      </c>
      <c r="K83" s="52">
        <v>123.1</v>
      </c>
      <c r="L83" s="52">
        <v>122</v>
      </c>
      <c r="M83" s="52">
        <v>120.8</v>
      </c>
      <c r="N83" s="52">
        <v>122.2</v>
      </c>
      <c r="O83" s="52">
        <v>119.7</v>
      </c>
      <c r="P83" s="52">
        <v>120.6</v>
      </c>
      <c r="Q83" s="52">
        <v>121</v>
      </c>
      <c r="R83" s="52">
        <v>120.7</v>
      </c>
      <c r="S83" s="52">
        <v>121.8</v>
      </c>
      <c r="T83" s="97">
        <v>123</v>
      </c>
      <c r="U83" s="97">
        <v>122.4</v>
      </c>
      <c r="V83" s="97">
        <v>123.5</v>
      </c>
      <c r="W83" s="97">
        <v>123</v>
      </c>
      <c r="X83" s="97">
        <v>123.4</v>
      </c>
      <c r="Y83" s="97">
        <v>122</v>
      </c>
      <c r="Z83" s="97">
        <v>122.1</v>
      </c>
      <c r="AA83" s="52">
        <v>122.1</v>
      </c>
      <c r="AB83" s="52">
        <v>121.2</v>
      </c>
      <c r="AC83" s="52">
        <v>122.7</v>
      </c>
      <c r="AD83" s="52">
        <v>121.8</v>
      </c>
      <c r="AE83" s="52">
        <v>122.2</v>
      </c>
      <c r="AF83" s="98">
        <v>122.1</v>
      </c>
      <c r="AG83" s="99"/>
      <c r="AH83" s="55">
        <f t="shared" si="18"/>
        <v>123.9</v>
      </c>
      <c r="AI83" s="56">
        <f t="shared" si="19"/>
        <v>119.7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>
        <v>129.30000000000001</v>
      </c>
      <c r="C84" s="52">
        <v>129.4</v>
      </c>
      <c r="D84" s="52">
        <v>129.4</v>
      </c>
      <c r="E84" s="52">
        <v>128.80000000000001</v>
      </c>
      <c r="F84" s="52">
        <v>128.6</v>
      </c>
      <c r="G84" s="52"/>
      <c r="H84" s="52"/>
      <c r="I84" s="52">
        <v>131.19999999999999</v>
      </c>
      <c r="J84" s="52">
        <v>127.8</v>
      </c>
      <c r="K84" s="52">
        <v>127.8</v>
      </c>
      <c r="L84" s="52">
        <v>127.6</v>
      </c>
      <c r="M84" s="52">
        <v>126.5</v>
      </c>
      <c r="N84" s="52">
        <v>127.8</v>
      </c>
      <c r="O84" s="52">
        <v>126</v>
      </c>
      <c r="P84" s="52">
        <v>127.2</v>
      </c>
      <c r="Q84" s="52">
        <v>127.7</v>
      </c>
      <c r="R84" s="52">
        <v>127.7</v>
      </c>
      <c r="S84" s="52">
        <v>128.19999999999999</v>
      </c>
      <c r="T84" s="97">
        <v>128.80000000000001</v>
      </c>
      <c r="U84" s="97">
        <v>128.4</v>
      </c>
      <c r="V84" s="97">
        <v>128.80000000000001</v>
      </c>
      <c r="W84" s="97">
        <v>128.6</v>
      </c>
      <c r="X84" s="97">
        <v>128.80000000000001</v>
      </c>
      <c r="Y84" s="97">
        <v>128.19999999999999</v>
      </c>
      <c r="Z84" s="97">
        <v>128.19999999999999</v>
      </c>
      <c r="AA84" s="52">
        <v>128.5</v>
      </c>
      <c r="AB84" s="52">
        <v>128</v>
      </c>
      <c r="AC84" s="52">
        <v>129</v>
      </c>
      <c r="AD84" s="52">
        <v>128.69999999999999</v>
      </c>
      <c r="AE84" s="52">
        <v>128.69999999999999</v>
      </c>
      <c r="AF84" s="98">
        <v>128.80000000000001</v>
      </c>
      <c r="AG84" s="99"/>
      <c r="AH84" s="55">
        <f t="shared" si="18"/>
        <v>131.19999999999999</v>
      </c>
      <c r="AI84" s="56">
        <f t="shared" si="19"/>
        <v>126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>
        <v>128</v>
      </c>
      <c r="C85" s="52">
        <v>129.9</v>
      </c>
      <c r="D85" s="52">
        <v>131.6</v>
      </c>
      <c r="E85" s="52">
        <v>130.1</v>
      </c>
      <c r="F85" s="52">
        <v>132.6</v>
      </c>
      <c r="G85" s="52"/>
      <c r="H85" s="52"/>
      <c r="I85" s="52">
        <v>135.19999999999999</v>
      </c>
      <c r="J85" s="52">
        <v>131.9</v>
      </c>
      <c r="K85" s="52">
        <v>128.69999999999999</v>
      </c>
      <c r="L85" s="52">
        <v>128.4</v>
      </c>
      <c r="M85" s="52">
        <v>130.6</v>
      </c>
      <c r="N85" s="52">
        <v>126.9</v>
      </c>
      <c r="O85" s="52">
        <v>127.1</v>
      </c>
      <c r="P85" s="52">
        <v>129.1</v>
      </c>
      <c r="Q85" s="52">
        <v>130</v>
      </c>
      <c r="R85" s="52">
        <v>127.8</v>
      </c>
      <c r="S85" s="52">
        <v>131</v>
      </c>
      <c r="T85" s="52">
        <v>129.5</v>
      </c>
      <c r="U85" s="52">
        <v>129.5</v>
      </c>
      <c r="V85" s="52">
        <v>129.69999999999999</v>
      </c>
      <c r="W85" s="97">
        <v>127.7</v>
      </c>
      <c r="X85" s="97">
        <v>128.9</v>
      </c>
      <c r="Y85" s="97">
        <v>129.6</v>
      </c>
      <c r="Z85" s="97">
        <v>129.69999999999999</v>
      </c>
      <c r="AA85" s="52">
        <v>129</v>
      </c>
      <c r="AB85" s="52">
        <v>128.69999999999999</v>
      </c>
      <c r="AC85" s="52">
        <v>129.9</v>
      </c>
      <c r="AD85" s="52">
        <v>129.4</v>
      </c>
      <c r="AE85" s="52">
        <v>128</v>
      </c>
      <c r="AF85" s="98">
        <v>128.4</v>
      </c>
      <c r="AG85" s="99"/>
      <c r="AH85" s="55">
        <f t="shared" si="18"/>
        <v>135.19999999999999</v>
      </c>
      <c r="AI85" s="56">
        <f t="shared" si="19"/>
        <v>126.9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>
        <v>131.6</v>
      </c>
      <c r="C86" s="52">
        <v>132.30000000000001</v>
      </c>
      <c r="D86" s="52">
        <v>136.1</v>
      </c>
      <c r="E86" s="52">
        <v>134.1</v>
      </c>
      <c r="F86" s="52">
        <v>135</v>
      </c>
      <c r="G86" s="52"/>
      <c r="H86" s="52"/>
      <c r="I86" s="52">
        <v>131.5</v>
      </c>
      <c r="J86" s="52">
        <v>135</v>
      </c>
      <c r="K86" s="52">
        <v>132.30000000000001</v>
      </c>
      <c r="L86" s="52">
        <v>132.30000000000001</v>
      </c>
      <c r="M86" s="52">
        <v>134.5</v>
      </c>
      <c r="N86" s="52">
        <v>131.4</v>
      </c>
      <c r="O86" s="52">
        <v>131.80000000000001</v>
      </c>
      <c r="P86" s="52">
        <v>134.80000000000001</v>
      </c>
      <c r="Q86" s="52">
        <v>134.5</v>
      </c>
      <c r="R86" s="52">
        <v>132.6</v>
      </c>
      <c r="S86" s="52">
        <v>134.6</v>
      </c>
      <c r="T86" s="52">
        <v>133.9</v>
      </c>
      <c r="U86" s="52">
        <v>133.9</v>
      </c>
      <c r="V86" s="52">
        <v>133.19999999999999</v>
      </c>
      <c r="W86" s="97">
        <v>131.1</v>
      </c>
      <c r="X86" s="97">
        <v>132.4</v>
      </c>
      <c r="Y86" s="97">
        <v>132.9</v>
      </c>
      <c r="Z86" s="97">
        <v>133.1</v>
      </c>
      <c r="AA86" s="52">
        <v>133.80000000000001</v>
      </c>
      <c r="AB86" s="52">
        <v>133.1</v>
      </c>
      <c r="AC86" s="52">
        <v>134.30000000000001</v>
      </c>
      <c r="AD86" s="52">
        <v>131.69999999999999</v>
      </c>
      <c r="AE86" s="52">
        <v>131.19999999999999</v>
      </c>
      <c r="AF86" s="98">
        <v>132.1</v>
      </c>
      <c r="AG86" s="99"/>
      <c r="AH86" s="55">
        <f t="shared" si="18"/>
        <v>136.1</v>
      </c>
      <c r="AI86" s="56">
        <f t="shared" si="19"/>
        <v>131.1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>
        <v>131.4</v>
      </c>
      <c r="C87" s="101">
        <v>132.1</v>
      </c>
      <c r="D87" s="101">
        <v>132.69999999999999</v>
      </c>
      <c r="E87" s="101">
        <v>133.80000000000001</v>
      </c>
      <c r="F87" s="101">
        <v>135.69999999999999</v>
      </c>
      <c r="G87" s="101"/>
      <c r="H87" s="101"/>
      <c r="I87" s="101">
        <v>130</v>
      </c>
      <c r="J87" s="101">
        <v>131.30000000000001</v>
      </c>
      <c r="K87" s="101">
        <v>133.9</v>
      </c>
      <c r="L87" s="101">
        <v>133.19999999999999</v>
      </c>
      <c r="M87" s="101">
        <v>132.4</v>
      </c>
      <c r="N87" s="101">
        <v>131.69999999999999</v>
      </c>
      <c r="O87" s="101">
        <v>133.4</v>
      </c>
      <c r="P87" s="101">
        <v>135.19999999999999</v>
      </c>
      <c r="Q87" s="101">
        <v>134.9</v>
      </c>
      <c r="R87" s="101">
        <v>135.80000000000001</v>
      </c>
      <c r="S87" s="101">
        <v>133.80000000000001</v>
      </c>
      <c r="T87" s="101">
        <v>132.9</v>
      </c>
      <c r="U87" s="101">
        <v>132.9</v>
      </c>
      <c r="V87" s="101">
        <v>133.30000000000001</v>
      </c>
      <c r="W87" s="97">
        <v>136</v>
      </c>
      <c r="X87" s="97">
        <v>133.6</v>
      </c>
      <c r="Y87" s="97">
        <v>133</v>
      </c>
      <c r="Z87" s="97">
        <v>134.1</v>
      </c>
      <c r="AA87" s="101">
        <v>133.5</v>
      </c>
      <c r="AB87" s="101">
        <v>134</v>
      </c>
      <c r="AC87" s="101">
        <v>134.30000000000001</v>
      </c>
      <c r="AD87" s="101">
        <v>132.1</v>
      </c>
      <c r="AE87" s="101">
        <v>131.1</v>
      </c>
      <c r="AF87" s="102">
        <v>132.5</v>
      </c>
      <c r="AG87" s="103"/>
      <c r="AH87" s="55">
        <f t="shared" si="18"/>
        <v>136</v>
      </c>
      <c r="AI87" s="56">
        <f t="shared" si="19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>
        <v>133.1</v>
      </c>
      <c r="C88" s="52">
        <v>133.1</v>
      </c>
      <c r="D88" s="52">
        <v>134.6</v>
      </c>
      <c r="E88" s="52">
        <v>134</v>
      </c>
      <c r="F88" s="52">
        <v>135.9</v>
      </c>
      <c r="G88" s="52"/>
      <c r="H88" s="52"/>
      <c r="I88" s="52">
        <v>130.19999999999999</v>
      </c>
      <c r="J88" s="52">
        <v>129.6</v>
      </c>
      <c r="K88" s="52">
        <v>129.5</v>
      </c>
      <c r="L88" s="52">
        <v>129</v>
      </c>
      <c r="M88" s="52">
        <v>128.5</v>
      </c>
      <c r="N88" s="52">
        <v>128.9</v>
      </c>
      <c r="O88" s="52">
        <v>130.30000000000001</v>
      </c>
      <c r="P88" s="52">
        <v>135.6</v>
      </c>
      <c r="Q88" s="52">
        <v>134.9</v>
      </c>
      <c r="R88" s="52">
        <v>139.9</v>
      </c>
      <c r="S88" s="52">
        <v>133.19999999999999</v>
      </c>
      <c r="T88" s="52">
        <v>132.19999999999999</v>
      </c>
      <c r="U88" s="52">
        <v>132.19999999999999</v>
      </c>
      <c r="V88" s="52">
        <v>132.6</v>
      </c>
      <c r="W88" s="97">
        <v>133.5</v>
      </c>
      <c r="X88" s="97">
        <v>131.80000000000001</v>
      </c>
      <c r="Y88" s="97">
        <v>129.80000000000001</v>
      </c>
      <c r="Z88" s="97">
        <v>131.80000000000001</v>
      </c>
      <c r="AA88" s="52">
        <v>133.30000000000001</v>
      </c>
      <c r="AB88" s="52">
        <v>134.6</v>
      </c>
      <c r="AC88" s="52">
        <v>136.4</v>
      </c>
      <c r="AD88" s="52">
        <v>132.19999999999999</v>
      </c>
      <c r="AE88" s="52">
        <v>132.6</v>
      </c>
      <c r="AF88" s="98">
        <v>133.69999999999999</v>
      </c>
      <c r="AG88" s="99"/>
      <c r="AH88" s="55">
        <f t="shared" si="18"/>
        <v>139.9</v>
      </c>
      <c r="AI88" s="56">
        <f t="shared" si="19"/>
        <v>128.5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>
        <v>66.3</v>
      </c>
      <c r="C89" s="104">
        <v>66.400000000000006</v>
      </c>
      <c r="D89" s="104">
        <v>66.5</v>
      </c>
      <c r="E89" s="104">
        <v>66.2</v>
      </c>
      <c r="F89" s="104">
        <v>66</v>
      </c>
      <c r="G89" s="104"/>
      <c r="H89" s="104"/>
      <c r="I89" s="104">
        <v>66.3</v>
      </c>
      <c r="J89" s="104">
        <v>65.400000000000006</v>
      </c>
      <c r="K89" s="104">
        <v>65.8</v>
      </c>
      <c r="L89" s="104">
        <v>65.400000000000006</v>
      </c>
      <c r="M89" s="104">
        <v>64.900000000000006</v>
      </c>
      <c r="N89" s="104">
        <v>65.5</v>
      </c>
      <c r="O89" s="104">
        <v>64.5</v>
      </c>
      <c r="P89" s="104">
        <v>127.5</v>
      </c>
      <c r="Q89" s="104">
        <v>65.099999999999994</v>
      </c>
      <c r="R89" s="104">
        <v>65.3</v>
      </c>
      <c r="S89" s="104">
        <v>65.400000000000006</v>
      </c>
      <c r="T89" s="104">
        <v>65.5</v>
      </c>
      <c r="U89" s="104">
        <v>65.5</v>
      </c>
      <c r="V89" s="104">
        <v>65.8</v>
      </c>
      <c r="W89" s="104">
        <v>65.7</v>
      </c>
      <c r="X89" s="104">
        <v>65.900000000000006</v>
      </c>
      <c r="Y89" s="104">
        <v>65.400000000000006</v>
      </c>
      <c r="Z89" s="104">
        <v>65.8</v>
      </c>
      <c r="AA89" s="104">
        <v>65.8</v>
      </c>
      <c r="AB89" s="104">
        <v>65.7</v>
      </c>
      <c r="AC89" s="104">
        <v>66</v>
      </c>
      <c r="AD89" s="104">
        <v>65.8</v>
      </c>
      <c r="AE89" s="104">
        <v>65.900000000000006</v>
      </c>
      <c r="AF89" s="105">
        <v>65.8</v>
      </c>
      <c r="AG89" s="106"/>
      <c r="AH89" s="55">
        <f t="shared" si="18"/>
        <v>127.5</v>
      </c>
      <c r="AI89" s="56">
        <f t="shared" si="19"/>
        <v>64.5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123.13999999999997</v>
      </c>
      <c r="C91" s="178">
        <f t="shared" ref="C91:AF91" si="23">SUM(C14,C17,C20:C21,C40,C42:C43,C45,C47,C92:C95,C100,C106,C112,C121,C123,C135,C142,C145:C146,C153,C155,C157,C161:C163,C165:C167,C172,C178:C179,C181:C183,C191,C196)</f>
        <v>129.03999999999994</v>
      </c>
      <c r="D91" s="178">
        <f t="shared" si="23"/>
        <v>122.83999999999999</v>
      </c>
      <c r="E91" s="178">
        <f t="shared" si="23"/>
        <v>129.33999999999995</v>
      </c>
      <c r="F91" s="111">
        <f t="shared" si="23"/>
        <v>150.83999999999997</v>
      </c>
      <c r="G91" s="111">
        <f t="shared" si="23"/>
        <v>80.540000000000006</v>
      </c>
      <c r="H91" s="111">
        <f t="shared" si="23"/>
        <v>80.540000000000006</v>
      </c>
      <c r="I91" s="111">
        <f t="shared" si="23"/>
        <v>173.44</v>
      </c>
      <c r="J91" s="111">
        <f t="shared" si="23"/>
        <v>184.83999999999997</v>
      </c>
      <c r="K91" s="111">
        <f t="shared" si="23"/>
        <v>221.03999999999996</v>
      </c>
      <c r="L91" s="111">
        <f t="shared" si="23"/>
        <v>226.03999999999996</v>
      </c>
      <c r="M91" s="111">
        <f t="shared" si="23"/>
        <v>216.53999999999996</v>
      </c>
      <c r="N91" s="111">
        <f t="shared" si="23"/>
        <v>205.93999999999997</v>
      </c>
      <c r="O91" s="111">
        <f t="shared" si="23"/>
        <v>203.43999999999994</v>
      </c>
      <c r="P91" s="111">
        <f t="shared" si="23"/>
        <v>209.83999999999995</v>
      </c>
      <c r="Q91" s="111">
        <f t="shared" si="23"/>
        <v>180.93999999999994</v>
      </c>
      <c r="R91" s="111">
        <f t="shared" si="23"/>
        <v>211.64</v>
      </c>
      <c r="S91" s="111">
        <f t="shared" si="23"/>
        <v>191.33999999999997</v>
      </c>
      <c r="T91" s="111">
        <f t="shared" si="23"/>
        <v>196.53999999999996</v>
      </c>
      <c r="U91" s="111">
        <f t="shared" si="23"/>
        <v>214.24</v>
      </c>
      <c r="V91" s="111">
        <f t="shared" si="23"/>
        <v>230.73999999999998</v>
      </c>
      <c r="W91" s="111">
        <f t="shared" si="23"/>
        <v>276.94</v>
      </c>
      <c r="X91" s="111">
        <f t="shared" si="23"/>
        <v>260.54000000000008</v>
      </c>
      <c r="Y91" s="111">
        <f t="shared" si="23"/>
        <v>254.53999999999996</v>
      </c>
      <c r="Z91" s="111">
        <f t="shared" si="23"/>
        <v>248.14</v>
      </c>
      <c r="AA91" s="111">
        <f t="shared" si="23"/>
        <v>214.73999999999998</v>
      </c>
      <c r="AB91" s="111">
        <f t="shared" si="23"/>
        <v>213.03999999999996</v>
      </c>
      <c r="AC91" s="111">
        <f t="shared" si="23"/>
        <v>191.33999999999995</v>
      </c>
      <c r="AD91" s="111">
        <f t="shared" si="23"/>
        <v>158.53999999999996</v>
      </c>
      <c r="AE91" s="111">
        <f t="shared" si="23"/>
        <v>146.63999999999999</v>
      </c>
      <c r="AF91" s="111">
        <f t="shared" si="23"/>
        <v>127.24</v>
      </c>
      <c r="AG91" s="112"/>
      <c r="AH91" s="55">
        <f>MAX(B91:AF91)</f>
        <v>276.94</v>
      </c>
      <c r="AI91" s="56">
        <f>MIN(B91:AF91)</f>
        <v>80.540000000000006</v>
      </c>
    </row>
    <row r="92" spans="1:88" x14ac:dyDescent="0.25">
      <c r="A92" s="113" t="s">
        <v>95</v>
      </c>
      <c r="B92" s="59">
        <v>12.9</v>
      </c>
      <c r="C92" s="59">
        <v>11.2</v>
      </c>
      <c r="D92" s="59">
        <v>11.9</v>
      </c>
      <c r="E92" s="59">
        <v>23.7</v>
      </c>
      <c r="F92" s="114">
        <v>21.5</v>
      </c>
      <c r="G92" s="114"/>
      <c r="H92" s="114"/>
      <c r="I92" s="114">
        <v>51.1</v>
      </c>
      <c r="J92" s="114">
        <v>37.1</v>
      </c>
      <c r="K92" s="114">
        <v>27</v>
      </c>
      <c r="L92" s="115">
        <v>32.299999999999997</v>
      </c>
      <c r="M92" s="115">
        <v>40.4</v>
      </c>
      <c r="N92" s="115">
        <v>40.299999999999997</v>
      </c>
      <c r="O92" s="115">
        <v>42.3</v>
      </c>
      <c r="P92" s="114">
        <v>51.2</v>
      </c>
      <c r="Q92" s="114">
        <v>36</v>
      </c>
      <c r="R92" s="114">
        <v>53.3</v>
      </c>
      <c r="S92" s="114">
        <v>30.1</v>
      </c>
      <c r="T92" s="115">
        <v>53.4</v>
      </c>
      <c r="U92" s="115">
        <v>53.4</v>
      </c>
      <c r="V92" s="115">
        <v>51.5</v>
      </c>
      <c r="W92" s="114">
        <v>57.5</v>
      </c>
      <c r="X92" s="114">
        <v>63</v>
      </c>
      <c r="Y92" s="114">
        <v>53.7</v>
      </c>
      <c r="Z92" s="114">
        <v>58.6</v>
      </c>
      <c r="AA92" s="115">
        <v>59.6</v>
      </c>
      <c r="AB92" s="115">
        <v>65.7</v>
      </c>
      <c r="AC92" s="115">
        <v>55.1</v>
      </c>
      <c r="AD92" s="115">
        <v>44.2</v>
      </c>
      <c r="AE92" s="115">
        <v>39.6</v>
      </c>
      <c r="AF92" s="116">
        <v>40.700000000000003</v>
      </c>
      <c r="AG92" s="117">
        <v>75</v>
      </c>
      <c r="AH92" s="55">
        <f t="shared" ref="AH92:AH97" si="24">IF(ABS(MAX(B92:AF92))&gt;ABS(MIN(B92:AF92)),MAX(B92:AF92),MIN(B92:AF92))</f>
        <v>65.7</v>
      </c>
      <c r="AI92" s="118">
        <f t="shared" ref="AI92:AI97" si="25">INDEX($B$9:$AF$9,1,MATCH(AH92,B92:AF92,0))</f>
        <v>0.85416666666666663</v>
      </c>
    </row>
    <row r="93" spans="1:88" x14ac:dyDescent="0.25">
      <c r="A93" s="119" t="s">
        <v>96</v>
      </c>
      <c r="B93" s="61">
        <v>-108.9</v>
      </c>
      <c r="C93" s="61">
        <v>-119.3</v>
      </c>
      <c r="D93" s="61">
        <v>-109.3</v>
      </c>
      <c r="E93" s="61">
        <v>-124</v>
      </c>
      <c r="F93" s="61">
        <v>-114.5</v>
      </c>
      <c r="G93" s="61"/>
      <c r="H93" s="61"/>
      <c r="I93" s="61">
        <v>-82</v>
      </c>
      <c r="J93" s="61">
        <v>-86.5</v>
      </c>
      <c r="K93" s="61">
        <v>-84.6</v>
      </c>
      <c r="L93" s="61">
        <v>-85.6</v>
      </c>
      <c r="M93" s="61">
        <f>-39.3-50.3</f>
        <v>-89.6</v>
      </c>
      <c r="N93" s="61">
        <f>-35.5-48.1</f>
        <v>-83.6</v>
      </c>
      <c r="O93" s="61">
        <f>-46.7-58</f>
        <v>-104.7</v>
      </c>
      <c r="P93" s="61">
        <v>-99</v>
      </c>
      <c r="Q93" s="61">
        <f>-48.6-57.9</f>
        <v>-106.5</v>
      </c>
      <c r="R93" s="61">
        <v>-102</v>
      </c>
      <c r="S93" s="61">
        <v>-110</v>
      </c>
      <c r="T93" s="61">
        <v>-89.6</v>
      </c>
      <c r="U93" s="61">
        <v>-89.6</v>
      </c>
      <c r="V93" s="61">
        <v>-96</v>
      </c>
      <c r="W93" s="61">
        <v>-76</v>
      </c>
      <c r="X93" s="61">
        <v>-74</v>
      </c>
      <c r="Y93" s="61">
        <v>-94</v>
      </c>
      <c r="Z93" s="61">
        <v>-96.8</v>
      </c>
      <c r="AA93" s="52">
        <v>-100.9</v>
      </c>
      <c r="AB93" s="52">
        <v>-98.5</v>
      </c>
      <c r="AC93" s="52">
        <v>-98</v>
      </c>
      <c r="AD93" s="52">
        <f>-48.6-58.7</f>
        <v>-107.30000000000001</v>
      </c>
      <c r="AE93" s="52">
        <f>-47.9-57.3</f>
        <v>-105.19999999999999</v>
      </c>
      <c r="AF93" s="120">
        <f>-52.4-61.8</f>
        <v>-114.19999999999999</v>
      </c>
      <c r="AG93" s="117">
        <v>240</v>
      </c>
      <c r="AH93" s="55">
        <f t="shared" si="24"/>
        <v>-124</v>
      </c>
      <c r="AI93" s="118">
        <f t="shared" si="25"/>
        <v>0.16666666666666699</v>
      </c>
    </row>
    <row r="94" spans="1:88" x14ac:dyDescent="0.25">
      <c r="A94" s="119" t="s">
        <v>97</v>
      </c>
      <c r="B94" s="61">
        <v>20</v>
      </c>
      <c r="C94" s="61">
        <v>15.1</v>
      </c>
      <c r="D94" s="61">
        <v>16.7</v>
      </c>
      <c r="E94" s="61">
        <v>2.9</v>
      </c>
      <c r="F94" s="61">
        <v>1.2</v>
      </c>
      <c r="G94" s="61"/>
      <c r="H94" s="61"/>
      <c r="I94" s="61">
        <v>-2.2999999999999998</v>
      </c>
      <c r="J94" s="61">
        <v>2.4</v>
      </c>
      <c r="K94" s="61">
        <v>2.9</v>
      </c>
      <c r="L94" s="61">
        <v>3.2</v>
      </c>
      <c r="M94" s="61">
        <v>11.1</v>
      </c>
      <c r="N94" s="61">
        <v>17.100000000000001</v>
      </c>
      <c r="O94" s="61">
        <v>1.6</v>
      </c>
      <c r="P94" s="61">
        <v>-4.0999999999999996</v>
      </c>
      <c r="Q94" s="61">
        <v>-7.7</v>
      </c>
      <c r="R94" s="61">
        <v>-8.6999999999999993</v>
      </c>
      <c r="S94" s="61">
        <v>-3.7</v>
      </c>
      <c r="T94" s="61">
        <v>-10.7</v>
      </c>
      <c r="U94" s="61">
        <v>-10.7</v>
      </c>
      <c r="V94" s="61">
        <v>-1.2</v>
      </c>
      <c r="W94" s="61">
        <v>15.8</v>
      </c>
      <c r="X94" s="61">
        <v>13.8</v>
      </c>
      <c r="Y94" s="61">
        <v>6.6</v>
      </c>
      <c r="Z94" s="61">
        <v>-5.4</v>
      </c>
      <c r="AA94" s="52">
        <v>-4.8</v>
      </c>
      <c r="AB94" s="52">
        <v>-4.9000000000000004</v>
      </c>
      <c r="AC94" s="52">
        <v>-5.3</v>
      </c>
      <c r="AD94" s="52">
        <v>-12.1</v>
      </c>
      <c r="AE94" s="52">
        <v>-18.3</v>
      </c>
      <c r="AF94" s="120">
        <v>-18.399999999999999</v>
      </c>
      <c r="AG94" s="117">
        <v>60</v>
      </c>
      <c r="AH94" s="55">
        <f t="shared" si="24"/>
        <v>20</v>
      </c>
      <c r="AI94" s="118">
        <f t="shared" si="25"/>
        <v>4.1666666666666664E-2</v>
      </c>
    </row>
    <row r="95" spans="1:88" x14ac:dyDescent="0.25">
      <c r="A95" s="121" t="s">
        <v>98</v>
      </c>
      <c r="B95" s="84">
        <v>13.4</v>
      </c>
      <c r="C95" s="84">
        <v>36.299999999999997</v>
      </c>
      <c r="D95" s="84">
        <v>17.8</v>
      </c>
      <c r="E95" s="84">
        <v>27</v>
      </c>
      <c r="F95" s="84">
        <v>40</v>
      </c>
      <c r="G95" s="84"/>
      <c r="H95" s="84"/>
      <c r="I95" s="84">
        <v>24</v>
      </c>
      <c r="J95" s="84">
        <v>49.2</v>
      </c>
      <c r="K95" s="84">
        <v>80</v>
      </c>
      <c r="L95" s="84">
        <v>69.5</v>
      </c>
      <c r="M95" s="84">
        <v>52.2</v>
      </c>
      <c r="N95" s="84">
        <v>29.4</v>
      </c>
      <c r="O95" s="84">
        <v>62.3</v>
      </c>
      <c r="P95" s="84">
        <v>45.5</v>
      </c>
      <c r="Q95" s="84">
        <v>47</v>
      </c>
      <c r="R95" s="84">
        <v>40.299999999999997</v>
      </c>
      <c r="S95" s="84">
        <v>46.5</v>
      </c>
      <c r="T95" s="84">
        <v>34.799999999999997</v>
      </c>
      <c r="U95" s="84">
        <v>34.799999999999997</v>
      </c>
      <c r="V95" s="84">
        <v>46.1</v>
      </c>
      <c r="W95" s="84">
        <v>40.6</v>
      </c>
      <c r="X95" s="84">
        <v>18.7</v>
      </c>
      <c r="Y95" s="84">
        <v>49.2</v>
      </c>
      <c r="Z95" s="84">
        <v>52.7</v>
      </c>
      <c r="AA95" s="122">
        <v>23</v>
      </c>
      <c r="AB95" s="122">
        <v>23.6</v>
      </c>
      <c r="AC95" s="122">
        <v>12.3</v>
      </c>
      <c r="AD95" s="122">
        <v>17.899999999999999</v>
      </c>
      <c r="AE95" s="122">
        <v>23.6</v>
      </c>
      <c r="AF95" s="123">
        <v>12.3</v>
      </c>
      <c r="AG95" s="124">
        <v>120</v>
      </c>
      <c r="AH95" s="55">
        <f t="shared" si="24"/>
        <v>80</v>
      </c>
      <c r="AI95" s="118">
        <f t="shared" si="25"/>
        <v>0.3125</v>
      </c>
    </row>
    <row r="96" spans="1:88" x14ac:dyDescent="0.25">
      <c r="A96" s="121" t="s">
        <v>99</v>
      </c>
      <c r="B96" s="84">
        <v>0</v>
      </c>
      <c r="C96" s="84">
        <v>0</v>
      </c>
      <c r="D96" s="84">
        <v>0</v>
      </c>
      <c r="E96" s="84">
        <v>0</v>
      </c>
      <c r="F96" s="84">
        <v>0</v>
      </c>
      <c r="G96" s="84"/>
      <c r="H96" s="84"/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  <c r="V96" s="84">
        <v>0</v>
      </c>
      <c r="W96" s="84">
        <v>0</v>
      </c>
      <c r="X96" s="84">
        <v>0</v>
      </c>
      <c r="Y96" s="84">
        <v>0</v>
      </c>
      <c r="Z96" s="84">
        <v>0</v>
      </c>
      <c r="AA96" s="122">
        <v>0</v>
      </c>
      <c r="AB96" s="122">
        <v>0</v>
      </c>
      <c r="AC96" s="122">
        <v>0</v>
      </c>
      <c r="AD96" s="122">
        <v>0</v>
      </c>
      <c r="AE96" s="122">
        <v>0</v>
      </c>
      <c r="AF96" s="123">
        <v>0</v>
      </c>
      <c r="AG96" s="124"/>
      <c r="AH96" s="55">
        <f t="shared" si="24"/>
        <v>0</v>
      </c>
      <c r="AI96" s="118">
        <f t="shared" si="25"/>
        <v>4.1666666666666664E-2</v>
      </c>
    </row>
    <row r="97" spans="1:37" ht="15.75" thickBot="1" x14ac:dyDescent="0.3">
      <c r="A97" s="121" t="s">
        <v>100</v>
      </c>
      <c r="B97" s="84">
        <v>43.9</v>
      </c>
      <c r="C97" s="84">
        <v>54.1</v>
      </c>
      <c r="D97" s="84">
        <v>45.5</v>
      </c>
      <c r="E97" s="84">
        <v>46</v>
      </c>
      <c r="F97" s="84">
        <v>46</v>
      </c>
      <c r="G97" s="84"/>
      <c r="H97" s="84"/>
      <c r="I97" s="84">
        <v>20.9</v>
      </c>
      <c r="J97" s="84">
        <v>21.4</v>
      </c>
      <c r="K97" s="84">
        <v>-3.2</v>
      </c>
      <c r="L97" s="84">
        <v>0</v>
      </c>
      <c r="M97" s="84">
        <v>7.7</v>
      </c>
      <c r="N97" s="84">
        <v>5.4</v>
      </c>
      <c r="O97" s="84">
        <v>-13.3</v>
      </c>
      <c r="P97" s="84">
        <v>-21.8</v>
      </c>
      <c r="Q97" s="84">
        <v>-25.2</v>
      </c>
      <c r="R97" s="84">
        <v>-10</v>
      </c>
      <c r="S97" s="84">
        <v>23.6</v>
      </c>
      <c r="T97" s="84">
        <v>20.6</v>
      </c>
      <c r="U97" s="84">
        <v>20.6</v>
      </c>
      <c r="V97" s="84">
        <v>16.3</v>
      </c>
      <c r="W97" s="84">
        <v>9.1999999999999993</v>
      </c>
      <c r="X97" s="84">
        <v>7.2</v>
      </c>
      <c r="Y97" s="84">
        <v>14</v>
      </c>
      <c r="Z97" s="84">
        <v>14.3</v>
      </c>
      <c r="AA97" s="122">
        <v>9.4</v>
      </c>
      <c r="AB97" s="122">
        <v>4.5999999999999996</v>
      </c>
      <c r="AC97" s="122">
        <v>2.4</v>
      </c>
      <c r="AD97" s="122">
        <v>12.8</v>
      </c>
      <c r="AE97" s="122">
        <v>24.4</v>
      </c>
      <c r="AF97" s="123">
        <v>20.7</v>
      </c>
      <c r="AG97" s="125"/>
      <c r="AH97" s="55">
        <f t="shared" si="24"/>
        <v>54.1</v>
      </c>
      <c r="AI97" s="118">
        <f t="shared" si="25"/>
        <v>8.3333333333333301E-2</v>
      </c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6">B99</f>
        <v>9.9</v>
      </c>
      <c r="D99" s="131">
        <f t="shared" si="26"/>
        <v>9.9</v>
      </c>
      <c r="E99" s="131">
        <f t="shared" si="26"/>
        <v>9.9</v>
      </c>
      <c r="F99" s="131">
        <f t="shared" si="26"/>
        <v>9.9</v>
      </c>
      <c r="G99" s="131">
        <f t="shared" si="26"/>
        <v>9.9</v>
      </c>
      <c r="H99" s="131">
        <f t="shared" si="26"/>
        <v>9.9</v>
      </c>
      <c r="I99" s="131">
        <f t="shared" si="26"/>
        <v>9.9</v>
      </c>
      <c r="J99" s="131">
        <f t="shared" si="26"/>
        <v>9.9</v>
      </c>
      <c r="K99" s="131">
        <f t="shared" si="26"/>
        <v>9.9</v>
      </c>
      <c r="L99" s="131">
        <f t="shared" si="26"/>
        <v>9.9</v>
      </c>
      <c r="M99" s="131">
        <f t="shared" si="26"/>
        <v>9.9</v>
      </c>
      <c r="N99" s="131">
        <f t="shared" si="26"/>
        <v>9.9</v>
      </c>
      <c r="O99" s="131">
        <f t="shared" si="26"/>
        <v>9.9</v>
      </c>
      <c r="P99" s="131">
        <f t="shared" si="26"/>
        <v>9.9</v>
      </c>
      <c r="Q99" s="131">
        <f t="shared" si="26"/>
        <v>9.9</v>
      </c>
      <c r="R99" s="131">
        <f t="shared" si="26"/>
        <v>9.9</v>
      </c>
      <c r="S99" s="131">
        <f t="shared" ref="S99:AF104" si="27">R99</f>
        <v>9.9</v>
      </c>
      <c r="T99" s="131">
        <f t="shared" si="27"/>
        <v>9.9</v>
      </c>
      <c r="U99" s="131">
        <f t="shared" si="27"/>
        <v>9.9</v>
      </c>
      <c r="V99" s="131">
        <f t="shared" si="27"/>
        <v>9.9</v>
      </c>
      <c r="W99" s="131">
        <f t="shared" si="27"/>
        <v>9.9</v>
      </c>
      <c r="X99" s="131">
        <f t="shared" si="27"/>
        <v>9.9</v>
      </c>
      <c r="Y99" s="131">
        <f t="shared" si="27"/>
        <v>9.9</v>
      </c>
      <c r="Z99" s="131">
        <f t="shared" si="27"/>
        <v>9.9</v>
      </c>
      <c r="AA99" s="131">
        <f t="shared" si="27"/>
        <v>9.9</v>
      </c>
      <c r="AB99" s="131">
        <f t="shared" si="27"/>
        <v>9.9</v>
      </c>
      <c r="AC99" s="131">
        <f t="shared" si="27"/>
        <v>9.9</v>
      </c>
      <c r="AD99" s="131">
        <f t="shared" si="27"/>
        <v>9.9</v>
      </c>
      <c r="AE99" s="131">
        <f t="shared" si="27"/>
        <v>9.9</v>
      </c>
      <c r="AF99" s="131">
        <f t="shared" si="27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6"/>
        <v>9.6</v>
      </c>
      <c r="D100" s="134">
        <f t="shared" si="26"/>
        <v>9.6</v>
      </c>
      <c r="E100" s="134">
        <f t="shared" si="26"/>
        <v>9.6</v>
      </c>
      <c r="F100" s="134">
        <f t="shared" si="26"/>
        <v>9.6</v>
      </c>
      <c r="G100" s="134">
        <f t="shared" si="26"/>
        <v>9.6</v>
      </c>
      <c r="H100" s="134">
        <f t="shared" si="26"/>
        <v>9.6</v>
      </c>
      <c r="I100" s="134">
        <f t="shared" si="26"/>
        <v>9.6</v>
      </c>
      <c r="J100" s="134">
        <f t="shared" si="26"/>
        <v>9.6</v>
      </c>
      <c r="K100" s="134">
        <f t="shared" si="26"/>
        <v>9.6</v>
      </c>
      <c r="L100" s="134">
        <f t="shared" si="26"/>
        <v>9.6</v>
      </c>
      <c r="M100" s="134">
        <f t="shared" si="26"/>
        <v>9.6</v>
      </c>
      <c r="N100" s="134">
        <f t="shared" si="26"/>
        <v>9.6</v>
      </c>
      <c r="O100" s="134">
        <f t="shared" si="26"/>
        <v>9.6</v>
      </c>
      <c r="P100" s="134">
        <f t="shared" si="26"/>
        <v>9.6</v>
      </c>
      <c r="Q100" s="134">
        <f t="shared" si="26"/>
        <v>9.6</v>
      </c>
      <c r="R100" s="134">
        <f t="shared" si="26"/>
        <v>9.6</v>
      </c>
      <c r="S100" s="134">
        <f t="shared" si="27"/>
        <v>9.6</v>
      </c>
      <c r="T100" s="134">
        <f t="shared" si="27"/>
        <v>9.6</v>
      </c>
      <c r="U100" s="134">
        <f t="shared" si="27"/>
        <v>9.6</v>
      </c>
      <c r="V100" s="134">
        <f t="shared" si="27"/>
        <v>9.6</v>
      </c>
      <c r="W100" s="134">
        <f t="shared" si="27"/>
        <v>9.6</v>
      </c>
      <c r="X100" s="134">
        <f t="shared" si="27"/>
        <v>9.6</v>
      </c>
      <c r="Y100" s="134">
        <f t="shared" si="27"/>
        <v>9.6</v>
      </c>
      <c r="Z100" s="134">
        <f t="shared" si="27"/>
        <v>9.6</v>
      </c>
      <c r="AA100" s="134">
        <f t="shared" si="27"/>
        <v>9.6</v>
      </c>
      <c r="AB100" s="134">
        <f t="shared" si="27"/>
        <v>9.6</v>
      </c>
      <c r="AC100" s="134">
        <f t="shared" si="27"/>
        <v>9.6</v>
      </c>
      <c r="AD100" s="134">
        <f t="shared" si="27"/>
        <v>9.6</v>
      </c>
      <c r="AE100" s="134">
        <f t="shared" si="27"/>
        <v>9.6</v>
      </c>
      <c r="AF100" s="134">
        <f t="shared" si="27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6"/>
        <v>9.98</v>
      </c>
      <c r="D101" s="134">
        <f t="shared" si="26"/>
        <v>9.98</v>
      </c>
      <c r="E101" s="134">
        <f t="shared" si="26"/>
        <v>9.98</v>
      </c>
      <c r="F101" s="134">
        <f t="shared" si="26"/>
        <v>9.98</v>
      </c>
      <c r="G101" s="134">
        <f t="shared" si="26"/>
        <v>9.98</v>
      </c>
      <c r="H101" s="134">
        <f t="shared" si="26"/>
        <v>9.98</v>
      </c>
      <c r="I101" s="134">
        <f t="shared" si="26"/>
        <v>9.98</v>
      </c>
      <c r="J101" s="134">
        <f t="shared" si="26"/>
        <v>9.98</v>
      </c>
      <c r="K101" s="134">
        <f t="shared" si="26"/>
        <v>9.98</v>
      </c>
      <c r="L101" s="134">
        <f t="shared" si="26"/>
        <v>9.98</v>
      </c>
      <c r="M101" s="134">
        <f t="shared" si="26"/>
        <v>9.98</v>
      </c>
      <c r="N101" s="134">
        <f t="shared" si="26"/>
        <v>9.98</v>
      </c>
      <c r="O101" s="134">
        <f t="shared" si="26"/>
        <v>9.98</v>
      </c>
      <c r="P101" s="134">
        <f t="shared" si="26"/>
        <v>9.98</v>
      </c>
      <c r="Q101" s="134">
        <f t="shared" si="26"/>
        <v>9.98</v>
      </c>
      <c r="R101" s="134">
        <f t="shared" si="26"/>
        <v>9.98</v>
      </c>
      <c r="S101" s="134">
        <f t="shared" si="27"/>
        <v>9.98</v>
      </c>
      <c r="T101" s="134">
        <f t="shared" si="27"/>
        <v>9.98</v>
      </c>
      <c r="U101" s="134">
        <f t="shared" si="27"/>
        <v>9.98</v>
      </c>
      <c r="V101" s="134">
        <f t="shared" si="27"/>
        <v>9.98</v>
      </c>
      <c r="W101" s="134">
        <f t="shared" si="27"/>
        <v>9.98</v>
      </c>
      <c r="X101" s="134">
        <f t="shared" si="27"/>
        <v>9.98</v>
      </c>
      <c r="Y101" s="134">
        <f t="shared" si="27"/>
        <v>9.98</v>
      </c>
      <c r="Z101" s="134">
        <f t="shared" si="27"/>
        <v>9.98</v>
      </c>
      <c r="AA101" s="134">
        <f t="shared" si="27"/>
        <v>9.98</v>
      </c>
      <c r="AB101" s="134">
        <f t="shared" si="27"/>
        <v>9.98</v>
      </c>
      <c r="AC101" s="134">
        <f t="shared" si="27"/>
        <v>9.98</v>
      </c>
      <c r="AD101" s="134">
        <f t="shared" si="27"/>
        <v>9.98</v>
      </c>
      <c r="AE101" s="134">
        <f t="shared" si="27"/>
        <v>9.98</v>
      </c>
      <c r="AF101" s="134">
        <f t="shared" si="27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6"/>
        <v>9.1</v>
      </c>
      <c r="D102" s="134">
        <f t="shared" si="26"/>
        <v>9.1</v>
      </c>
      <c r="E102" s="134">
        <f t="shared" si="26"/>
        <v>9.1</v>
      </c>
      <c r="F102" s="134">
        <f t="shared" si="26"/>
        <v>9.1</v>
      </c>
      <c r="G102" s="134">
        <f t="shared" si="26"/>
        <v>9.1</v>
      </c>
      <c r="H102" s="134">
        <f t="shared" si="26"/>
        <v>9.1</v>
      </c>
      <c r="I102" s="134">
        <f t="shared" si="26"/>
        <v>9.1</v>
      </c>
      <c r="J102" s="134">
        <f t="shared" si="26"/>
        <v>9.1</v>
      </c>
      <c r="K102" s="134">
        <f t="shared" si="26"/>
        <v>9.1</v>
      </c>
      <c r="L102" s="134">
        <f t="shared" si="26"/>
        <v>9.1</v>
      </c>
      <c r="M102" s="134">
        <f t="shared" si="26"/>
        <v>9.1</v>
      </c>
      <c r="N102" s="134">
        <f t="shared" si="26"/>
        <v>9.1</v>
      </c>
      <c r="O102" s="134">
        <f t="shared" si="26"/>
        <v>9.1</v>
      </c>
      <c r="P102" s="134">
        <f t="shared" si="26"/>
        <v>9.1</v>
      </c>
      <c r="Q102" s="134">
        <f t="shared" si="26"/>
        <v>9.1</v>
      </c>
      <c r="R102" s="134">
        <f t="shared" si="26"/>
        <v>9.1</v>
      </c>
      <c r="S102" s="134">
        <f t="shared" si="27"/>
        <v>9.1</v>
      </c>
      <c r="T102" s="134">
        <f t="shared" si="27"/>
        <v>9.1</v>
      </c>
      <c r="U102" s="134">
        <f t="shared" si="27"/>
        <v>9.1</v>
      </c>
      <c r="V102" s="134">
        <f t="shared" si="27"/>
        <v>9.1</v>
      </c>
      <c r="W102" s="134">
        <f t="shared" si="27"/>
        <v>9.1</v>
      </c>
      <c r="X102" s="134">
        <f t="shared" si="27"/>
        <v>9.1</v>
      </c>
      <c r="Y102" s="134">
        <f t="shared" si="27"/>
        <v>9.1</v>
      </c>
      <c r="Z102" s="134">
        <f t="shared" si="27"/>
        <v>9.1</v>
      </c>
      <c r="AA102" s="134">
        <f t="shared" si="27"/>
        <v>9.1</v>
      </c>
      <c r="AB102" s="134">
        <f t="shared" si="27"/>
        <v>9.1</v>
      </c>
      <c r="AC102" s="134">
        <f t="shared" si="27"/>
        <v>9.1</v>
      </c>
      <c r="AD102" s="134">
        <f t="shared" si="27"/>
        <v>9.1</v>
      </c>
      <c r="AE102" s="134">
        <f t="shared" si="27"/>
        <v>9.1</v>
      </c>
      <c r="AF102" s="134">
        <f t="shared" si="27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6"/>
        <v>9.18</v>
      </c>
      <c r="D103" s="134">
        <f t="shared" si="26"/>
        <v>9.18</v>
      </c>
      <c r="E103" s="134">
        <f t="shared" si="26"/>
        <v>9.18</v>
      </c>
      <c r="F103" s="134">
        <f t="shared" si="26"/>
        <v>9.18</v>
      </c>
      <c r="G103" s="134">
        <f t="shared" si="26"/>
        <v>9.18</v>
      </c>
      <c r="H103" s="134">
        <f t="shared" si="26"/>
        <v>9.18</v>
      </c>
      <c r="I103" s="134">
        <f t="shared" si="26"/>
        <v>9.18</v>
      </c>
      <c r="J103" s="134">
        <f t="shared" si="26"/>
        <v>9.18</v>
      </c>
      <c r="K103" s="134">
        <f t="shared" si="26"/>
        <v>9.18</v>
      </c>
      <c r="L103" s="134">
        <f t="shared" si="26"/>
        <v>9.18</v>
      </c>
      <c r="M103" s="134">
        <f t="shared" si="26"/>
        <v>9.18</v>
      </c>
      <c r="N103" s="134">
        <f t="shared" si="26"/>
        <v>9.18</v>
      </c>
      <c r="O103" s="134">
        <f t="shared" si="26"/>
        <v>9.18</v>
      </c>
      <c r="P103" s="134">
        <f t="shared" si="26"/>
        <v>9.18</v>
      </c>
      <c r="Q103" s="134">
        <f t="shared" si="26"/>
        <v>9.18</v>
      </c>
      <c r="R103" s="134">
        <f t="shared" si="26"/>
        <v>9.18</v>
      </c>
      <c r="S103" s="134">
        <f t="shared" si="27"/>
        <v>9.18</v>
      </c>
      <c r="T103" s="134">
        <f t="shared" si="27"/>
        <v>9.18</v>
      </c>
      <c r="U103" s="134">
        <f t="shared" si="27"/>
        <v>9.18</v>
      </c>
      <c r="V103" s="134">
        <f t="shared" si="27"/>
        <v>9.18</v>
      </c>
      <c r="W103" s="134">
        <f t="shared" si="27"/>
        <v>9.18</v>
      </c>
      <c r="X103" s="134">
        <f t="shared" si="27"/>
        <v>9.18</v>
      </c>
      <c r="Y103" s="134">
        <f t="shared" si="27"/>
        <v>9.18</v>
      </c>
      <c r="Z103" s="134">
        <f t="shared" si="27"/>
        <v>9.18</v>
      </c>
      <c r="AA103" s="134">
        <f t="shared" si="27"/>
        <v>9.18</v>
      </c>
      <c r="AB103" s="134">
        <f t="shared" si="27"/>
        <v>9.18</v>
      </c>
      <c r="AC103" s="134">
        <f t="shared" si="27"/>
        <v>9.18</v>
      </c>
      <c r="AD103" s="134">
        <f t="shared" si="27"/>
        <v>9.18</v>
      </c>
      <c r="AE103" s="134">
        <f t="shared" si="27"/>
        <v>9.18</v>
      </c>
      <c r="AF103" s="134">
        <f t="shared" si="27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6"/>
        <v>7</v>
      </c>
      <c r="D104" s="134">
        <f t="shared" si="26"/>
        <v>7</v>
      </c>
      <c r="E104" s="134">
        <f t="shared" si="26"/>
        <v>7</v>
      </c>
      <c r="F104" s="134">
        <f t="shared" si="26"/>
        <v>7</v>
      </c>
      <c r="G104" s="134">
        <f t="shared" si="26"/>
        <v>7</v>
      </c>
      <c r="H104" s="134">
        <f t="shared" si="26"/>
        <v>7</v>
      </c>
      <c r="I104" s="134">
        <f t="shared" si="26"/>
        <v>7</v>
      </c>
      <c r="J104" s="134">
        <f t="shared" si="26"/>
        <v>7</v>
      </c>
      <c r="K104" s="134">
        <f t="shared" si="26"/>
        <v>7</v>
      </c>
      <c r="L104" s="134">
        <f t="shared" si="26"/>
        <v>7</v>
      </c>
      <c r="M104" s="134">
        <f t="shared" si="26"/>
        <v>7</v>
      </c>
      <c r="N104" s="134">
        <f t="shared" si="26"/>
        <v>7</v>
      </c>
      <c r="O104" s="134">
        <f t="shared" si="26"/>
        <v>7</v>
      </c>
      <c r="P104" s="134">
        <f t="shared" si="26"/>
        <v>7</v>
      </c>
      <c r="Q104" s="134">
        <f t="shared" si="26"/>
        <v>7</v>
      </c>
      <c r="R104" s="134">
        <f t="shared" si="26"/>
        <v>7</v>
      </c>
      <c r="S104" s="134">
        <f t="shared" si="27"/>
        <v>7</v>
      </c>
      <c r="T104" s="134">
        <f t="shared" si="27"/>
        <v>7</v>
      </c>
      <c r="U104" s="134">
        <f t="shared" si="27"/>
        <v>7</v>
      </c>
      <c r="V104" s="134">
        <f t="shared" si="27"/>
        <v>7</v>
      </c>
      <c r="W104" s="134">
        <f t="shared" si="27"/>
        <v>7</v>
      </c>
      <c r="X104" s="134">
        <f t="shared" si="27"/>
        <v>7</v>
      </c>
      <c r="Y104" s="134">
        <f t="shared" si="27"/>
        <v>7</v>
      </c>
      <c r="Z104" s="134">
        <f t="shared" si="27"/>
        <v>7</v>
      </c>
      <c r="AA104" s="134">
        <f t="shared" si="27"/>
        <v>7</v>
      </c>
      <c r="AB104" s="134">
        <f t="shared" si="27"/>
        <v>7</v>
      </c>
      <c r="AC104" s="134">
        <f t="shared" si="27"/>
        <v>7</v>
      </c>
      <c r="AD104" s="134">
        <f t="shared" si="27"/>
        <v>7</v>
      </c>
      <c r="AE104" s="134">
        <f t="shared" si="27"/>
        <v>7</v>
      </c>
      <c r="AF104" s="134">
        <f t="shared" si="27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8">B106</f>
        <v>2.25</v>
      </c>
      <c r="D106" s="134">
        <f t="shared" si="28"/>
        <v>2.25</v>
      </c>
      <c r="E106" s="134">
        <f t="shared" si="28"/>
        <v>2.25</v>
      </c>
      <c r="F106" s="134">
        <f t="shared" si="28"/>
        <v>2.25</v>
      </c>
      <c r="G106" s="134">
        <f t="shared" si="28"/>
        <v>2.25</v>
      </c>
      <c r="H106" s="134">
        <f t="shared" si="28"/>
        <v>2.25</v>
      </c>
      <c r="I106" s="134">
        <f t="shared" si="28"/>
        <v>2.25</v>
      </c>
      <c r="J106" s="134">
        <f t="shared" si="28"/>
        <v>2.25</v>
      </c>
      <c r="K106" s="134">
        <f t="shared" si="28"/>
        <v>2.25</v>
      </c>
      <c r="L106" s="134">
        <f t="shared" si="28"/>
        <v>2.25</v>
      </c>
      <c r="M106" s="134">
        <f t="shared" si="28"/>
        <v>2.25</v>
      </c>
      <c r="N106" s="134">
        <f t="shared" si="28"/>
        <v>2.25</v>
      </c>
      <c r="O106" s="134">
        <f t="shared" si="28"/>
        <v>2.25</v>
      </c>
      <c r="P106" s="134">
        <f t="shared" si="28"/>
        <v>2.25</v>
      </c>
      <c r="Q106" s="134">
        <f t="shared" si="28"/>
        <v>2.25</v>
      </c>
      <c r="R106" s="134">
        <f t="shared" si="28"/>
        <v>2.25</v>
      </c>
      <c r="S106" s="134">
        <f t="shared" ref="S106:AF107" si="29">R106</f>
        <v>2.25</v>
      </c>
      <c r="T106" s="134">
        <f t="shared" si="29"/>
        <v>2.25</v>
      </c>
      <c r="U106" s="134">
        <f t="shared" si="29"/>
        <v>2.25</v>
      </c>
      <c r="V106" s="134">
        <f t="shared" si="29"/>
        <v>2.25</v>
      </c>
      <c r="W106" s="134">
        <f t="shared" si="29"/>
        <v>2.25</v>
      </c>
      <c r="X106" s="134">
        <f t="shared" si="29"/>
        <v>2.25</v>
      </c>
      <c r="Y106" s="134">
        <f t="shared" si="29"/>
        <v>2.25</v>
      </c>
      <c r="Z106" s="134">
        <f t="shared" si="29"/>
        <v>2.25</v>
      </c>
      <c r="AA106" s="134">
        <f t="shared" si="29"/>
        <v>2.25</v>
      </c>
      <c r="AB106" s="134">
        <f t="shared" si="29"/>
        <v>2.25</v>
      </c>
      <c r="AC106" s="134">
        <f t="shared" si="29"/>
        <v>2.25</v>
      </c>
      <c r="AD106" s="134">
        <f t="shared" si="29"/>
        <v>2.25</v>
      </c>
      <c r="AE106" s="134">
        <f t="shared" si="29"/>
        <v>2.25</v>
      </c>
      <c r="AF106" s="134">
        <f t="shared" si="29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8"/>
        <v>1.64</v>
      </c>
      <c r="D107" s="134">
        <f t="shared" si="28"/>
        <v>1.64</v>
      </c>
      <c r="E107" s="134">
        <f t="shared" si="28"/>
        <v>1.64</v>
      </c>
      <c r="F107" s="134">
        <f t="shared" si="28"/>
        <v>1.64</v>
      </c>
      <c r="G107" s="134">
        <f t="shared" si="28"/>
        <v>1.64</v>
      </c>
      <c r="H107" s="134">
        <f t="shared" si="28"/>
        <v>1.64</v>
      </c>
      <c r="I107" s="134">
        <f t="shared" si="28"/>
        <v>1.64</v>
      </c>
      <c r="J107" s="134">
        <f t="shared" si="28"/>
        <v>1.64</v>
      </c>
      <c r="K107" s="134">
        <f t="shared" si="28"/>
        <v>1.64</v>
      </c>
      <c r="L107" s="134">
        <f t="shared" si="28"/>
        <v>1.64</v>
      </c>
      <c r="M107" s="134">
        <f t="shared" si="28"/>
        <v>1.64</v>
      </c>
      <c r="N107" s="134">
        <f t="shared" si="28"/>
        <v>1.64</v>
      </c>
      <c r="O107" s="134">
        <f t="shared" si="28"/>
        <v>1.64</v>
      </c>
      <c r="P107" s="134">
        <f t="shared" si="28"/>
        <v>1.64</v>
      </c>
      <c r="Q107" s="134">
        <f t="shared" si="28"/>
        <v>1.64</v>
      </c>
      <c r="R107" s="134">
        <f t="shared" si="28"/>
        <v>1.64</v>
      </c>
      <c r="S107" s="134">
        <f t="shared" si="29"/>
        <v>1.64</v>
      </c>
      <c r="T107" s="134">
        <f t="shared" si="29"/>
        <v>1.64</v>
      </c>
      <c r="U107" s="134">
        <f t="shared" si="29"/>
        <v>1.64</v>
      </c>
      <c r="V107" s="134">
        <f t="shared" si="29"/>
        <v>1.64</v>
      </c>
      <c r="W107" s="134">
        <f t="shared" si="29"/>
        <v>1.64</v>
      </c>
      <c r="X107" s="134">
        <f t="shared" si="29"/>
        <v>1.64</v>
      </c>
      <c r="Y107" s="134">
        <f t="shared" si="29"/>
        <v>1.64</v>
      </c>
      <c r="Z107" s="134">
        <f t="shared" si="29"/>
        <v>1.64</v>
      </c>
      <c r="AA107" s="134">
        <f t="shared" si="29"/>
        <v>1.64</v>
      </c>
      <c r="AB107" s="134">
        <f t="shared" si="29"/>
        <v>1.64</v>
      </c>
      <c r="AC107" s="134">
        <f t="shared" si="29"/>
        <v>1.64</v>
      </c>
      <c r="AD107" s="134">
        <f t="shared" si="29"/>
        <v>1.64</v>
      </c>
      <c r="AE107" s="134">
        <f t="shared" si="29"/>
        <v>1.64</v>
      </c>
      <c r="AF107" s="134">
        <f t="shared" si="29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30">B109</f>
        <v>1.62</v>
      </c>
      <c r="D109" s="134">
        <f t="shared" si="30"/>
        <v>1.62</v>
      </c>
      <c r="E109" s="134">
        <f t="shared" si="30"/>
        <v>1.62</v>
      </c>
      <c r="F109" s="134">
        <f t="shared" si="30"/>
        <v>1.62</v>
      </c>
      <c r="G109" s="134">
        <f t="shared" si="30"/>
        <v>1.62</v>
      </c>
      <c r="H109" s="134">
        <f t="shared" si="30"/>
        <v>1.62</v>
      </c>
      <c r="I109" s="134">
        <f t="shared" si="30"/>
        <v>1.62</v>
      </c>
      <c r="J109" s="134">
        <f t="shared" si="30"/>
        <v>1.62</v>
      </c>
      <c r="K109" s="134">
        <f t="shared" si="30"/>
        <v>1.62</v>
      </c>
      <c r="L109" s="134">
        <f t="shared" si="30"/>
        <v>1.62</v>
      </c>
      <c r="M109" s="134">
        <f t="shared" si="30"/>
        <v>1.62</v>
      </c>
      <c r="N109" s="134">
        <f t="shared" si="30"/>
        <v>1.62</v>
      </c>
      <c r="O109" s="134">
        <f t="shared" si="30"/>
        <v>1.62</v>
      </c>
      <c r="P109" s="134">
        <f t="shared" si="30"/>
        <v>1.62</v>
      </c>
      <c r="Q109" s="134">
        <f t="shared" si="30"/>
        <v>1.62</v>
      </c>
      <c r="R109" s="134">
        <f t="shared" si="30"/>
        <v>1.62</v>
      </c>
      <c r="S109" s="134">
        <f t="shared" ref="S109:AF124" si="31">R109</f>
        <v>1.62</v>
      </c>
      <c r="T109" s="134">
        <f t="shared" si="31"/>
        <v>1.62</v>
      </c>
      <c r="U109" s="134">
        <f t="shared" si="31"/>
        <v>1.62</v>
      </c>
      <c r="V109" s="134">
        <f t="shared" si="31"/>
        <v>1.62</v>
      </c>
      <c r="W109" s="134">
        <f t="shared" si="31"/>
        <v>1.62</v>
      </c>
      <c r="X109" s="134">
        <f t="shared" si="31"/>
        <v>1.62</v>
      </c>
      <c r="Y109" s="134">
        <f t="shared" si="31"/>
        <v>1.62</v>
      </c>
      <c r="Z109" s="134">
        <f t="shared" si="31"/>
        <v>1.62</v>
      </c>
      <c r="AA109" s="134">
        <f t="shared" si="31"/>
        <v>1.62</v>
      </c>
      <c r="AB109" s="134">
        <f t="shared" si="31"/>
        <v>1.62</v>
      </c>
      <c r="AC109" s="134">
        <f t="shared" si="31"/>
        <v>1.62</v>
      </c>
      <c r="AD109" s="134">
        <f t="shared" si="31"/>
        <v>1.62</v>
      </c>
      <c r="AE109" s="134">
        <f t="shared" si="31"/>
        <v>1.62</v>
      </c>
      <c r="AF109" s="134">
        <f t="shared" si="31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30"/>
        <v>8.36</v>
      </c>
      <c r="D110" s="134">
        <f t="shared" si="30"/>
        <v>8.36</v>
      </c>
      <c r="E110" s="134">
        <f t="shared" si="30"/>
        <v>8.36</v>
      </c>
      <c r="F110" s="134">
        <f t="shared" si="30"/>
        <v>8.36</v>
      </c>
      <c r="G110" s="134">
        <f t="shared" si="30"/>
        <v>8.36</v>
      </c>
      <c r="H110" s="134">
        <f t="shared" si="30"/>
        <v>8.36</v>
      </c>
      <c r="I110" s="134">
        <f t="shared" si="30"/>
        <v>8.36</v>
      </c>
      <c r="J110" s="134">
        <f t="shared" si="30"/>
        <v>8.36</v>
      </c>
      <c r="K110" s="134">
        <f t="shared" si="30"/>
        <v>8.36</v>
      </c>
      <c r="L110" s="134">
        <f t="shared" si="30"/>
        <v>8.36</v>
      </c>
      <c r="M110" s="134">
        <f t="shared" si="30"/>
        <v>8.36</v>
      </c>
      <c r="N110" s="134">
        <f t="shared" si="30"/>
        <v>8.36</v>
      </c>
      <c r="O110" s="134">
        <f t="shared" si="30"/>
        <v>8.36</v>
      </c>
      <c r="P110" s="134">
        <f t="shared" si="30"/>
        <v>8.36</v>
      </c>
      <c r="Q110" s="134">
        <f t="shared" si="30"/>
        <v>8.36</v>
      </c>
      <c r="R110" s="134">
        <f t="shared" si="30"/>
        <v>8.36</v>
      </c>
      <c r="S110" s="134">
        <f t="shared" si="31"/>
        <v>8.36</v>
      </c>
      <c r="T110" s="134">
        <f t="shared" si="31"/>
        <v>8.36</v>
      </c>
      <c r="U110" s="134">
        <f t="shared" si="31"/>
        <v>8.36</v>
      </c>
      <c r="V110" s="134">
        <f t="shared" si="31"/>
        <v>8.36</v>
      </c>
      <c r="W110" s="134">
        <f t="shared" si="31"/>
        <v>8.36</v>
      </c>
      <c r="X110" s="134">
        <f t="shared" si="31"/>
        <v>8.36</v>
      </c>
      <c r="Y110" s="134">
        <f t="shared" si="31"/>
        <v>8.36</v>
      </c>
      <c r="Z110" s="134">
        <f t="shared" si="31"/>
        <v>8.36</v>
      </c>
      <c r="AA110" s="134">
        <f t="shared" si="31"/>
        <v>8.36</v>
      </c>
      <c r="AB110" s="134">
        <f t="shared" si="31"/>
        <v>8.36</v>
      </c>
      <c r="AC110" s="134">
        <f t="shared" si="31"/>
        <v>8.36</v>
      </c>
      <c r="AD110" s="134">
        <f t="shared" si="31"/>
        <v>8.36</v>
      </c>
      <c r="AE110" s="134">
        <f t="shared" si="31"/>
        <v>8.36</v>
      </c>
      <c r="AF110" s="134">
        <f t="shared" si="31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30"/>
        <v>8</v>
      </c>
      <c r="D111" s="134">
        <f t="shared" si="30"/>
        <v>8</v>
      </c>
      <c r="E111" s="134">
        <f t="shared" si="30"/>
        <v>8</v>
      </c>
      <c r="F111" s="134">
        <f t="shared" si="30"/>
        <v>8</v>
      </c>
      <c r="G111" s="134">
        <f t="shared" si="30"/>
        <v>8</v>
      </c>
      <c r="H111" s="134">
        <f t="shared" si="30"/>
        <v>8</v>
      </c>
      <c r="I111" s="134">
        <v>5.4</v>
      </c>
      <c r="J111" s="134">
        <f t="shared" si="30"/>
        <v>5.4</v>
      </c>
      <c r="K111" s="134">
        <f t="shared" si="30"/>
        <v>5.4</v>
      </c>
      <c r="L111" s="134">
        <f t="shared" si="30"/>
        <v>5.4</v>
      </c>
      <c r="M111" s="134">
        <f t="shared" si="30"/>
        <v>5.4</v>
      </c>
      <c r="N111" s="134">
        <f t="shared" si="30"/>
        <v>5.4</v>
      </c>
      <c r="O111" s="134">
        <f t="shared" si="30"/>
        <v>5.4</v>
      </c>
      <c r="P111" s="134">
        <f t="shared" si="30"/>
        <v>5.4</v>
      </c>
      <c r="Q111" s="134">
        <f t="shared" si="30"/>
        <v>5.4</v>
      </c>
      <c r="R111" s="134">
        <f t="shared" si="30"/>
        <v>5.4</v>
      </c>
      <c r="S111" s="134">
        <f t="shared" si="31"/>
        <v>5.4</v>
      </c>
      <c r="T111" s="134">
        <f t="shared" si="31"/>
        <v>5.4</v>
      </c>
      <c r="U111" s="134">
        <f t="shared" si="31"/>
        <v>5.4</v>
      </c>
      <c r="V111" s="134">
        <f t="shared" si="31"/>
        <v>5.4</v>
      </c>
      <c r="W111" s="134">
        <f t="shared" si="31"/>
        <v>5.4</v>
      </c>
      <c r="X111" s="134">
        <f t="shared" si="31"/>
        <v>5.4</v>
      </c>
      <c r="Y111" s="134">
        <f t="shared" si="31"/>
        <v>5.4</v>
      </c>
      <c r="Z111" s="134">
        <f t="shared" si="31"/>
        <v>5.4</v>
      </c>
      <c r="AA111" s="134">
        <f t="shared" si="31"/>
        <v>5.4</v>
      </c>
      <c r="AB111" s="134">
        <f t="shared" si="31"/>
        <v>5.4</v>
      </c>
      <c r="AC111" s="134">
        <f t="shared" si="31"/>
        <v>5.4</v>
      </c>
      <c r="AD111" s="134">
        <f t="shared" si="31"/>
        <v>5.4</v>
      </c>
      <c r="AE111" s="134">
        <f t="shared" si="31"/>
        <v>5.4</v>
      </c>
      <c r="AF111" s="134">
        <f t="shared" si="31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30"/>
        <v>6.57</v>
      </c>
      <c r="D112" s="134">
        <f t="shared" si="30"/>
        <v>6.57</v>
      </c>
      <c r="E112" s="134">
        <f t="shared" si="30"/>
        <v>6.57</v>
      </c>
      <c r="F112" s="134">
        <f t="shared" si="30"/>
        <v>6.57</v>
      </c>
      <c r="G112" s="134">
        <f t="shared" si="30"/>
        <v>6.57</v>
      </c>
      <c r="H112" s="134">
        <f t="shared" si="30"/>
        <v>6.57</v>
      </c>
      <c r="I112" s="134">
        <f t="shared" si="30"/>
        <v>6.57</v>
      </c>
      <c r="J112" s="134">
        <f t="shared" si="30"/>
        <v>6.57</v>
      </c>
      <c r="K112" s="134">
        <f t="shared" si="30"/>
        <v>6.57</v>
      </c>
      <c r="L112" s="134">
        <f t="shared" si="30"/>
        <v>6.57</v>
      </c>
      <c r="M112" s="134">
        <f t="shared" si="30"/>
        <v>6.57</v>
      </c>
      <c r="N112" s="134">
        <f t="shared" si="30"/>
        <v>6.57</v>
      </c>
      <c r="O112" s="134">
        <f t="shared" si="30"/>
        <v>6.57</v>
      </c>
      <c r="P112" s="134">
        <f t="shared" si="30"/>
        <v>6.57</v>
      </c>
      <c r="Q112" s="134">
        <f t="shared" si="30"/>
        <v>6.57</v>
      </c>
      <c r="R112" s="134">
        <f t="shared" si="30"/>
        <v>6.57</v>
      </c>
      <c r="S112" s="134">
        <f t="shared" si="31"/>
        <v>6.57</v>
      </c>
      <c r="T112" s="134">
        <f t="shared" si="31"/>
        <v>6.57</v>
      </c>
      <c r="U112" s="134">
        <f t="shared" si="31"/>
        <v>6.57</v>
      </c>
      <c r="V112" s="134">
        <f t="shared" si="31"/>
        <v>6.57</v>
      </c>
      <c r="W112" s="134">
        <f t="shared" si="31"/>
        <v>6.57</v>
      </c>
      <c r="X112" s="134">
        <f t="shared" si="31"/>
        <v>6.57</v>
      </c>
      <c r="Y112" s="134">
        <f t="shared" si="31"/>
        <v>6.57</v>
      </c>
      <c r="Z112" s="134">
        <f t="shared" si="31"/>
        <v>6.57</v>
      </c>
      <c r="AA112" s="134">
        <f t="shared" si="31"/>
        <v>6.57</v>
      </c>
      <c r="AB112" s="134">
        <f t="shared" si="31"/>
        <v>6.57</v>
      </c>
      <c r="AC112" s="134">
        <f t="shared" si="31"/>
        <v>6.57</v>
      </c>
      <c r="AD112" s="134">
        <f t="shared" si="31"/>
        <v>6.57</v>
      </c>
      <c r="AE112" s="134">
        <f t="shared" si="31"/>
        <v>6.57</v>
      </c>
      <c r="AF112" s="134">
        <f t="shared" si="31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30"/>
        <v>3.43</v>
      </c>
      <c r="D113" s="134">
        <f t="shared" si="30"/>
        <v>3.43</v>
      </c>
      <c r="E113" s="134">
        <f t="shared" si="30"/>
        <v>3.43</v>
      </c>
      <c r="F113" s="134">
        <f t="shared" si="30"/>
        <v>3.43</v>
      </c>
      <c r="G113" s="134">
        <f t="shared" si="30"/>
        <v>3.43</v>
      </c>
      <c r="H113" s="134">
        <f t="shared" si="30"/>
        <v>3.43</v>
      </c>
      <c r="I113" s="134">
        <f t="shared" si="30"/>
        <v>3.43</v>
      </c>
      <c r="J113" s="134">
        <f t="shared" si="30"/>
        <v>3.43</v>
      </c>
      <c r="K113" s="134">
        <f t="shared" si="30"/>
        <v>3.43</v>
      </c>
      <c r="L113" s="134">
        <f t="shared" si="30"/>
        <v>3.43</v>
      </c>
      <c r="M113" s="134">
        <f t="shared" si="30"/>
        <v>3.43</v>
      </c>
      <c r="N113" s="134">
        <f t="shared" si="30"/>
        <v>3.43</v>
      </c>
      <c r="O113" s="134">
        <f t="shared" si="30"/>
        <v>3.43</v>
      </c>
      <c r="P113" s="134">
        <f t="shared" si="30"/>
        <v>3.43</v>
      </c>
      <c r="Q113" s="134">
        <f t="shared" si="30"/>
        <v>3.43</v>
      </c>
      <c r="R113" s="134">
        <f t="shared" si="30"/>
        <v>3.43</v>
      </c>
      <c r="S113" s="134">
        <f t="shared" si="31"/>
        <v>3.43</v>
      </c>
      <c r="T113" s="134">
        <f t="shared" si="31"/>
        <v>3.43</v>
      </c>
      <c r="U113" s="134">
        <f t="shared" si="31"/>
        <v>3.43</v>
      </c>
      <c r="V113" s="134">
        <f t="shared" si="31"/>
        <v>3.43</v>
      </c>
      <c r="W113" s="134">
        <f t="shared" si="31"/>
        <v>3.43</v>
      </c>
      <c r="X113" s="134">
        <f t="shared" si="31"/>
        <v>3.43</v>
      </c>
      <c r="Y113" s="134">
        <f t="shared" si="31"/>
        <v>3.43</v>
      </c>
      <c r="Z113" s="134">
        <f t="shared" si="31"/>
        <v>3.43</v>
      </c>
      <c r="AA113" s="134">
        <f t="shared" si="31"/>
        <v>3.43</v>
      </c>
      <c r="AB113" s="134">
        <f t="shared" si="31"/>
        <v>3.43</v>
      </c>
      <c r="AC113" s="134">
        <f t="shared" si="31"/>
        <v>3.43</v>
      </c>
      <c r="AD113" s="134">
        <f t="shared" si="31"/>
        <v>3.43</v>
      </c>
      <c r="AE113" s="134">
        <f t="shared" si="31"/>
        <v>3.43</v>
      </c>
      <c r="AF113" s="134">
        <f t="shared" si="31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30"/>
        <v>2.96</v>
      </c>
      <c r="D114" s="134">
        <f t="shared" si="30"/>
        <v>2.96</v>
      </c>
      <c r="E114" s="134">
        <f t="shared" si="30"/>
        <v>2.96</v>
      </c>
      <c r="F114" s="134">
        <f t="shared" si="30"/>
        <v>2.96</v>
      </c>
      <c r="G114" s="134">
        <f t="shared" si="30"/>
        <v>2.96</v>
      </c>
      <c r="H114" s="134">
        <f t="shared" si="30"/>
        <v>2.96</v>
      </c>
      <c r="I114" s="134">
        <f t="shared" si="30"/>
        <v>2.96</v>
      </c>
      <c r="J114" s="134">
        <f t="shared" si="30"/>
        <v>2.96</v>
      </c>
      <c r="K114" s="134">
        <f t="shared" si="30"/>
        <v>2.96</v>
      </c>
      <c r="L114" s="134">
        <f t="shared" si="30"/>
        <v>2.96</v>
      </c>
      <c r="M114" s="134">
        <f t="shared" si="30"/>
        <v>2.96</v>
      </c>
      <c r="N114" s="134">
        <f t="shared" si="30"/>
        <v>2.96</v>
      </c>
      <c r="O114" s="134">
        <f t="shared" si="30"/>
        <v>2.96</v>
      </c>
      <c r="P114" s="134">
        <f t="shared" si="30"/>
        <v>2.96</v>
      </c>
      <c r="Q114" s="134">
        <f t="shared" si="30"/>
        <v>2.96</v>
      </c>
      <c r="R114" s="134">
        <f t="shared" si="30"/>
        <v>2.96</v>
      </c>
      <c r="S114" s="134">
        <f t="shared" si="31"/>
        <v>2.96</v>
      </c>
      <c r="T114" s="134">
        <f t="shared" si="31"/>
        <v>2.96</v>
      </c>
      <c r="U114" s="134">
        <f t="shared" si="31"/>
        <v>2.96</v>
      </c>
      <c r="V114" s="134">
        <f t="shared" si="31"/>
        <v>2.96</v>
      </c>
      <c r="W114" s="134">
        <f t="shared" si="31"/>
        <v>2.96</v>
      </c>
      <c r="X114" s="134">
        <f t="shared" si="31"/>
        <v>2.96</v>
      </c>
      <c r="Y114" s="134">
        <f t="shared" si="31"/>
        <v>2.96</v>
      </c>
      <c r="Z114" s="134">
        <f t="shared" si="31"/>
        <v>2.96</v>
      </c>
      <c r="AA114" s="134">
        <f t="shared" si="31"/>
        <v>2.96</v>
      </c>
      <c r="AB114" s="134">
        <f t="shared" si="31"/>
        <v>2.96</v>
      </c>
      <c r="AC114" s="134">
        <f t="shared" si="31"/>
        <v>2.96</v>
      </c>
      <c r="AD114" s="134">
        <f t="shared" si="31"/>
        <v>2.96</v>
      </c>
      <c r="AE114" s="134">
        <f t="shared" si="31"/>
        <v>2.96</v>
      </c>
      <c r="AF114" s="134">
        <f t="shared" si="31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30"/>
        <v>8</v>
      </c>
      <c r="D115" s="134">
        <f t="shared" si="30"/>
        <v>8</v>
      </c>
      <c r="E115" s="134">
        <f t="shared" si="30"/>
        <v>8</v>
      </c>
      <c r="F115" s="134">
        <f t="shared" si="30"/>
        <v>8</v>
      </c>
      <c r="G115" s="134">
        <f t="shared" si="30"/>
        <v>8</v>
      </c>
      <c r="H115" s="134">
        <f t="shared" si="30"/>
        <v>8</v>
      </c>
      <c r="I115" s="134">
        <f t="shared" si="30"/>
        <v>8</v>
      </c>
      <c r="J115" s="134">
        <f t="shared" si="30"/>
        <v>8</v>
      </c>
      <c r="K115" s="134">
        <f t="shared" si="30"/>
        <v>8</v>
      </c>
      <c r="L115" s="134">
        <f t="shared" si="30"/>
        <v>8</v>
      </c>
      <c r="M115" s="134">
        <f t="shared" si="30"/>
        <v>8</v>
      </c>
      <c r="N115" s="134">
        <f t="shared" si="30"/>
        <v>8</v>
      </c>
      <c r="O115" s="134">
        <f t="shared" si="30"/>
        <v>8</v>
      </c>
      <c r="P115" s="134">
        <f t="shared" si="30"/>
        <v>8</v>
      </c>
      <c r="Q115" s="134">
        <f t="shared" si="30"/>
        <v>8</v>
      </c>
      <c r="R115" s="134">
        <f t="shared" si="30"/>
        <v>8</v>
      </c>
      <c r="S115" s="134">
        <f t="shared" si="31"/>
        <v>8</v>
      </c>
      <c r="T115" s="134">
        <f t="shared" si="31"/>
        <v>8</v>
      </c>
      <c r="U115" s="134">
        <f t="shared" si="31"/>
        <v>8</v>
      </c>
      <c r="V115" s="134">
        <f t="shared" si="31"/>
        <v>8</v>
      </c>
      <c r="W115" s="134">
        <f t="shared" si="31"/>
        <v>8</v>
      </c>
      <c r="X115" s="134">
        <f t="shared" si="31"/>
        <v>8</v>
      </c>
      <c r="Y115" s="134">
        <f t="shared" si="31"/>
        <v>8</v>
      </c>
      <c r="Z115" s="134">
        <f t="shared" si="31"/>
        <v>8</v>
      </c>
      <c r="AA115" s="134">
        <f t="shared" si="31"/>
        <v>8</v>
      </c>
      <c r="AB115" s="134">
        <f t="shared" si="31"/>
        <v>8</v>
      </c>
      <c r="AC115" s="134">
        <f t="shared" si="31"/>
        <v>8</v>
      </c>
      <c r="AD115" s="134">
        <f t="shared" si="31"/>
        <v>8</v>
      </c>
      <c r="AE115" s="134">
        <f t="shared" si="31"/>
        <v>8</v>
      </c>
      <c r="AF115" s="134">
        <f t="shared" si="31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30"/>
        <v>7</v>
      </c>
      <c r="E116" s="134">
        <f t="shared" si="30"/>
        <v>7</v>
      </c>
      <c r="F116" s="134">
        <f t="shared" si="30"/>
        <v>7</v>
      </c>
      <c r="G116" s="134">
        <f t="shared" si="30"/>
        <v>7</v>
      </c>
      <c r="H116" s="134">
        <f t="shared" si="30"/>
        <v>7</v>
      </c>
      <c r="I116" s="134">
        <f t="shared" si="30"/>
        <v>7</v>
      </c>
      <c r="J116" s="134">
        <f t="shared" si="30"/>
        <v>7</v>
      </c>
      <c r="K116" s="134">
        <f t="shared" si="30"/>
        <v>7</v>
      </c>
      <c r="L116" s="134">
        <f t="shared" si="30"/>
        <v>7</v>
      </c>
      <c r="M116" s="134">
        <f t="shared" si="30"/>
        <v>7</v>
      </c>
      <c r="N116" s="134">
        <f t="shared" si="30"/>
        <v>7</v>
      </c>
      <c r="O116" s="134">
        <f t="shared" si="30"/>
        <v>7</v>
      </c>
      <c r="P116" s="134">
        <f t="shared" si="30"/>
        <v>7</v>
      </c>
      <c r="Q116" s="134">
        <f t="shared" si="30"/>
        <v>7</v>
      </c>
      <c r="R116" s="134">
        <f t="shared" si="30"/>
        <v>7</v>
      </c>
      <c r="S116" s="134">
        <f t="shared" si="31"/>
        <v>7</v>
      </c>
      <c r="T116" s="134">
        <f t="shared" si="31"/>
        <v>7</v>
      </c>
      <c r="U116" s="134">
        <f t="shared" si="31"/>
        <v>7</v>
      </c>
      <c r="V116" s="134">
        <f t="shared" si="31"/>
        <v>7</v>
      </c>
      <c r="W116" s="134">
        <f t="shared" si="31"/>
        <v>7</v>
      </c>
      <c r="X116" s="134">
        <f t="shared" si="31"/>
        <v>7</v>
      </c>
      <c r="Y116" s="134">
        <f t="shared" si="31"/>
        <v>7</v>
      </c>
      <c r="Z116" s="134">
        <f t="shared" si="31"/>
        <v>7</v>
      </c>
      <c r="AA116" s="134">
        <f t="shared" si="31"/>
        <v>7</v>
      </c>
      <c r="AB116" s="134">
        <f t="shared" si="31"/>
        <v>7</v>
      </c>
      <c r="AC116" s="134">
        <f t="shared" si="31"/>
        <v>7</v>
      </c>
      <c r="AD116" s="134">
        <f t="shared" si="31"/>
        <v>7</v>
      </c>
      <c r="AE116" s="134">
        <f t="shared" si="31"/>
        <v>7</v>
      </c>
      <c r="AF116" s="134">
        <f t="shared" si="31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32">B117</f>
        <v>3.47</v>
      </c>
      <c r="D117" s="134">
        <f t="shared" si="32"/>
        <v>3.47</v>
      </c>
      <c r="E117" s="134">
        <f t="shared" si="32"/>
        <v>3.47</v>
      </c>
      <c r="F117" s="134">
        <f t="shared" si="32"/>
        <v>3.47</v>
      </c>
      <c r="G117" s="134">
        <f t="shared" si="32"/>
        <v>3.47</v>
      </c>
      <c r="H117" s="134">
        <f t="shared" si="32"/>
        <v>3.47</v>
      </c>
      <c r="I117" s="134">
        <f t="shared" si="32"/>
        <v>3.47</v>
      </c>
      <c r="J117" s="134">
        <f t="shared" si="32"/>
        <v>3.47</v>
      </c>
      <c r="K117" s="134">
        <f t="shared" si="32"/>
        <v>3.47</v>
      </c>
      <c r="L117" s="134">
        <f t="shared" si="32"/>
        <v>3.47</v>
      </c>
      <c r="M117" s="134">
        <f t="shared" si="32"/>
        <v>3.47</v>
      </c>
      <c r="N117" s="134">
        <f t="shared" si="32"/>
        <v>3.47</v>
      </c>
      <c r="O117" s="134">
        <f t="shared" si="32"/>
        <v>3.47</v>
      </c>
      <c r="P117" s="134">
        <f t="shared" si="32"/>
        <v>3.47</v>
      </c>
      <c r="Q117" s="134">
        <f t="shared" si="32"/>
        <v>3.47</v>
      </c>
      <c r="R117" s="134">
        <f t="shared" si="32"/>
        <v>3.47</v>
      </c>
      <c r="S117" s="134">
        <f t="shared" si="31"/>
        <v>3.47</v>
      </c>
      <c r="T117" s="134">
        <f t="shared" si="31"/>
        <v>3.47</v>
      </c>
      <c r="U117" s="134">
        <f t="shared" si="31"/>
        <v>3.47</v>
      </c>
      <c r="V117" s="134">
        <f t="shared" si="31"/>
        <v>3.47</v>
      </c>
      <c r="W117" s="134">
        <f t="shared" si="31"/>
        <v>3.47</v>
      </c>
      <c r="X117" s="134">
        <f t="shared" si="31"/>
        <v>3.47</v>
      </c>
      <c r="Y117" s="134">
        <f t="shared" si="31"/>
        <v>3.47</v>
      </c>
      <c r="Z117" s="134">
        <f t="shared" si="31"/>
        <v>3.47</v>
      </c>
      <c r="AA117" s="134">
        <f t="shared" si="31"/>
        <v>3.47</v>
      </c>
      <c r="AB117" s="134">
        <f t="shared" si="31"/>
        <v>3.47</v>
      </c>
      <c r="AC117" s="134">
        <f t="shared" si="31"/>
        <v>3.47</v>
      </c>
      <c r="AD117" s="134">
        <f t="shared" si="31"/>
        <v>3.47</v>
      </c>
      <c r="AE117" s="134">
        <f t="shared" si="31"/>
        <v>3.47</v>
      </c>
      <c r="AF117" s="134">
        <f t="shared" si="31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32"/>
        <v>2.1</v>
      </c>
      <c r="D118" s="134">
        <f t="shared" si="32"/>
        <v>2.1</v>
      </c>
      <c r="E118" s="134">
        <f t="shared" si="32"/>
        <v>2.1</v>
      </c>
      <c r="F118" s="134">
        <f t="shared" si="32"/>
        <v>2.1</v>
      </c>
      <c r="G118" s="134">
        <f t="shared" si="32"/>
        <v>2.1</v>
      </c>
      <c r="H118" s="134">
        <f t="shared" si="32"/>
        <v>2.1</v>
      </c>
      <c r="I118" s="134">
        <f t="shared" si="32"/>
        <v>2.1</v>
      </c>
      <c r="J118" s="134">
        <f t="shared" si="32"/>
        <v>2.1</v>
      </c>
      <c r="K118" s="134">
        <f t="shared" si="32"/>
        <v>2.1</v>
      </c>
      <c r="L118" s="134">
        <f t="shared" si="32"/>
        <v>2.1</v>
      </c>
      <c r="M118" s="134">
        <f t="shared" si="32"/>
        <v>2.1</v>
      </c>
      <c r="N118" s="134">
        <f t="shared" si="32"/>
        <v>2.1</v>
      </c>
      <c r="O118" s="134">
        <f t="shared" si="32"/>
        <v>2.1</v>
      </c>
      <c r="P118" s="134">
        <f t="shared" si="32"/>
        <v>2.1</v>
      </c>
      <c r="Q118" s="134">
        <f t="shared" si="32"/>
        <v>2.1</v>
      </c>
      <c r="R118" s="134">
        <f t="shared" si="32"/>
        <v>2.1</v>
      </c>
      <c r="S118" s="134">
        <f t="shared" si="31"/>
        <v>2.1</v>
      </c>
      <c r="T118" s="134">
        <f t="shared" si="31"/>
        <v>2.1</v>
      </c>
      <c r="U118" s="134">
        <f t="shared" si="31"/>
        <v>2.1</v>
      </c>
      <c r="V118" s="134">
        <f t="shared" si="31"/>
        <v>2.1</v>
      </c>
      <c r="W118" s="134">
        <f t="shared" si="31"/>
        <v>2.1</v>
      </c>
      <c r="X118" s="134">
        <f t="shared" si="31"/>
        <v>2.1</v>
      </c>
      <c r="Y118" s="134">
        <f t="shared" si="31"/>
        <v>2.1</v>
      </c>
      <c r="Z118" s="134">
        <f t="shared" si="31"/>
        <v>2.1</v>
      </c>
      <c r="AA118" s="134">
        <f t="shared" si="31"/>
        <v>2.1</v>
      </c>
      <c r="AB118" s="134">
        <f t="shared" si="31"/>
        <v>2.1</v>
      </c>
      <c r="AC118" s="134">
        <f t="shared" si="31"/>
        <v>2.1</v>
      </c>
      <c r="AD118" s="134">
        <f t="shared" si="31"/>
        <v>2.1</v>
      </c>
      <c r="AE118" s="134">
        <f t="shared" si="31"/>
        <v>2.1</v>
      </c>
      <c r="AF118" s="134">
        <f t="shared" si="31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32"/>
        <v>9.3000000000000007</v>
      </c>
      <c r="D119" s="134">
        <f t="shared" si="32"/>
        <v>9.3000000000000007</v>
      </c>
      <c r="E119" s="134">
        <f t="shared" si="32"/>
        <v>9.3000000000000007</v>
      </c>
      <c r="F119" s="134">
        <f t="shared" si="32"/>
        <v>9.3000000000000007</v>
      </c>
      <c r="G119" s="134">
        <f t="shared" si="32"/>
        <v>9.3000000000000007</v>
      </c>
      <c r="H119" s="134">
        <f t="shared" si="32"/>
        <v>9.3000000000000007</v>
      </c>
      <c r="I119" s="134">
        <f t="shared" si="32"/>
        <v>9.3000000000000007</v>
      </c>
      <c r="J119" s="134">
        <f t="shared" si="32"/>
        <v>9.3000000000000007</v>
      </c>
      <c r="K119" s="134">
        <f t="shared" si="32"/>
        <v>9.3000000000000007</v>
      </c>
      <c r="L119" s="134">
        <f t="shared" si="32"/>
        <v>9.3000000000000007</v>
      </c>
      <c r="M119" s="134">
        <f t="shared" si="32"/>
        <v>9.3000000000000007</v>
      </c>
      <c r="N119" s="134">
        <f t="shared" si="32"/>
        <v>9.3000000000000007</v>
      </c>
      <c r="O119" s="134">
        <f t="shared" si="32"/>
        <v>9.3000000000000007</v>
      </c>
      <c r="P119" s="134">
        <f t="shared" si="32"/>
        <v>9.3000000000000007</v>
      </c>
      <c r="Q119" s="134">
        <f t="shared" si="32"/>
        <v>9.3000000000000007</v>
      </c>
      <c r="R119" s="134">
        <f t="shared" si="32"/>
        <v>9.3000000000000007</v>
      </c>
      <c r="S119" s="134">
        <f t="shared" si="31"/>
        <v>9.3000000000000007</v>
      </c>
      <c r="T119" s="134">
        <f t="shared" si="31"/>
        <v>9.3000000000000007</v>
      </c>
      <c r="U119" s="134">
        <f t="shared" si="31"/>
        <v>9.3000000000000007</v>
      </c>
      <c r="V119" s="134">
        <f t="shared" si="31"/>
        <v>9.3000000000000007</v>
      </c>
      <c r="W119" s="134">
        <f t="shared" si="31"/>
        <v>9.3000000000000007</v>
      </c>
      <c r="X119" s="134">
        <f t="shared" si="31"/>
        <v>9.3000000000000007</v>
      </c>
      <c r="Y119" s="134">
        <f t="shared" si="31"/>
        <v>9.3000000000000007</v>
      </c>
      <c r="Z119" s="134">
        <f t="shared" si="31"/>
        <v>9.3000000000000007</v>
      </c>
      <c r="AA119" s="134">
        <f t="shared" si="31"/>
        <v>9.3000000000000007</v>
      </c>
      <c r="AB119" s="134">
        <f t="shared" si="31"/>
        <v>9.3000000000000007</v>
      </c>
      <c r="AC119" s="134">
        <f t="shared" si="31"/>
        <v>9.3000000000000007</v>
      </c>
      <c r="AD119" s="134">
        <f t="shared" si="31"/>
        <v>9.3000000000000007</v>
      </c>
      <c r="AE119" s="134">
        <f t="shared" si="31"/>
        <v>9.3000000000000007</v>
      </c>
      <c r="AF119" s="134">
        <f t="shared" si="31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32"/>
        <v>0</v>
      </c>
      <c r="D120" s="134">
        <f t="shared" si="32"/>
        <v>0</v>
      </c>
      <c r="E120" s="134">
        <f t="shared" si="32"/>
        <v>0</v>
      </c>
      <c r="F120" s="134">
        <f t="shared" si="32"/>
        <v>0</v>
      </c>
      <c r="G120" s="134">
        <f t="shared" si="32"/>
        <v>0</v>
      </c>
      <c r="H120" s="134">
        <f t="shared" si="32"/>
        <v>0</v>
      </c>
      <c r="I120" s="134">
        <f t="shared" si="32"/>
        <v>0</v>
      </c>
      <c r="J120" s="134">
        <f t="shared" si="32"/>
        <v>0</v>
      </c>
      <c r="K120" s="134">
        <f t="shared" si="32"/>
        <v>0</v>
      </c>
      <c r="L120" s="134">
        <f t="shared" si="32"/>
        <v>0</v>
      </c>
      <c r="M120" s="134">
        <f t="shared" si="32"/>
        <v>0</v>
      </c>
      <c r="N120" s="134">
        <f t="shared" si="32"/>
        <v>0</v>
      </c>
      <c r="O120" s="134">
        <f t="shared" si="32"/>
        <v>0</v>
      </c>
      <c r="P120" s="134">
        <f t="shared" si="32"/>
        <v>0</v>
      </c>
      <c r="Q120" s="134">
        <f t="shared" si="32"/>
        <v>0</v>
      </c>
      <c r="R120" s="134">
        <f t="shared" si="32"/>
        <v>0</v>
      </c>
      <c r="S120" s="134">
        <f t="shared" si="31"/>
        <v>0</v>
      </c>
      <c r="T120" s="134">
        <f t="shared" si="31"/>
        <v>0</v>
      </c>
      <c r="U120" s="134">
        <f t="shared" si="31"/>
        <v>0</v>
      </c>
      <c r="V120" s="134">
        <f t="shared" si="31"/>
        <v>0</v>
      </c>
      <c r="W120" s="134">
        <f t="shared" si="31"/>
        <v>0</v>
      </c>
      <c r="X120" s="134">
        <f t="shared" si="31"/>
        <v>0</v>
      </c>
      <c r="Y120" s="134">
        <f t="shared" si="31"/>
        <v>0</v>
      </c>
      <c r="Z120" s="134">
        <f t="shared" si="31"/>
        <v>0</v>
      </c>
      <c r="AA120" s="134">
        <f t="shared" si="31"/>
        <v>0</v>
      </c>
      <c r="AB120" s="134">
        <f t="shared" si="31"/>
        <v>0</v>
      </c>
      <c r="AC120" s="134">
        <f t="shared" si="31"/>
        <v>0</v>
      </c>
      <c r="AD120" s="134">
        <f t="shared" si="31"/>
        <v>0</v>
      </c>
      <c r="AE120" s="134">
        <f t="shared" si="31"/>
        <v>0</v>
      </c>
      <c r="AF120" s="134">
        <f t="shared" si="31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32"/>
        <v>0</v>
      </c>
      <c r="D121" s="134">
        <f t="shared" si="32"/>
        <v>0</v>
      </c>
      <c r="E121" s="134">
        <f t="shared" si="32"/>
        <v>0</v>
      </c>
      <c r="F121" s="134">
        <f t="shared" si="32"/>
        <v>0</v>
      </c>
      <c r="G121" s="134">
        <f t="shared" si="32"/>
        <v>0</v>
      </c>
      <c r="H121" s="134">
        <f t="shared" si="32"/>
        <v>0</v>
      </c>
      <c r="I121" s="134">
        <f t="shared" si="32"/>
        <v>0</v>
      </c>
      <c r="J121" s="134">
        <f t="shared" si="32"/>
        <v>0</v>
      </c>
      <c r="K121" s="134">
        <f t="shared" si="32"/>
        <v>0</v>
      </c>
      <c r="L121" s="134">
        <f t="shared" si="32"/>
        <v>0</v>
      </c>
      <c r="M121" s="134">
        <f t="shared" si="32"/>
        <v>0</v>
      </c>
      <c r="N121" s="134">
        <f t="shared" si="32"/>
        <v>0</v>
      </c>
      <c r="O121" s="134">
        <f t="shared" si="32"/>
        <v>0</v>
      </c>
      <c r="P121" s="134">
        <f t="shared" si="32"/>
        <v>0</v>
      </c>
      <c r="Q121" s="134">
        <f t="shared" si="32"/>
        <v>0</v>
      </c>
      <c r="R121" s="134">
        <f t="shared" si="32"/>
        <v>0</v>
      </c>
      <c r="S121" s="134">
        <f t="shared" si="31"/>
        <v>0</v>
      </c>
      <c r="T121" s="134">
        <f t="shared" si="31"/>
        <v>0</v>
      </c>
      <c r="U121" s="134">
        <f t="shared" si="31"/>
        <v>0</v>
      </c>
      <c r="V121" s="134">
        <f t="shared" si="31"/>
        <v>0</v>
      </c>
      <c r="W121" s="134">
        <f t="shared" si="31"/>
        <v>0</v>
      </c>
      <c r="X121" s="134">
        <f t="shared" si="31"/>
        <v>0</v>
      </c>
      <c r="Y121" s="134">
        <f t="shared" si="31"/>
        <v>0</v>
      </c>
      <c r="Z121" s="134">
        <f t="shared" si="31"/>
        <v>0</v>
      </c>
      <c r="AA121" s="134">
        <f t="shared" si="31"/>
        <v>0</v>
      </c>
      <c r="AB121" s="134">
        <f t="shared" si="31"/>
        <v>0</v>
      </c>
      <c r="AC121" s="134">
        <f t="shared" si="31"/>
        <v>0</v>
      </c>
      <c r="AD121" s="134">
        <f t="shared" si="31"/>
        <v>0</v>
      </c>
      <c r="AE121" s="134">
        <f t="shared" si="31"/>
        <v>0</v>
      </c>
      <c r="AF121" s="134">
        <f t="shared" si="31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32"/>
        <v>5</v>
      </c>
      <c r="D122" s="134">
        <f t="shared" si="32"/>
        <v>5</v>
      </c>
      <c r="E122" s="134">
        <f t="shared" si="32"/>
        <v>5</v>
      </c>
      <c r="F122" s="134">
        <f t="shared" si="32"/>
        <v>5</v>
      </c>
      <c r="G122" s="134">
        <f t="shared" si="32"/>
        <v>5</v>
      </c>
      <c r="H122" s="134">
        <f t="shared" si="32"/>
        <v>5</v>
      </c>
      <c r="I122" s="134">
        <f t="shared" si="32"/>
        <v>5</v>
      </c>
      <c r="J122" s="134">
        <f t="shared" si="32"/>
        <v>5</v>
      </c>
      <c r="K122" s="134">
        <f t="shared" si="32"/>
        <v>5</v>
      </c>
      <c r="L122" s="134">
        <f t="shared" si="32"/>
        <v>5</v>
      </c>
      <c r="M122" s="134">
        <f t="shared" si="32"/>
        <v>5</v>
      </c>
      <c r="N122" s="134">
        <f t="shared" si="32"/>
        <v>5</v>
      </c>
      <c r="O122" s="134">
        <f t="shared" si="32"/>
        <v>5</v>
      </c>
      <c r="P122" s="134">
        <f t="shared" si="32"/>
        <v>5</v>
      </c>
      <c r="Q122" s="134">
        <f t="shared" si="32"/>
        <v>5</v>
      </c>
      <c r="R122" s="134">
        <f t="shared" si="32"/>
        <v>5</v>
      </c>
      <c r="S122" s="134">
        <f t="shared" si="31"/>
        <v>5</v>
      </c>
      <c r="T122" s="134">
        <f t="shared" si="31"/>
        <v>5</v>
      </c>
      <c r="U122" s="134">
        <f t="shared" si="31"/>
        <v>5</v>
      </c>
      <c r="V122" s="134">
        <f t="shared" si="31"/>
        <v>5</v>
      </c>
      <c r="W122" s="134">
        <f t="shared" si="31"/>
        <v>5</v>
      </c>
      <c r="X122" s="134">
        <f t="shared" si="31"/>
        <v>5</v>
      </c>
      <c r="Y122" s="134">
        <f t="shared" si="31"/>
        <v>5</v>
      </c>
      <c r="Z122" s="134">
        <f t="shared" si="31"/>
        <v>5</v>
      </c>
      <c r="AA122" s="134">
        <f t="shared" si="31"/>
        <v>5</v>
      </c>
      <c r="AB122" s="134">
        <f t="shared" si="31"/>
        <v>5</v>
      </c>
      <c r="AC122" s="134">
        <f t="shared" si="31"/>
        <v>5</v>
      </c>
      <c r="AD122" s="134">
        <f t="shared" si="31"/>
        <v>5</v>
      </c>
      <c r="AE122" s="134">
        <f t="shared" si="31"/>
        <v>5</v>
      </c>
      <c r="AF122" s="134">
        <f t="shared" si="31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32"/>
        <v>1</v>
      </c>
      <c r="D123" s="134">
        <f t="shared" si="32"/>
        <v>1</v>
      </c>
      <c r="E123" s="134">
        <f t="shared" si="32"/>
        <v>1</v>
      </c>
      <c r="F123" s="134">
        <f t="shared" si="32"/>
        <v>1</v>
      </c>
      <c r="G123" s="134">
        <f t="shared" si="32"/>
        <v>1</v>
      </c>
      <c r="H123" s="134">
        <f t="shared" si="32"/>
        <v>1</v>
      </c>
      <c r="I123" s="134">
        <f t="shared" si="32"/>
        <v>1</v>
      </c>
      <c r="J123" s="134">
        <f t="shared" si="32"/>
        <v>1</v>
      </c>
      <c r="K123" s="134">
        <f t="shared" si="32"/>
        <v>1</v>
      </c>
      <c r="L123" s="134">
        <f t="shared" si="32"/>
        <v>1</v>
      </c>
      <c r="M123" s="134">
        <f t="shared" si="32"/>
        <v>1</v>
      </c>
      <c r="N123" s="134">
        <f t="shared" si="32"/>
        <v>1</v>
      </c>
      <c r="O123" s="134">
        <f t="shared" si="32"/>
        <v>1</v>
      </c>
      <c r="P123" s="134">
        <f t="shared" si="32"/>
        <v>1</v>
      </c>
      <c r="Q123" s="134">
        <f t="shared" si="32"/>
        <v>1</v>
      </c>
      <c r="R123" s="134">
        <f t="shared" si="32"/>
        <v>1</v>
      </c>
      <c r="S123" s="134">
        <f t="shared" si="31"/>
        <v>1</v>
      </c>
      <c r="T123" s="134">
        <f t="shared" si="31"/>
        <v>1</v>
      </c>
      <c r="U123" s="134">
        <f t="shared" si="31"/>
        <v>1</v>
      </c>
      <c r="V123" s="134">
        <f t="shared" si="31"/>
        <v>1</v>
      </c>
      <c r="W123" s="134">
        <f t="shared" si="31"/>
        <v>1</v>
      </c>
      <c r="X123" s="134">
        <f t="shared" si="31"/>
        <v>1</v>
      </c>
      <c r="Y123" s="134">
        <f t="shared" si="31"/>
        <v>1</v>
      </c>
      <c r="Z123" s="134">
        <f t="shared" si="31"/>
        <v>1</v>
      </c>
      <c r="AA123" s="134">
        <f t="shared" si="31"/>
        <v>1</v>
      </c>
      <c r="AB123" s="134">
        <f t="shared" si="31"/>
        <v>1</v>
      </c>
      <c r="AC123" s="134">
        <f t="shared" si="31"/>
        <v>1</v>
      </c>
      <c r="AD123" s="134">
        <f t="shared" si="31"/>
        <v>1</v>
      </c>
      <c r="AE123" s="134">
        <f t="shared" si="31"/>
        <v>1</v>
      </c>
      <c r="AF123" s="134">
        <f t="shared" si="31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32"/>
        <v>1.58</v>
      </c>
      <c r="D124" s="134">
        <f t="shared" si="32"/>
        <v>1.58</v>
      </c>
      <c r="E124" s="134">
        <f t="shared" si="32"/>
        <v>1.58</v>
      </c>
      <c r="F124" s="134">
        <f t="shared" si="32"/>
        <v>1.58</v>
      </c>
      <c r="G124" s="134">
        <f t="shared" si="32"/>
        <v>1.58</v>
      </c>
      <c r="H124" s="134">
        <f t="shared" si="32"/>
        <v>1.58</v>
      </c>
      <c r="I124" s="134">
        <f t="shared" si="32"/>
        <v>1.58</v>
      </c>
      <c r="J124" s="134">
        <f t="shared" si="32"/>
        <v>1.58</v>
      </c>
      <c r="K124" s="134">
        <f t="shared" si="32"/>
        <v>1.58</v>
      </c>
      <c r="L124" s="134">
        <f t="shared" si="32"/>
        <v>1.58</v>
      </c>
      <c r="M124" s="134">
        <f t="shared" si="32"/>
        <v>1.58</v>
      </c>
      <c r="N124" s="134">
        <f t="shared" si="32"/>
        <v>1.58</v>
      </c>
      <c r="O124" s="134">
        <f t="shared" si="32"/>
        <v>1.58</v>
      </c>
      <c r="P124" s="134">
        <f t="shared" si="32"/>
        <v>1.58</v>
      </c>
      <c r="Q124" s="134">
        <f t="shared" si="32"/>
        <v>1.58</v>
      </c>
      <c r="R124" s="134">
        <f t="shared" si="32"/>
        <v>1.58</v>
      </c>
      <c r="S124" s="134">
        <f t="shared" si="31"/>
        <v>1.58</v>
      </c>
      <c r="T124" s="134">
        <f t="shared" si="31"/>
        <v>1.58</v>
      </c>
      <c r="U124" s="134">
        <f t="shared" si="31"/>
        <v>1.58</v>
      </c>
      <c r="V124" s="134">
        <f t="shared" si="31"/>
        <v>1.58</v>
      </c>
      <c r="W124" s="134">
        <f t="shared" si="31"/>
        <v>1.58</v>
      </c>
      <c r="X124" s="134">
        <f t="shared" si="31"/>
        <v>1.58</v>
      </c>
      <c r="Y124" s="134">
        <f t="shared" si="31"/>
        <v>1.58</v>
      </c>
      <c r="Z124" s="134">
        <f t="shared" si="31"/>
        <v>1.58</v>
      </c>
      <c r="AA124" s="134">
        <f t="shared" si="31"/>
        <v>1.58</v>
      </c>
      <c r="AB124" s="134">
        <f t="shared" si="31"/>
        <v>1.58</v>
      </c>
      <c r="AC124" s="134">
        <f t="shared" si="31"/>
        <v>1.58</v>
      </c>
      <c r="AD124" s="134">
        <f t="shared" si="31"/>
        <v>1.58</v>
      </c>
      <c r="AE124" s="134">
        <f t="shared" si="31"/>
        <v>1.58</v>
      </c>
      <c r="AF124" s="134">
        <f t="shared" si="31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32"/>
        <v>1.46</v>
      </c>
      <c r="D125" s="134">
        <f t="shared" si="32"/>
        <v>1.46</v>
      </c>
      <c r="E125" s="134">
        <f t="shared" si="32"/>
        <v>1.46</v>
      </c>
      <c r="F125" s="134">
        <f t="shared" si="32"/>
        <v>1.46</v>
      </c>
      <c r="G125" s="134">
        <f t="shared" si="32"/>
        <v>1.46</v>
      </c>
      <c r="H125" s="134">
        <f t="shared" si="32"/>
        <v>1.46</v>
      </c>
      <c r="I125" s="134">
        <f t="shared" si="32"/>
        <v>1.46</v>
      </c>
      <c r="J125" s="134">
        <f t="shared" si="32"/>
        <v>1.46</v>
      </c>
      <c r="K125" s="134">
        <f t="shared" si="32"/>
        <v>1.46</v>
      </c>
      <c r="L125" s="134">
        <f t="shared" si="32"/>
        <v>1.46</v>
      </c>
      <c r="M125" s="134">
        <f t="shared" si="32"/>
        <v>1.46</v>
      </c>
      <c r="N125" s="134">
        <f t="shared" si="32"/>
        <v>1.46</v>
      </c>
      <c r="O125" s="134">
        <f t="shared" si="32"/>
        <v>1.46</v>
      </c>
      <c r="P125" s="134">
        <f t="shared" si="32"/>
        <v>1.46</v>
      </c>
      <c r="Q125" s="134">
        <f t="shared" si="32"/>
        <v>1.46</v>
      </c>
      <c r="R125" s="134">
        <f t="shared" si="32"/>
        <v>1.46</v>
      </c>
      <c r="S125" s="134">
        <f t="shared" ref="S125:AF126" si="33">R125</f>
        <v>1.46</v>
      </c>
      <c r="T125" s="134">
        <f t="shared" si="33"/>
        <v>1.46</v>
      </c>
      <c r="U125" s="134">
        <f t="shared" si="33"/>
        <v>1.46</v>
      </c>
      <c r="V125" s="134">
        <f t="shared" si="33"/>
        <v>1.46</v>
      </c>
      <c r="W125" s="134">
        <f t="shared" si="33"/>
        <v>1.46</v>
      </c>
      <c r="X125" s="134">
        <f t="shared" si="33"/>
        <v>1.46</v>
      </c>
      <c r="Y125" s="134">
        <f t="shared" si="33"/>
        <v>1.46</v>
      </c>
      <c r="Z125" s="134">
        <f t="shared" si="33"/>
        <v>1.46</v>
      </c>
      <c r="AA125" s="134">
        <f t="shared" si="33"/>
        <v>1.46</v>
      </c>
      <c r="AB125" s="134">
        <f t="shared" si="33"/>
        <v>1.46</v>
      </c>
      <c r="AC125" s="134">
        <f t="shared" si="33"/>
        <v>1.46</v>
      </c>
      <c r="AD125" s="134">
        <f t="shared" si="33"/>
        <v>1.46</v>
      </c>
      <c r="AE125" s="134">
        <f t="shared" si="33"/>
        <v>1.46</v>
      </c>
      <c r="AF125" s="134">
        <f t="shared" si="33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32"/>
        <v>1.48</v>
      </c>
      <c r="D126" s="134">
        <f t="shared" si="32"/>
        <v>1.48</v>
      </c>
      <c r="E126" s="134">
        <f t="shared" si="32"/>
        <v>1.48</v>
      </c>
      <c r="F126" s="134">
        <f t="shared" si="32"/>
        <v>1.48</v>
      </c>
      <c r="G126" s="134">
        <f t="shared" si="32"/>
        <v>1.48</v>
      </c>
      <c r="H126" s="134">
        <f t="shared" si="32"/>
        <v>1.48</v>
      </c>
      <c r="I126" s="134">
        <f t="shared" si="32"/>
        <v>1.48</v>
      </c>
      <c r="J126" s="134">
        <f t="shared" si="32"/>
        <v>1.48</v>
      </c>
      <c r="K126" s="134">
        <f t="shared" si="32"/>
        <v>1.48</v>
      </c>
      <c r="L126" s="134">
        <f t="shared" si="32"/>
        <v>1.48</v>
      </c>
      <c r="M126" s="134">
        <f t="shared" si="32"/>
        <v>1.48</v>
      </c>
      <c r="N126" s="134">
        <f t="shared" si="32"/>
        <v>1.48</v>
      </c>
      <c r="O126" s="134">
        <f t="shared" si="32"/>
        <v>1.48</v>
      </c>
      <c r="P126" s="134">
        <f t="shared" si="32"/>
        <v>1.48</v>
      </c>
      <c r="Q126" s="134">
        <f t="shared" si="32"/>
        <v>1.48</v>
      </c>
      <c r="R126" s="134">
        <f t="shared" si="32"/>
        <v>1.48</v>
      </c>
      <c r="S126" s="134">
        <f t="shared" si="33"/>
        <v>1.48</v>
      </c>
      <c r="T126" s="134">
        <f t="shared" si="33"/>
        <v>1.48</v>
      </c>
      <c r="U126" s="134">
        <f t="shared" si="33"/>
        <v>1.48</v>
      </c>
      <c r="V126" s="134">
        <f t="shared" si="33"/>
        <v>1.48</v>
      </c>
      <c r="W126" s="134">
        <f t="shared" si="33"/>
        <v>1.48</v>
      </c>
      <c r="X126" s="134">
        <f t="shared" si="33"/>
        <v>1.48</v>
      </c>
      <c r="Y126" s="134">
        <f t="shared" si="33"/>
        <v>1.48</v>
      </c>
      <c r="Z126" s="134">
        <f t="shared" si="33"/>
        <v>1.48</v>
      </c>
      <c r="AA126" s="134">
        <f t="shared" si="33"/>
        <v>1.48</v>
      </c>
      <c r="AB126" s="134">
        <f t="shared" si="33"/>
        <v>1.48</v>
      </c>
      <c r="AC126" s="134">
        <f t="shared" si="33"/>
        <v>1.48</v>
      </c>
      <c r="AD126" s="134">
        <f t="shared" si="33"/>
        <v>1.48</v>
      </c>
      <c r="AE126" s="134">
        <f t="shared" si="33"/>
        <v>1.48</v>
      </c>
      <c r="AF126" s="134">
        <f t="shared" si="33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4">B128</f>
        <v>2.2000000000000002</v>
      </c>
      <c r="D128" s="134">
        <f t="shared" si="34"/>
        <v>2.2000000000000002</v>
      </c>
      <c r="E128" s="134">
        <f t="shared" si="34"/>
        <v>2.2000000000000002</v>
      </c>
      <c r="F128" s="134">
        <f t="shared" si="34"/>
        <v>2.2000000000000002</v>
      </c>
      <c r="G128" s="134">
        <f t="shared" si="34"/>
        <v>2.2000000000000002</v>
      </c>
      <c r="H128" s="134">
        <f t="shared" si="34"/>
        <v>2.2000000000000002</v>
      </c>
      <c r="I128" s="134">
        <f t="shared" si="34"/>
        <v>2.2000000000000002</v>
      </c>
      <c r="J128" s="134">
        <f t="shared" si="34"/>
        <v>2.2000000000000002</v>
      </c>
      <c r="K128" s="134">
        <f t="shared" si="34"/>
        <v>2.2000000000000002</v>
      </c>
      <c r="L128" s="134">
        <f t="shared" si="34"/>
        <v>2.2000000000000002</v>
      </c>
      <c r="M128" s="134">
        <f t="shared" si="34"/>
        <v>2.2000000000000002</v>
      </c>
      <c r="N128" s="134">
        <f t="shared" si="34"/>
        <v>2.2000000000000002</v>
      </c>
      <c r="O128" s="134">
        <f t="shared" si="34"/>
        <v>2.2000000000000002</v>
      </c>
      <c r="P128" s="134">
        <f t="shared" si="34"/>
        <v>2.2000000000000002</v>
      </c>
      <c r="Q128" s="134">
        <f t="shared" si="34"/>
        <v>2.2000000000000002</v>
      </c>
      <c r="R128" s="134">
        <f t="shared" si="34"/>
        <v>2.2000000000000002</v>
      </c>
      <c r="S128" s="134">
        <f t="shared" ref="S128:AF135" si="35">R128</f>
        <v>2.2000000000000002</v>
      </c>
      <c r="T128" s="134">
        <f t="shared" si="35"/>
        <v>2.2000000000000002</v>
      </c>
      <c r="U128" s="134">
        <f t="shared" si="35"/>
        <v>2.2000000000000002</v>
      </c>
      <c r="V128" s="134">
        <f t="shared" si="35"/>
        <v>2.2000000000000002</v>
      </c>
      <c r="W128" s="134">
        <f t="shared" si="35"/>
        <v>2.2000000000000002</v>
      </c>
      <c r="X128" s="134">
        <f t="shared" si="35"/>
        <v>2.2000000000000002</v>
      </c>
      <c r="Y128" s="134">
        <f t="shared" si="35"/>
        <v>2.2000000000000002</v>
      </c>
      <c r="Z128" s="134">
        <f t="shared" si="35"/>
        <v>2.2000000000000002</v>
      </c>
      <c r="AA128" s="134">
        <f t="shared" si="35"/>
        <v>2.2000000000000002</v>
      </c>
      <c r="AB128" s="134">
        <f t="shared" si="35"/>
        <v>2.2000000000000002</v>
      </c>
      <c r="AC128" s="134">
        <f t="shared" si="35"/>
        <v>2.2000000000000002</v>
      </c>
      <c r="AD128" s="134">
        <f t="shared" si="35"/>
        <v>2.2000000000000002</v>
      </c>
      <c r="AE128" s="134">
        <f t="shared" si="35"/>
        <v>2.2000000000000002</v>
      </c>
      <c r="AF128" s="134">
        <f t="shared" si="35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4"/>
        <v>2</v>
      </c>
      <c r="D129" s="134">
        <f t="shared" si="34"/>
        <v>2</v>
      </c>
      <c r="E129" s="134">
        <f t="shared" si="34"/>
        <v>2</v>
      </c>
      <c r="F129" s="134">
        <f t="shared" si="34"/>
        <v>2</v>
      </c>
      <c r="G129" s="134">
        <f t="shared" si="34"/>
        <v>2</v>
      </c>
      <c r="H129" s="134">
        <f t="shared" si="34"/>
        <v>2</v>
      </c>
      <c r="I129" s="134">
        <f t="shared" si="34"/>
        <v>2</v>
      </c>
      <c r="J129" s="134">
        <f t="shared" si="34"/>
        <v>2</v>
      </c>
      <c r="K129" s="134">
        <f t="shared" si="34"/>
        <v>2</v>
      </c>
      <c r="L129" s="134">
        <f t="shared" si="34"/>
        <v>2</v>
      </c>
      <c r="M129" s="134">
        <f t="shared" si="34"/>
        <v>2</v>
      </c>
      <c r="N129" s="134">
        <f t="shared" si="34"/>
        <v>2</v>
      </c>
      <c r="O129" s="134">
        <f t="shared" si="34"/>
        <v>2</v>
      </c>
      <c r="P129" s="134">
        <f t="shared" si="34"/>
        <v>2</v>
      </c>
      <c r="Q129" s="134">
        <f t="shared" si="34"/>
        <v>2</v>
      </c>
      <c r="R129" s="134">
        <f t="shared" si="34"/>
        <v>2</v>
      </c>
      <c r="S129" s="134">
        <f t="shared" si="35"/>
        <v>2</v>
      </c>
      <c r="T129" s="134">
        <f t="shared" si="35"/>
        <v>2</v>
      </c>
      <c r="U129" s="134">
        <f t="shared" si="35"/>
        <v>2</v>
      </c>
      <c r="V129" s="134">
        <f t="shared" si="35"/>
        <v>2</v>
      </c>
      <c r="W129" s="134">
        <f t="shared" si="35"/>
        <v>2</v>
      </c>
      <c r="X129" s="134">
        <f t="shared" si="35"/>
        <v>2</v>
      </c>
      <c r="Y129" s="134">
        <f t="shared" si="35"/>
        <v>2</v>
      </c>
      <c r="Z129" s="134">
        <f t="shared" si="35"/>
        <v>2</v>
      </c>
      <c r="AA129" s="134">
        <f t="shared" si="35"/>
        <v>2</v>
      </c>
      <c r="AB129" s="134">
        <f t="shared" si="35"/>
        <v>2</v>
      </c>
      <c r="AC129" s="134">
        <f t="shared" si="35"/>
        <v>2</v>
      </c>
      <c r="AD129" s="134">
        <f t="shared" si="35"/>
        <v>2</v>
      </c>
      <c r="AE129" s="134">
        <f t="shared" si="35"/>
        <v>2</v>
      </c>
      <c r="AF129" s="134">
        <f t="shared" si="35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4"/>
        <v>1.25</v>
      </c>
      <c r="D130" s="134">
        <f t="shared" si="34"/>
        <v>1.25</v>
      </c>
      <c r="E130" s="134">
        <f t="shared" si="34"/>
        <v>1.25</v>
      </c>
      <c r="F130" s="134">
        <f t="shared" si="34"/>
        <v>1.25</v>
      </c>
      <c r="G130" s="134">
        <f t="shared" si="34"/>
        <v>1.25</v>
      </c>
      <c r="H130" s="134">
        <f t="shared" si="34"/>
        <v>1.25</v>
      </c>
      <c r="I130" s="134">
        <f t="shared" si="34"/>
        <v>1.25</v>
      </c>
      <c r="J130" s="134">
        <f t="shared" si="34"/>
        <v>1.25</v>
      </c>
      <c r="K130" s="134">
        <f t="shared" si="34"/>
        <v>1.25</v>
      </c>
      <c r="L130" s="134">
        <f t="shared" si="34"/>
        <v>1.25</v>
      </c>
      <c r="M130" s="134">
        <f t="shared" si="34"/>
        <v>1.25</v>
      </c>
      <c r="N130" s="134">
        <f t="shared" si="34"/>
        <v>1.25</v>
      </c>
      <c r="O130" s="134">
        <f t="shared" si="34"/>
        <v>1.25</v>
      </c>
      <c r="P130" s="134">
        <f t="shared" si="34"/>
        <v>1.25</v>
      </c>
      <c r="Q130" s="134">
        <f t="shared" si="34"/>
        <v>1.25</v>
      </c>
      <c r="R130" s="134">
        <f t="shared" si="34"/>
        <v>1.25</v>
      </c>
      <c r="S130" s="134">
        <f t="shared" si="35"/>
        <v>1.25</v>
      </c>
      <c r="T130" s="134">
        <f t="shared" si="35"/>
        <v>1.25</v>
      </c>
      <c r="U130" s="134">
        <f t="shared" si="35"/>
        <v>1.25</v>
      </c>
      <c r="V130" s="134">
        <f t="shared" si="35"/>
        <v>1.25</v>
      </c>
      <c r="W130" s="134">
        <f t="shared" si="35"/>
        <v>1.25</v>
      </c>
      <c r="X130" s="134">
        <f t="shared" si="35"/>
        <v>1.25</v>
      </c>
      <c r="Y130" s="134">
        <f t="shared" si="35"/>
        <v>1.25</v>
      </c>
      <c r="Z130" s="134">
        <f t="shared" si="35"/>
        <v>1.25</v>
      </c>
      <c r="AA130" s="134">
        <f t="shared" si="35"/>
        <v>1.25</v>
      </c>
      <c r="AB130" s="134">
        <f t="shared" si="35"/>
        <v>1.25</v>
      </c>
      <c r="AC130" s="134">
        <f t="shared" si="35"/>
        <v>1.25</v>
      </c>
      <c r="AD130" s="134">
        <f t="shared" si="35"/>
        <v>1.25</v>
      </c>
      <c r="AE130" s="134">
        <f t="shared" si="35"/>
        <v>1.25</v>
      </c>
      <c r="AF130" s="134">
        <f t="shared" si="35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4"/>
        <v>1.1499999999999999</v>
      </c>
      <c r="D131" s="134">
        <f t="shared" si="34"/>
        <v>1.1499999999999999</v>
      </c>
      <c r="E131" s="134">
        <f t="shared" si="34"/>
        <v>1.1499999999999999</v>
      </c>
      <c r="F131" s="134">
        <f t="shared" si="34"/>
        <v>1.1499999999999999</v>
      </c>
      <c r="G131" s="134">
        <f t="shared" si="34"/>
        <v>1.1499999999999999</v>
      </c>
      <c r="H131" s="134">
        <f t="shared" si="34"/>
        <v>1.1499999999999999</v>
      </c>
      <c r="I131" s="134">
        <f t="shared" si="34"/>
        <v>1.1499999999999999</v>
      </c>
      <c r="J131" s="134">
        <f t="shared" si="34"/>
        <v>1.1499999999999999</v>
      </c>
      <c r="K131" s="134">
        <f t="shared" si="34"/>
        <v>1.1499999999999999</v>
      </c>
      <c r="L131" s="134">
        <f t="shared" si="34"/>
        <v>1.1499999999999999</v>
      </c>
      <c r="M131" s="134">
        <f t="shared" si="34"/>
        <v>1.1499999999999999</v>
      </c>
      <c r="N131" s="134">
        <f t="shared" si="34"/>
        <v>1.1499999999999999</v>
      </c>
      <c r="O131" s="134">
        <f t="shared" si="34"/>
        <v>1.1499999999999999</v>
      </c>
      <c r="P131" s="134">
        <f t="shared" si="34"/>
        <v>1.1499999999999999</v>
      </c>
      <c r="Q131" s="134">
        <f t="shared" si="34"/>
        <v>1.1499999999999999</v>
      </c>
      <c r="R131" s="134">
        <f t="shared" si="34"/>
        <v>1.1499999999999999</v>
      </c>
      <c r="S131" s="134">
        <f t="shared" si="35"/>
        <v>1.1499999999999999</v>
      </c>
      <c r="T131" s="134">
        <f t="shared" si="35"/>
        <v>1.1499999999999999</v>
      </c>
      <c r="U131" s="134">
        <f t="shared" si="35"/>
        <v>1.1499999999999999</v>
      </c>
      <c r="V131" s="134">
        <f t="shared" si="35"/>
        <v>1.1499999999999999</v>
      </c>
      <c r="W131" s="134">
        <f t="shared" si="35"/>
        <v>1.1499999999999999</v>
      </c>
      <c r="X131" s="134">
        <f t="shared" si="35"/>
        <v>1.1499999999999999</v>
      </c>
      <c r="Y131" s="134">
        <f t="shared" si="35"/>
        <v>1.1499999999999999</v>
      </c>
      <c r="Z131" s="134">
        <f t="shared" si="35"/>
        <v>1.1499999999999999</v>
      </c>
      <c r="AA131" s="134">
        <f t="shared" si="35"/>
        <v>1.1499999999999999</v>
      </c>
      <c r="AB131" s="134">
        <f t="shared" si="35"/>
        <v>1.1499999999999999</v>
      </c>
      <c r="AC131" s="134">
        <f t="shared" si="35"/>
        <v>1.1499999999999999</v>
      </c>
      <c r="AD131" s="134">
        <f t="shared" si="35"/>
        <v>1.1499999999999999</v>
      </c>
      <c r="AE131" s="134">
        <f t="shared" si="35"/>
        <v>1.1499999999999999</v>
      </c>
      <c r="AF131" s="134">
        <f t="shared" si="35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4"/>
        <v>2.133</v>
      </c>
      <c r="D132" s="134">
        <f t="shared" si="34"/>
        <v>2.133</v>
      </c>
      <c r="E132" s="134">
        <f t="shared" si="34"/>
        <v>2.133</v>
      </c>
      <c r="F132" s="134">
        <f t="shared" si="34"/>
        <v>2.133</v>
      </c>
      <c r="G132" s="134">
        <f t="shared" si="34"/>
        <v>2.133</v>
      </c>
      <c r="H132" s="134">
        <f t="shared" si="34"/>
        <v>2.133</v>
      </c>
      <c r="I132" s="134">
        <f t="shared" si="34"/>
        <v>2.133</v>
      </c>
      <c r="J132" s="134">
        <f t="shared" si="34"/>
        <v>2.133</v>
      </c>
      <c r="K132" s="134">
        <f t="shared" si="34"/>
        <v>2.133</v>
      </c>
      <c r="L132" s="134">
        <f t="shared" si="34"/>
        <v>2.133</v>
      </c>
      <c r="M132" s="134">
        <f t="shared" si="34"/>
        <v>2.133</v>
      </c>
      <c r="N132" s="134">
        <f t="shared" si="34"/>
        <v>2.133</v>
      </c>
      <c r="O132" s="134">
        <f t="shared" si="34"/>
        <v>2.133</v>
      </c>
      <c r="P132" s="134">
        <f t="shared" si="34"/>
        <v>2.133</v>
      </c>
      <c r="Q132" s="134">
        <f t="shared" si="34"/>
        <v>2.133</v>
      </c>
      <c r="R132" s="134">
        <f t="shared" si="34"/>
        <v>2.133</v>
      </c>
      <c r="S132" s="134">
        <f t="shared" si="35"/>
        <v>2.133</v>
      </c>
      <c r="T132" s="134">
        <f t="shared" si="35"/>
        <v>2.133</v>
      </c>
      <c r="U132" s="134">
        <f t="shared" si="35"/>
        <v>2.133</v>
      </c>
      <c r="V132" s="134">
        <f t="shared" si="35"/>
        <v>2.133</v>
      </c>
      <c r="W132" s="134">
        <f t="shared" si="35"/>
        <v>2.133</v>
      </c>
      <c r="X132" s="134">
        <f t="shared" si="35"/>
        <v>2.133</v>
      </c>
      <c r="Y132" s="134">
        <f t="shared" si="35"/>
        <v>2.133</v>
      </c>
      <c r="Z132" s="134">
        <f t="shared" si="35"/>
        <v>2.133</v>
      </c>
      <c r="AA132" s="134">
        <f t="shared" si="35"/>
        <v>2.133</v>
      </c>
      <c r="AB132" s="134">
        <f t="shared" si="35"/>
        <v>2.133</v>
      </c>
      <c r="AC132" s="134">
        <f t="shared" si="35"/>
        <v>2.133</v>
      </c>
      <c r="AD132" s="134">
        <f t="shared" si="35"/>
        <v>2.133</v>
      </c>
      <c r="AE132" s="134">
        <f t="shared" si="35"/>
        <v>2.133</v>
      </c>
      <c r="AF132" s="134">
        <f t="shared" si="35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4"/>
        <v>2.09</v>
      </c>
      <c r="D133" s="134">
        <f t="shared" si="34"/>
        <v>2.09</v>
      </c>
      <c r="E133" s="134">
        <f t="shared" si="34"/>
        <v>2.09</v>
      </c>
      <c r="F133" s="134">
        <f t="shared" si="34"/>
        <v>2.09</v>
      </c>
      <c r="G133" s="134">
        <f t="shared" si="34"/>
        <v>2.09</v>
      </c>
      <c r="H133" s="134">
        <f t="shared" si="34"/>
        <v>2.09</v>
      </c>
      <c r="I133" s="134">
        <f t="shared" si="34"/>
        <v>2.09</v>
      </c>
      <c r="J133" s="134">
        <f t="shared" si="34"/>
        <v>2.09</v>
      </c>
      <c r="K133" s="134">
        <f t="shared" si="34"/>
        <v>2.09</v>
      </c>
      <c r="L133" s="134">
        <f t="shared" si="34"/>
        <v>2.09</v>
      </c>
      <c r="M133" s="134">
        <f t="shared" si="34"/>
        <v>2.09</v>
      </c>
      <c r="N133" s="134">
        <f t="shared" si="34"/>
        <v>2.09</v>
      </c>
      <c r="O133" s="134">
        <f t="shared" si="34"/>
        <v>2.09</v>
      </c>
      <c r="P133" s="134">
        <f t="shared" si="34"/>
        <v>2.09</v>
      </c>
      <c r="Q133" s="134">
        <f t="shared" si="34"/>
        <v>2.09</v>
      </c>
      <c r="R133" s="134">
        <f t="shared" si="34"/>
        <v>2.09</v>
      </c>
      <c r="S133" s="134">
        <f t="shared" si="35"/>
        <v>2.09</v>
      </c>
      <c r="T133" s="134">
        <f t="shared" si="35"/>
        <v>2.09</v>
      </c>
      <c r="U133" s="134">
        <f t="shared" si="35"/>
        <v>2.09</v>
      </c>
      <c r="V133" s="134">
        <f t="shared" si="35"/>
        <v>2.09</v>
      </c>
      <c r="W133" s="134">
        <f t="shared" si="35"/>
        <v>2.09</v>
      </c>
      <c r="X133" s="134">
        <f t="shared" si="35"/>
        <v>2.09</v>
      </c>
      <c r="Y133" s="134">
        <f t="shared" si="35"/>
        <v>2.09</v>
      </c>
      <c r="Z133" s="134">
        <f t="shared" si="35"/>
        <v>2.09</v>
      </c>
      <c r="AA133" s="134">
        <f t="shared" si="35"/>
        <v>2.09</v>
      </c>
      <c r="AB133" s="134">
        <f t="shared" si="35"/>
        <v>2.09</v>
      </c>
      <c r="AC133" s="134">
        <f t="shared" si="35"/>
        <v>2.09</v>
      </c>
      <c r="AD133" s="134">
        <f t="shared" si="35"/>
        <v>2.09</v>
      </c>
      <c r="AE133" s="134">
        <f t="shared" si="35"/>
        <v>2.09</v>
      </c>
      <c r="AF133" s="134">
        <f t="shared" si="35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4"/>
        <v>1.1399999999999999</v>
      </c>
      <c r="D134" s="134">
        <f t="shared" si="34"/>
        <v>1.1399999999999999</v>
      </c>
      <c r="E134" s="134">
        <f t="shared" si="34"/>
        <v>1.1399999999999999</v>
      </c>
      <c r="F134" s="134">
        <f t="shared" si="34"/>
        <v>1.1399999999999999</v>
      </c>
      <c r="G134" s="134">
        <f t="shared" si="34"/>
        <v>1.1399999999999999</v>
      </c>
      <c r="H134" s="134">
        <f t="shared" si="34"/>
        <v>1.1399999999999999</v>
      </c>
      <c r="I134" s="134">
        <f t="shared" si="34"/>
        <v>1.1399999999999999</v>
      </c>
      <c r="J134" s="134">
        <f t="shared" si="34"/>
        <v>1.1399999999999999</v>
      </c>
      <c r="K134" s="134">
        <f t="shared" si="34"/>
        <v>1.1399999999999999</v>
      </c>
      <c r="L134" s="134">
        <f t="shared" si="34"/>
        <v>1.1399999999999999</v>
      </c>
      <c r="M134" s="134">
        <f t="shared" si="34"/>
        <v>1.1399999999999999</v>
      </c>
      <c r="N134" s="134">
        <f t="shared" si="34"/>
        <v>1.1399999999999999</v>
      </c>
      <c r="O134" s="134">
        <f t="shared" si="34"/>
        <v>1.1399999999999999</v>
      </c>
      <c r="P134" s="134">
        <f t="shared" si="34"/>
        <v>1.1399999999999999</v>
      </c>
      <c r="Q134" s="134">
        <f t="shared" si="34"/>
        <v>1.1399999999999999</v>
      </c>
      <c r="R134" s="134">
        <f t="shared" si="34"/>
        <v>1.1399999999999999</v>
      </c>
      <c r="S134" s="134">
        <f t="shared" si="35"/>
        <v>1.1399999999999999</v>
      </c>
      <c r="T134" s="134">
        <f t="shared" si="35"/>
        <v>1.1399999999999999</v>
      </c>
      <c r="U134" s="134">
        <f t="shared" si="35"/>
        <v>1.1399999999999999</v>
      </c>
      <c r="V134" s="134">
        <f t="shared" si="35"/>
        <v>1.1399999999999999</v>
      </c>
      <c r="W134" s="134">
        <f t="shared" si="35"/>
        <v>1.1399999999999999</v>
      </c>
      <c r="X134" s="134">
        <f t="shared" si="35"/>
        <v>1.1399999999999999</v>
      </c>
      <c r="Y134" s="134">
        <f t="shared" si="35"/>
        <v>1.1399999999999999</v>
      </c>
      <c r="Z134" s="134">
        <f t="shared" si="35"/>
        <v>1.1399999999999999</v>
      </c>
      <c r="AA134" s="134">
        <f t="shared" si="35"/>
        <v>1.1399999999999999</v>
      </c>
      <c r="AB134" s="134">
        <f t="shared" si="35"/>
        <v>1.1399999999999999</v>
      </c>
      <c r="AC134" s="134">
        <f t="shared" si="35"/>
        <v>1.1399999999999999</v>
      </c>
      <c r="AD134" s="134">
        <f t="shared" si="35"/>
        <v>1.1399999999999999</v>
      </c>
      <c r="AE134" s="134">
        <f t="shared" si="35"/>
        <v>1.1399999999999999</v>
      </c>
      <c r="AF134" s="134">
        <f t="shared" si="35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4"/>
        <v>0.82</v>
      </c>
      <c r="D135" s="134">
        <f t="shared" si="34"/>
        <v>0.82</v>
      </c>
      <c r="E135" s="134">
        <f t="shared" si="34"/>
        <v>0.82</v>
      </c>
      <c r="F135" s="134">
        <f t="shared" si="34"/>
        <v>0.82</v>
      </c>
      <c r="G135" s="134">
        <f t="shared" si="34"/>
        <v>0.82</v>
      </c>
      <c r="H135" s="134">
        <f t="shared" si="34"/>
        <v>0.82</v>
      </c>
      <c r="I135" s="134">
        <f t="shared" si="34"/>
        <v>0.82</v>
      </c>
      <c r="J135" s="134">
        <f t="shared" si="34"/>
        <v>0.82</v>
      </c>
      <c r="K135" s="134">
        <f t="shared" si="34"/>
        <v>0.82</v>
      </c>
      <c r="L135" s="134">
        <f t="shared" si="34"/>
        <v>0.82</v>
      </c>
      <c r="M135" s="134">
        <f t="shared" si="34"/>
        <v>0.82</v>
      </c>
      <c r="N135" s="134">
        <f t="shared" si="34"/>
        <v>0.82</v>
      </c>
      <c r="O135" s="134">
        <f t="shared" si="34"/>
        <v>0.82</v>
      </c>
      <c r="P135" s="134">
        <f t="shared" si="34"/>
        <v>0.82</v>
      </c>
      <c r="Q135" s="134">
        <f t="shared" si="34"/>
        <v>0.82</v>
      </c>
      <c r="R135" s="134">
        <f t="shared" si="34"/>
        <v>0.82</v>
      </c>
      <c r="S135" s="134">
        <f t="shared" si="35"/>
        <v>0.82</v>
      </c>
      <c r="T135" s="134">
        <f t="shared" si="35"/>
        <v>0.82</v>
      </c>
      <c r="U135" s="134">
        <f t="shared" si="35"/>
        <v>0.82</v>
      </c>
      <c r="V135" s="134">
        <f t="shared" si="35"/>
        <v>0.82</v>
      </c>
      <c r="W135" s="134">
        <f t="shared" si="35"/>
        <v>0.82</v>
      </c>
      <c r="X135" s="134">
        <f t="shared" si="35"/>
        <v>0.82</v>
      </c>
      <c r="Y135" s="134">
        <f t="shared" si="35"/>
        <v>0.82</v>
      </c>
      <c r="Z135" s="134">
        <f t="shared" si="35"/>
        <v>0.82</v>
      </c>
      <c r="AA135" s="134">
        <f t="shared" si="35"/>
        <v>0.82</v>
      </c>
      <c r="AB135" s="134">
        <f t="shared" si="35"/>
        <v>0.82</v>
      </c>
      <c r="AC135" s="134">
        <f t="shared" si="35"/>
        <v>0.82</v>
      </c>
      <c r="AD135" s="134">
        <f t="shared" si="35"/>
        <v>0.82</v>
      </c>
      <c r="AE135" s="134">
        <f t="shared" si="35"/>
        <v>0.82</v>
      </c>
      <c r="AF135" s="134">
        <f t="shared" si="35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6">B137</f>
        <v>2</v>
      </c>
      <c r="D137" s="134">
        <f t="shared" si="36"/>
        <v>2</v>
      </c>
      <c r="E137" s="134">
        <f t="shared" si="36"/>
        <v>2</v>
      </c>
      <c r="F137" s="134">
        <f t="shared" si="36"/>
        <v>2</v>
      </c>
      <c r="G137" s="134">
        <f t="shared" si="36"/>
        <v>2</v>
      </c>
      <c r="H137" s="134">
        <f t="shared" si="36"/>
        <v>2</v>
      </c>
      <c r="I137" s="134">
        <f t="shared" si="36"/>
        <v>2</v>
      </c>
      <c r="J137" s="134">
        <f t="shared" si="36"/>
        <v>2</v>
      </c>
      <c r="K137" s="134">
        <f t="shared" si="36"/>
        <v>2</v>
      </c>
      <c r="L137" s="134">
        <f t="shared" si="36"/>
        <v>2</v>
      </c>
      <c r="M137" s="134">
        <f t="shared" si="36"/>
        <v>2</v>
      </c>
      <c r="N137" s="134">
        <f t="shared" si="36"/>
        <v>2</v>
      </c>
      <c r="O137" s="134">
        <f t="shared" si="36"/>
        <v>2</v>
      </c>
      <c r="P137" s="134">
        <f t="shared" si="36"/>
        <v>2</v>
      </c>
      <c r="Q137" s="134">
        <f t="shared" si="36"/>
        <v>2</v>
      </c>
      <c r="R137" s="134">
        <f t="shared" si="36"/>
        <v>2</v>
      </c>
      <c r="S137" s="134">
        <f t="shared" ref="S137:AF143" si="37">R137</f>
        <v>2</v>
      </c>
      <c r="T137" s="134">
        <f t="shared" si="37"/>
        <v>2</v>
      </c>
      <c r="U137" s="134">
        <f t="shared" si="37"/>
        <v>2</v>
      </c>
      <c r="V137" s="134">
        <f t="shared" si="37"/>
        <v>2</v>
      </c>
      <c r="W137" s="134">
        <f t="shared" si="37"/>
        <v>2</v>
      </c>
      <c r="X137" s="134">
        <f t="shared" si="37"/>
        <v>2</v>
      </c>
      <c r="Y137" s="134">
        <f t="shared" si="37"/>
        <v>2</v>
      </c>
      <c r="Z137" s="134">
        <f t="shared" si="37"/>
        <v>2</v>
      </c>
      <c r="AA137" s="134">
        <f t="shared" si="37"/>
        <v>2</v>
      </c>
      <c r="AB137" s="134">
        <f t="shared" si="37"/>
        <v>2</v>
      </c>
      <c r="AC137" s="134">
        <f t="shared" si="37"/>
        <v>2</v>
      </c>
      <c r="AD137" s="134">
        <f t="shared" si="37"/>
        <v>2</v>
      </c>
      <c r="AE137" s="134">
        <f t="shared" si="37"/>
        <v>2</v>
      </c>
      <c r="AF137" s="134">
        <f t="shared" si="37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6"/>
        <v>5.61</v>
      </c>
      <c r="D138" s="134">
        <f t="shared" si="36"/>
        <v>5.61</v>
      </c>
      <c r="E138" s="134">
        <f t="shared" si="36"/>
        <v>5.61</v>
      </c>
      <c r="F138" s="134">
        <f t="shared" si="36"/>
        <v>5.61</v>
      </c>
      <c r="G138" s="134">
        <f t="shared" si="36"/>
        <v>5.61</v>
      </c>
      <c r="H138" s="134">
        <f t="shared" si="36"/>
        <v>5.61</v>
      </c>
      <c r="I138" s="134">
        <f t="shared" si="36"/>
        <v>5.61</v>
      </c>
      <c r="J138" s="134">
        <f t="shared" si="36"/>
        <v>5.61</v>
      </c>
      <c r="K138" s="134">
        <f t="shared" si="36"/>
        <v>5.61</v>
      </c>
      <c r="L138" s="134">
        <f t="shared" si="36"/>
        <v>5.61</v>
      </c>
      <c r="M138" s="134">
        <f t="shared" si="36"/>
        <v>5.61</v>
      </c>
      <c r="N138" s="134">
        <f t="shared" si="36"/>
        <v>5.61</v>
      </c>
      <c r="O138" s="134">
        <f t="shared" si="36"/>
        <v>5.61</v>
      </c>
      <c r="P138" s="134">
        <f t="shared" si="36"/>
        <v>5.61</v>
      </c>
      <c r="Q138" s="134">
        <f t="shared" si="36"/>
        <v>5.61</v>
      </c>
      <c r="R138" s="134">
        <f t="shared" si="36"/>
        <v>5.61</v>
      </c>
      <c r="S138" s="134">
        <f t="shared" si="37"/>
        <v>5.61</v>
      </c>
      <c r="T138" s="134">
        <f t="shared" si="37"/>
        <v>5.61</v>
      </c>
      <c r="U138" s="134">
        <f t="shared" si="37"/>
        <v>5.61</v>
      </c>
      <c r="V138" s="134">
        <f t="shared" si="37"/>
        <v>5.61</v>
      </c>
      <c r="W138" s="134">
        <f t="shared" si="37"/>
        <v>5.61</v>
      </c>
      <c r="X138" s="134">
        <f t="shared" si="37"/>
        <v>5.61</v>
      </c>
      <c r="Y138" s="134">
        <f t="shared" si="37"/>
        <v>5.61</v>
      </c>
      <c r="Z138" s="134">
        <f t="shared" si="37"/>
        <v>5.61</v>
      </c>
      <c r="AA138" s="134">
        <f t="shared" si="37"/>
        <v>5.61</v>
      </c>
      <c r="AB138" s="134">
        <f t="shared" si="37"/>
        <v>5.61</v>
      </c>
      <c r="AC138" s="134">
        <f t="shared" si="37"/>
        <v>5.61</v>
      </c>
      <c r="AD138" s="134">
        <f t="shared" si="37"/>
        <v>5.61</v>
      </c>
      <c r="AE138" s="134">
        <f t="shared" si="37"/>
        <v>5.61</v>
      </c>
      <c r="AF138" s="134">
        <f t="shared" si="37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6"/>
        <v>1.25</v>
      </c>
      <c r="D139" s="134">
        <f t="shared" si="36"/>
        <v>1.25</v>
      </c>
      <c r="E139" s="134">
        <f t="shared" si="36"/>
        <v>1.25</v>
      </c>
      <c r="F139" s="134">
        <f t="shared" si="36"/>
        <v>1.25</v>
      </c>
      <c r="G139" s="134">
        <f t="shared" si="36"/>
        <v>1.25</v>
      </c>
      <c r="H139" s="134">
        <f t="shared" si="36"/>
        <v>1.25</v>
      </c>
      <c r="I139" s="134">
        <f t="shared" si="36"/>
        <v>1.25</v>
      </c>
      <c r="J139" s="134">
        <f t="shared" si="36"/>
        <v>1.25</v>
      </c>
      <c r="K139" s="134">
        <f t="shared" si="36"/>
        <v>1.25</v>
      </c>
      <c r="L139" s="134">
        <f t="shared" si="36"/>
        <v>1.25</v>
      </c>
      <c r="M139" s="134">
        <f t="shared" si="36"/>
        <v>1.25</v>
      </c>
      <c r="N139" s="134">
        <f t="shared" si="36"/>
        <v>1.25</v>
      </c>
      <c r="O139" s="134">
        <f t="shared" si="36"/>
        <v>1.25</v>
      </c>
      <c r="P139" s="134">
        <f t="shared" si="36"/>
        <v>1.25</v>
      </c>
      <c r="Q139" s="134">
        <f t="shared" si="36"/>
        <v>1.25</v>
      </c>
      <c r="R139" s="134">
        <f t="shared" si="36"/>
        <v>1.25</v>
      </c>
      <c r="S139" s="134">
        <f t="shared" si="37"/>
        <v>1.25</v>
      </c>
      <c r="T139" s="134">
        <f t="shared" si="37"/>
        <v>1.25</v>
      </c>
      <c r="U139" s="134">
        <f t="shared" si="37"/>
        <v>1.25</v>
      </c>
      <c r="V139" s="134">
        <f t="shared" si="37"/>
        <v>1.25</v>
      </c>
      <c r="W139" s="134">
        <f t="shared" si="37"/>
        <v>1.25</v>
      </c>
      <c r="X139" s="134">
        <f t="shared" si="37"/>
        <v>1.25</v>
      </c>
      <c r="Y139" s="134">
        <f t="shared" si="37"/>
        <v>1.25</v>
      </c>
      <c r="Z139" s="134">
        <f t="shared" si="37"/>
        <v>1.25</v>
      </c>
      <c r="AA139" s="134">
        <f t="shared" si="37"/>
        <v>1.25</v>
      </c>
      <c r="AB139" s="134">
        <f t="shared" si="37"/>
        <v>1.25</v>
      </c>
      <c r="AC139" s="134">
        <f t="shared" si="37"/>
        <v>1.25</v>
      </c>
      <c r="AD139" s="134">
        <f t="shared" si="37"/>
        <v>1.25</v>
      </c>
      <c r="AE139" s="134">
        <f t="shared" si="37"/>
        <v>1.25</v>
      </c>
      <c r="AF139" s="134">
        <f t="shared" si="37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6"/>
        <v>1.25</v>
      </c>
      <c r="D140" s="134">
        <f t="shared" si="36"/>
        <v>1.25</v>
      </c>
      <c r="E140" s="134">
        <f t="shared" si="36"/>
        <v>1.25</v>
      </c>
      <c r="F140" s="134">
        <f t="shared" si="36"/>
        <v>1.25</v>
      </c>
      <c r="G140" s="134">
        <f t="shared" si="36"/>
        <v>1.25</v>
      </c>
      <c r="H140" s="134">
        <f t="shared" si="36"/>
        <v>1.25</v>
      </c>
      <c r="I140" s="134">
        <f t="shared" si="36"/>
        <v>1.25</v>
      </c>
      <c r="J140" s="134">
        <f t="shared" si="36"/>
        <v>1.25</v>
      </c>
      <c r="K140" s="134">
        <f t="shared" si="36"/>
        <v>1.25</v>
      </c>
      <c r="L140" s="134">
        <f t="shared" si="36"/>
        <v>1.25</v>
      </c>
      <c r="M140" s="134">
        <f t="shared" si="36"/>
        <v>1.25</v>
      </c>
      <c r="N140" s="134">
        <f t="shared" si="36"/>
        <v>1.25</v>
      </c>
      <c r="O140" s="134">
        <f t="shared" si="36"/>
        <v>1.25</v>
      </c>
      <c r="P140" s="134">
        <f t="shared" si="36"/>
        <v>1.25</v>
      </c>
      <c r="Q140" s="134">
        <f t="shared" si="36"/>
        <v>1.25</v>
      </c>
      <c r="R140" s="134">
        <f t="shared" si="36"/>
        <v>1.25</v>
      </c>
      <c r="S140" s="134">
        <f t="shared" si="37"/>
        <v>1.25</v>
      </c>
      <c r="T140" s="134">
        <f t="shared" si="37"/>
        <v>1.25</v>
      </c>
      <c r="U140" s="134">
        <f t="shared" si="37"/>
        <v>1.25</v>
      </c>
      <c r="V140" s="134">
        <f t="shared" si="37"/>
        <v>1.25</v>
      </c>
      <c r="W140" s="134">
        <f t="shared" si="37"/>
        <v>1.25</v>
      </c>
      <c r="X140" s="134">
        <f t="shared" si="37"/>
        <v>1.25</v>
      </c>
      <c r="Y140" s="134">
        <f t="shared" si="37"/>
        <v>1.25</v>
      </c>
      <c r="Z140" s="134">
        <f t="shared" si="37"/>
        <v>1.25</v>
      </c>
      <c r="AA140" s="134">
        <f t="shared" si="37"/>
        <v>1.25</v>
      </c>
      <c r="AB140" s="134">
        <f t="shared" si="37"/>
        <v>1.25</v>
      </c>
      <c r="AC140" s="134">
        <f t="shared" si="37"/>
        <v>1.25</v>
      </c>
      <c r="AD140" s="134">
        <f t="shared" si="37"/>
        <v>1.25</v>
      </c>
      <c r="AE140" s="134">
        <f t="shared" si="37"/>
        <v>1.25</v>
      </c>
      <c r="AF140" s="134">
        <f t="shared" si="37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6"/>
        <v>1.46</v>
      </c>
      <c r="D141" s="134">
        <f t="shared" si="36"/>
        <v>1.46</v>
      </c>
      <c r="E141" s="134">
        <f t="shared" si="36"/>
        <v>1.46</v>
      </c>
      <c r="F141" s="134">
        <f t="shared" si="36"/>
        <v>1.46</v>
      </c>
      <c r="G141" s="134">
        <f t="shared" si="36"/>
        <v>1.46</v>
      </c>
      <c r="H141" s="134">
        <f t="shared" si="36"/>
        <v>1.46</v>
      </c>
      <c r="I141" s="134">
        <f t="shared" si="36"/>
        <v>1.46</v>
      </c>
      <c r="J141" s="134">
        <f t="shared" si="36"/>
        <v>1.46</v>
      </c>
      <c r="K141" s="134">
        <f t="shared" si="36"/>
        <v>1.46</v>
      </c>
      <c r="L141" s="134">
        <f t="shared" si="36"/>
        <v>1.46</v>
      </c>
      <c r="M141" s="134">
        <f t="shared" si="36"/>
        <v>1.46</v>
      </c>
      <c r="N141" s="134">
        <f t="shared" si="36"/>
        <v>1.46</v>
      </c>
      <c r="O141" s="134">
        <f t="shared" si="36"/>
        <v>1.46</v>
      </c>
      <c r="P141" s="134">
        <f t="shared" si="36"/>
        <v>1.46</v>
      </c>
      <c r="Q141" s="134">
        <f t="shared" si="36"/>
        <v>1.46</v>
      </c>
      <c r="R141" s="134">
        <f t="shared" si="36"/>
        <v>1.46</v>
      </c>
      <c r="S141" s="134">
        <f t="shared" si="37"/>
        <v>1.46</v>
      </c>
      <c r="T141" s="134">
        <f t="shared" si="37"/>
        <v>1.46</v>
      </c>
      <c r="U141" s="134">
        <f t="shared" si="37"/>
        <v>1.46</v>
      </c>
      <c r="V141" s="134">
        <f t="shared" si="37"/>
        <v>1.46</v>
      </c>
      <c r="W141" s="134">
        <f t="shared" si="37"/>
        <v>1.46</v>
      </c>
      <c r="X141" s="134">
        <f t="shared" si="37"/>
        <v>1.46</v>
      </c>
      <c r="Y141" s="134">
        <f t="shared" si="37"/>
        <v>1.46</v>
      </c>
      <c r="Z141" s="134">
        <f t="shared" si="37"/>
        <v>1.46</v>
      </c>
      <c r="AA141" s="134">
        <f t="shared" si="37"/>
        <v>1.46</v>
      </c>
      <c r="AB141" s="134">
        <f t="shared" si="37"/>
        <v>1.46</v>
      </c>
      <c r="AC141" s="134">
        <f t="shared" si="37"/>
        <v>1.46</v>
      </c>
      <c r="AD141" s="134">
        <f t="shared" si="37"/>
        <v>1.46</v>
      </c>
      <c r="AE141" s="134">
        <f t="shared" si="37"/>
        <v>1.46</v>
      </c>
      <c r="AF141" s="134">
        <f t="shared" si="37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6"/>
        <v>3</v>
      </c>
      <c r="D142" s="134">
        <f t="shared" si="36"/>
        <v>3</v>
      </c>
      <c r="E142" s="134">
        <f t="shared" si="36"/>
        <v>3</v>
      </c>
      <c r="F142" s="134">
        <f t="shared" si="36"/>
        <v>3</v>
      </c>
      <c r="G142" s="134">
        <f t="shared" si="36"/>
        <v>3</v>
      </c>
      <c r="H142" s="134">
        <f t="shared" si="36"/>
        <v>3</v>
      </c>
      <c r="I142" s="134">
        <f t="shared" si="36"/>
        <v>3</v>
      </c>
      <c r="J142" s="134">
        <f t="shared" si="36"/>
        <v>3</v>
      </c>
      <c r="K142" s="134">
        <f t="shared" si="36"/>
        <v>3</v>
      </c>
      <c r="L142" s="134">
        <f t="shared" si="36"/>
        <v>3</v>
      </c>
      <c r="M142" s="134">
        <f t="shared" si="36"/>
        <v>3</v>
      </c>
      <c r="N142" s="134">
        <f t="shared" si="36"/>
        <v>3</v>
      </c>
      <c r="O142" s="134">
        <f t="shared" si="36"/>
        <v>3</v>
      </c>
      <c r="P142" s="134">
        <f t="shared" si="36"/>
        <v>3</v>
      </c>
      <c r="Q142" s="134">
        <f t="shared" si="36"/>
        <v>3</v>
      </c>
      <c r="R142" s="134">
        <f t="shared" si="36"/>
        <v>3</v>
      </c>
      <c r="S142" s="134">
        <f t="shared" si="37"/>
        <v>3</v>
      </c>
      <c r="T142" s="134">
        <f t="shared" si="37"/>
        <v>3</v>
      </c>
      <c r="U142" s="134">
        <f t="shared" si="37"/>
        <v>3</v>
      </c>
      <c r="V142" s="134">
        <f t="shared" si="37"/>
        <v>3</v>
      </c>
      <c r="W142" s="134">
        <f t="shared" si="37"/>
        <v>3</v>
      </c>
      <c r="X142" s="134">
        <f t="shared" si="37"/>
        <v>3</v>
      </c>
      <c r="Y142" s="134">
        <f t="shared" si="37"/>
        <v>3</v>
      </c>
      <c r="Z142" s="134">
        <f t="shared" si="37"/>
        <v>3</v>
      </c>
      <c r="AA142" s="134">
        <f t="shared" si="37"/>
        <v>3</v>
      </c>
      <c r="AB142" s="134">
        <f t="shared" si="37"/>
        <v>3</v>
      </c>
      <c r="AC142" s="134">
        <f t="shared" si="37"/>
        <v>3</v>
      </c>
      <c r="AD142" s="134">
        <f t="shared" si="37"/>
        <v>3</v>
      </c>
      <c r="AE142" s="134">
        <f t="shared" si="37"/>
        <v>3</v>
      </c>
      <c r="AF142" s="134">
        <f t="shared" si="37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6"/>
        <v>3.3</v>
      </c>
      <c r="D143" s="134">
        <f t="shared" si="36"/>
        <v>3.3</v>
      </c>
      <c r="E143" s="134">
        <f t="shared" si="36"/>
        <v>3.3</v>
      </c>
      <c r="F143" s="134">
        <f t="shared" si="36"/>
        <v>3.3</v>
      </c>
      <c r="G143" s="134">
        <f t="shared" si="36"/>
        <v>3.3</v>
      </c>
      <c r="H143" s="134">
        <f t="shared" si="36"/>
        <v>3.3</v>
      </c>
      <c r="I143" s="134">
        <f t="shared" si="36"/>
        <v>3.3</v>
      </c>
      <c r="J143" s="134">
        <f t="shared" si="36"/>
        <v>3.3</v>
      </c>
      <c r="K143" s="134">
        <f t="shared" si="36"/>
        <v>3.3</v>
      </c>
      <c r="L143" s="134">
        <f t="shared" si="36"/>
        <v>3.3</v>
      </c>
      <c r="M143" s="134">
        <f t="shared" si="36"/>
        <v>3.3</v>
      </c>
      <c r="N143" s="134">
        <f t="shared" si="36"/>
        <v>3.3</v>
      </c>
      <c r="O143" s="134">
        <f t="shared" si="36"/>
        <v>3.3</v>
      </c>
      <c r="P143" s="134">
        <f t="shared" si="36"/>
        <v>3.3</v>
      </c>
      <c r="Q143" s="134">
        <f t="shared" si="36"/>
        <v>3.3</v>
      </c>
      <c r="R143" s="134">
        <f t="shared" si="36"/>
        <v>3.3</v>
      </c>
      <c r="S143" s="134">
        <f t="shared" si="37"/>
        <v>3.3</v>
      </c>
      <c r="T143" s="134">
        <f t="shared" si="37"/>
        <v>3.3</v>
      </c>
      <c r="U143" s="134">
        <f t="shared" si="37"/>
        <v>3.3</v>
      </c>
      <c r="V143" s="134">
        <f t="shared" si="37"/>
        <v>3.3</v>
      </c>
      <c r="W143" s="134">
        <f t="shared" si="37"/>
        <v>3.3</v>
      </c>
      <c r="X143" s="134">
        <f t="shared" si="37"/>
        <v>3.3</v>
      </c>
      <c r="Y143" s="134">
        <f t="shared" si="37"/>
        <v>3.3</v>
      </c>
      <c r="Z143" s="134">
        <f t="shared" si="37"/>
        <v>3.3</v>
      </c>
      <c r="AA143" s="134">
        <f t="shared" si="37"/>
        <v>3.3</v>
      </c>
      <c r="AB143" s="134">
        <f t="shared" si="37"/>
        <v>3.3</v>
      </c>
      <c r="AC143" s="134">
        <f t="shared" si="37"/>
        <v>3.3</v>
      </c>
      <c r="AD143" s="134">
        <f t="shared" si="37"/>
        <v>3.3</v>
      </c>
      <c r="AE143" s="134">
        <f t="shared" si="37"/>
        <v>3.3</v>
      </c>
      <c r="AF143" s="134">
        <f t="shared" si="37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8">B145</f>
        <v>1.76</v>
      </c>
      <c r="D145" s="134">
        <f t="shared" si="38"/>
        <v>1.76</v>
      </c>
      <c r="E145" s="134">
        <f t="shared" si="38"/>
        <v>1.76</v>
      </c>
      <c r="F145" s="134">
        <f t="shared" si="38"/>
        <v>1.76</v>
      </c>
      <c r="G145" s="134">
        <f t="shared" si="38"/>
        <v>1.76</v>
      </c>
      <c r="H145" s="134">
        <f t="shared" si="38"/>
        <v>1.76</v>
      </c>
      <c r="I145" s="134">
        <f t="shared" si="38"/>
        <v>1.76</v>
      </c>
      <c r="J145" s="134">
        <f t="shared" si="38"/>
        <v>1.76</v>
      </c>
      <c r="K145" s="134">
        <f t="shared" si="38"/>
        <v>1.76</v>
      </c>
      <c r="L145" s="134">
        <f t="shared" si="38"/>
        <v>1.76</v>
      </c>
      <c r="M145" s="134">
        <f t="shared" si="38"/>
        <v>1.76</v>
      </c>
      <c r="N145" s="134">
        <f t="shared" si="38"/>
        <v>1.76</v>
      </c>
      <c r="O145" s="134">
        <f t="shared" si="38"/>
        <v>1.76</v>
      </c>
      <c r="P145" s="134">
        <f t="shared" si="38"/>
        <v>1.76</v>
      </c>
      <c r="Q145" s="134">
        <f t="shared" si="38"/>
        <v>1.76</v>
      </c>
      <c r="R145" s="134">
        <f t="shared" si="38"/>
        <v>1.76</v>
      </c>
      <c r="S145" s="134">
        <f t="shared" ref="S145:AF146" si="39">R145</f>
        <v>1.76</v>
      </c>
      <c r="T145" s="134">
        <f t="shared" si="39"/>
        <v>1.76</v>
      </c>
      <c r="U145" s="134">
        <f t="shared" si="39"/>
        <v>1.76</v>
      </c>
      <c r="V145" s="134">
        <f t="shared" si="39"/>
        <v>1.76</v>
      </c>
      <c r="W145" s="134">
        <f t="shared" si="39"/>
        <v>1.76</v>
      </c>
      <c r="X145" s="134">
        <f t="shared" si="39"/>
        <v>1.76</v>
      </c>
      <c r="Y145" s="134">
        <f t="shared" si="39"/>
        <v>1.76</v>
      </c>
      <c r="Z145" s="134">
        <f t="shared" si="39"/>
        <v>1.76</v>
      </c>
      <c r="AA145" s="134">
        <f t="shared" si="39"/>
        <v>1.76</v>
      </c>
      <c r="AB145" s="134">
        <f t="shared" si="39"/>
        <v>1.76</v>
      </c>
      <c r="AC145" s="134">
        <f t="shared" si="39"/>
        <v>1.76</v>
      </c>
      <c r="AD145" s="134">
        <f t="shared" si="39"/>
        <v>1.76</v>
      </c>
      <c r="AE145" s="134">
        <f t="shared" si="39"/>
        <v>1.76</v>
      </c>
      <c r="AF145" s="134">
        <f t="shared" si="39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8"/>
        <v>0</v>
      </c>
      <c r="D146" s="134">
        <f t="shared" si="38"/>
        <v>0</v>
      </c>
      <c r="E146" s="134">
        <f t="shared" si="38"/>
        <v>0</v>
      </c>
      <c r="F146" s="134">
        <f t="shared" si="38"/>
        <v>0</v>
      </c>
      <c r="G146" s="134">
        <f t="shared" si="38"/>
        <v>0</v>
      </c>
      <c r="H146" s="134">
        <f t="shared" si="38"/>
        <v>0</v>
      </c>
      <c r="I146" s="134">
        <f t="shared" si="38"/>
        <v>0</v>
      </c>
      <c r="J146" s="134">
        <f t="shared" si="38"/>
        <v>0</v>
      </c>
      <c r="K146" s="134">
        <f t="shared" si="38"/>
        <v>0</v>
      </c>
      <c r="L146" s="134">
        <f t="shared" si="38"/>
        <v>0</v>
      </c>
      <c r="M146" s="134">
        <f t="shared" si="38"/>
        <v>0</v>
      </c>
      <c r="N146" s="134">
        <f t="shared" si="38"/>
        <v>0</v>
      </c>
      <c r="O146" s="134">
        <f t="shared" si="38"/>
        <v>0</v>
      </c>
      <c r="P146" s="134">
        <f t="shared" si="38"/>
        <v>0</v>
      </c>
      <c r="Q146" s="134">
        <f t="shared" si="38"/>
        <v>0</v>
      </c>
      <c r="R146" s="134">
        <f t="shared" si="38"/>
        <v>0</v>
      </c>
      <c r="S146" s="134">
        <f t="shared" si="39"/>
        <v>0</v>
      </c>
      <c r="T146" s="134">
        <f t="shared" si="39"/>
        <v>0</v>
      </c>
      <c r="U146" s="134">
        <f t="shared" si="39"/>
        <v>0</v>
      </c>
      <c r="V146" s="134">
        <f t="shared" si="39"/>
        <v>0</v>
      </c>
      <c r="W146" s="134">
        <f t="shared" si="39"/>
        <v>0</v>
      </c>
      <c r="X146" s="134">
        <f t="shared" si="39"/>
        <v>0</v>
      </c>
      <c r="Y146" s="134">
        <f t="shared" si="39"/>
        <v>0</v>
      </c>
      <c r="Z146" s="134">
        <f t="shared" si="39"/>
        <v>0</v>
      </c>
      <c r="AA146" s="134">
        <f t="shared" si="39"/>
        <v>0</v>
      </c>
      <c r="AB146" s="134">
        <f t="shared" si="39"/>
        <v>0</v>
      </c>
      <c r="AC146" s="134">
        <f t="shared" si="39"/>
        <v>0</v>
      </c>
      <c r="AD146" s="134">
        <f t="shared" si="39"/>
        <v>0</v>
      </c>
      <c r="AE146" s="134">
        <f t="shared" si="39"/>
        <v>0</v>
      </c>
      <c r="AF146" s="134">
        <f t="shared" si="39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40">B148</f>
        <v>0.1</v>
      </c>
      <c r="D148" s="134">
        <f t="shared" si="40"/>
        <v>0.1</v>
      </c>
      <c r="E148" s="134">
        <f t="shared" si="40"/>
        <v>0.1</v>
      </c>
      <c r="F148" s="134">
        <f t="shared" si="40"/>
        <v>0.1</v>
      </c>
      <c r="G148" s="134">
        <f t="shared" si="40"/>
        <v>0.1</v>
      </c>
      <c r="H148" s="134">
        <f t="shared" si="40"/>
        <v>0.1</v>
      </c>
      <c r="I148" s="134">
        <f t="shared" si="40"/>
        <v>0.1</v>
      </c>
      <c r="J148" s="134">
        <f t="shared" si="40"/>
        <v>0.1</v>
      </c>
      <c r="K148" s="134">
        <f t="shared" si="40"/>
        <v>0.1</v>
      </c>
      <c r="L148" s="134">
        <f t="shared" si="40"/>
        <v>0.1</v>
      </c>
      <c r="M148" s="134">
        <f t="shared" si="40"/>
        <v>0.1</v>
      </c>
      <c r="N148" s="134">
        <f t="shared" si="40"/>
        <v>0.1</v>
      </c>
      <c r="O148" s="134">
        <f t="shared" si="40"/>
        <v>0.1</v>
      </c>
      <c r="P148" s="134">
        <f t="shared" si="40"/>
        <v>0.1</v>
      </c>
      <c r="Q148" s="134">
        <f t="shared" si="40"/>
        <v>0.1</v>
      </c>
      <c r="R148" s="134">
        <f t="shared" si="40"/>
        <v>0.1</v>
      </c>
      <c r="S148" s="134">
        <f t="shared" ref="S148:AF151" si="41">R148</f>
        <v>0.1</v>
      </c>
      <c r="T148" s="134">
        <f t="shared" si="41"/>
        <v>0.1</v>
      </c>
      <c r="U148" s="134">
        <f t="shared" si="41"/>
        <v>0.1</v>
      </c>
      <c r="V148" s="134">
        <f t="shared" si="41"/>
        <v>0.1</v>
      </c>
      <c r="W148" s="134">
        <f t="shared" si="41"/>
        <v>0.1</v>
      </c>
      <c r="X148" s="134">
        <f t="shared" si="41"/>
        <v>0.1</v>
      </c>
      <c r="Y148" s="134">
        <f t="shared" si="41"/>
        <v>0.1</v>
      </c>
      <c r="Z148" s="134">
        <f t="shared" si="41"/>
        <v>0.1</v>
      </c>
      <c r="AA148" s="134">
        <f t="shared" si="41"/>
        <v>0.1</v>
      </c>
      <c r="AB148" s="134">
        <f t="shared" si="41"/>
        <v>0.1</v>
      </c>
      <c r="AC148" s="134">
        <f t="shared" si="41"/>
        <v>0.1</v>
      </c>
      <c r="AD148" s="134">
        <f t="shared" si="41"/>
        <v>0.1</v>
      </c>
      <c r="AE148" s="134">
        <f t="shared" si="41"/>
        <v>0.1</v>
      </c>
      <c r="AF148" s="134">
        <f t="shared" si="41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40"/>
        <v>2.0499999999999998</v>
      </c>
      <c r="D149" s="134">
        <f t="shared" si="40"/>
        <v>2.0499999999999998</v>
      </c>
      <c r="E149" s="134">
        <f t="shared" si="40"/>
        <v>2.0499999999999998</v>
      </c>
      <c r="F149" s="134">
        <f t="shared" si="40"/>
        <v>2.0499999999999998</v>
      </c>
      <c r="G149" s="134">
        <f t="shared" si="40"/>
        <v>2.0499999999999998</v>
      </c>
      <c r="H149" s="134">
        <f t="shared" si="40"/>
        <v>2.0499999999999998</v>
      </c>
      <c r="I149" s="134">
        <f t="shared" si="40"/>
        <v>2.0499999999999998</v>
      </c>
      <c r="J149" s="134">
        <f t="shared" si="40"/>
        <v>2.0499999999999998</v>
      </c>
      <c r="K149" s="134">
        <f t="shared" si="40"/>
        <v>2.0499999999999998</v>
      </c>
      <c r="L149" s="134">
        <f t="shared" si="40"/>
        <v>2.0499999999999998</v>
      </c>
      <c r="M149" s="134">
        <f t="shared" si="40"/>
        <v>2.0499999999999998</v>
      </c>
      <c r="N149" s="134">
        <f t="shared" si="40"/>
        <v>2.0499999999999998</v>
      </c>
      <c r="O149" s="134">
        <f t="shared" si="40"/>
        <v>2.0499999999999998</v>
      </c>
      <c r="P149" s="134">
        <f t="shared" si="40"/>
        <v>2.0499999999999998</v>
      </c>
      <c r="Q149" s="134">
        <f t="shared" si="40"/>
        <v>2.0499999999999998</v>
      </c>
      <c r="R149" s="134">
        <f t="shared" si="40"/>
        <v>2.0499999999999998</v>
      </c>
      <c r="S149" s="134">
        <f t="shared" si="41"/>
        <v>2.0499999999999998</v>
      </c>
      <c r="T149" s="134">
        <f t="shared" si="41"/>
        <v>2.0499999999999998</v>
      </c>
      <c r="U149" s="134">
        <f t="shared" si="41"/>
        <v>2.0499999999999998</v>
      </c>
      <c r="V149" s="134">
        <f t="shared" si="41"/>
        <v>2.0499999999999998</v>
      </c>
      <c r="W149" s="134">
        <f t="shared" si="41"/>
        <v>2.0499999999999998</v>
      </c>
      <c r="X149" s="134">
        <f t="shared" si="41"/>
        <v>2.0499999999999998</v>
      </c>
      <c r="Y149" s="134">
        <f t="shared" si="41"/>
        <v>2.0499999999999998</v>
      </c>
      <c r="Z149" s="134">
        <f t="shared" si="41"/>
        <v>2.0499999999999998</v>
      </c>
      <c r="AA149" s="134">
        <f t="shared" si="41"/>
        <v>2.0499999999999998</v>
      </c>
      <c r="AB149" s="134">
        <f t="shared" si="41"/>
        <v>2.0499999999999998</v>
      </c>
      <c r="AC149" s="134">
        <f t="shared" si="41"/>
        <v>2.0499999999999998</v>
      </c>
      <c r="AD149" s="134">
        <f t="shared" si="41"/>
        <v>2.0499999999999998</v>
      </c>
      <c r="AE149" s="134">
        <f t="shared" si="41"/>
        <v>2.0499999999999998</v>
      </c>
      <c r="AF149" s="134">
        <f t="shared" si="41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40"/>
        <v>2.7</v>
      </c>
      <c r="D150" s="134">
        <f t="shared" si="40"/>
        <v>2.7</v>
      </c>
      <c r="E150" s="134">
        <f t="shared" si="40"/>
        <v>2.7</v>
      </c>
      <c r="F150" s="134">
        <f t="shared" si="40"/>
        <v>2.7</v>
      </c>
      <c r="G150" s="134">
        <f t="shared" si="40"/>
        <v>2.7</v>
      </c>
      <c r="H150" s="134">
        <f t="shared" si="40"/>
        <v>2.7</v>
      </c>
      <c r="I150" s="134">
        <f t="shared" si="40"/>
        <v>2.7</v>
      </c>
      <c r="J150" s="134">
        <f t="shared" si="40"/>
        <v>2.7</v>
      </c>
      <c r="K150" s="134">
        <f t="shared" si="40"/>
        <v>2.7</v>
      </c>
      <c r="L150" s="134">
        <f t="shared" si="40"/>
        <v>2.7</v>
      </c>
      <c r="M150" s="134">
        <f t="shared" si="40"/>
        <v>2.7</v>
      </c>
      <c r="N150" s="134">
        <f t="shared" si="40"/>
        <v>2.7</v>
      </c>
      <c r="O150" s="134">
        <f t="shared" si="40"/>
        <v>2.7</v>
      </c>
      <c r="P150" s="134">
        <f t="shared" si="40"/>
        <v>2.7</v>
      </c>
      <c r="Q150" s="134">
        <f t="shared" si="40"/>
        <v>2.7</v>
      </c>
      <c r="R150" s="134">
        <f t="shared" si="40"/>
        <v>2.7</v>
      </c>
      <c r="S150" s="134">
        <f t="shared" si="41"/>
        <v>2.7</v>
      </c>
      <c r="T150" s="134">
        <f t="shared" si="41"/>
        <v>2.7</v>
      </c>
      <c r="U150" s="134">
        <f t="shared" si="41"/>
        <v>2.7</v>
      </c>
      <c r="V150" s="134">
        <f t="shared" si="41"/>
        <v>2.7</v>
      </c>
      <c r="W150" s="134">
        <f t="shared" si="41"/>
        <v>2.7</v>
      </c>
      <c r="X150" s="134">
        <f t="shared" si="41"/>
        <v>2.7</v>
      </c>
      <c r="Y150" s="134">
        <f t="shared" si="41"/>
        <v>2.7</v>
      </c>
      <c r="Z150" s="134">
        <f t="shared" si="41"/>
        <v>2.7</v>
      </c>
      <c r="AA150" s="134">
        <f t="shared" si="41"/>
        <v>2.7</v>
      </c>
      <c r="AB150" s="134">
        <f t="shared" si="41"/>
        <v>2.7</v>
      </c>
      <c r="AC150" s="134">
        <f t="shared" si="41"/>
        <v>2.7</v>
      </c>
      <c r="AD150" s="134">
        <f t="shared" si="41"/>
        <v>2.7</v>
      </c>
      <c r="AE150" s="134">
        <f t="shared" si="41"/>
        <v>2.7</v>
      </c>
      <c r="AF150" s="134">
        <f t="shared" si="41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40"/>
        <v>2.15</v>
      </c>
      <c r="D151" s="134">
        <f t="shared" si="40"/>
        <v>2.15</v>
      </c>
      <c r="E151" s="134">
        <f t="shared" si="40"/>
        <v>2.15</v>
      </c>
      <c r="F151" s="134">
        <f t="shared" si="40"/>
        <v>2.15</v>
      </c>
      <c r="G151" s="134">
        <f t="shared" si="40"/>
        <v>2.15</v>
      </c>
      <c r="H151" s="134">
        <f t="shared" si="40"/>
        <v>2.15</v>
      </c>
      <c r="I151" s="134">
        <f t="shared" si="40"/>
        <v>2.15</v>
      </c>
      <c r="J151" s="134">
        <f t="shared" si="40"/>
        <v>2.15</v>
      </c>
      <c r="K151" s="134">
        <f t="shared" si="40"/>
        <v>2.15</v>
      </c>
      <c r="L151" s="134">
        <f t="shared" si="40"/>
        <v>2.15</v>
      </c>
      <c r="M151" s="134">
        <f t="shared" si="40"/>
        <v>2.15</v>
      </c>
      <c r="N151" s="134">
        <f t="shared" si="40"/>
        <v>2.15</v>
      </c>
      <c r="O151" s="134">
        <f t="shared" si="40"/>
        <v>2.15</v>
      </c>
      <c r="P151" s="134">
        <f t="shared" si="40"/>
        <v>2.15</v>
      </c>
      <c r="Q151" s="134">
        <f t="shared" si="40"/>
        <v>2.15</v>
      </c>
      <c r="R151" s="134">
        <f t="shared" si="40"/>
        <v>2.15</v>
      </c>
      <c r="S151" s="134">
        <f t="shared" si="41"/>
        <v>2.15</v>
      </c>
      <c r="T151" s="134">
        <f t="shared" si="41"/>
        <v>2.15</v>
      </c>
      <c r="U151" s="134">
        <f t="shared" si="41"/>
        <v>2.15</v>
      </c>
      <c r="V151" s="134">
        <f t="shared" si="41"/>
        <v>2.15</v>
      </c>
      <c r="W151" s="134">
        <f t="shared" si="41"/>
        <v>2.15</v>
      </c>
      <c r="X151" s="134">
        <f t="shared" si="41"/>
        <v>2.15</v>
      </c>
      <c r="Y151" s="134">
        <f t="shared" si="41"/>
        <v>2.15</v>
      </c>
      <c r="Z151" s="134">
        <f t="shared" si="41"/>
        <v>2.15</v>
      </c>
      <c r="AA151" s="134">
        <f t="shared" si="41"/>
        <v>2.15</v>
      </c>
      <c r="AB151" s="134">
        <f t="shared" si="41"/>
        <v>2.15</v>
      </c>
      <c r="AC151" s="134">
        <f t="shared" si="41"/>
        <v>2.15</v>
      </c>
      <c r="AD151" s="134">
        <f t="shared" si="41"/>
        <v>2.15</v>
      </c>
      <c r="AE151" s="134">
        <f t="shared" si="41"/>
        <v>2.15</v>
      </c>
      <c r="AF151" s="134">
        <f t="shared" si="41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42">B153</f>
        <v>0.9</v>
      </c>
      <c r="D153" s="134">
        <f t="shared" si="42"/>
        <v>0.9</v>
      </c>
      <c r="E153" s="134">
        <f t="shared" si="42"/>
        <v>0.9</v>
      </c>
      <c r="F153" s="134">
        <f t="shared" si="42"/>
        <v>0.9</v>
      </c>
      <c r="G153" s="134">
        <f t="shared" si="42"/>
        <v>0.9</v>
      </c>
      <c r="H153" s="134">
        <f t="shared" si="42"/>
        <v>0.9</v>
      </c>
      <c r="I153" s="134">
        <f t="shared" si="42"/>
        <v>0.9</v>
      </c>
      <c r="J153" s="134">
        <f t="shared" si="42"/>
        <v>0.9</v>
      </c>
      <c r="K153" s="134">
        <f t="shared" si="42"/>
        <v>0.9</v>
      </c>
      <c r="L153" s="134">
        <f t="shared" si="42"/>
        <v>0.9</v>
      </c>
      <c r="M153" s="134">
        <f t="shared" si="42"/>
        <v>0.9</v>
      </c>
      <c r="N153" s="134">
        <f t="shared" si="42"/>
        <v>0.9</v>
      </c>
      <c r="O153" s="134">
        <f t="shared" si="42"/>
        <v>0.9</v>
      </c>
      <c r="P153" s="134">
        <f t="shared" si="42"/>
        <v>0.9</v>
      </c>
      <c r="Q153" s="134">
        <f t="shared" si="42"/>
        <v>0.9</v>
      </c>
      <c r="R153" s="134">
        <f t="shared" si="42"/>
        <v>0.9</v>
      </c>
      <c r="S153" s="134">
        <f t="shared" ref="R153:AF165" si="43">R153</f>
        <v>0.9</v>
      </c>
      <c r="T153" s="134">
        <f t="shared" si="43"/>
        <v>0.9</v>
      </c>
      <c r="U153" s="134">
        <f t="shared" si="43"/>
        <v>0.9</v>
      </c>
      <c r="V153" s="134">
        <f t="shared" si="43"/>
        <v>0.9</v>
      </c>
      <c r="W153" s="134">
        <f t="shared" si="43"/>
        <v>0.9</v>
      </c>
      <c r="X153" s="134">
        <f t="shared" si="43"/>
        <v>0.9</v>
      </c>
      <c r="Y153" s="134">
        <f t="shared" si="43"/>
        <v>0.9</v>
      </c>
      <c r="Z153" s="134">
        <f t="shared" si="43"/>
        <v>0.9</v>
      </c>
      <c r="AA153" s="134">
        <f t="shared" si="43"/>
        <v>0.9</v>
      </c>
      <c r="AB153" s="134">
        <f t="shared" si="43"/>
        <v>0.9</v>
      </c>
      <c r="AC153" s="134">
        <f t="shared" si="43"/>
        <v>0.9</v>
      </c>
      <c r="AD153" s="134">
        <f t="shared" si="43"/>
        <v>0.9</v>
      </c>
      <c r="AE153" s="134">
        <f t="shared" si="43"/>
        <v>0.9</v>
      </c>
      <c r="AF153" s="134">
        <f t="shared" si="43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42"/>
        <v>1.08</v>
      </c>
      <c r="D154" s="134">
        <f t="shared" si="42"/>
        <v>1.08</v>
      </c>
      <c r="E154" s="134">
        <f t="shared" si="42"/>
        <v>1.08</v>
      </c>
      <c r="F154" s="134">
        <f t="shared" si="42"/>
        <v>1.08</v>
      </c>
      <c r="G154" s="134">
        <f t="shared" si="42"/>
        <v>1.08</v>
      </c>
      <c r="H154" s="134">
        <f t="shared" si="42"/>
        <v>1.08</v>
      </c>
      <c r="I154" s="134">
        <f t="shared" si="42"/>
        <v>1.08</v>
      </c>
      <c r="J154" s="134">
        <f t="shared" si="42"/>
        <v>1.08</v>
      </c>
      <c r="K154" s="134">
        <f t="shared" si="42"/>
        <v>1.08</v>
      </c>
      <c r="L154" s="134">
        <f t="shared" si="42"/>
        <v>1.08</v>
      </c>
      <c r="M154" s="134">
        <f t="shared" si="42"/>
        <v>1.08</v>
      </c>
      <c r="N154" s="134">
        <f t="shared" si="42"/>
        <v>1.08</v>
      </c>
      <c r="O154" s="134">
        <f t="shared" si="42"/>
        <v>1.08</v>
      </c>
      <c r="P154" s="134">
        <f t="shared" si="42"/>
        <v>1.08</v>
      </c>
      <c r="Q154" s="134">
        <f t="shared" si="42"/>
        <v>1.08</v>
      </c>
      <c r="R154" s="134">
        <f t="shared" si="42"/>
        <v>1.08</v>
      </c>
      <c r="S154" s="134">
        <f t="shared" si="43"/>
        <v>1.08</v>
      </c>
      <c r="T154" s="134">
        <f t="shared" si="43"/>
        <v>1.08</v>
      </c>
      <c r="U154" s="134">
        <f t="shared" si="43"/>
        <v>1.08</v>
      </c>
      <c r="V154" s="134">
        <f t="shared" si="43"/>
        <v>1.08</v>
      </c>
      <c r="W154" s="134">
        <f t="shared" si="43"/>
        <v>1.08</v>
      </c>
      <c r="X154" s="134">
        <f t="shared" si="43"/>
        <v>1.08</v>
      </c>
      <c r="Y154" s="134">
        <f t="shared" si="43"/>
        <v>1.08</v>
      </c>
      <c r="Z154" s="134">
        <f t="shared" si="43"/>
        <v>1.08</v>
      </c>
      <c r="AA154" s="134">
        <f t="shared" si="43"/>
        <v>1.08</v>
      </c>
      <c r="AB154" s="134">
        <f t="shared" si="43"/>
        <v>1.08</v>
      </c>
      <c r="AC154" s="134">
        <f t="shared" si="43"/>
        <v>1.08</v>
      </c>
      <c r="AD154" s="134">
        <f t="shared" si="43"/>
        <v>1.08</v>
      </c>
      <c r="AE154" s="134">
        <f t="shared" si="43"/>
        <v>1.08</v>
      </c>
      <c r="AF154" s="134">
        <f t="shared" si="43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42"/>
        <v>2.37</v>
      </c>
      <c r="D155" s="134">
        <f t="shared" si="42"/>
        <v>2.37</v>
      </c>
      <c r="E155" s="134">
        <f t="shared" si="42"/>
        <v>2.37</v>
      </c>
      <c r="F155" s="134">
        <f t="shared" si="42"/>
        <v>2.37</v>
      </c>
      <c r="G155" s="134">
        <f t="shared" si="42"/>
        <v>2.37</v>
      </c>
      <c r="H155" s="134">
        <f t="shared" si="42"/>
        <v>2.37</v>
      </c>
      <c r="I155" s="134">
        <f t="shared" si="42"/>
        <v>2.37</v>
      </c>
      <c r="J155" s="134">
        <f t="shared" si="42"/>
        <v>2.37</v>
      </c>
      <c r="K155" s="134">
        <f t="shared" si="42"/>
        <v>2.37</v>
      </c>
      <c r="L155" s="134">
        <f t="shared" si="42"/>
        <v>2.37</v>
      </c>
      <c r="M155" s="134">
        <f t="shared" si="42"/>
        <v>2.37</v>
      </c>
      <c r="N155" s="134">
        <f t="shared" si="42"/>
        <v>2.37</v>
      </c>
      <c r="O155" s="134">
        <f t="shared" si="42"/>
        <v>2.37</v>
      </c>
      <c r="P155" s="134">
        <f t="shared" si="42"/>
        <v>2.37</v>
      </c>
      <c r="Q155" s="134">
        <f t="shared" si="42"/>
        <v>2.37</v>
      </c>
      <c r="R155" s="134">
        <f t="shared" si="42"/>
        <v>2.37</v>
      </c>
      <c r="S155" s="134">
        <f t="shared" si="43"/>
        <v>2.37</v>
      </c>
      <c r="T155" s="134">
        <f t="shared" si="43"/>
        <v>2.37</v>
      </c>
      <c r="U155" s="134">
        <f t="shared" si="43"/>
        <v>2.37</v>
      </c>
      <c r="V155" s="134">
        <f t="shared" si="43"/>
        <v>2.37</v>
      </c>
      <c r="W155" s="134">
        <f t="shared" si="43"/>
        <v>2.37</v>
      </c>
      <c r="X155" s="134">
        <f t="shared" si="43"/>
        <v>2.37</v>
      </c>
      <c r="Y155" s="134">
        <f t="shared" si="43"/>
        <v>2.37</v>
      </c>
      <c r="Z155" s="134">
        <f t="shared" si="43"/>
        <v>2.37</v>
      </c>
      <c r="AA155" s="134">
        <f t="shared" si="43"/>
        <v>2.37</v>
      </c>
      <c r="AB155" s="134">
        <f t="shared" si="43"/>
        <v>2.37</v>
      </c>
      <c r="AC155" s="134">
        <f t="shared" si="43"/>
        <v>2.37</v>
      </c>
      <c r="AD155" s="134">
        <f t="shared" si="43"/>
        <v>2.37</v>
      </c>
      <c r="AE155" s="134">
        <f t="shared" si="43"/>
        <v>2.37</v>
      </c>
      <c r="AF155" s="134">
        <f t="shared" si="43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42"/>
        <v>1.81</v>
      </c>
      <c r="D156" s="134">
        <f t="shared" si="42"/>
        <v>1.81</v>
      </c>
      <c r="E156" s="134">
        <f t="shared" si="42"/>
        <v>1.81</v>
      </c>
      <c r="F156" s="134">
        <f t="shared" si="42"/>
        <v>1.81</v>
      </c>
      <c r="G156" s="134">
        <f t="shared" si="42"/>
        <v>1.81</v>
      </c>
      <c r="H156" s="134">
        <f t="shared" si="42"/>
        <v>1.81</v>
      </c>
      <c r="I156" s="134">
        <f t="shared" si="42"/>
        <v>1.81</v>
      </c>
      <c r="J156" s="134">
        <f t="shared" si="42"/>
        <v>1.81</v>
      </c>
      <c r="K156" s="134">
        <f t="shared" si="42"/>
        <v>1.81</v>
      </c>
      <c r="L156" s="134">
        <f t="shared" si="42"/>
        <v>1.81</v>
      </c>
      <c r="M156" s="134">
        <f t="shared" si="42"/>
        <v>1.81</v>
      </c>
      <c r="N156" s="134">
        <f t="shared" si="42"/>
        <v>1.81</v>
      </c>
      <c r="O156" s="134">
        <f t="shared" si="42"/>
        <v>1.81</v>
      </c>
      <c r="P156" s="134">
        <f t="shared" si="42"/>
        <v>1.81</v>
      </c>
      <c r="Q156" s="134">
        <f t="shared" si="42"/>
        <v>1.81</v>
      </c>
      <c r="R156" s="134">
        <f t="shared" si="42"/>
        <v>1.81</v>
      </c>
      <c r="S156" s="134">
        <f t="shared" si="43"/>
        <v>1.81</v>
      </c>
      <c r="T156" s="134">
        <f t="shared" si="43"/>
        <v>1.81</v>
      </c>
      <c r="U156" s="134">
        <f t="shared" si="43"/>
        <v>1.81</v>
      </c>
      <c r="V156" s="134">
        <f t="shared" si="43"/>
        <v>1.81</v>
      </c>
      <c r="W156" s="134">
        <f t="shared" si="43"/>
        <v>1.81</v>
      </c>
      <c r="X156" s="134">
        <f t="shared" si="43"/>
        <v>1.81</v>
      </c>
      <c r="Y156" s="134">
        <f t="shared" si="43"/>
        <v>1.81</v>
      </c>
      <c r="Z156" s="134">
        <f t="shared" si="43"/>
        <v>1.81</v>
      </c>
      <c r="AA156" s="134">
        <f t="shared" si="43"/>
        <v>1.81</v>
      </c>
      <c r="AB156" s="134">
        <f t="shared" si="43"/>
        <v>1.81</v>
      </c>
      <c r="AC156" s="134">
        <f t="shared" si="43"/>
        <v>1.81</v>
      </c>
      <c r="AD156" s="134">
        <f t="shared" si="43"/>
        <v>1.81</v>
      </c>
      <c r="AE156" s="134">
        <f t="shared" si="43"/>
        <v>1.81</v>
      </c>
      <c r="AF156" s="134">
        <f t="shared" si="43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42"/>
        <v>1.0900000000000001</v>
      </c>
      <c r="D157" s="134">
        <f t="shared" si="42"/>
        <v>1.0900000000000001</v>
      </c>
      <c r="E157" s="134">
        <f t="shared" si="42"/>
        <v>1.0900000000000001</v>
      </c>
      <c r="F157" s="134">
        <f t="shared" si="42"/>
        <v>1.0900000000000001</v>
      </c>
      <c r="G157" s="134">
        <f t="shared" si="42"/>
        <v>1.0900000000000001</v>
      </c>
      <c r="H157" s="134">
        <f t="shared" si="42"/>
        <v>1.0900000000000001</v>
      </c>
      <c r="I157" s="134">
        <f t="shared" si="42"/>
        <v>1.0900000000000001</v>
      </c>
      <c r="J157" s="134">
        <f t="shared" si="42"/>
        <v>1.0900000000000001</v>
      </c>
      <c r="K157" s="134">
        <f t="shared" si="42"/>
        <v>1.0900000000000001</v>
      </c>
      <c r="L157" s="134">
        <f t="shared" si="42"/>
        <v>1.0900000000000001</v>
      </c>
      <c r="M157" s="134">
        <f t="shared" si="42"/>
        <v>1.0900000000000001</v>
      </c>
      <c r="N157" s="134">
        <f t="shared" si="42"/>
        <v>1.0900000000000001</v>
      </c>
      <c r="O157" s="134">
        <f t="shared" si="42"/>
        <v>1.0900000000000001</v>
      </c>
      <c r="P157" s="134">
        <f t="shared" si="42"/>
        <v>1.0900000000000001</v>
      </c>
      <c r="Q157" s="134">
        <f t="shared" si="42"/>
        <v>1.0900000000000001</v>
      </c>
      <c r="R157" s="134">
        <f t="shared" si="42"/>
        <v>1.0900000000000001</v>
      </c>
      <c r="S157" s="134">
        <f t="shared" si="43"/>
        <v>1.0900000000000001</v>
      </c>
      <c r="T157" s="134">
        <f t="shared" si="43"/>
        <v>1.0900000000000001</v>
      </c>
      <c r="U157" s="134">
        <f t="shared" si="43"/>
        <v>1.0900000000000001</v>
      </c>
      <c r="V157" s="134">
        <f t="shared" si="43"/>
        <v>1.0900000000000001</v>
      </c>
      <c r="W157" s="134">
        <f t="shared" si="43"/>
        <v>1.0900000000000001</v>
      </c>
      <c r="X157" s="134">
        <f t="shared" si="43"/>
        <v>1.0900000000000001</v>
      </c>
      <c r="Y157" s="134">
        <f t="shared" si="43"/>
        <v>1.0900000000000001</v>
      </c>
      <c r="Z157" s="134">
        <f t="shared" si="43"/>
        <v>1.0900000000000001</v>
      </c>
      <c r="AA157" s="134">
        <f t="shared" si="43"/>
        <v>1.0900000000000001</v>
      </c>
      <c r="AB157" s="134">
        <f t="shared" si="43"/>
        <v>1.0900000000000001</v>
      </c>
      <c r="AC157" s="134">
        <f t="shared" si="43"/>
        <v>1.0900000000000001</v>
      </c>
      <c r="AD157" s="134">
        <f t="shared" si="43"/>
        <v>1.0900000000000001</v>
      </c>
      <c r="AE157" s="134">
        <f t="shared" si="43"/>
        <v>1.0900000000000001</v>
      </c>
      <c r="AF157" s="134">
        <f t="shared" si="43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42"/>
        <v>1.58</v>
      </c>
      <c r="D158" s="134">
        <f t="shared" si="42"/>
        <v>1.58</v>
      </c>
      <c r="E158" s="134">
        <f t="shared" si="42"/>
        <v>1.58</v>
      </c>
      <c r="F158" s="134">
        <f t="shared" si="42"/>
        <v>1.58</v>
      </c>
      <c r="G158" s="134">
        <f t="shared" si="42"/>
        <v>1.58</v>
      </c>
      <c r="H158" s="134">
        <f t="shared" si="42"/>
        <v>1.58</v>
      </c>
      <c r="I158" s="134">
        <f t="shared" si="42"/>
        <v>1.58</v>
      </c>
      <c r="J158" s="134">
        <f t="shared" si="42"/>
        <v>1.58</v>
      </c>
      <c r="K158" s="134">
        <f t="shared" si="42"/>
        <v>1.58</v>
      </c>
      <c r="L158" s="134">
        <f t="shared" si="42"/>
        <v>1.58</v>
      </c>
      <c r="M158" s="134">
        <f t="shared" si="42"/>
        <v>1.58</v>
      </c>
      <c r="N158" s="134">
        <f t="shared" si="42"/>
        <v>1.58</v>
      </c>
      <c r="O158" s="134">
        <f t="shared" si="42"/>
        <v>1.58</v>
      </c>
      <c r="P158" s="134">
        <f t="shared" si="42"/>
        <v>1.58</v>
      </c>
      <c r="Q158" s="134">
        <f t="shared" si="42"/>
        <v>1.58</v>
      </c>
      <c r="R158" s="134">
        <f t="shared" si="42"/>
        <v>1.58</v>
      </c>
      <c r="S158" s="134">
        <f t="shared" si="43"/>
        <v>1.58</v>
      </c>
      <c r="T158" s="134">
        <f t="shared" si="43"/>
        <v>1.58</v>
      </c>
      <c r="U158" s="134">
        <f t="shared" si="43"/>
        <v>1.58</v>
      </c>
      <c r="V158" s="134">
        <f t="shared" si="43"/>
        <v>1.58</v>
      </c>
      <c r="W158" s="134">
        <f t="shared" si="43"/>
        <v>1.58</v>
      </c>
      <c r="X158" s="134">
        <f t="shared" si="43"/>
        <v>1.58</v>
      </c>
      <c r="Y158" s="134">
        <f t="shared" si="43"/>
        <v>1.58</v>
      </c>
      <c r="Z158" s="134">
        <f t="shared" si="43"/>
        <v>1.58</v>
      </c>
      <c r="AA158" s="134">
        <f t="shared" si="43"/>
        <v>1.58</v>
      </c>
      <c r="AB158" s="134">
        <f t="shared" si="43"/>
        <v>1.58</v>
      </c>
      <c r="AC158" s="134">
        <f t="shared" si="43"/>
        <v>1.58</v>
      </c>
      <c r="AD158" s="134">
        <f t="shared" si="43"/>
        <v>1.58</v>
      </c>
      <c r="AE158" s="134">
        <f t="shared" si="43"/>
        <v>1.58</v>
      </c>
      <c r="AF158" s="134">
        <f t="shared" si="43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42"/>
        <v>2</v>
      </c>
      <c r="D159" s="134">
        <f t="shared" si="42"/>
        <v>2</v>
      </c>
      <c r="E159" s="134">
        <f t="shared" si="42"/>
        <v>2</v>
      </c>
      <c r="F159" s="134">
        <f t="shared" si="42"/>
        <v>2</v>
      </c>
      <c r="G159" s="134">
        <f t="shared" si="42"/>
        <v>2</v>
      </c>
      <c r="H159" s="134">
        <f t="shared" si="42"/>
        <v>2</v>
      </c>
      <c r="I159" s="134">
        <f t="shared" si="42"/>
        <v>2</v>
      </c>
      <c r="J159" s="134">
        <f t="shared" si="42"/>
        <v>2</v>
      </c>
      <c r="K159" s="134">
        <f t="shared" si="42"/>
        <v>2</v>
      </c>
      <c r="L159" s="134">
        <f t="shared" si="42"/>
        <v>2</v>
      </c>
      <c r="M159" s="134">
        <f t="shared" si="42"/>
        <v>2</v>
      </c>
      <c r="N159" s="134">
        <f t="shared" si="42"/>
        <v>2</v>
      </c>
      <c r="O159" s="134">
        <f t="shared" si="42"/>
        <v>2</v>
      </c>
      <c r="P159" s="134">
        <f t="shared" si="42"/>
        <v>2</v>
      </c>
      <c r="Q159" s="134">
        <f t="shared" si="42"/>
        <v>2</v>
      </c>
      <c r="R159" s="134">
        <f t="shared" si="42"/>
        <v>2</v>
      </c>
      <c r="S159" s="134">
        <f t="shared" si="43"/>
        <v>2</v>
      </c>
      <c r="T159" s="134">
        <f t="shared" si="43"/>
        <v>2</v>
      </c>
      <c r="U159" s="134">
        <f t="shared" si="43"/>
        <v>2</v>
      </c>
      <c r="V159" s="134">
        <f t="shared" si="43"/>
        <v>2</v>
      </c>
      <c r="W159" s="134">
        <f t="shared" si="43"/>
        <v>2</v>
      </c>
      <c r="X159" s="134">
        <f t="shared" si="43"/>
        <v>2</v>
      </c>
      <c r="Y159" s="134">
        <f t="shared" si="43"/>
        <v>2</v>
      </c>
      <c r="Z159" s="134">
        <f t="shared" si="43"/>
        <v>2</v>
      </c>
      <c r="AA159" s="134">
        <f t="shared" si="43"/>
        <v>2</v>
      </c>
      <c r="AB159" s="134">
        <f t="shared" si="43"/>
        <v>2</v>
      </c>
      <c r="AC159" s="134">
        <f t="shared" si="43"/>
        <v>2</v>
      </c>
      <c r="AD159" s="134">
        <f t="shared" si="43"/>
        <v>2</v>
      </c>
      <c r="AE159" s="134">
        <f t="shared" si="43"/>
        <v>2</v>
      </c>
      <c r="AF159" s="134">
        <f t="shared" si="43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42"/>
        <v>0.47</v>
      </c>
      <c r="D160" s="134">
        <f t="shared" si="42"/>
        <v>0.47</v>
      </c>
      <c r="E160" s="134">
        <f t="shared" si="42"/>
        <v>0.47</v>
      </c>
      <c r="F160" s="134">
        <f t="shared" si="42"/>
        <v>0.47</v>
      </c>
      <c r="G160" s="134">
        <f t="shared" si="42"/>
        <v>0.47</v>
      </c>
      <c r="H160" s="134">
        <f t="shared" si="42"/>
        <v>0.47</v>
      </c>
      <c r="I160" s="134">
        <f t="shared" si="42"/>
        <v>0.47</v>
      </c>
      <c r="J160" s="134">
        <f t="shared" si="42"/>
        <v>0.47</v>
      </c>
      <c r="K160" s="134">
        <f t="shared" si="42"/>
        <v>0.47</v>
      </c>
      <c r="L160" s="134">
        <f t="shared" si="42"/>
        <v>0.47</v>
      </c>
      <c r="M160" s="134">
        <f t="shared" si="42"/>
        <v>0.47</v>
      </c>
      <c r="N160" s="134">
        <f t="shared" si="42"/>
        <v>0.47</v>
      </c>
      <c r="O160" s="134">
        <f t="shared" si="42"/>
        <v>0.47</v>
      </c>
      <c r="P160" s="134">
        <f t="shared" si="42"/>
        <v>0.47</v>
      </c>
      <c r="Q160" s="134">
        <f t="shared" si="42"/>
        <v>0.47</v>
      </c>
      <c r="R160" s="134">
        <f t="shared" si="42"/>
        <v>0.47</v>
      </c>
      <c r="S160" s="134">
        <f t="shared" si="43"/>
        <v>0.47</v>
      </c>
      <c r="T160" s="134">
        <f t="shared" si="43"/>
        <v>0.47</v>
      </c>
      <c r="U160" s="134">
        <f t="shared" si="43"/>
        <v>0.47</v>
      </c>
      <c r="V160" s="134">
        <f t="shared" si="43"/>
        <v>0.47</v>
      </c>
      <c r="W160" s="134">
        <f t="shared" si="43"/>
        <v>0.47</v>
      </c>
      <c r="X160" s="134">
        <f t="shared" si="43"/>
        <v>0.47</v>
      </c>
      <c r="Y160" s="134">
        <f t="shared" si="43"/>
        <v>0.47</v>
      </c>
      <c r="Z160" s="134">
        <f t="shared" si="43"/>
        <v>0.47</v>
      </c>
      <c r="AA160" s="134">
        <f t="shared" si="43"/>
        <v>0.47</v>
      </c>
      <c r="AB160" s="134">
        <f t="shared" si="43"/>
        <v>0.47</v>
      </c>
      <c r="AC160" s="134">
        <f t="shared" si="43"/>
        <v>0.47</v>
      </c>
      <c r="AD160" s="134">
        <f t="shared" si="43"/>
        <v>0.47</v>
      </c>
      <c r="AE160" s="134">
        <f t="shared" si="43"/>
        <v>0.47</v>
      </c>
      <c r="AF160" s="134">
        <f t="shared" si="43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42"/>
        <v>0</v>
      </c>
      <c r="D161" s="134">
        <f t="shared" si="42"/>
        <v>0</v>
      </c>
      <c r="E161" s="134">
        <f t="shared" si="42"/>
        <v>0</v>
      </c>
      <c r="F161" s="134">
        <f t="shared" si="42"/>
        <v>0</v>
      </c>
      <c r="G161" s="134">
        <f t="shared" si="42"/>
        <v>0</v>
      </c>
      <c r="H161" s="134">
        <f t="shared" si="42"/>
        <v>0</v>
      </c>
      <c r="I161" s="134">
        <f t="shared" si="42"/>
        <v>0</v>
      </c>
      <c r="J161" s="134">
        <f t="shared" si="42"/>
        <v>0</v>
      </c>
      <c r="K161" s="134">
        <f t="shared" si="42"/>
        <v>0</v>
      </c>
      <c r="L161" s="134">
        <f t="shared" si="42"/>
        <v>0</v>
      </c>
      <c r="M161" s="134">
        <f t="shared" si="42"/>
        <v>0</v>
      </c>
      <c r="N161" s="134">
        <f t="shared" si="42"/>
        <v>0</v>
      </c>
      <c r="O161" s="134">
        <f t="shared" si="42"/>
        <v>0</v>
      </c>
      <c r="P161" s="134">
        <f t="shared" si="42"/>
        <v>0</v>
      </c>
      <c r="Q161" s="134">
        <f t="shared" si="42"/>
        <v>0</v>
      </c>
      <c r="R161" s="134">
        <f t="shared" si="42"/>
        <v>0</v>
      </c>
      <c r="S161" s="134">
        <f t="shared" si="43"/>
        <v>0</v>
      </c>
      <c r="T161" s="134">
        <f t="shared" si="43"/>
        <v>0</v>
      </c>
      <c r="U161" s="134">
        <f t="shared" si="43"/>
        <v>0</v>
      </c>
      <c r="V161" s="134">
        <f t="shared" si="43"/>
        <v>0</v>
      </c>
      <c r="W161" s="134">
        <f t="shared" si="43"/>
        <v>0</v>
      </c>
      <c r="X161" s="134">
        <f t="shared" si="43"/>
        <v>0</v>
      </c>
      <c r="Y161" s="134">
        <f t="shared" si="43"/>
        <v>0</v>
      </c>
      <c r="Z161" s="134">
        <f t="shared" si="43"/>
        <v>0</v>
      </c>
      <c r="AA161" s="134">
        <f t="shared" si="43"/>
        <v>0</v>
      </c>
      <c r="AB161" s="134">
        <f t="shared" si="43"/>
        <v>0</v>
      </c>
      <c r="AC161" s="134">
        <f t="shared" si="43"/>
        <v>0</v>
      </c>
      <c r="AD161" s="134">
        <f t="shared" si="43"/>
        <v>0</v>
      </c>
      <c r="AE161" s="134">
        <f t="shared" si="43"/>
        <v>0</v>
      </c>
      <c r="AF161" s="134">
        <f t="shared" si="43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42"/>
        <v>0</v>
      </c>
      <c r="D162" s="134">
        <f t="shared" si="42"/>
        <v>0</v>
      </c>
      <c r="E162" s="134">
        <f t="shared" si="42"/>
        <v>0</v>
      </c>
      <c r="F162" s="134">
        <f t="shared" si="42"/>
        <v>0</v>
      </c>
      <c r="G162" s="134">
        <f t="shared" si="42"/>
        <v>0</v>
      </c>
      <c r="H162" s="134">
        <f t="shared" si="42"/>
        <v>0</v>
      </c>
      <c r="I162" s="134">
        <f t="shared" si="42"/>
        <v>0</v>
      </c>
      <c r="J162" s="134">
        <f t="shared" si="42"/>
        <v>0</v>
      </c>
      <c r="K162" s="134">
        <f t="shared" si="42"/>
        <v>0</v>
      </c>
      <c r="L162" s="134">
        <f t="shared" si="42"/>
        <v>0</v>
      </c>
      <c r="M162" s="134">
        <f t="shared" si="42"/>
        <v>0</v>
      </c>
      <c r="N162" s="134">
        <f t="shared" si="42"/>
        <v>0</v>
      </c>
      <c r="O162" s="134">
        <f t="shared" si="42"/>
        <v>0</v>
      </c>
      <c r="P162" s="134">
        <f t="shared" si="42"/>
        <v>0</v>
      </c>
      <c r="Q162" s="134">
        <f t="shared" si="42"/>
        <v>0</v>
      </c>
      <c r="R162" s="134">
        <f t="shared" si="43"/>
        <v>0</v>
      </c>
      <c r="S162" s="134">
        <f t="shared" si="43"/>
        <v>0</v>
      </c>
      <c r="T162" s="134">
        <f t="shared" si="43"/>
        <v>0</v>
      </c>
      <c r="U162" s="134">
        <f t="shared" si="43"/>
        <v>0</v>
      </c>
      <c r="V162" s="134">
        <f t="shared" si="43"/>
        <v>0</v>
      </c>
      <c r="W162" s="134">
        <f t="shared" si="43"/>
        <v>0</v>
      </c>
      <c r="X162" s="134">
        <f t="shared" si="43"/>
        <v>0</v>
      </c>
      <c r="Y162" s="134">
        <f t="shared" si="43"/>
        <v>0</v>
      </c>
      <c r="Z162" s="134">
        <f t="shared" si="43"/>
        <v>0</v>
      </c>
      <c r="AA162" s="134">
        <f t="shared" si="43"/>
        <v>0</v>
      </c>
      <c r="AB162" s="134">
        <f t="shared" si="43"/>
        <v>0</v>
      </c>
      <c r="AC162" s="134">
        <f t="shared" si="43"/>
        <v>0</v>
      </c>
      <c r="AD162" s="134">
        <f t="shared" si="43"/>
        <v>0</v>
      </c>
      <c r="AE162" s="134">
        <f t="shared" si="43"/>
        <v>0</v>
      </c>
      <c r="AF162" s="134">
        <f t="shared" si="43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42"/>
        <v>0.8</v>
      </c>
      <c r="D163" s="134">
        <f t="shared" si="42"/>
        <v>0.8</v>
      </c>
      <c r="E163" s="134">
        <f t="shared" si="42"/>
        <v>0.8</v>
      </c>
      <c r="F163" s="134">
        <f t="shared" si="42"/>
        <v>0.8</v>
      </c>
      <c r="G163" s="134">
        <f t="shared" si="42"/>
        <v>0.8</v>
      </c>
      <c r="H163" s="134">
        <f t="shared" si="42"/>
        <v>0.8</v>
      </c>
      <c r="I163" s="134">
        <f t="shared" si="42"/>
        <v>0.8</v>
      </c>
      <c r="J163" s="134">
        <f t="shared" si="42"/>
        <v>0.8</v>
      </c>
      <c r="K163" s="134">
        <f t="shared" si="42"/>
        <v>0.8</v>
      </c>
      <c r="L163" s="134">
        <f t="shared" si="42"/>
        <v>0.8</v>
      </c>
      <c r="M163" s="134">
        <f t="shared" si="42"/>
        <v>0.8</v>
      </c>
      <c r="N163" s="134">
        <f t="shared" si="42"/>
        <v>0.8</v>
      </c>
      <c r="O163" s="134">
        <f t="shared" si="42"/>
        <v>0.8</v>
      </c>
      <c r="P163" s="134">
        <f t="shared" si="42"/>
        <v>0.8</v>
      </c>
      <c r="Q163" s="134">
        <f t="shared" si="42"/>
        <v>0.8</v>
      </c>
      <c r="R163" s="134">
        <f t="shared" si="43"/>
        <v>0.8</v>
      </c>
      <c r="S163" s="134">
        <f t="shared" si="43"/>
        <v>0.8</v>
      </c>
      <c r="T163" s="134">
        <f t="shared" si="43"/>
        <v>0.8</v>
      </c>
      <c r="U163" s="134">
        <f t="shared" si="43"/>
        <v>0.8</v>
      </c>
      <c r="V163" s="134">
        <f t="shared" si="43"/>
        <v>0.8</v>
      </c>
      <c r="W163" s="134">
        <f t="shared" si="43"/>
        <v>0.8</v>
      </c>
      <c r="X163" s="134">
        <f t="shared" si="43"/>
        <v>0.8</v>
      </c>
      <c r="Y163" s="134">
        <f t="shared" si="43"/>
        <v>0.8</v>
      </c>
      <c r="Z163" s="134">
        <f t="shared" si="43"/>
        <v>0.8</v>
      </c>
      <c r="AA163" s="134">
        <f t="shared" si="43"/>
        <v>0.8</v>
      </c>
      <c r="AB163" s="134">
        <f t="shared" si="43"/>
        <v>0.8</v>
      </c>
      <c r="AC163" s="134">
        <f t="shared" si="43"/>
        <v>0.8</v>
      </c>
      <c r="AD163" s="134">
        <f t="shared" si="43"/>
        <v>0.8</v>
      </c>
      <c r="AE163" s="134">
        <f t="shared" si="43"/>
        <v>0.8</v>
      </c>
      <c r="AF163" s="134">
        <f t="shared" si="43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42"/>
        <v>1.5</v>
      </c>
      <c r="D164" s="134">
        <f t="shared" si="42"/>
        <v>1.5</v>
      </c>
      <c r="E164" s="134">
        <f t="shared" si="42"/>
        <v>1.5</v>
      </c>
      <c r="F164" s="134">
        <f t="shared" si="42"/>
        <v>1.5</v>
      </c>
      <c r="G164" s="134">
        <f t="shared" si="42"/>
        <v>1.5</v>
      </c>
      <c r="H164" s="134">
        <f t="shared" si="42"/>
        <v>1.5</v>
      </c>
      <c r="I164" s="134">
        <f t="shared" si="42"/>
        <v>1.5</v>
      </c>
      <c r="J164" s="134">
        <f t="shared" si="42"/>
        <v>1.5</v>
      </c>
      <c r="K164" s="134">
        <f t="shared" si="42"/>
        <v>1.5</v>
      </c>
      <c r="L164" s="134">
        <f t="shared" si="42"/>
        <v>1.5</v>
      </c>
      <c r="M164" s="134">
        <f t="shared" si="42"/>
        <v>1.5</v>
      </c>
      <c r="N164" s="134">
        <f t="shared" si="42"/>
        <v>1.5</v>
      </c>
      <c r="O164" s="134">
        <f t="shared" si="42"/>
        <v>1.5</v>
      </c>
      <c r="P164" s="134">
        <f t="shared" si="42"/>
        <v>1.5</v>
      </c>
      <c r="Q164" s="134">
        <f t="shared" si="42"/>
        <v>1.5</v>
      </c>
      <c r="R164" s="134">
        <f t="shared" si="43"/>
        <v>1.5</v>
      </c>
      <c r="S164" s="134">
        <f t="shared" si="43"/>
        <v>1.5</v>
      </c>
      <c r="T164" s="134">
        <f t="shared" si="43"/>
        <v>1.5</v>
      </c>
      <c r="U164" s="134">
        <f t="shared" si="43"/>
        <v>1.5</v>
      </c>
      <c r="V164" s="134">
        <f t="shared" si="43"/>
        <v>1.5</v>
      </c>
      <c r="W164" s="134">
        <f t="shared" si="43"/>
        <v>1.5</v>
      </c>
      <c r="X164" s="134">
        <f t="shared" si="43"/>
        <v>1.5</v>
      </c>
      <c r="Y164" s="134">
        <f t="shared" si="43"/>
        <v>1.5</v>
      </c>
      <c r="Z164" s="134">
        <f t="shared" si="43"/>
        <v>1.5</v>
      </c>
      <c r="AA164" s="134">
        <f t="shared" si="43"/>
        <v>1.5</v>
      </c>
      <c r="AB164" s="134">
        <f t="shared" si="43"/>
        <v>1.5</v>
      </c>
      <c r="AC164" s="134">
        <f t="shared" si="43"/>
        <v>1.5</v>
      </c>
      <c r="AD164" s="134">
        <f t="shared" si="43"/>
        <v>1.5</v>
      </c>
      <c r="AE164" s="134">
        <f t="shared" si="43"/>
        <v>1.5</v>
      </c>
      <c r="AF164" s="134">
        <f t="shared" si="43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42"/>
        <v>1</v>
      </c>
      <c r="D165" s="134">
        <f t="shared" si="42"/>
        <v>1</v>
      </c>
      <c r="E165" s="134">
        <f t="shared" si="42"/>
        <v>1</v>
      </c>
      <c r="F165" s="134">
        <f t="shared" si="42"/>
        <v>1</v>
      </c>
      <c r="G165" s="134">
        <f t="shared" si="42"/>
        <v>1</v>
      </c>
      <c r="H165" s="134">
        <f t="shared" si="42"/>
        <v>1</v>
      </c>
      <c r="I165" s="134">
        <f t="shared" si="42"/>
        <v>1</v>
      </c>
      <c r="J165" s="134">
        <f t="shared" si="42"/>
        <v>1</v>
      </c>
      <c r="K165" s="134">
        <f t="shared" si="42"/>
        <v>1</v>
      </c>
      <c r="L165" s="134">
        <f t="shared" si="42"/>
        <v>1</v>
      </c>
      <c r="M165" s="134">
        <f t="shared" si="42"/>
        <v>1</v>
      </c>
      <c r="N165" s="134">
        <f t="shared" si="42"/>
        <v>1</v>
      </c>
      <c r="O165" s="134">
        <f t="shared" si="42"/>
        <v>1</v>
      </c>
      <c r="P165" s="134">
        <f t="shared" si="42"/>
        <v>1</v>
      </c>
      <c r="Q165" s="134">
        <f t="shared" si="42"/>
        <v>1</v>
      </c>
      <c r="R165" s="134">
        <f t="shared" si="43"/>
        <v>1</v>
      </c>
      <c r="S165" s="134">
        <f t="shared" si="43"/>
        <v>1</v>
      </c>
      <c r="T165" s="134">
        <f t="shared" si="43"/>
        <v>1</v>
      </c>
      <c r="U165" s="134">
        <f t="shared" si="43"/>
        <v>1</v>
      </c>
      <c r="V165" s="134">
        <f t="shared" si="43"/>
        <v>1</v>
      </c>
      <c r="W165" s="134">
        <f t="shared" si="43"/>
        <v>1</v>
      </c>
      <c r="X165" s="134">
        <f t="shared" si="43"/>
        <v>1</v>
      </c>
      <c r="Y165" s="134">
        <f t="shared" si="43"/>
        <v>1</v>
      </c>
      <c r="Z165" s="134">
        <f t="shared" si="43"/>
        <v>1</v>
      </c>
      <c r="AA165" s="134">
        <f t="shared" si="43"/>
        <v>1</v>
      </c>
      <c r="AB165" s="134">
        <f t="shared" si="43"/>
        <v>1</v>
      </c>
      <c r="AC165" s="134">
        <f t="shared" si="43"/>
        <v>1</v>
      </c>
      <c r="AD165" s="134">
        <f t="shared" si="43"/>
        <v>1</v>
      </c>
      <c r="AE165" s="134">
        <f t="shared" si="43"/>
        <v>1</v>
      </c>
      <c r="AF165" s="134">
        <f t="shared" si="43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4">B167</f>
        <v>1</v>
      </c>
      <c r="D167" s="134">
        <f t="shared" si="44"/>
        <v>1</v>
      </c>
      <c r="E167" s="134">
        <f t="shared" si="44"/>
        <v>1</v>
      </c>
      <c r="F167" s="134">
        <f t="shared" si="44"/>
        <v>1</v>
      </c>
      <c r="G167" s="134">
        <f t="shared" si="44"/>
        <v>1</v>
      </c>
      <c r="H167" s="134">
        <f t="shared" si="44"/>
        <v>1</v>
      </c>
      <c r="I167" s="134">
        <f t="shared" si="44"/>
        <v>1</v>
      </c>
      <c r="J167" s="134">
        <f t="shared" si="44"/>
        <v>1</v>
      </c>
      <c r="K167" s="134">
        <f t="shared" si="44"/>
        <v>1</v>
      </c>
      <c r="L167" s="134">
        <f t="shared" si="44"/>
        <v>1</v>
      </c>
      <c r="M167" s="134">
        <f t="shared" si="44"/>
        <v>1</v>
      </c>
      <c r="N167" s="134">
        <f t="shared" si="44"/>
        <v>1</v>
      </c>
      <c r="O167" s="134">
        <f t="shared" si="44"/>
        <v>1</v>
      </c>
      <c r="P167" s="134">
        <f t="shared" si="44"/>
        <v>1</v>
      </c>
      <c r="Q167" s="134">
        <f t="shared" si="44"/>
        <v>1</v>
      </c>
      <c r="R167" s="134">
        <f t="shared" si="44"/>
        <v>1</v>
      </c>
      <c r="S167" s="134">
        <f t="shared" ref="R167:AF174" si="45">R167</f>
        <v>1</v>
      </c>
      <c r="T167" s="134">
        <f t="shared" si="45"/>
        <v>1</v>
      </c>
      <c r="U167" s="134">
        <f t="shared" si="45"/>
        <v>1</v>
      </c>
      <c r="V167" s="134">
        <f t="shared" si="45"/>
        <v>1</v>
      </c>
      <c r="W167" s="134">
        <f t="shared" si="45"/>
        <v>1</v>
      </c>
      <c r="X167" s="134">
        <f t="shared" si="45"/>
        <v>1</v>
      </c>
      <c r="Y167" s="134">
        <f t="shared" si="45"/>
        <v>1</v>
      </c>
      <c r="Z167" s="134">
        <f t="shared" si="45"/>
        <v>1</v>
      </c>
      <c r="AA167" s="134">
        <f t="shared" si="45"/>
        <v>1</v>
      </c>
      <c r="AB167" s="134">
        <f t="shared" si="45"/>
        <v>1</v>
      </c>
      <c r="AC167" s="134">
        <f t="shared" si="45"/>
        <v>1</v>
      </c>
      <c r="AD167" s="134">
        <f t="shared" si="45"/>
        <v>1</v>
      </c>
      <c r="AE167" s="134">
        <f t="shared" si="45"/>
        <v>1</v>
      </c>
      <c r="AF167" s="134">
        <f t="shared" si="45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4"/>
        <v>0.42</v>
      </c>
      <c r="D168" s="134">
        <f t="shared" si="44"/>
        <v>0.42</v>
      </c>
      <c r="E168" s="134">
        <f t="shared" si="44"/>
        <v>0.42</v>
      </c>
      <c r="F168" s="134">
        <f t="shared" si="44"/>
        <v>0.42</v>
      </c>
      <c r="G168" s="134">
        <f t="shared" si="44"/>
        <v>0.42</v>
      </c>
      <c r="H168" s="134">
        <f t="shared" si="44"/>
        <v>0.42</v>
      </c>
      <c r="I168" s="134">
        <f t="shared" si="44"/>
        <v>0.42</v>
      </c>
      <c r="J168" s="134">
        <f t="shared" si="44"/>
        <v>0.42</v>
      </c>
      <c r="K168" s="134">
        <f t="shared" si="44"/>
        <v>0.42</v>
      </c>
      <c r="L168" s="134">
        <f t="shared" si="44"/>
        <v>0.42</v>
      </c>
      <c r="M168" s="134">
        <f t="shared" si="44"/>
        <v>0.42</v>
      </c>
      <c r="N168" s="134">
        <f t="shared" si="44"/>
        <v>0.42</v>
      </c>
      <c r="O168" s="134">
        <f t="shared" si="44"/>
        <v>0.42</v>
      </c>
      <c r="P168" s="134">
        <f t="shared" si="44"/>
        <v>0.42</v>
      </c>
      <c r="Q168" s="134">
        <f t="shared" si="44"/>
        <v>0.42</v>
      </c>
      <c r="R168" s="134">
        <f t="shared" si="45"/>
        <v>0.42</v>
      </c>
      <c r="S168" s="134">
        <f t="shared" si="45"/>
        <v>0.42</v>
      </c>
      <c r="T168" s="134">
        <f t="shared" si="45"/>
        <v>0.42</v>
      </c>
      <c r="U168" s="134">
        <f t="shared" si="45"/>
        <v>0.42</v>
      </c>
      <c r="V168" s="134">
        <f t="shared" si="45"/>
        <v>0.42</v>
      </c>
      <c r="W168" s="134">
        <f t="shared" si="45"/>
        <v>0.42</v>
      </c>
      <c r="X168" s="134">
        <f t="shared" si="45"/>
        <v>0.42</v>
      </c>
      <c r="Y168" s="134">
        <f t="shared" si="45"/>
        <v>0.42</v>
      </c>
      <c r="Z168" s="134">
        <f t="shared" si="45"/>
        <v>0.42</v>
      </c>
      <c r="AA168" s="134">
        <f t="shared" si="45"/>
        <v>0.42</v>
      </c>
      <c r="AB168" s="134">
        <f t="shared" si="45"/>
        <v>0.42</v>
      </c>
      <c r="AC168" s="134">
        <f t="shared" si="45"/>
        <v>0.42</v>
      </c>
      <c r="AD168" s="134">
        <f t="shared" si="45"/>
        <v>0.42</v>
      </c>
      <c r="AE168" s="134">
        <f t="shared" si="45"/>
        <v>0.42</v>
      </c>
      <c r="AF168" s="134">
        <f t="shared" si="45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4"/>
        <v>0.46</v>
      </c>
      <c r="D169" s="134">
        <f t="shared" si="44"/>
        <v>0.46</v>
      </c>
      <c r="E169" s="134">
        <f t="shared" si="44"/>
        <v>0.46</v>
      </c>
      <c r="F169" s="134">
        <f t="shared" si="44"/>
        <v>0.46</v>
      </c>
      <c r="G169" s="134">
        <f t="shared" si="44"/>
        <v>0.46</v>
      </c>
      <c r="H169" s="134">
        <f t="shared" si="44"/>
        <v>0.46</v>
      </c>
      <c r="I169" s="134">
        <f t="shared" si="44"/>
        <v>0.46</v>
      </c>
      <c r="J169" s="134">
        <f t="shared" si="44"/>
        <v>0.46</v>
      </c>
      <c r="K169" s="134">
        <f t="shared" si="44"/>
        <v>0.46</v>
      </c>
      <c r="L169" s="134">
        <f t="shared" si="44"/>
        <v>0.46</v>
      </c>
      <c r="M169" s="134">
        <f t="shared" si="44"/>
        <v>0.46</v>
      </c>
      <c r="N169" s="134">
        <f t="shared" si="44"/>
        <v>0.46</v>
      </c>
      <c r="O169" s="134">
        <f t="shared" si="44"/>
        <v>0.46</v>
      </c>
      <c r="P169" s="134">
        <f t="shared" si="44"/>
        <v>0.46</v>
      </c>
      <c r="Q169" s="134">
        <f t="shared" si="44"/>
        <v>0.46</v>
      </c>
      <c r="R169" s="134">
        <f t="shared" si="45"/>
        <v>0.46</v>
      </c>
      <c r="S169" s="134">
        <f t="shared" si="45"/>
        <v>0.46</v>
      </c>
      <c r="T169" s="134">
        <f t="shared" si="45"/>
        <v>0.46</v>
      </c>
      <c r="U169" s="134">
        <f t="shared" si="45"/>
        <v>0.46</v>
      </c>
      <c r="V169" s="134">
        <f t="shared" si="45"/>
        <v>0.46</v>
      </c>
      <c r="W169" s="134">
        <f t="shared" si="45"/>
        <v>0.46</v>
      </c>
      <c r="X169" s="134">
        <f t="shared" si="45"/>
        <v>0.46</v>
      </c>
      <c r="Y169" s="134">
        <f t="shared" si="45"/>
        <v>0.46</v>
      </c>
      <c r="Z169" s="134">
        <f t="shared" si="45"/>
        <v>0.46</v>
      </c>
      <c r="AA169" s="134">
        <f t="shared" si="45"/>
        <v>0.46</v>
      </c>
      <c r="AB169" s="134">
        <f t="shared" si="45"/>
        <v>0.46</v>
      </c>
      <c r="AC169" s="134">
        <f t="shared" si="45"/>
        <v>0.46</v>
      </c>
      <c r="AD169" s="134">
        <f t="shared" si="45"/>
        <v>0.46</v>
      </c>
      <c r="AE169" s="134">
        <f t="shared" si="45"/>
        <v>0.46</v>
      </c>
      <c r="AF169" s="134">
        <f t="shared" si="45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4"/>
        <v>0.85</v>
      </c>
      <c r="D170" s="134">
        <f t="shared" si="44"/>
        <v>0.85</v>
      </c>
      <c r="E170" s="134">
        <f t="shared" si="44"/>
        <v>0.85</v>
      </c>
      <c r="F170" s="134">
        <f t="shared" si="44"/>
        <v>0.85</v>
      </c>
      <c r="G170" s="134">
        <f t="shared" si="44"/>
        <v>0.85</v>
      </c>
      <c r="H170" s="134">
        <f t="shared" si="44"/>
        <v>0.85</v>
      </c>
      <c r="I170" s="134">
        <f t="shared" si="44"/>
        <v>0.85</v>
      </c>
      <c r="J170" s="134">
        <f t="shared" si="44"/>
        <v>0.85</v>
      </c>
      <c r="K170" s="134">
        <f t="shared" si="44"/>
        <v>0.85</v>
      </c>
      <c r="L170" s="134">
        <f t="shared" si="44"/>
        <v>0.85</v>
      </c>
      <c r="M170" s="134">
        <f t="shared" si="44"/>
        <v>0.85</v>
      </c>
      <c r="N170" s="134">
        <f t="shared" si="44"/>
        <v>0.85</v>
      </c>
      <c r="O170" s="134">
        <f t="shared" si="44"/>
        <v>0.85</v>
      </c>
      <c r="P170" s="134">
        <f t="shared" si="44"/>
        <v>0.85</v>
      </c>
      <c r="Q170" s="134">
        <f t="shared" si="44"/>
        <v>0.85</v>
      </c>
      <c r="R170" s="134">
        <f t="shared" si="45"/>
        <v>0.85</v>
      </c>
      <c r="S170" s="134">
        <f t="shared" si="45"/>
        <v>0.85</v>
      </c>
      <c r="T170" s="134">
        <f t="shared" si="45"/>
        <v>0.85</v>
      </c>
      <c r="U170" s="134">
        <f t="shared" si="45"/>
        <v>0.85</v>
      </c>
      <c r="V170" s="134">
        <f t="shared" si="45"/>
        <v>0.85</v>
      </c>
      <c r="W170" s="134">
        <f t="shared" si="45"/>
        <v>0.85</v>
      </c>
      <c r="X170" s="134">
        <f t="shared" si="45"/>
        <v>0.85</v>
      </c>
      <c r="Y170" s="134">
        <f t="shared" si="45"/>
        <v>0.85</v>
      </c>
      <c r="Z170" s="134">
        <f t="shared" si="45"/>
        <v>0.85</v>
      </c>
      <c r="AA170" s="134">
        <f t="shared" si="45"/>
        <v>0.85</v>
      </c>
      <c r="AB170" s="134">
        <f t="shared" si="45"/>
        <v>0.85</v>
      </c>
      <c r="AC170" s="134">
        <f t="shared" si="45"/>
        <v>0.85</v>
      </c>
      <c r="AD170" s="134">
        <f t="shared" si="45"/>
        <v>0.85</v>
      </c>
      <c r="AE170" s="134">
        <f t="shared" si="45"/>
        <v>0.85</v>
      </c>
      <c r="AF170" s="134">
        <f t="shared" si="45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4"/>
        <v>0.9</v>
      </c>
      <c r="D171" s="134">
        <f t="shared" si="44"/>
        <v>0.9</v>
      </c>
      <c r="E171" s="134">
        <f t="shared" si="44"/>
        <v>0.9</v>
      </c>
      <c r="F171" s="134">
        <f t="shared" si="44"/>
        <v>0.9</v>
      </c>
      <c r="G171" s="134">
        <f t="shared" si="44"/>
        <v>0.9</v>
      </c>
      <c r="H171" s="134">
        <f t="shared" si="44"/>
        <v>0.9</v>
      </c>
      <c r="I171" s="134">
        <f t="shared" si="44"/>
        <v>0.9</v>
      </c>
      <c r="J171" s="134">
        <f t="shared" si="44"/>
        <v>0.9</v>
      </c>
      <c r="K171" s="134">
        <f t="shared" si="44"/>
        <v>0.9</v>
      </c>
      <c r="L171" s="134">
        <f t="shared" si="44"/>
        <v>0.9</v>
      </c>
      <c r="M171" s="134">
        <f t="shared" si="44"/>
        <v>0.9</v>
      </c>
      <c r="N171" s="134">
        <f t="shared" si="44"/>
        <v>0.9</v>
      </c>
      <c r="O171" s="134">
        <f t="shared" si="44"/>
        <v>0.9</v>
      </c>
      <c r="P171" s="134">
        <f t="shared" si="44"/>
        <v>0.9</v>
      </c>
      <c r="Q171" s="134">
        <f t="shared" si="44"/>
        <v>0.9</v>
      </c>
      <c r="R171" s="134">
        <f t="shared" si="45"/>
        <v>0.9</v>
      </c>
      <c r="S171" s="134">
        <f t="shared" si="45"/>
        <v>0.9</v>
      </c>
      <c r="T171" s="134">
        <f t="shared" si="45"/>
        <v>0.9</v>
      </c>
      <c r="U171" s="134">
        <f t="shared" si="45"/>
        <v>0.9</v>
      </c>
      <c r="V171" s="134">
        <f t="shared" si="45"/>
        <v>0.9</v>
      </c>
      <c r="W171" s="134">
        <f t="shared" si="45"/>
        <v>0.9</v>
      </c>
      <c r="X171" s="134">
        <f t="shared" si="45"/>
        <v>0.9</v>
      </c>
      <c r="Y171" s="134">
        <f t="shared" si="45"/>
        <v>0.9</v>
      </c>
      <c r="Z171" s="134">
        <f t="shared" si="45"/>
        <v>0.9</v>
      </c>
      <c r="AA171" s="134">
        <f t="shared" si="45"/>
        <v>0.9</v>
      </c>
      <c r="AB171" s="134">
        <f t="shared" si="45"/>
        <v>0.9</v>
      </c>
      <c r="AC171" s="134">
        <f t="shared" si="45"/>
        <v>0.9</v>
      </c>
      <c r="AD171" s="134">
        <f t="shared" si="45"/>
        <v>0.9</v>
      </c>
      <c r="AE171" s="134">
        <f t="shared" si="45"/>
        <v>0.9</v>
      </c>
      <c r="AF171" s="134">
        <f t="shared" si="45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4"/>
        <v>0.44</v>
      </c>
      <c r="D172" s="134">
        <f t="shared" si="44"/>
        <v>0.44</v>
      </c>
      <c r="E172" s="134">
        <f t="shared" si="44"/>
        <v>0.44</v>
      </c>
      <c r="F172" s="134">
        <f t="shared" si="44"/>
        <v>0.44</v>
      </c>
      <c r="G172" s="134">
        <f t="shared" si="44"/>
        <v>0.44</v>
      </c>
      <c r="H172" s="134">
        <f t="shared" si="44"/>
        <v>0.44</v>
      </c>
      <c r="I172" s="134">
        <f t="shared" si="44"/>
        <v>0.44</v>
      </c>
      <c r="J172" s="134">
        <f t="shared" si="44"/>
        <v>0.44</v>
      </c>
      <c r="K172" s="134">
        <f t="shared" si="44"/>
        <v>0.44</v>
      </c>
      <c r="L172" s="134">
        <f t="shared" si="44"/>
        <v>0.44</v>
      </c>
      <c r="M172" s="134">
        <f t="shared" si="44"/>
        <v>0.44</v>
      </c>
      <c r="N172" s="134">
        <f t="shared" si="44"/>
        <v>0.44</v>
      </c>
      <c r="O172" s="134">
        <f t="shared" si="44"/>
        <v>0.44</v>
      </c>
      <c r="P172" s="134">
        <f t="shared" si="44"/>
        <v>0.44</v>
      </c>
      <c r="Q172" s="134">
        <f t="shared" si="44"/>
        <v>0.44</v>
      </c>
      <c r="R172" s="134">
        <f t="shared" si="45"/>
        <v>0.44</v>
      </c>
      <c r="S172" s="134">
        <f t="shared" si="45"/>
        <v>0.44</v>
      </c>
      <c r="T172" s="134">
        <f t="shared" si="45"/>
        <v>0.44</v>
      </c>
      <c r="U172" s="134">
        <f t="shared" si="45"/>
        <v>0.44</v>
      </c>
      <c r="V172" s="134">
        <f t="shared" si="45"/>
        <v>0.44</v>
      </c>
      <c r="W172" s="134">
        <f t="shared" si="45"/>
        <v>0.44</v>
      </c>
      <c r="X172" s="134">
        <f t="shared" si="45"/>
        <v>0.44</v>
      </c>
      <c r="Y172" s="134">
        <f t="shared" si="45"/>
        <v>0.44</v>
      </c>
      <c r="Z172" s="134">
        <f t="shared" si="45"/>
        <v>0.44</v>
      </c>
      <c r="AA172" s="134">
        <f t="shared" si="45"/>
        <v>0.44</v>
      </c>
      <c r="AB172" s="134">
        <f t="shared" si="45"/>
        <v>0.44</v>
      </c>
      <c r="AC172" s="134">
        <f t="shared" si="45"/>
        <v>0.44</v>
      </c>
      <c r="AD172" s="134">
        <f t="shared" si="45"/>
        <v>0.44</v>
      </c>
      <c r="AE172" s="134">
        <f t="shared" si="45"/>
        <v>0.44</v>
      </c>
      <c r="AF172" s="134">
        <f t="shared" si="45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4"/>
        <v>2.1</v>
      </c>
      <c r="D173" s="134">
        <f t="shared" si="44"/>
        <v>2.1</v>
      </c>
      <c r="E173" s="134">
        <f t="shared" si="44"/>
        <v>2.1</v>
      </c>
      <c r="F173" s="134">
        <f t="shared" si="44"/>
        <v>2.1</v>
      </c>
      <c r="G173" s="134">
        <f t="shared" si="44"/>
        <v>2.1</v>
      </c>
      <c r="H173" s="134">
        <f t="shared" si="44"/>
        <v>2.1</v>
      </c>
      <c r="I173" s="134">
        <f t="shared" si="44"/>
        <v>2.1</v>
      </c>
      <c r="J173" s="134">
        <f t="shared" si="44"/>
        <v>2.1</v>
      </c>
      <c r="K173" s="134">
        <f t="shared" si="44"/>
        <v>2.1</v>
      </c>
      <c r="L173" s="134">
        <f t="shared" si="44"/>
        <v>2.1</v>
      </c>
      <c r="M173" s="134">
        <f t="shared" si="44"/>
        <v>2.1</v>
      </c>
      <c r="N173" s="134">
        <f t="shared" si="44"/>
        <v>2.1</v>
      </c>
      <c r="O173" s="134">
        <f t="shared" si="44"/>
        <v>2.1</v>
      </c>
      <c r="P173" s="134">
        <f t="shared" si="44"/>
        <v>2.1</v>
      </c>
      <c r="Q173" s="134">
        <f t="shared" si="44"/>
        <v>2.1</v>
      </c>
      <c r="R173" s="134">
        <f t="shared" si="45"/>
        <v>2.1</v>
      </c>
      <c r="S173" s="134">
        <f t="shared" si="45"/>
        <v>2.1</v>
      </c>
      <c r="T173" s="134">
        <f t="shared" si="45"/>
        <v>2.1</v>
      </c>
      <c r="U173" s="134">
        <f t="shared" si="45"/>
        <v>2.1</v>
      </c>
      <c r="V173" s="134">
        <f t="shared" si="45"/>
        <v>2.1</v>
      </c>
      <c r="W173" s="134">
        <f t="shared" si="45"/>
        <v>2.1</v>
      </c>
      <c r="X173" s="134">
        <f t="shared" si="45"/>
        <v>2.1</v>
      </c>
      <c r="Y173" s="134">
        <f t="shared" si="45"/>
        <v>2.1</v>
      </c>
      <c r="Z173" s="134">
        <f t="shared" si="45"/>
        <v>2.1</v>
      </c>
      <c r="AA173" s="134">
        <f t="shared" si="45"/>
        <v>2.1</v>
      </c>
      <c r="AB173" s="134">
        <f t="shared" si="45"/>
        <v>2.1</v>
      </c>
      <c r="AC173" s="134">
        <f t="shared" si="45"/>
        <v>2.1</v>
      </c>
      <c r="AD173" s="134">
        <f t="shared" si="45"/>
        <v>2.1</v>
      </c>
      <c r="AE173" s="134">
        <f t="shared" si="45"/>
        <v>2.1</v>
      </c>
      <c r="AF173" s="134">
        <f t="shared" si="45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4"/>
        <v>0.9</v>
      </c>
      <c r="D174" s="134">
        <f t="shared" si="44"/>
        <v>0.9</v>
      </c>
      <c r="E174" s="134">
        <f t="shared" si="44"/>
        <v>0.9</v>
      </c>
      <c r="F174" s="134">
        <f t="shared" si="44"/>
        <v>0.9</v>
      </c>
      <c r="G174" s="134">
        <f t="shared" si="44"/>
        <v>0.9</v>
      </c>
      <c r="H174" s="134">
        <f t="shared" si="44"/>
        <v>0.9</v>
      </c>
      <c r="I174" s="134">
        <f t="shared" si="44"/>
        <v>0.9</v>
      </c>
      <c r="J174" s="134">
        <f t="shared" si="44"/>
        <v>0.9</v>
      </c>
      <c r="K174" s="134">
        <f t="shared" si="44"/>
        <v>0.9</v>
      </c>
      <c r="L174" s="134">
        <f t="shared" si="44"/>
        <v>0.9</v>
      </c>
      <c r="M174" s="134">
        <f t="shared" si="44"/>
        <v>0.9</v>
      </c>
      <c r="N174" s="134">
        <f t="shared" si="44"/>
        <v>0.9</v>
      </c>
      <c r="O174" s="134">
        <f t="shared" si="44"/>
        <v>0.9</v>
      </c>
      <c r="P174" s="134">
        <f t="shared" si="44"/>
        <v>0.9</v>
      </c>
      <c r="Q174" s="134">
        <f t="shared" si="44"/>
        <v>0.9</v>
      </c>
      <c r="R174" s="134">
        <f t="shared" si="45"/>
        <v>0.9</v>
      </c>
      <c r="S174" s="134">
        <f t="shared" si="45"/>
        <v>0.9</v>
      </c>
      <c r="T174" s="134">
        <f t="shared" si="45"/>
        <v>0.9</v>
      </c>
      <c r="U174" s="134">
        <f t="shared" si="45"/>
        <v>0.9</v>
      </c>
      <c r="V174" s="134">
        <f t="shared" si="45"/>
        <v>0.9</v>
      </c>
      <c r="W174" s="134">
        <f t="shared" si="45"/>
        <v>0.9</v>
      </c>
      <c r="X174" s="134">
        <f t="shared" si="45"/>
        <v>0.9</v>
      </c>
      <c r="Y174" s="134">
        <f t="shared" si="45"/>
        <v>0.9</v>
      </c>
      <c r="Z174" s="134">
        <f t="shared" si="45"/>
        <v>0.9</v>
      </c>
      <c r="AA174" s="134">
        <f t="shared" si="45"/>
        <v>0.9</v>
      </c>
      <c r="AB174" s="134">
        <f t="shared" si="45"/>
        <v>0.9</v>
      </c>
      <c r="AC174" s="134">
        <f t="shared" si="45"/>
        <v>0.9</v>
      </c>
      <c r="AD174" s="134">
        <f t="shared" si="45"/>
        <v>0.9</v>
      </c>
      <c r="AE174" s="134">
        <f t="shared" si="45"/>
        <v>0.9</v>
      </c>
      <c r="AF174" s="134">
        <f t="shared" si="45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6">B176</f>
        <v>0.57999999999999996</v>
      </c>
      <c r="D176" s="134">
        <f t="shared" si="46"/>
        <v>0.57999999999999996</v>
      </c>
      <c r="E176" s="134">
        <f t="shared" si="46"/>
        <v>0.57999999999999996</v>
      </c>
      <c r="F176" s="134">
        <f t="shared" si="46"/>
        <v>0.57999999999999996</v>
      </c>
      <c r="G176" s="134">
        <f t="shared" si="46"/>
        <v>0.57999999999999996</v>
      </c>
      <c r="H176" s="134">
        <f t="shared" si="46"/>
        <v>0.57999999999999996</v>
      </c>
      <c r="I176" s="134">
        <f t="shared" si="46"/>
        <v>0.57999999999999996</v>
      </c>
      <c r="J176" s="134">
        <f t="shared" si="46"/>
        <v>0.57999999999999996</v>
      </c>
      <c r="K176" s="134">
        <f t="shared" si="46"/>
        <v>0.57999999999999996</v>
      </c>
      <c r="L176" s="134">
        <f t="shared" si="46"/>
        <v>0.57999999999999996</v>
      </c>
      <c r="M176" s="134">
        <f t="shared" si="46"/>
        <v>0.57999999999999996</v>
      </c>
      <c r="N176" s="134">
        <f t="shared" si="46"/>
        <v>0.57999999999999996</v>
      </c>
      <c r="O176" s="134">
        <f t="shared" si="46"/>
        <v>0.57999999999999996</v>
      </c>
      <c r="P176" s="134">
        <f t="shared" si="46"/>
        <v>0.57999999999999996</v>
      </c>
      <c r="Q176" s="134">
        <f t="shared" si="46"/>
        <v>0.57999999999999996</v>
      </c>
      <c r="R176" s="134">
        <f t="shared" si="46"/>
        <v>0.57999999999999996</v>
      </c>
      <c r="S176" s="134">
        <f t="shared" ref="R176:AF188" si="47">R176</f>
        <v>0.57999999999999996</v>
      </c>
      <c r="T176" s="134">
        <f t="shared" si="47"/>
        <v>0.57999999999999996</v>
      </c>
      <c r="U176" s="134">
        <f t="shared" si="47"/>
        <v>0.57999999999999996</v>
      </c>
      <c r="V176" s="134">
        <f t="shared" si="47"/>
        <v>0.57999999999999996</v>
      </c>
      <c r="W176" s="134">
        <f t="shared" si="47"/>
        <v>0.57999999999999996</v>
      </c>
      <c r="X176" s="134">
        <f t="shared" si="47"/>
        <v>0.57999999999999996</v>
      </c>
      <c r="Y176" s="134">
        <f t="shared" si="47"/>
        <v>0.57999999999999996</v>
      </c>
      <c r="Z176" s="134">
        <f t="shared" si="47"/>
        <v>0.57999999999999996</v>
      </c>
      <c r="AA176" s="134">
        <f t="shared" si="47"/>
        <v>0.57999999999999996</v>
      </c>
      <c r="AB176" s="134">
        <f t="shared" si="47"/>
        <v>0.57999999999999996</v>
      </c>
      <c r="AC176" s="134">
        <f t="shared" si="47"/>
        <v>0.57999999999999996</v>
      </c>
      <c r="AD176" s="134">
        <f t="shared" si="47"/>
        <v>0.57999999999999996</v>
      </c>
      <c r="AE176" s="134">
        <f t="shared" si="47"/>
        <v>0.57999999999999996</v>
      </c>
      <c r="AF176" s="134">
        <f t="shared" si="47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6"/>
        <v>0.8</v>
      </c>
      <c r="D177" s="134">
        <f t="shared" si="46"/>
        <v>0.8</v>
      </c>
      <c r="E177" s="134">
        <f t="shared" si="46"/>
        <v>0.8</v>
      </c>
      <c r="F177" s="134">
        <f t="shared" si="46"/>
        <v>0.8</v>
      </c>
      <c r="G177" s="134">
        <f t="shared" si="46"/>
        <v>0.8</v>
      </c>
      <c r="H177" s="134">
        <f t="shared" si="46"/>
        <v>0.8</v>
      </c>
      <c r="I177" s="134">
        <f t="shared" si="46"/>
        <v>0.8</v>
      </c>
      <c r="J177" s="134">
        <f t="shared" si="46"/>
        <v>0.8</v>
      </c>
      <c r="K177" s="134">
        <f t="shared" si="46"/>
        <v>0.8</v>
      </c>
      <c r="L177" s="134">
        <f t="shared" si="46"/>
        <v>0.8</v>
      </c>
      <c r="M177" s="134">
        <f t="shared" si="46"/>
        <v>0.8</v>
      </c>
      <c r="N177" s="134">
        <f t="shared" si="46"/>
        <v>0.8</v>
      </c>
      <c r="O177" s="134">
        <f t="shared" si="46"/>
        <v>0.8</v>
      </c>
      <c r="P177" s="134">
        <f t="shared" si="46"/>
        <v>0.8</v>
      </c>
      <c r="Q177" s="134">
        <f t="shared" si="46"/>
        <v>0.8</v>
      </c>
      <c r="R177" s="134">
        <f t="shared" si="46"/>
        <v>0.8</v>
      </c>
      <c r="S177" s="134">
        <f t="shared" si="47"/>
        <v>0.8</v>
      </c>
      <c r="T177" s="134">
        <f t="shared" si="47"/>
        <v>0.8</v>
      </c>
      <c r="U177" s="134">
        <f t="shared" si="47"/>
        <v>0.8</v>
      </c>
      <c r="V177" s="134">
        <f t="shared" si="47"/>
        <v>0.8</v>
      </c>
      <c r="W177" s="134">
        <f t="shared" si="47"/>
        <v>0.8</v>
      </c>
      <c r="X177" s="134">
        <f t="shared" si="47"/>
        <v>0.8</v>
      </c>
      <c r="Y177" s="134">
        <f t="shared" si="47"/>
        <v>0.8</v>
      </c>
      <c r="Z177" s="134">
        <f t="shared" si="47"/>
        <v>0.8</v>
      </c>
      <c r="AA177" s="134">
        <f t="shared" si="47"/>
        <v>0.8</v>
      </c>
      <c r="AB177" s="134">
        <f t="shared" si="47"/>
        <v>0.8</v>
      </c>
      <c r="AC177" s="134">
        <f t="shared" si="47"/>
        <v>0.8</v>
      </c>
      <c r="AD177" s="134">
        <f t="shared" si="47"/>
        <v>0.8</v>
      </c>
      <c r="AE177" s="134">
        <f t="shared" si="47"/>
        <v>0.8</v>
      </c>
      <c r="AF177" s="134">
        <f t="shared" si="47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6"/>
        <v>0</v>
      </c>
      <c r="D178" s="134">
        <f t="shared" si="46"/>
        <v>0</v>
      </c>
      <c r="E178" s="134">
        <f t="shared" si="46"/>
        <v>0</v>
      </c>
      <c r="F178" s="134">
        <f t="shared" si="46"/>
        <v>0</v>
      </c>
      <c r="G178" s="134">
        <f t="shared" si="46"/>
        <v>0</v>
      </c>
      <c r="H178" s="134">
        <f t="shared" si="46"/>
        <v>0</v>
      </c>
      <c r="I178" s="134">
        <f t="shared" si="46"/>
        <v>0</v>
      </c>
      <c r="J178" s="134">
        <f t="shared" si="46"/>
        <v>0</v>
      </c>
      <c r="K178" s="134">
        <f t="shared" si="46"/>
        <v>0</v>
      </c>
      <c r="L178" s="134">
        <f t="shared" si="46"/>
        <v>0</v>
      </c>
      <c r="M178" s="134">
        <f t="shared" si="46"/>
        <v>0</v>
      </c>
      <c r="N178" s="134">
        <f t="shared" si="46"/>
        <v>0</v>
      </c>
      <c r="O178" s="134">
        <f t="shared" si="46"/>
        <v>0</v>
      </c>
      <c r="P178" s="134">
        <f t="shared" si="46"/>
        <v>0</v>
      </c>
      <c r="Q178" s="134">
        <f t="shared" si="46"/>
        <v>0</v>
      </c>
      <c r="R178" s="134">
        <f t="shared" si="46"/>
        <v>0</v>
      </c>
      <c r="S178" s="134">
        <f t="shared" si="47"/>
        <v>0</v>
      </c>
      <c r="T178" s="134">
        <f t="shared" si="47"/>
        <v>0</v>
      </c>
      <c r="U178" s="134">
        <f t="shared" si="47"/>
        <v>0</v>
      </c>
      <c r="V178" s="134">
        <f t="shared" si="47"/>
        <v>0</v>
      </c>
      <c r="W178" s="134">
        <f t="shared" si="47"/>
        <v>0</v>
      </c>
      <c r="X178" s="134">
        <f t="shared" si="47"/>
        <v>0</v>
      </c>
      <c r="Y178" s="134">
        <f t="shared" si="47"/>
        <v>0</v>
      </c>
      <c r="Z178" s="134">
        <f t="shared" si="47"/>
        <v>0</v>
      </c>
      <c r="AA178" s="134">
        <f t="shared" si="47"/>
        <v>0</v>
      </c>
      <c r="AB178" s="134">
        <f t="shared" si="47"/>
        <v>0</v>
      </c>
      <c r="AC178" s="134">
        <f t="shared" si="47"/>
        <v>0</v>
      </c>
      <c r="AD178" s="134">
        <f t="shared" si="47"/>
        <v>0</v>
      </c>
      <c r="AE178" s="134">
        <f t="shared" si="47"/>
        <v>0</v>
      </c>
      <c r="AF178" s="134">
        <f t="shared" si="47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6"/>
        <v>0.6</v>
      </c>
      <c r="D179" s="134">
        <f t="shared" si="46"/>
        <v>0.6</v>
      </c>
      <c r="E179" s="134">
        <f t="shared" si="46"/>
        <v>0.6</v>
      </c>
      <c r="F179" s="134">
        <f t="shared" si="46"/>
        <v>0.6</v>
      </c>
      <c r="G179" s="134">
        <f t="shared" si="46"/>
        <v>0.6</v>
      </c>
      <c r="H179" s="134">
        <f t="shared" si="46"/>
        <v>0.6</v>
      </c>
      <c r="I179" s="134">
        <f t="shared" si="46"/>
        <v>0.6</v>
      </c>
      <c r="J179" s="134">
        <f t="shared" si="46"/>
        <v>0.6</v>
      </c>
      <c r="K179" s="134">
        <f t="shared" si="46"/>
        <v>0.6</v>
      </c>
      <c r="L179" s="134">
        <f t="shared" si="46"/>
        <v>0.6</v>
      </c>
      <c r="M179" s="134">
        <f t="shared" si="46"/>
        <v>0.6</v>
      </c>
      <c r="N179" s="134">
        <f t="shared" si="46"/>
        <v>0.6</v>
      </c>
      <c r="O179" s="134">
        <f t="shared" si="46"/>
        <v>0.6</v>
      </c>
      <c r="P179" s="134">
        <f t="shared" si="46"/>
        <v>0.6</v>
      </c>
      <c r="Q179" s="134">
        <f t="shared" si="46"/>
        <v>0.6</v>
      </c>
      <c r="R179" s="134">
        <f t="shared" si="46"/>
        <v>0.6</v>
      </c>
      <c r="S179" s="134">
        <f t="shared" si="47"/>
        <v>0.6</v>
      </c>
      <c r="T179" s="134">
        <f t="shared" si="47"/>
        <v>0.6</v>
      </c>
      <c r="U179" s="134">
        <f t="shared" si="47"/>
        <v>0.6</v>
      </c>
      <c r="V179" s="134">
        <f t="shared" si="47"/>
        <v>0.6</v>
      </c>
      <c r="W179" s="134">
        <f t="shared" si="47"/>
        <v>0.6</v>
      </c>
      <c r="X179" s="134">
        <f t="shared" si="47"/>
        <v>0.6</v>
      </c>
      <c r="Y179" s="134">
        <f t="shared" si="47"/>
        <v>0.6</v>
      </c>
      <c r="Z179" s="134">
        <f t="shared" si="47"/>
        <v>0.6</v>
      </c>
      <c r="AA179" s="134">
        <f t="shared" si="47"/>
        <v>0.6</v>
      </c>
      <c r="AB179" s="134">
        <f t="shared" si="47"/>
        <v>0.6</v>
      </c>
      <c r="AC179" s="134">
        <f t="shared" si="47"/>
        <v>0.6</v>
      </c>
      <c r="AD179" s="134">
        <f t="shared" si="47"/>
        <v>0.6</v>
      </c>
      <c r="AE179" s="134">
        <f t="shared" si="47"/>
        <v>0.6</v>
      </c>
      <c r="AF179" s="134">
        <f t="shared" si="47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6"/>
        <v>0.6</v>
      </c>
      <c r="D180" s="134">
        <f t="shared" si="46"/>
        <v>0.6</v>
      </c>
      <c r="E180" s="134">
        <f t="shared" si="46"/>
        <v>0.6</v>
      </c>
      <c r="F180" s="134">
        <f t="shared" si="46"/>
        <v>0.6</v>
      </c>
      <c r="G180" s="134">
        <f t="shared" si="46"/>
        <v>0.6</v>
      </c>
      <c r="H180" s="134">
        <f t="shared" si="46"/>
        <v>0.6</v>
      </c>
      <c r="I180" s="134">
        <f t="shared" si="46"/>
        <v>0.6</v>
      </c>
      <c r="J180" s="134">
        <f t="shared" si="46"/>
        <v>0.6</v>
      </c>
      <c r="K180" s="134">
        <f t="shared" si="46"/>
        <v>0.6</v>
      </c>
      <c r="L180" s="134">
        <f t="shared" si="46"/>
        <v>0.6</v>
      </c>
      <c r="M180" s="134">
        <f t="shared" si="46"/>
        <v>0.6</v>
      </c>
      <c r="N180" s="134">
        <f t="shared" si="46"/>
        <v>0.6</v>
      </c>
      <c r="O180" s="134">
        <f t="shared" si="46"/>
        <v>0.6</v>
      </c>
      <c r="P180" s="134">
        <f t="shared" si="46"/>
        <v>0.6</v>
      </c>
      <c r="Q180" s="134">
        <f t="shared" si="46"/>
        <v>0.6</v>
      </c>
      <c r="R180" s="134">
        <f t="shared" si="46"/>
        <v>0.6</v>
      </c>
      <c r="S180" s="134">
        <f t="shared" si="47"/>
        <v>0.6</v>
      </c>
      <c r="T180" s="134">
        <f t="shared" si="47"/>
        <v>0.6</v>
      </c>
      <c r="U180" s="134">
        <f t="shared" si="47"/>
        <v>0.6</v>
      </c>
      <c r="V180" s="134">
        <f t="shared" si="47"/>
        <v>0.6</v>
      </c>
      <c r="W180" s="134">
        <f t="shared" si="47"/>
        <v>0.6</v>
      </c>
      <c r="X180" s="134">
        <f t="shared" si="47"/>
        <v>0.6</v>
      </c>
      <c r="Y180" s="134">
        <f t="shared" si="47"/>
        <v>0.6</v>
      </c>
      <c r="Z180" s="134">
        <f t="shared" si="47"/>
        <v>0.6</v>
      </c>
      <c r="AA180" s="134">
        <f t="shared" si="47"/>
        <v>0.6</v>
      </c>
      <c r="AB180" s="134">
        <f t="shared" si="47"/>
        <v>0.6</v>
      </c>
      <c r="AC180" s="134">
        <f t="shared" si="47"/>
        <v>0.6</v>
      </c>
      <c r="AD180" s="134">
        <f t="shared" si="47"/>
        <v>0.6</v>
      </c>
      <c r="AE180" s="134">
        <f t="shared" si="47"/>
        <v>0.6</v>
      </c>
      <c r="AF180" s="134">
        <f t="shared" si="47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6"/>
        <v>0.35</v>
      </c>
      <c r="D181" s="134">
        <f t="shared" si="46"/>
        <v>0.35</v>
      </c>
      <c r="E181" s="134">
        <f t="shared" si="46"/>
        <v>0.35</v>
      </c>
      <c r="F181" s="134">
        <f t="shared" si="46"/>
        <v>0.35</v>
      </c>
      <c r="G181" s="134">
        <f t="shared" si="46"/>
        <v>0.35</v>
      </c>
      <c r="H181" s="134">
        <f t="shared" si="46"/>
        <v>0.35</v>
      </c>
      <c r="I181" s="134">
        <f t="shared" si="46"/>
        <v>0.35</v>
      </c>
      <c r="J181" s="134">
        <f t="shared" si="46"/>
        <v>0.35</v>
      </c>
      <c r="K181" s="134">
        <f t="shared" si="46"/>
        <v>0.35</v>
      </c>
      <c r="L181" s="134">
        <f t="shared" si="46"/>
        <v>0.35</v>
      </c>
      <c r="M181" s="134">
        <f t="shared" si="46"/>
        <v>0.35</v>
      </c>
      <c r="N181" s="134">
        <f t="shared" si="46"/>
        <v>0.35</v>
      </c>
      <c r="O181" s="134">
        <f t="shared" si="46"/>
        <v>0.35</v>
      </c>
      <c r="P181" s="134">
        <f t="shared" si="46"/>
        <v>0.35</v>
      </c>
      <c r="Q181" s="134">
        <f t="shared" si="46"/>
        <v>0.35</v>
      </c>
      <c r="R181" s="134">
        <f t="shared" si="46"/>
        <v>0.35</v>
      </c>
      <c r="S181" s="134">
        <f t="shared" si="47"/>
        <v>0.35</v>
      </c>
      <c r="T181" s="134">
        <f t="shared" si="47"/>
        <v>0.35</v>
      </c>
      <c r="U181" s="134">
        <f t="shared" si="47"/>
        <v>0.35</v>
      </c>
      <c r="V181" s="134">
        <f t="shared" si="47"/>
        <v>0.35</v>
      </c>
      <c r="W181" s="134">
        <f t="shared" si="47"/>
        <v>0.35</v>
      </c>
      <c r="X181" s="134">
        <f t="shared" si="47"/>
        <v>0.35</v>
      </c>
      <c r="Y181" s="134">
        <f t="shared" si="47"/>
        <v>0.35</v>
      </c>
      <c r="Z181" s="134">
        <f t="shared" si="47"/>
        <v>0.35</v>
      </c>
      <c r="AA181" s="134">
        <f t="shared" si="47"/>
        <v>0.35</v>
      </c>
      <c r="AB181" s="134">
        <f t="shared" si="47"/>
        <v>0.35</v>
      </c>
      <c r="AC181" s="134">
        <f t="shared" si="47"/>
        <v>0.35</v>
      </c>
      <c r="AD181" s="134">
        <f t="shared" si="47"/>
        <v>0.35</v>
      </c>
      <c r="AE181" s="134">
        <f t="shared" si="47"/>
        <v>0.35</v>
      </c>
      <c r="AF181" s="134">
        <f t="shared" si="47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6"/>
        <v>0.28999999999999998</v>
      </c>
      <c r="D182" s="134">
        <f t="shared" si="46"/>
        <v>0.28999999999999998</v>
      </c>
      <c r="E182" s="134">
        <f t="shared" si="46"/>
        <v>0.28999999999999998</v>
      </c>
      <c r="F182" s="134">
        <f t="shared" si="46"/>
        <v>0.28999999999999998</v>
      </c>
      <c r="G182" s="134">
        <f t="shared" si="46"/>
        <v>0.28999999999999998</v>
      </c>
      <c r="H182" s="134">
        <f t="shared" si="46"/>
        <v>0.28999999999999998</v>
      </c>
      <c r="I182" s="134">
        <f t="shared" si="46"/>
        <v>0.28999999999999998</v>
      </c>
      <c r="J182" s="134">
        <f t="shared" si="46"/>
        <v>0.28999999999999998</v>
      </c>
      <c r="K182" s="134">
        <f t="shared" si="46"/>
        <v>0.28999999999999998</v>
      </c>
      <c r="L182" s="134">
        <f t="shared" si="46"/>
        <v>0.28999999999999998</v>
      </c>
      <c r="M182" s="134">
        <f t="shared" si="46"/>
        <v>0.28999999999999998</v>
      </c>
      <c r="N182" s="134">
        <f t="shared" si="46"/>
        <v>0.28999999999999998</v>
      </c>
      <c r="O182" s="134">
        <f t="shared" si="46"/>
        <v>0.28999999999999998</v>
      </c>
      <c r="P182" s="134">
        <f t="shared" si="46"/>
        <v>0.28999999999999998</v>
      </c>
      <c r="Q182" s="134">
        <f t="shared" si="46"/>
        <v>0.28999999999999998</v>
      </c>
      <c r="R182" s="134">
        <f t="shared" si="46"/>
        <v>0.28999999999999998</v>
      </c>
      <c r="S182" s="134">
        <f t="shared" si="47"/>
        <v>0.28999999999999998</v>
      </c>
      <c r="T182" s="134">
        <f t="shared" si="47"/>
        <v>0.28999999999999998</v>
      </c>
      <c r="U182" s="134">
        <f t="shared" si="47"/>
        <v>0.28999999999999998</v>
      </c>
      <c r="V182" s="134">
        <f t="shared" si="47"/>
        <v>0.28999999999999998</v>
      </c>
      <c r="W182" s="134">
        <f t="shared" si="47"/>
        <v>0.28999999999999998</v>
      </c>
      <c r="X182" s="134">
        <f t="shared" si="47"/>
        <v>0.28999999999999998</v>
      </c>
      <c r="Y182" s="134">
        <f t="shared" si="47"/>
        <v>0.28999999999999998</v>
      </c>
      <c r="Z182" s="134">
        <f t="shared" si="47"/>
        <v>0.28999999999999998</v>
      </c>
      <c r="AA182" s="134">
        <f t="shared" si="47"/>
        <v>0.28999999999999998</v>
      </c>
      <c r="AB182" s="134">
        <f t="shared" si="47"/>
        <v>0.28999999999999998</v>
      </c>
      <c r="AC182" s="134">
        <f t="shared" si="47"/>
        <v>0.28999999999999998</v>
      </c>
      <c r="AD182" s="134">
        <f t="shared" si="47"/>
        <v>0.28999999999999998</v>
      </c>
      <c r="AE182" s="134">
        <f t="shared" si="47"/>
        <v>0.28999999999999998</v>
      </c>
      <c r="AF182" s="134">
        <f t="shared" si="47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6"/>
        <v>0.06</v>
      </c>
      <c r="D183" s="134">
        <f t="shared" si="46"/>
        <v>0.06</v>
      </c>
      <c r="E183" s="134">
        <f t="shared" si="46"/>
        <v>0.06</v>
      </c>
      <c r="F183" s="134">
        <f t="shared" si="46"/>
        <v>0.06</v>
      </c>
      <c r="G183" s="134">
        <f t="shared" si="46"/>
        <v>0.06</v>
      </c>
      <c r="H183" s="134">
        <f t="shared" si="46"/>
        <v>0.06</v>
      </c>
      <c r="I183" s="134">
        <f t="shared" si="46"/>
        <v>0.06</v>
      </c>
      <c r="J183" s="134">
        <f t="shared" si="46"/>
        <v>0.06</v>
      </c>
      <c r="K183" s="134">
        <f t="shared" si="46"/>
        <v>0.06</v>
      </c>
      <c r="L183" s="134">
        <f t="shared" si="46"/>
        <v>0.06</v>
      </c>
      <c r="M183" s="134">
        <f t="shared" si="46"/>
        <v>0.06</v>
      </c>
      <c r="N183" s="134">
        <f t="shared" si="46"/>
        <v>0.06</v>
      </c>
      <c r="O183" s="134">
        <f t="shared" si="46"/>
        <v>0.06</v>
      </c>
      <c r="P183" s="134">
        <f t="shared" si="46"/>
        <v>0.06</v>
      </c>
      <c r="Q183" s="134">
        <f t="shared" si="46"/>
        <v>0.06</v>
      </c>
      <c r="R183" s="134">
        <f t="shared" si="46"/>
        <v>0.06</v>
      </c>
      <c r="S183" s="134">
        <f t="shared" si="47"/>
        <v>0.06</v>
      </c>
      <c r="T183" s="134">
        <f t="shared" si="47"/>
        <v>0.06</v>
      </c>
      <c r="U183" s="134">
        <f t="shared" si="47"/>
        <v>0.06</v>
      </c>
      <c r="V183" s="134">
        <f t="shared" si="47"/>
        <v>0.06</v>
      </c>
      <c r="W183" s="134">
        <f t="shared" si="47"/>
        <v>0.06</v>
      </c>
      <c r="X183" s="134">
        <f t="shared" si="47"/>
        <v>0.06</v>
      </c>
      <c r="Y183" s="134">
        <f t="shared" si="47"/>
        <v>0.06</v>
      </c>
      <c r="Z183" s="134">
        <f t="shared" si="47"/>
        <v>0.06</v>
      </c>
      <c r="AA183" s="134">
        <f t="shared" si="47"/>
        <v>0.06</v>
      </c>
      <c r="AB183" s="134">
        <f t="shared" si="47"/>
        <v>0.06</v>
      </c>
      <c r="AC183" s="134">
        <f t="shared" si="47"/>
        <v>0.06</v>
      </c>
      <c r="AD183" s="134">
        <f t="shared" si="47"/>
        <v>0.06</v>
      </c>
      <c r="AE183" s="134">
        <f t="shared" si="47"/>
        <v>0.06</v>
      </c>
      <c r="AF183" s="134">
        <f t="shared" si="47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6"/>
        <v>0.11</v>
      </c>
      <c r="D184" s="134">
        <f t="shared" si="46"/>
        <v>0.11</v>
      </c>
      <c r="E184" s="134">
        <f t="shared" si="46"/>
        <v>0.11</v>
      </c>
      <c r="F184" s="134">
        <f t="shared" si="46"/>
        <v>0.11</v>
      </c>
      <c r="G184" s="134">
        <f t="shared" si="46"/>
        <v>0.11</v>
      </c>
      <c r="H184" s="134">
        <f t="shared" si="46"/>
        <v>0.11</v>
      </c>
      <c r="I184" s="134">
        <f t="shared" si="46"/>
        <v>0.11</v>
      </c>
      <c r="J184" s="134">
        <f t="shared" si="46"/>
        <v>0.11</v>
      </c>
      <c r="K184" s="134">
        <f t="shared" si="46"/>
        <v>0.11</v>
      </c>
      <c r="L184" s="134">
        <f t="shared" si="46"/>
        <v>0.11</v>
      </c>
      <c r="M184" s="134">
        <f t="shared" si="46"/>
        <v>0.11</v>
      </c>
      <c r="N184" s="134">
        <f t="shared" si="46"/>
        <v>0.11</v>
      </c>
      <c r="O184" s="134">
        <f t="shared" si="46"/>
        <v>0.11</v>
      </c>
      <c r="P184" s="134">
        <f t="shared" si="46"/>
        <v>0.11</v>
      </c>
      <c r="Q184" s="134">
        <f t="shared" si="46"/>
        <v>0.11</v>
      </c>
      <c r="R184" s="134">
        <f t="shared" si="46"/>
        <v>0.11</v>
      </c>
      <c r="S184" s="134">
        <f t="shared" si="47"/>
        <v>0.11</v>
      </c>
      <c r="T184" s="134">
        <f t="shared" si="47"/>
        <v>0.11</v>
      </c>
      <c r="U184" s="134">
        <f t="shared" si="47"/>
        <v>0.11</v>
      </c>
      <c r="V184" s="134">
        <f t="shared" si="47"/>
        <v>0.11</v>
      </c>
      <c r="W184" s="134">
        <f t="shared" si="47"/>
        <v>0.11</v>
      </c>
      <c r="X184" s="134">
        <f t="shared" si="47"/>
        <v>0.11</v>
      </c>
      <c r="Y184" s="134">
        <f t="shared" si="47"/>
        <v>0.11</v>
      </c>
      <c r="Z184" s="134">
        <f t="shared" si="47"/>
        <v>0.11</v>
      </c>
      <c r="AA184" s="134">
        <f t="shared" si="47"/>
        <v>0.11</v>
      </c>
      <c r="AB184" s="134">
        <f t="shared" si="47"/>
        <v>0.11</v>
      </c>
      <c r="AC184" s="134">
        <f t="shared" si="47"/>
        <v>0.11</v>
      </c>
      <c r="AD184" s="134">
        <f t="shared" si="47"/>
        <v>0.11</v>
      </c>
      <c r="AE184" s="134">
        <f t="shared" si="47"/>
        <v>0.11</v>
      </c>
      <c r="AF184" s="134">
        <f t="shared" si="47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6"/>
        <v>0.1</v>
      </c>
      <c r="D185" s="134">
        <f t="shared" si="46"/>
        <v>0.1</v>
      </c>
      <c r="E185" s="134">
        <f t="shared" si="46"/>
        <v>0.1</v>
      </c>
      <c r="F185" s="134">
        <f t="shared" si="46"/>
        <v>0.1</v>
      </c>
      <c r="G185" s="134">
        <f t="shared" si="46"/>
        <v>0.1</v>
      </c>
      <c r="H185" s="134">
        <f t="shared" si="46"/>
        <v>0.1</v>
      </c>
      <c r="I185" s="134">
        <f t="shared" si="46"/>
        <v>0.1</v>
      </c>
      <c r="J185" s="134">
        <f t="shared" si="46"/>
        <v>0.1</v>
      </c>
      <c r="K185" s="134">
        <f t="shared" si="46"/>
        <v>0.1</v>
      </c>
      <c r="L185" s="134">
        <f t="shared" si="46"/>
        <v>0.1</v>
      </c>
      <c r="M185" s="134">
        <f t="shared" si="46"/>
        <v>0.1</v>
      </c>
      <c r="N185" s="134">
        <f t="shared" si="46"/>
        <v>0.1</v>
      </c>
      <c r="O185" s="134">
        <f t="shared" si="46"/>
        <v>0.1</v>
      </c>
      <c r="P185" s="134">
        <f t="shared" si="46"/>
        <v>0.1</v>
      </c>
      <c r="Q185" s="134">
        <f t="shared" si="46"/>
        <v>0.1</v>
      </c>
      <c r="R185" s="134">
        <f t="shared" si="47"/>
        <v>0.1</v>
      </c>
      <c r="S185" s="134">
        <f t="shared" si="47"/>
        <v>0.1</v>
      </c>
      <c r="T185" s="134">
        <f t="shared" si="47"/>
        <v>0.1</v>
      </c>
      <c r="U185" s="134">
        <f t="shared" si="47"/>
        <v>0.1</v>
      </c>
      <c r="V185" s="134">
        <f t="shared" si="47"/>
        <v>0.1</v>
      </c>
      <c r="W185" s="134">
        <f t="shared" si="47"/>
        <v>0.1</v>
      </c>
      <c r="X185" s="134">
        <f t="shared" si="47"/>
        <v>0.1</v>
      </c>
      <c r="Y185" s="134">
        <f t="shared" si="47"/>
        <v>0.1</v>
      </c>
      <c r="Z185" s="134">
        <f t="shared" si="47"/>
        <v>0.1</v>
      </c>
      <c r="AA185" s="134">
        <f t="shared" si="47"/>
        <v>0.1</v>
      </c>
      <c r="AB185" s="134">
        <f t="shared" si="47"/>
        <v>0.1</v>
      </c>
      <c r="AC185" s="134">
        <f t="shared" si="47"/>
        <v>0.1</v>
      </c>
      <c r="AD185" s="134">
        <f t="shared" si="47"/>
        <v>0.1</v>
      </c>
      <c r="AE185" s="134">
        <f t="shared" si="47"/>
        <v>0.1</v>
      </c>
      <c r="AF185" s="134">
        <f t="shared" si="47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6"/>
        <v>0.09</v>
      </c>
      <c r="D186" s="134">
        <f t="shared" si="46"/>
        <v>0.09</v>
      </c>
      <c r="E186" s="134">
        <f t="shared" si="46"/>
        <v>0.09</v>
      </c>
      <c r="F186" s="134">
        <f t="shared" si="46"/>
        <v>0.09</v>
      </c>
      <c r="G186" s="134">
        <f t="shared" si="46"/>
        <v>0.09</v>
      </c>
      <c r="H186" s="134">
        <f t="shared" si="46"/>
        <v>0.09</v>
      </c>
      <c r="I186" s="134">
        <f t="shared" si="46"/>
        <v>0.09</v>
      </c>
      <c r="J186" s="134">
        <f t="shared" si="46"/>
        <v>0.09</v>
      </c>
      <c r="K186" s="134">
        <f t="shared" si="46"/>
        <v>0.09</v>
      </c>
      <c r="L186" s="134">
        <f t="shared" si="46"/>
        <v>0.09</v>
      </c>
      <c r="M186" s="134">
        <f t="shared" si="46"/>
        <v>0.09</v>
      </c>
      <c r="N186" s="134">
        <f t="shared" si="46"/>
        <v>0.09</v>
      </c>
      <c r="O186" s="134">
        <f t="shared" si="46"/>
        <v>0.09</v>
      </c>
      <c r="P186" s="134">
        <f t="shared" si="46"/>
        <v>0.09</v>
      </c>
      <c r="Q186" s="134">
        <f t="shared" si="46"/>
        <v>0.09</v>
      </c>
      <c r="R186" s="134">
        <f t="shared" si="47"/>
        <v>0.09</v>
      </c>
      <c r="S186" s="134">
        <f t="shared" si="47"/>
        <v>0.09</v>
      </c>
      <c r="T186" s="134">
        <f t="shared" si="47"/>
        <v>0.09</v>
      </c>
      <c r="U186" s="134">
        <f t="shared" si="47"/>
        <v>0.09</v>
      </c>
      <c r="V186" s="134">
        <f t="shared" si="47"/>
        <v>0.09</v>
      </c>
      <c r="W186" s="134">
        <f t="shared" si="47"/>
        <v>0.09</v>
      </c>
      <c r="X186" s="134">
        <f t="shared" si="47"/>
        <v>0.09</v>
      </c>
      <c r="Y186" s="134">
        <f t="shared" si="47"/>
        <v>0.09</v>
      </c>
      <c r="Z186" s="134">
        <f t="shared" si="47"/>
        <v>0.09</v>
      </c>
      <c r="AA186" s="134">
        <f t="shared" si="47"/>
        <v>0.09</v>
      </c>
      <c r="AB186" s="134">
        <f t="shared" si="47"/>
        <v>0.09</v>
      </c>
      <c r="AC186" s="134">
        <f t="shared" si="47"/>
        <v>0.09</v>
      </c>
      <c r="AD186" s="134">
        <f t="shared" si="47"/>
        <v>0.09</v>
      </c>
      <c r="AE186" s="134">
        <f t="shared" si="47"/>
        <v>0.09</v>
      </c>
      <c r="AF186" s="134">
        <f t="shared" si="47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6"/>
        <v>0.04</v>
      </c>
      <c r="D187" s="134">
        <f t="shared" si="46"/>
        <v>0.04</v>
      </c>
      <c r="E187" s="134">
        <f t="shared" si="46"/>
        <v>0.04</v>
      </c>
      <c r="F187" s="134">
        <f t="shared" si="46"/>
        <v>0.04</v>
      </c>
      <c r="G187" s="134">
        <f t="shared" si="46"/>
        <v>0.04</v>
      </c>
      <c r="H187" s="134">
        <f t="shared" si="46"/>
        <v>0.04</v>
      </c>
      <c r="I187" s="134">
        <f t="shared" si="46"/>
        <v>0.04</v>
      </c>
      <c r="J187" s="134">
        <f t="shared" si="46"/>
        <v>0.04</v>
      </c>
      <c r="K187" s="134">
        <f t="shared" si="46"/>
        <v>0.04</v>
      </c>
      <c r="L187" s="134">
        <f t="shared" si="46"/>
        <v>0.04</v>
      </c>
      <c r="M187" s="134">
        <f t="shared" si="46"/>
        <v>0.04</v>
      </c>
      <c r="N187" s="134">
        <f t="shared" si="46"/>
        <v>0.04</v>
      </c>
      <c r="O187" s="134">
        <f t="shared" si="46"/>
        <v>0.04</v>
      </c>
      <c r="P187" s="134">
        <f t="shared" si="46"/>
        <v>0.04</v>
      </c>
      <c r="Q187" s="134">
        <f t="shared" si="46"/>
        <v>0.04</v>
      </c>
      <c r="R187" s="134">
        <f t="shared" si="47"/>
        <v>0.04</v>
      </c>
      <c r="S187" s="134">
        <f t="shared" si="47"/>
        <v>0.04</v>
      </c>
      <c r="T187" s="134">
        <f t="shared" si="47"/>
        <v>0.04</v>
      </c>
      <c r="U187" s="134">
        <f t="shared" si="47"/>
        <v>0.04</v>
      </c>
      <c r="V187" s="134">
        <f t="shared" si="47"/>
        <v>0.04</v>
      </c>
      <c r="W187" s="134">
        <f t="shared" si="47"/>
        <v>0.04</v>
      </c>
      <c r="X187" s="134">
        <f t="shared" si="47"/>
        <v>0.04</v>
      </c>
      <c r="Y187" s="134">
        <f t="shared" si="47"/>
        <v>0.04</v>
      </c>
      <c r="Z187" s="134">
        <f t="shared" si="47"/>
        <v>0.04</v>
      </c>
      <c r="AA187" s="134">
        <f t="shared" si="47"/>
        <v>0.04</v>
      </c>
      <c r="AB187" s="134">
        <f t="shared" si="47"/>
        <v>0.04</v>
      </c>
      <c r="AC187" s="134">
        <f t="shared" si="47"/>
        <v>0.04</v>
      </c>
      <c r="AD187" s="134">
        <f t="shared" si="47"/>
        <v>0.04</v>
      </c>
      <c r="AE187" s="134">
        <f t="shared" si="47"/>
        <v>0.04</v>
      </c>
      <c r="AF187" s="134">
        <f t="shared" si="47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6"/>
        <v>2.3E-2</v>
      </c>
      <c r="E188" s="134">
        <f t="shared" si="46"/>
        <v>2.3E-2</v>
      </c>
      <c r="F188" s="134">
        <f t="shared" si="46"/>
        <v>2.3E-2</v>
      </c>
      <c r="G188" s="134">
        <f t="shared" si="46"/>
        <v>2.3E-2</v>
      </c>
      <c r="H188" s="134">
        <f t="shared" si="46"/>
        <v>2.3E-2</v>
      </c>
      <c r="I188" s="134">
        <f t="shared" si="46"/>
        <v>2.3E-2</v>
      </c>
      <c r="J188" s="134">
        <f t="shared" si="46"/>
        <v>2.3E-2</v>
      </c>
      <c r="K188" s="134">
        <f t="shared" si="46"/>
        <v>2.3E-2</v>
      </c>
      <c r="L188" s="134">
        <f t="shared" si="46"/>
        <v>2.3E-2</v>
      </c>
      <c r="M188" s="134">
        <f t="shared" si="46"/>
        <v>2.3E-2</v>
      </c>
      <c r="N188" s="134">
        <f t="shared" si="46"/>
        <v>2.3E-2</v>
      </c>
      <c r="O188" s="134">
        <f t="shared" si="46"/>
        <v>2.3E-2</v>
      </c>
      <c r="P188" s="134">
        <f t="shared" si="46"/>
        <v>2.3E-2</v>
      </c>
      <c r="Q188" s="134">
        <f t="shared" si="46"/>
        <v>2.3E-2</v>
      </c>
      <c r="R188" s="134">
        <f t="shared" si="47"/>
        <v>2.3E-2</v>
      </c>
      <c r="S188" s="134">
        <f t="shared" si="47"/>
        <v>2.3E-2</v>
      </c>
      <c r="T188" s="134">
        <f t="shared" si="47"/>
        <v>2.3E-2</v>
      </c>
      <c r="U188" s="134">
        <f t="shared" si="47"/>
        <v>2.3E-2</v>
      </c>
      <c r="V188" s="134">
        <f t="shared" si="47"/>
        <v>2.3E-2</v>
      </c>
      <c r="W188" s="134">
        <f t="shared" si="47"/>
        <v>2.3E-2</v>
      </c>
      <c r="X188" s="134">
        <f t="shared" si="47"/>
        <v>2.3E-2</v>
      </c>
      <c r="Y188" s="134">
        <f t="shared" si="47"/>
        <v>2.3E-2</v>
      </c>
      <c r="Z188" s="134">
        <f t="shared" si="47"/>
        <v>2.3E-2</v>
      </c>
      <c r="AA188" s="134">
        <f t="shared" si="47"/>
        <v>2.3E-2</v>
      </c>
      <c r="AB188" s="134">
        <f t="shared" si="47"/>
        <v>2.3E-2</v>
      </c>
      <c r="AC188" s="134">
        <f t="shared" si="47"/>
        <v>2.3E-2</v>
      </c>
      <c r="AD188" s="134">
        <f t="shared" si="47"/>
        <v>2.3E-2</v>
      </c>
      <c r="AE188" s="134">
        <f t="shared" si="47"/>
        <v>2.3E-2</v>
      </c>
      <c r="AF188" s="134">
        <f t="shared" si="47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8">SUM(B99:B188)</f>
        <v>194.70600000000002</v>
      </c>
      <c r="C189" s="138">
        <f t="shared" si="48"/>
        <v>194.70600000000002</v>
      </c>
      <c r="D189" s="138">
        <f t="shared" si="48"/>
        <v>194.70600000000002</v>
      </c>
      <c r="E189" s="138">
        <f t="shared" si="48"/>
        <v>194.70600000000002</v>
      </c>
      <c r="F189" s="138">
        <f t="shared" si="48"/>
        <v>194.70600000000002</v>
      </c>
      <c r="G189" s="138">
        <f t="shared" si="48"/>
        <v>194.70600000000002</v>
      </c>
      <c r="H189" s="138">
        <f t="shared" si="48"/>
        <v>194.70600000000002</v>
      </c>
      <c r="I189" s="138">
        <f t="shared" si="48"/>
        <v>192.10600000000005</v>
      </c>
      <c r="J189" s="138">
        <f t="shared" si="48"/>
        <v>192.10600000000005</v>
      </c>
      <c r="K189" s="138">
        <f t="shared" si="48"/>
        <v>192.10600000000005</v>
      </c>
      <c r="L189" s="138">
        <f t="shared" si="48"/>
        <v>192.10600000000005</v>
      </c>
      <c r="M189" s="138">
        <f t="shared" si="48"/>
        <v>192.10600000000005</v>
      </c>
      <c r="N189" s="138">
        <f t="shared" si="48"/>
        <v>192.10600000000005</v>
      </c>
      <c r="O189" s="138">
        <f t="shared" si="48"/>
        <v>192.10600000000005</v>
      </c>
      <c r="P189" s="138">
        <f t="shared" si="48"/>
        <v>192.10600000000005</v>
      </c>
      <c r="Q189" s="138">
        <f t="shared" si="48"/>
        <v>192.10600000000005</v>
      </c>
      <c r="R189" s="138">
        <f t="shared" si="48"/>
        <v>192.10600000000005</v>
      </c>
      <c r="S189" s="138">
        <f t="shared" si="48"/>
        <v>192.10600000000005</v>
      </c>
      <c r="T189" s="138">
        <f t="shared" si="48"/>
        <v>192.10600000000005</v>
      </c>
      <c r="U189" s="138">
        <f t="shared" si="48"/>
        <v>192.10600000000005</v>
      </c>
      <c r="V189" s="138">
        <f t="shared" si="48"/>
        <v>192.10600000000005</v>
      </c>
      <c r="W189" s="138">
        <f t="shared" si="48"/>
        <v>192.10600000000005</v>
      </c>
      <c r="X189" s="138">
        <f t="shared" si="48"/>
        <v>192.10600000000005</v>
      </c>
      <c r="Y189" s="138">
        <f t="shared" si="48"/>
        <v>192.10600000000005</v>
      </c>
      <c r="Z189" s="138">
        <f t="shared" si="48"/>
        <v>192.10600000000005</v>
      </c>
      <c r="AA189" s="138">
        <f t="shared" si="48"/>
        <v>192.10600000000005</v>
      </c>
      <c r="AB189" s="138">
        <f t="shared" si="48"/>
        <v>192.10600000000005</v>
      </c>
      <c r="AC189" s="138">
        <f t="shared" si="48"/>
        <v>192.10600000000005</v>
      </c>
      <c r="AD189" s="138">
        <f t="shared" si="48"/>
        <v>192.10600000000005</v>
      </c>
      <c r="AE189" s="138">
        <f t="shared" si="48"/>
        <v>192.10600000000005</v>
      </c>
      <c r="AF189" s="138">
        <f t="shared" si="48"/>
        <v>192.10600000000005</v>
      </c>
      <c r="AG189" s="139">
        <f t="shared" si="48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9">B191</f>
        <v>0.3</v>
      </c>
      <c r="D191" s="140">
        <f t="shared" si="49"/>
        <v>0.3</v>
      </c>
      <c r="E191" s="140">
        <f t="shared" si="49"/>
        <v>0.3</v>
      </c>
      <c r="F191" s="140">
        <f t="shared" si="49"/>
        <v>0.3</v>
      </c>
      <c r="G191" s="140">
        <f t="shared" si="49"/>
        <v>0.3</v>
      </c>
      <c r="H191" s="140">
        <f t="shared" si="49"/>
        <v>0.3</v>
      </c>
      <c r="I191" s="140">
        <f t="shared" si="49"/>
        <v>0.3</v>
      </c>
      <c r="J191" s="140">
        <f t="shared" si="49"/>
        <v>0.3</v>
      </c>
      <c r="K191" s="140">
        <f t="shared" si="49"/>
        <v>0.3</v>
      </c>
      <c r="L191" s="140">
        <f t="shared" si="49"/>
        <v>0.3</v>
      </c>
      <c r="M191" s="140">
        <f t="shared" si="49"/>
        <v>0.3</v>
      </c>
      <c r="N191" s="140">
        <f t="shared" si="49"/>
        <v>0.3</v>
      </c>
      <c r="O191" s="140">
        <f t="shared" si="49"/>
        <v>0.3</v>
      </c>
      <c r="P191" s="140">
        <f t="shared" si="49"/>
        <v>0.3</v>
      </c>
      <c r="Q191" s="140">
        <f t="shared" si="49"/>
        <v>0.3</v>
      </c>
      <c r="R191" s="140">
        <f t="shared" si="49"/>
        <v>0.3</v>
      </c>
      <c r="S191" s="140">
        <f t="shared" ref="S191:AF196" si="50">R191</f>
        <v>0.3</v>
      </c>
      <c r="T191" s="140">
        <f t="shared" si="50"/>
        <v>0.3</v>
      </c>
      <c r="U191" s="140">
        <f t="shared" si="50"/>
        <v>0.3</v>
      </c>
      <c r="V191" s="140">
        <f t="shared" si="50"/>
        <v>0.3</v>
      </c>
      <c r="W191" s="140">
        <f t="shared" si="50"/>
        <v>0.3</v>
      </c>
      <c r="X191" s="140">
        <f t="shared" si="50"/>
        <v>0.3</v>
      </c>
      <c r="Y191" s="140">
        <f t="shared" si="50"/>
        <v>0.3</v>
      </c>
      <c r="Z191" s="140">
        <f t="shared" si="50"/>
        <v>0.3</v>
      </c>
      <c r="AA191" s="140">
        <f t="shared" si="50"/>
        <v>0.3</v>
      </c>
      <c r="AB191" s="140">
        <f t="shared" si="50"/>
        <v>0.3</v>
      </c>
      <c r="AC191" s="140">
        <f t="shared" si="50"/>
        <v>0.3</v>
      </c>
      <c r="AD191" s="140">
        <f t="shared" si="50"/>
        <v>0.3</v>
      </c>
      <c r="AE191" s="140">
        <f t="shared" si="50"/>
        <v>0.3</v>
      </c>
      <c r="AF191" s="140">
        <f t="shared" si="50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9"/>
        <v>0.4</v>
      </c>
      <c r="D192" s="134">
        <f t="shared" si="49"/>
        <v>0.4</v>
      </c>
      <c r="E192" s="134">
        <f t="shared" si="49"/>
        <v>0.4</v>
      </c>
      <c r="F192" s="134">
        <f t="shared" si="49"/>
        <v>0.4</v>
      </c>
      <c r="G192" s="134">
        <f t="shared" si="49"/>
        <v>0.4</v>
      </c>
      <c r="H192" s="134">
        <f t="shared" si="49"/>
        <v>0.4</v>
      </c>
      <c r="I192" s="134">
        <f t="shared" si="49"/>
        <v>0.4</v>
      </c>
      <c r="J192" s="134">
        <f t="shared" si="49"/>
        <v>0.4</v>
      </c>
      <c r="K192" s="134">
        <f t="shared" si="49"/>
        <v>0.4</v>
      </c>
      <c r="L192" s="134">
        <f t="shared" si="49"/>
        <v>0.4</v>
      </c>
      <c r="M192" s="134">
        <f t="shared" si="49"/>
        <v>0.4</v>
      </c>
      <c r="N192" s="134">
        <f t="shared" si="49"/>
        <v>0.4</v>
      </c>
      <c r="O192" s="134">
        <f t="shared" si="49"/>
        <v>0.4</v>
      </c>
      <c r="P192" s="134">
        <f t="shared" si="49"/>
        <v>0.4</v>
      </c>
      <c r="Q192" s="134">
        <f t="shared" si="49"/>
        <v>0.4</v>
      </c>
      <c r="R192" s="134">
        <f t="shared" si="49"/>
        <v>0.4</v>
      </c>
      <c r="S192" s="134">
        <f t="shared" si="50"/>
        <v>0.4</v>
      </c>
      <c r="T192" s="134">
        <f t="shared" si="50"/>
        <v>0.4</v>
      </c>
      <c r="U192" s="134">
        <f t="shared" si="50"/>
        <v>0.4</v>
      </c>
      <c r="V192" s="134">
        <f>U192</f>
        <v>0.4</v>
      </c>
      <c r="W192" s="134">
        <f>V192</f>
        <v>0.4</v>
      </c>
      <c r="X192" s="134">
        <f t="shared" si="50"/>
        <v>0.4</v>
      </c>
      <c r="Y192" s="134">
        <f t="shared" si="50"/>
        <v>0.4</v>
      </c>
      <c r="Z192" s="134">
        <f t="shared" si="50"/>
        <v>0.4</v>
      </c>
      <c r="AA192" s="134">
        <f t="shared" si="50"/>
        <v>0.4</v>
      </c>
      <c r="AB192" s="134">
        <f t="shared" si="50"/>
        <v>0.4</v>
      </c>
      <c r="AC192" s="134">
        <f t="shared" si="50"/>
        <v>0.4</v>
      </c>
      <c r="AD192" s="134">
        <f t="shared" si="50"/>
        <v>0.4</v>
      </c>
      <c r="AE192" s="134">
        <f t="shared" si="50"/>
        <v>0.4</v>
      </c>
      <c r="AF192" s="134">
        <f t="shared" si="50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9"/>
        <v>1.5</v>
      </c>
      <c r="D193" s="134">
        <f t="shared" si="49"/>
        <v>1.5</v>
      </c>
      <c r="E193" s="134">
        <f t="shared" si="49"/>
        <v>1.5</v>
      </c>
      <c r="F193" s="134">
        <f t="shared" si="49"/>
        <v>1.5</v>
      </c>
      <c r="G193" s="134">
        <f t="shared" si="49"/>
        <v>1.5</v>
      </c>
      <c r="H193" s="134">
        <f t="shared" si="49"/>
        <v>1.5</v>
      </c>
      <c r="I193" s="134">
        <f t="shared" si="49"/>
        <v>1.5</v>
      </c>
      <c r="J193" s="134">
        <f t="shared" si="49"/>
        <v>1.5</v>
      </c>
      <c r="K193" s="134">
        <f t="shared" si="49"/>
        <v>1.5</v>
      </c>
      <c r="L193" s="134">
        <f t="shared" si="49"/>
        <v>1.5</v>
      </c>
      <c r="M193" s="134">
        <f t="shared" si="49"/>
        <v>1.5</v>
      </c>
      <c r="N193" s="134">
        <f t="shared" si="49"/>
        <v>1.5</v>
      </c>
      <c r="O193" s="134">
        <f t="shared" si="49"/>
        <v>1.5</v>
      </c>
      <c r="P193" s="134">
        <f t="shared" si="49"/>
        <v>1.5</v>
      </c>
      <c r="Q193" s="134">
        <f t="shared" si="49"/>
        <v>1.5</v>
      </c>
      <c r="R193" s="134">
        <f t="shared" si="49"/>
        <v>1.5</v>
      </c>
      <c r="S193" s="134">
        <f t="shared" si="50"/>
        <v>1.5</v>
      </c>
      <c r="T193" s="134">
        <f t="shared" si="50"/>
        <v>1.5</v>
      </c>
      <c r="U193" s="134">
        <f t="shared" si="50"/>
        <v>1.5</v>
      </c>
      <c r="V193" s="134">
        <f t="shared" si="50"/>
        <v>1.5</v>
      </c>
      <c r="W193" s="134">
        <f t="shared" si="50"/>
        <v>1.5</v>
      </c>
      <c r="X193" s="134">
        <f t="shared" si="50"/>
        <v>1.5</v>
      </c>
      <c r="Y193" s="134">
        <f t="shared" si="50"/>
        <v>1.5</v>
      </c>
      <c r="Z193" s="134">
        <f t="shared" si="50"/>
        <v>1.5</v>
      </c>
      <c r="AA193" s="134">
        <f t="shared" si="50"/>
        <v>1.5</v>
      </c>
      <c r="AB193" s="134">
        <f t="shared" si="50"/>
        <v>1.5</v>
      </c>
      <c r="AC193" s="134">
        <f t="shared" si="50"/>
        <v>1.5</v>
      </c>
      <c r="AD193" s="134">
        <f t="shared" si="50"/>
        <v>1.5</v>
      </c>
      <c r="AE193" s="134">
        <f t="shared" si="50"/>
        <v>1.5</v>
      </c>
      <c r="AF193" s="134">
        <f t="shared" si="50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9"/>
        <v>0.3</v>
      </c>
      <c r="D194" s="134">
        <f t="shared" si="49"/>
        <v>0.3</v>
      </c>
      <c r="E194" s="134">
        <f t="shared" si="49"/>
        <v>0.3</v>
      </c>
      <c r="F194" s="134">
        <f t="shared" si="49"/>
        <v>0.3</v>
      </c>
      <c r="G194" s="134">
        <f t="shared" si="49"/>
        <v>0.3</v>
      </c>
      <c r="H194" s="134">
        <f t="shared" si="49"/>
        <v>0.3</v>
      </c>
      <c r="I194" s="134">
        <f t="shared" si="49"/>
        <v>0.3</v>
      </c>
      <c r="J194" s="134">
        <f t="shared" si="49"/>
        <v>0.3</v>
      </c>
      <c r="K194" s="134">
        <f t="shared" si="49"/>
        <v>0.3</v>
      </c>
      <c r="L194" s="134">
        <f t="shared" si="49"/>
        <v>0.3</v>
      </c>
      <c r="M194" s="134">
        <f t="shared" si="49"/>
        <v>0.3</v>
      </c>
      <c r="N194" s="134">
        <f t="shared" si="49"/>
        <v>0.3</v>
      </c>
      <c r="O194" s="134">
        <f t="shared" si="49"/>
        <v>0.3</v>
      </c>
      <c r="P194" s="134">
        <f t="shared" si="49"/>
        <v>0.3</v>
      </c>
      <c r="Q194" s="134">
        <f t="shared" si="49"/>
        <v>0.3</v>
      </c>
      <c r="R194" s="134">
        <f t="shared" si="49"/>
        <v>0.3</v>
      </c>
      <c r="S194" s="134">
        <f t="shared" si="50"/>
        <v>0.3</v>
      </c>
      <c r="T194" s="134">
        <f t="shared" si="50"/>
        <v>0.3</v>
      </c>
      <c r="U194" s="134">
        <f t="shared" si="50"/>
        <v>0.3</v>
      </c>
      <c r="V194" s="134">
        <f t="shared" si="50"/>
        <v>0.3</v>
      </c>
      <c r="W194" s="134">
        <f t="shared" si="50"/>
        <v>0.3</v>
      </c>
      <c r="X194" s="134">
        <f t="shared" si="50"/>
        <v>0.3</v>
      </c>
      <c r="Y194" s="134">
        <f t="shared" si="50"/>
        <v>0.3</v>
      </c>
      <c r="Z194" s="134">
        <f t="shared" si="50"/>
        <v>0.3</v>
      </c>
      <c r="AA194" s="134">
        <f t="shared" si="50"/>
        <v>0.3</v>
      </c>
      <c r="AB194" s="134">
        <f t="shared" si="50"/>
        <v>0.3</v>
      </c>
      <c r="AC194" s="134">
        <f t="shared" si="50"/>
        <v>0.3</v>
      </c>
      <c r="AD194" s="134">
        <f t="shared" si="50"/>
        <v>0.3</v>
      </c>
      <c r="AE194" s="134">
        <f t="shared" si="50"/>
        <v>0.3</v>
      </c>
      <c r="AF194" s="134">
        <f t="shared" si="50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9"/>
        <v>0.4</v>
      </c>
      <c r="D195" s="134">
        <f t="shared" si="49"/>
        <v>0.4</v>
      </c>
      <c r="E195" s="134">
        <f t="shared" si="49"/>
        <v>0.4</v>
      </c>
      <c r="F195" s="134">
        <f t="shared" si="49"/>
        <v>0.4</v>
      </c>
      <c r="G195" s="134">
        <f t="shared" si="49"/>
        <v>0.4</v>
      </c>
      <c r="H195" s="134">
        <f t="shared" si="49"/>
        <v>0.4</v>
      </c>
      <c r="I195" s="134">
        <f t="shared" si="49"/>
        <v>0.4</v>
      </c>
      <c r="J195" s="134">
        <f t="shared" si="49"/>
        <v>0.4</v>
      </c>
      <c r="K195" s="134">
        <f t="shared" si="49"/>
        <v>0.4</v>
      </c>
      <c r="L195" s="134">
        <f t="shared" si="49"/>
        <v>0.4</v>
      </c>
      <c r="M195" s="134">
        <f t="shared" si="49"/>
        <v>0.4</v>
      </c>
      <c r="N195" s="134">
        <f t="shared" si="49"/>
        <v>0.4</v>
      </c>
      <c r="O195" s="134">
        <f t="shared" si="49"/>
        <v>0.4</v>
      </c>
      <c r="P195" s="134">
        <f t="shared" si="49"/>
        <v>0.4</v>
      </c>
      <c r="Q195" s="134">
        <f t="shared" si="49"/>
        <v>0.4</v>
      </c>
      <c r="R195" s="134">
        <f t="shared" si="49"/>
        <v>0.4</v>
      </c>
      <c r="S195" s="134">
        <f t="shared" si="50"/>
        <v>0.4</v>
      </c>
      <c r="T195" s="134">
        <f t="shared" si="50"/>
        <v>0.4</v>
      </c>
      <c r="U195" s="134">
        <f t="shared" si="50"/>
        <v>0.4</v>
      </c>
      <c r="V195" s="134">
        <f t="shared" si="50"/>
        <v>0.4</v>
      </c>
      <c r="W195" s="134">
        <f t="shared" si="50"/>
        <v>0.4</v>
      </c>
      <c r="X195" s="134">
        <f t="shared" si="50"/>
        <v>0.4</v>
      </c>
      <c r="Y195" s="134">
        <f t="shared" si="50"/>
        <v>0.4</v>
      </c>
      <c r="Z195" s="134">
        <f t="shared" si="50"/>
        <v>0.4</v>
      </c>
      <c r="AA195" s="134">
        <f t="shared" si="50"/>
        <v>0.4</v>
      </c>
      <c r="AB195" s="134">
        <f t="shared" si="50"/>
        <v>0.4</v>
      </c>
      <c r="AC195" s="134">
        <f t="shared" si="50"/>
        <v>0.4</v>
      </c>
      <c r="AD195" s="134">
        <f t="shared" si="50"/>
        <v>0.4</v>
      </c>
      <c r="AE195" s="134">
        <f t="shared" si="50"/>
        <v>0.4</v>
      </c>
      <c r="AF195" s="134">
        <f t="shared" si="50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9"/>
        <v>0.64</v>
      </c>
      <c r="D196" s="143">
        <f t="shared" si="49"/>
        <v>0.64</v>
      </c>
      <c r="E196" s="143">
        <f t="shared" si="49"/>
        <v>0.64</v>
      </c>
      <c r="F196" s="143">
        <f t="shared" si="49"/>
        <v>0.64</v>
      </c>
      <c r="G196" s="143">
        <f t="shared" si="49"/>
        <v>0.64</v>
      </c>
      <c r="H196" s="143">
        <f t="shared" si="49"/>
        <v>0.64</v>
      </c>
      <c r="I196" s="143">
        <f t="shared" si="49"/>
        <v>0.64</v>
      </c>
      <c r="J196" s="143">
        <f t="shared" si="49"/>
        <v>0.64</v>
      </c>
      <c r="K196" s="143">
        <f t="shared" si="49"/>
        <v>0.64</v>
      </c>
      <c r="L196" s="143">
        <f t="shared" si="49"/>
        <v>0.64</v>
      </c>
      <c r="M196" s="143">
        <f t="shared" si="49"/>
        <v>0.64</v>
      </c>
      <c r="N196" s="143">
        <f t="shared" si="49"/>
        <v>0.64</v>
      </c>
      <c r="O196" s="143">
        <f t="shared" si="49"/>
        <v>0.64</v>
      </c>
      <c r="P196" s="143">
        <f t="shared" si="49"/>
        <v>0.64</v>
      </c>
      <c r="Q196" s="143">
        <f t="shared" si="49"/>
        <v>0.64</v>
      </c>
      <c r="R196" s="143">
        <f t="shared" si="49"/>
        <v>0.64</v>
      </c>
      <c r="S196" s="143">
        <f t="shared" si="50"/>
        <v>0.64</v>
      </c>
      <c r="T196" s="143">
        <f t="shared" si="50"/>
        <v>0.64</v>
      </c>
      <c r="U196" s="143">
        <f t="shared" si="50"/>
        <v>0.64</v>
      </c>
      <c r="V196" s="143">
        <f t="shared" si="50"/>
        <v>0.64</v>
      </c>
      <c r="W196" s="143">
        <f t="shared" si="50"/>
        <v>0.64</v>
      </c>
      <c r="X196" s="143">
        <f t="shared" si="50"/>
        <v>0.64</v>
      </c>
      <c r="Y196" s="143">
        <f t="shared" si="50"/>
        <v>0.64</v>
      </c>
      <c r="Z196" s="143">
        <f t="shared" si="50"/>
        <v>0.64</v>
      </c>
      <c r="AA196" s="143">
        <f t="shared" si="50"/>
        <v>0.64</v>
      </c>
      <c r="AB196" s="143">
        <f t="shared" si="50"/>
        <v>0.64</v>
      </c>
      <c r="AC196" s="143">
        <f t="shared" si="50"/>
        <v>0.64</v>
      </c>
      <c r="AD196" s="143">
        <f t="shared" si="50"/>
        <v>0.64</v>
      </c>
      <c r="AE196" s="143">
        <f t="shared" si="50"/>
        <v>0.64</v>
      </c>
      <c r="AF196" s="143">
        <f t="shared" si="50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51">SUM(C191:C196)</f>
        <v>3.54</v>
      </c>
      <c r="D197" s="146">
        <f t="shared" si="51"/>
        <v>3.54</v>
      </c>
      <c r="E197" s="146">
        <f t="shared" si="51"/>
        <v>3.54</v>
      </c>
      <c r="F197" s="146">
        <f t="shared" si="51"/>
        <v>3.54</v>
      </c>
      <c r="G197" s="146">
        <f t="shared" si="51"/>
        <v>3.54</v>
      </c>
      <c r="H197" s="146">
        <f t="shared" si="51"/>
        <v>3.54</v>
      </c>
      <c r="I197" s="146">
        <f t="shared" si="51"/>
        <v>3.54</v>
      </c>
      <c r="J197" s="146">
        <f t="shared" si="51"/>
        <v>3.54</v>
      </c>
      <c r="K197" s="146">
        <f t="shared" si="51"/>
        <v>3.54</v>
      </c>
      <c r="L197" s="146">
        <f>SUM(L191:L196)</f>
        <v>3.54</v>
      </c>
      <c r="M197" s="146">
        <f t="shared" ref="M197:R197" si="52">SUM(M191:M196)</f>
        <v>3.54</v>
      </c>
      <c r="N197" s="146">
        <f t="shared" si="52"/>
        <v>3.54</v>
      </c>
      <c r="O197" s="146">
        <f t="shared" si="52"/>
        <v>3.54</v>
      </c>
      <c r="P197" s="146">
        <f t="shared" si="52"/>
        <v>3.54</v>
      </c>
      <c r="Q197" s="146">
        <f t="shared" si="52"/>
        <v>3.54</v>
      </c>
      <c r="R197" s="146">
        <f t="shared" si="52"/>
        <v>3.54</v>
      </c>
      <c r="S197" s="146">
        <f>SUM(S191:S196)</f>
        <v>3.54</v>
      </c>
      <c r="T197" s="146">
        <f t="shared" ref="T197:AG197" si="53">SUM(T191:T196)</f>
        <v>3.54</v>
      </c>
      <c r="U197" s="146">
        <f t="shared" si="53"/>
        <v>3.54</v>
      </c>
      <c r="V197" s="146">
        <f t="shared" si="53"/>
        <v>3.54</v>
      </c>
      <c r="W197" s="146">
        <f t="shared" si="53"/>
        <v>3.54</v>
      </c>
      <c r="X197" s="146">
        <f t="shared" si="53"/>
        <v>3.54</v>
      </c>
      <c r="Y197" s="146">
        <f t="shared" si="53"/>
        <v>3.54</v>
      </c>
      <c r="Z197" s="146">
        <f t="shared" si="53"/>
        <v>3.54</v>
      </c>
      <c r="AA197" s="146">
        <f t="shared" si="53"/>
        <v>3.54</v>
      </c>
      <c r="AB197" s="146">
        <f t="shared" si="53"/>
        <v>3.54</v>
      </c>
      <c r="AC197" s="146">
        <f t="shared" si="53"/>
        <v>3.54</v>
      </c>
      <c r="AD197" s="146">
        <f t="shared" si="53"/>
        <v>3.54</v>
      </c>
      <c r="AE197" s="146">
        <f t="shared" si="53"/>
        <v>3.54</v>
      </c>
      <c r="AF197" s="146">
        <f t="shared" si="53"/>
        <v>3.54</v>
      </c>
      <c r="AG197" s="147">
        <f t="shared" si="53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1062.24</v>
      </c>
      <c r="C206" s="161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31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str">
        <f ca="1">"Pie Chart of Daily Peak Demand(Inclusive of Export) of Nepal ("&amp;A4&amp;" "&amp;B4&amp;")"</f>
        <v>Pie Chart of Daily Peak Demand(Inclusive of Export) of Nepal (Nepali Date: 2078/04/31)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str">
        <f ca="1">"Daily Load Curve(Excluding of Export) of Nepal ("&amp;A4&amp;" "&amp;B4&amp;")"</f>
        <v>Daily Load Curve(Excluding of Export) of Nepal (Nepali Date: 2078/04/31)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4">B73</f>
        <v>1017.14</v>
      </c>
      <c r="U211" s="170">
        <f t="shared" si="54"/>
        <v>1028.54</v>
      </c>
      <c r="V211" s="170">
        <f t="shared" si="54"/>
        <v>1001.54</v>
      </c>
      <c r="W211" s="170">
        <f t="shared" si="54"/>
        <v>1000.8399999999999</v>
      </c>
      <c r="X211" s="170">
        <f t="shared" si="54"/>
        <v>957.93999999999994</v>
      </c>
      <c r="Y211" s="170">
        <f t="shared" si="54"/>
        <v>399.44</v>
      </c>
      <c r="Z211" s="170">
        <f t="shared" si="54"/>
        <v>399.44</v>
      </c>
      <c r="AA211" s="170">
        <f t="shared" si="54"/>
        <v>924.84</v>
      </c>
      <c r="AB211" s="170">
        <f t="shared" si="54"/>
        <v>914.93999999999994</v>
      </c>
      <c r="AC211" s="170">
        <f t="shared" si="54"/>
        <v>983.44</v>
      </c>
      <c r="AD211" s="170">
        <f t="shared" si="54"/>
        <v>1016.8400000000001</v>
      </c>
      <c r="AE211" s="170">
        <f t="shared" si="54"/>
        <v>1062.24</v>
      </c>
      <c r="AF211" s="170">
        <f t="shared" si="54"/>
        <v>1089.44</v>
      </c>
      <c r="AG211" s="170">
        <f t="shared" si="54"/>
        <v>1071.8400000000001</v>
      </c>
      <c r="AH211" s="170">
        <f t="shared" si="54"/>
        <v>1036.44</v>
      </c>
      <c r="AI211" s="170">
        <f t="shared" si="54"/>
        <v>1005.5400000000002</v>
      </c>
      <c r="AJ211" s="170">
        <f t="shared" si="54"/>
        <v>1045.8400000000001</v>
      </c>
      <c r="AK211" s="170">
        <f t="shared" si="54"/>
        <v>1001.9400000000002</v>
      </c>
      <c r="AL211" s="170">
        <f t="shared" si="54"/>
        <v>971.44000000000017</v>
      </c>
      <c r="AM211" s="170">
        <f t="shared" si="54"/>
        <v>973.74</v>
      </c>
      <c r="AN211" s="170">
        <f t="shared" si="54"/>
        <v>1064.04</v>
      </c>
      <c r="AO211" s="170">
        <f t="shared" si="54"/>
        <v>1187.1400000000001</v>
      </c>
      <c r="AP211" s="170">
        <f t="shared" si="54"/>
        <v>1198.54</v>
      </c>
      <c r="AQ211" s="170">
        <f t="shared" si="54"/>
        <v>1201.2400000000002</v>
      </c>
      <c r="AR211" s="170">
        <f t="shared" si="54"/>
        <v>1186.8400000000001</v>
      </c>
      <c r="AS211" s="170">
        <f t="shared" si="54"/>
        <v>1159.6400000000001</v>
      </c>
      <c r="AT211" s="170">
        <f t="shared" si="54"/>
        <v>1151.04</v>
      </c>
      <c r="AU211" s="170">
        <f t="shared" si="54"/>
        <v>1087.94</v>
      </c>
      <c r="AV211" s="170">
        <f t="shared" si="54"/>
        <v>1055.04</v>
      </c>
      <c r="AW211" s="170">
        <f t="shared" si="54"/>
        <v>1015.0400000000001</v>
      </c>
      <c r="AX211" s="170">
        <f t="shared" si="54"/>
        <v>1002.3400000000001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5">B196</f>
        <v>0.64</v>
      </c>
      <c r="C232" s="173">
        <f t="shared" si="55"/>
        <v>0.64</v>
      </c>
      <c r="D232" s="173">
        <f t="shared" si="55"/>
        <v>0.64</v>
      </c>
      <c r="E232" s="173">
        <f t="shared" si="55"/>
        <v>0.64</v>
      </c>
      <c r="F232" s="173">
        <f t="shared" si="55"/>
        <v>0.64</v>
      </c>
      <c r="G232" s="173">
        <f t="shared" si="55"/>
        <v>0.64</v>
      </c>
      <c r="H232" s="173">
        <f t="shared" si="55"/>
        <v>0.64</v>
      </c>
      <c r="I232" s="173">
        <f t="shared" si="55"/>
        <v>0.64</v>
      </c>
      <c r="J232" s="173">
        <f t="shared" si="55"/>
        <v>0.64</v>
      </c>
      <c r="K232" s="173">
        <f t="shared" si="55"/>
        <v>0.64</v>
      </c>
      <c r="L232" s="173">
        <f t="shared" si="55"/>
        <v>0.64</v>
      </c>
      <c r="M232" s="173">
        <f t="shared" si="55"/>
        <v>0.64</v>
      </c>
      <c r="N232" s="173">
        <f t="shared" si="55"/>
        <v>0.64</v>
      </c>
      <c r="O232" s="173">
        <f t="shared" si="55"/>
        <v>0.64</v>
      </c>
      <c r="P232" s="173">
        <f t="shared" si="55"/>
        <v>0.64</v>
      </c>
      <c r="Q232" s="173">
        <f t="shared" si="55"/>
        <v>0.64</v>
      </c>
      <c r="R232" s="173">
        <f t="shared" si="55"/>
        <v>0.64</v>
      </c>
      <c r="S232" s="173">
        <f t="shared" si="55"/>
        <v>0.64</v>
      </c>
      <c r="T232" s="173">
        <f t="shared" si="55"/>
        <v>0.64</v>
      </c>
      <c r="U232" s="173">
        <f t="shared" si="55"/>
        <v>0.64</v>
      </c>
      <c r="V232" s="173">
        <f t="shared" si="55"/>
        <v>0.64</v>
      </c>
      <c r="W232" s="173">
        <f t="shared" si="55"/>
        <v>0.64</v>
      </c>
      <c r="X232" s="173">
        <f t="shared" si="55"/>
        <v>0.64</v>
      </c>
      <c r="Y232" s="173">
        <f t="shared" si="55"/>
        <v>0.64</v>
      </c>
      <c r="Z232" s="173">
        <f t="shared" si="55"/>
        <v>0.64</v>
      </c>
      <c r="AA232" s="173">
        <f t="shared" si="55"/>
        <v>0.64</v>
      </c>
      <c r="AB232" s="173">
        <f t="shared" si="55"/>
        <v>0.64</v>
      </c>
      <c r="AC232" s="173">
        <f t="shared" si="55"/>
        <v>0.64</v>
      </c>
      <c r="AD232" s="173">
        <f t="shared" si="55"/>
        <v>0.64</v>
      </c>
      <c r="AE232" s="173">
        <f t="shared" si="55"/>
        <v>0.64</v>
      </c>
      <c r="AF232" s="173">
        <f t="shared" si="55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6">IF(C200&lt;100,"",C200-520)</f>
        <v/>
      </c>
      <c r="D233" s="117" t="str">
        <f t="shared" si="56"/>
        <v/>
      </c>
      <c r="E233" s="117" t="str">
        <f t="shared" si="56"/>
        <v/>
      </c>
      <c r="F233" s="117" t="str">
        <f t="shared" si="56"/>
        <v/>
      </c>
      <c r="G233" s="117" t="str">
        <f t="shared" si="56"/>
        <v/>
      </c>
      <c r="H233" s="117" t="str">
        <f t="shared" si="56"/>
        <v/>
      </c>
      <c r="I233" s="117" t="str">
        <f t="shared" si="56"/>
        <v/>
      </c>
      <c r="J233" s="117" t="str">
        <f t="shared" si="56"/>
        <v/>
      </c>
      <c r="K233" s="117" t="str">
        <f t="shared" si="56"/>
        <v/>
      </c>
      <c r="L233" s="117" t="str">
        <f t="shared" si="56"/>
        <v/>
      </c>
      <c r="M233" s="117" t="str">
        <f t="shared" si="56"/>
        <v/>
      </c>
      <c r="N233" s="117" t="str">
        <f t="shared" si="56"/>
        <v/>
      </c>
      <c r="O233" s="117" t="str">
        <f t="shared" si="56"/>
        <v/>
      </c>
      <c r="P233" s="117" t="str">
        <f t="shared" si="56"/>
        <v/>
      </c>
      <c r="Q233" s="117" t="str">
        <f t="shared" si="56"/>
        <v/>
      </c>
      <c r="R233" s="117" t="str">
        <f t="shared" si="56"/>
        <v/>
      </c>
      <c r="S233" s="117" t="str">
        <f t="shared" si="56"/>
        <v/>
      </c>
      <c r="T233" s="117" t="str">
        <f t="shared" si="56"/>
        <v/>
      </c>
      <c r="U233" s="117" t="str">
        <f t="shared" si="56"/>
        <v/>
      </c>
      <c r="V233" s="117" t="str">
        <f t="shared" si="56"/>
        <v/>
      </c>
      <c r="W233" s="117" t="str">
        <f t="shared" si="56"/>
        <v/>
      </c>
      <c r="X233" s="117" t="str">
        <f t="shared" si="56"/>
        <v/>
      </c>
      <c r="Y233" s="117" t="str">
        <f t="shared" si="56"/>
        <v/>
      </c>
      <c r="Z233" s="117" t="str">
        <f t="shared" si="56"/>
        <v/>
      </c>
      <c r="AA233" s="117" t="str">
        <f t="shared" si="56"/>
        <v/>
      </c>
      <c r="AB233" s="117" t="str">
        <f t="shared" si="56"/>
        <v/>
      </c>
      <c r="AC233" s="117" t="str">
        <f t="shared" si="56"/>
        <v/>
      </c>
      <c r="AD233" s="117" t="str">
        <f t="shared" si="56"/>
        <v/>
      </c>
      <c r="AE233" s="117" t="str">
        <f t="shared" si="56"/>
        <v/>
      </c>
      <c r="AF233" s="117" t="str">
        <f t="shared" si="56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7">IF(B201&lt;100,"",B201-620)</f>
        <v/>
      </c>
      <c r="C234" s="117" t="str">
        <f t="shared" si="57"/>
        <v/>
      </c>
      <c r="D234" s="117" t="str">
        <f t="shared" si="57"/>
        <v/>
      </c>
      <c r="E234" s="117" t="str">
        <f t="shared" si="57"/>
        <v/>
      </c>
      <c r="F234" s="117" t="str">
        <f t="shared" si="57"/>
        <v/>
      </c>
      <c r="G234" s="117" t="str">
        <f t="shared" si="57"/>
        <v/>
      </c>
      <c r="H234" s="117" t="str">
        <f t="shared" si="57"/>
        <v/>
      </c>
      <c r="I234" s="117" t="str">
        <f t="shared" si="57"/>
        <v/>
      </c>
      <c r="J234" s="117" t="str">
        <f t="shared" si="57"/>
        <v/>
      </c>
      <c r="K234" s="117" t="str">
        <f t="shared" si="57"/>
        <v/>
      </c>
      <c r="L234" s="117" t="str">
        <f t="shared" si="57"/>
        <v/>
      </c>
      <c r="M234" s="117" t="str">
        <f t="shared" si="57"/>
        <v/>
      </c>
      <c r="N234" s="117" t="str">
        <f t="shared" si="57"/>
        <v/>
      </c>
      <c r="O234" s="117" t="str">
        <f t="shared" si="57"/>
        <v/>
      </c>
      <c r="P234" s="117" t="str">
        <f t="shared" si="57"/>
        <v/>
      </c>
      <c r="Q234" s="117" t="str">
        <f t="shared" si="57"/>
        <v/>
      </c>
      <c r="R234" s="117" t="str">
        <f t="shared" si="57"/>
        <v/>
      </c>
      <c r="S234" s="117" t="str">
        <f t="shared" si="57"/>
        <v/>
      </c>
      <c r="T234" s="117" t="str">
        <f t="shared" si="57"/>
        <v/>
      </c>
      <c r="U234" s="117" t="str">
        <f t="shared" si="57"/>
        <v/>
      </c>
      <c r="V234" s="117" t="str">
        <f t="shared" si="57"/>
        <v/>
      </c>
      <c r="W234" s="117" t="str">
        <f t="shared" si="57"/>
        <v/>
      </c>
      <c r="X234" s="117" t="str">
        <f t="shared" si="57"/>
        <v/>
      </c>
      <c r="Y234" s="117" t="str">
        <f t="shared" si="57"/>
        <v/>
      </c>
      <c r="Z234" s="117" t="str">
        <f t="shared" si="57"/>
        <v/>
      </c>
      <c r="AA234" s="117" t="str">
        <f t="shared" si="57"/>
        <v/>
      </c>
      <c r="AB234" s="117" t="str">
        <f t="shared" si="57"/>
        <v/>
      </c>
      <c r="AC234" s="117" t="str">
        <f t="shared" si="57"/>
        <v/>
      </c>
      <c r="AD234" s="117" t="str">
        <f t="shared" si="57"/>
        <v/>
      </c>
      <c r="AE234" s="117" t="str">
        <f t="shared" si="57"/>
        <v/>
      </c>
      <c r="AF234" s="117" t="str">
        <f t="shared" si="57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8">IF(B202&lt;100,"",B202-330)</f>
        <v/>
      </c>
      <c r="C235" s="117" t="str">
        <f t="shared" si="58"/>
        <v/>
      </c>
      <c r="D235" s="117" t="str">
        <f t="shared" si="58"/>
        <v/>
      </c>
      <c r="E235" s="117" t="str">
        <f t="shared" si="58"/>
        <v/>
      </c>
      <c r="F235" s="117" t="str">
        <f t="shared" si="58"/>
        <v/>
      </c>
      <c r="G235" s="117" t="str">
        <f t="shared" si="58"/>
        <v/>
      </c>
      <c r="H235" s="117" t="str">
        <f t="shared" si="58"/>
        <v/>
      </c>
      <c r="I235" s="117" t="str">
        <f t="shared" si="58"/>
        <v/>
      </c>
      <c r="J235" s="117" t="str">
        <f t="shared" si="58"/>
        <v/>
      </c>
      <c r="K235" s="117" t="str">
        <f t="shared" si="58"/>
        <v/>
      </c>
      <c r="L235" s="117" t="str">
        <f t="shared" si="58"/>
        <v/>
      </c>
      <c r="M235" s="117" t="str">
        <f t="shared" si="58"/>
        <v/>
      </c>
      <c r="N235" s="117" t="str">
        <f t="shared" si="58"/>
        <v/>
      </c>
      <c r="O235" s="117" t="str">
        <f t="shared" si="58"/>
        <v/>
      </c>
      <c r="P235" s="117" t="str">
        <f t="shared" si="58"/>
        <v/>
      </c>
      <c r="Q235" s="117" t="str">
        <f t="shared" si="58"/>
        <v/>
      </c>
      <c r="R235" s="117" t="str">
        <f t="shared" si="58"/>
        <v/>
      </c>
      <c r="S235" s="117" t="str">
        <f t="shared" si="58"/>
        <v/>
      </c>
      <c r="T235" s="117" t="str">
        <f t="shared" si="58"/>
        <v/>
      </c>
      <c r="U235" s="117" t="str">
        <f t="shared" si="58"/>
        <v/>
      </c>
      <c r="V235" s="117" t="str">
        <f t="shared" si="58"/>
        <v/>
      </c>
      <c r="W235" s="117" t="str">
        <f t="shared" si="58"/>
        <v/>
      </c>
      <c r="X235" s="117" t="str">
        <f t="shared" si="58"/>
        <v/>
      </c>
      <c r="Y235" s="117" t="str">
        <f t="shared" si="58"/>
        <v/>
      </c>
      <c r="Z235" s="117" t="str">
        <f t="shared" si="58"/>
        <v/>
      </c>
      <c r="AA235" s="117" t="str">
        <f t="shared" si="58"/>
        <v/>
      </c>
      <c r="AB235" s="117" t="str">
        <f t="shared" si="58"/>
        <v/>
      </c>
      <c r="AC235" s="117" t="str">
        <f t="shared" si="58"/>
        <v/>
      </c>
      <c r="AD235" s="117" t="str">
        <f t="shared" si="58"/>
        <v/>
      </c>
      <c r="AE235" s="117" t="str">
        <f t="shared" si="58"/>
        <v/>
      </c>
      <c r="AF235" s="117" t="str">
        <f t="shared" si="58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9">IF(C203&lt;100,"",C203-1500)</f>
        <v/>
      </c>
      <c r="D236" s="117" t="str">
        <f t="shared" si="59"/>
        <v/>
      </c>
      <c r="E236" s="117" t="str">
        <f t="shared" si="59"/>
        <v/>
      </c>
      <c r="F236" s="117" t="str">
        <f t="shared" si="59"/>
        <v/>
      </c>
      <c r="G236" s="117" t="str">
        <f t="shared" si="59"/>
        <v/>
      </c>
      <c r="H236" s="117" t="str">
        <f t="shared" si="59"/>
        <v/>
      </c>
      <c r="I236" s="117" t="str">
        <f t="shared" si="59"/>
        <v/>
      </c>
      <c r="J236" s="117" t="str">
        <f t="shared" si="59"/>
        <v/>
      </c>
      <c r="K236" s="117" t="str">
        <f t="shared" si="59"/>
        <v/>
      </c>
      <c r="L236" s="117" t="str">
        <f t="shared" si="59"/>
        <v/>
      </c>
      <c r="M236" s="117" t="str">
        <f t="shared" si="59"/>
        <v/>
      </c>
      <c r="N236" s="117" t="str">
        <f t="shared" si="59"/>
        <v/>
      </c>
      <c r="O236" s="117" t="str">
        <f t="shared" si="59"/>
        <v/>
      </c>
      <c r="P236" s="117" t="str">
        <f t="shared" si="59"/>
        <v/>
      </c>
      <c r="Q236" s="117" t="str">
        <f t="shared" si="59"/>
        <v/>
      </c>
      <c r="R236" s="117" t="str">
        <f t="shared" si="59"/>
        <v/>
      </c>
      <c r="S236" s="117" t="str">
        <f t="shared" si="59"/>
        <v/>
      </c>
      <c r="T236" s="117" t="str">
        <f t="shared" si="59"/>
        <v/>
      </c>
      <c r="U236" s="117" t="str">
        <f t="shared" si="59"/>
        <v/>
      </c>
      <c r="V236" s="117" t="str">
        <f t="shared" si="59"/>
        <v/>
      </c>
      <c r="W236" s="117" t="str">
        <f t="shared" si="59"/>
        <v/>
      </c>
      <c r="X236" s="117" t="str">
        <f t="shared" si="59"/>
        <v/>
      </c>
      <c r="Y236" s="117" t="str">
        <f t="shared" si="59"/>
        <v/>
      </c>
      <c r="Z236" s="117" t="str">
        <f t="shared" si="59"/>
        <v/>
      </c>
      <c r="AA236" s="117" t="str">
        <f t="shared" si="59"/>
        <v/>
      </c>
      <c r="AB236" s="117" t="str">
        <f t="shared" si="59"/>
        <v/>
      </c>
      <c r="AC236" s="117" t="str">
        <f t="shared" si="59"/>
        <v/>
      </c>
      <c r="AD236" s="117" t="str">
        <f t="shared" si="59"/>
        <v/>
      </c>
      <c r="AE236" s="117" t="str">
        <f t="shared" si="59"/>
        <v/>
      </c>
      <c r="AF236" s="117" t="str">
        <f t="shared" si="59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06" priority="285">
      <formula>S$9&gt;=20/24</formula>
    </cfRule>
    <cfRule type="expression" dxfId="805" priority="286">
      <formula>AND(S$9&gt;=14/24,S$9&lt;20/24)</formula>
    </cfRule>
    <cfRule type="expression" dxfId="804" priority="287">
      <formula>AND(S$9&gt;=8/24,S$9&lt;14/24)</formula>
    </cfRule>
    <cfRule type="expression" dxfId="803" priority="288">
      <formula>S$9&lt;8/24</formula>
    </cfRule>
  </conditionalFormatting>
  <conditionalFormatting sqref="B8:AF10 AA79:AF79 B79:Q79 B54:AF54 B80:AF80 C191:AF197 AE55:AF58 B66:AF70 B55:K57 T210:AX210 B58:L59 L56:L57 R38:X39 W83:Z89 B72:AF76 B78:AF78 B61:D65 L51:AF53 M56:O59 L37:Q40 R56:V57 P56:Q65 L11:R13 L35:R35 R58:S65 S11:AA11 L15:T15 S13:W13 T40:X40 L16:X31 P43:X46 T59:X65 Y12:AA13 Y15:AB30 Y38:AD41 AA82:AF89 AC27:AF30 AC15:AF25 AB11:AF13 S44:AF44">
    <cfRule type="expression" dxfId="802" priority="281">
      <formula>B$9&gt;=20/24</formula>
    </cfRule>
    <cfRule type="expression" dxfId="801" priority="282">
      <formula>AND(B$9&gt;=14/24,B$9&lt;20/24)</formula>
    </cfRule>
    <cfRule type="expression" dxfId="800" priority="283">
      <formula>AND(B$9&gt;=8/24,B$9&lt;14/24)</formula>
    </cfRule>
    <cfRule type="expression" dxfId="799" priority="284">
      <formula>B$9&lt;8/24</formula>
    </cfRule>
  </conditionalFormatting>
  <conditionalFormatting sqref="B189:AF189">
    <cfRule type="expression" dxfId="798" priority="277">
      <formula>B$9&gt;=20/24</formula>
    </cfRule>
    <cfRule type="expression" dxfId="797" priority="278">
      <formula>AND(B$9&gt;=14/24,B$9&lt;20/24)</formula>
    </cfRule>
    <cfRule type="expression" dxfId="796" priority="279">
      <formula>AND(B$9&gt;=8/24,B$9&lt;14/24)</formula>
    </cfRule>
    <cfRule type="expression" dxfId="795" priority="280">
      <formula>B$9&lt;8/24</formula>
    </cfRule>
  </conditionalFormatting>
  <conditionalFormatting sqref="AL4:AL6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794" priority="272">
      <formula>L$9&gt;=20/24</formula>
    </cfRule>
    <cfRule type="expression" dxfId="793" priority="273">
      <formula>AND(L$9&gt;=14/24,L$9&lt;20/24)</formula>
    </cfRule>
    <cfRule type="expression" dxfId="792" priority="274">
      <formula>AND(L$9&gt;=8/24,L$9&lt;14/24)</formula>
    </cfRule>
    <cfRule type="expression" dxfId="791" priority="275">
      <formula>L$9&lt;8/24</formula>
    </cfRule>
  </conditionalFormatting>
  <conditionalFormatting sqref="L41:Q41">
    <cfRule type="expression" dxfId="790" priority="268">
      <formula>L$9&gt;=20/24</formula>
    </cfRule>
    <cfRule type="expression" dxfId="789" priority="269">
      <formula>AND(L$9&gt;=14/24,L$9&lt;20/24)</formula>
    </cfRule>
    <cfRule type="expression" dxfId="788" priority="270">
      <formula>AND(L$9&gt;=8/24,L$9&lt;14/24)</formula>
    </cfRule>
    <cfRule type="expression" dxfId="787" priority="271">
      <formula>L$9&lt;8/24</formula>
    </cfRule>
  </conditionalFormatting>
  <conditionalFormatting sqref="Y31:AF31">
    <cfRule type="expression" dxfId="786" priority="264">
      <formula>Y$9&gt;=20/24</formula>
    </cfRule>
    <cfRule type="expression" dxfId="785" priority="265">
      <formula>AND(Y$9&gt;=14/24,Y$9&lt;20/24)</formula>
    </cfRule>
    <cfRule type="expression" dxfId="784" priority="266">
      <formula>AND(Y$9&gt;=8/24,Y$9&lt;14/24)</formula>
    </cfRule>
    <cfRule type="expression" dxfId="783" priority="267">
      <formula>Y$9&lt;8/24</formula>
    </cfRule>
  </conditionalFormatting>
  <conditionalFormatting sqref="R37:AD37">
    <cfRule type="expression" dxfId="782" priority="260">
      <formula>R$9&gt;=20/24</formula>
    </cfRule>
    <cfRule type="expression" dxfId="781" priority="261">
      <formula>AND(R$9&gt;=14/24,R$9&lt;20/24)</formula>
    </cfRule>
    <cfRule type="expression" dxfId="780" priority="262">
      <formula>AND(R$9&gt;=8/24,R$9&lt;14/24)</formula>
    </cfRule>
    <cfRule type="expression" dxfId="779" priority="263">
      <formula>R$9&lt;8/24</formula>
    </cfRule>
  </conditionalFormatting>
  <conditionalFormatting sqref="R55:AD55">
    <cfRule type="expression" dxfId="778" priority="256">
      <formula>R$9&gt;=20/24</formula>
    </cfRule>
    <cfRule type="expression" dxfId="777" priority="257">
      <formula>AND(R$9&gt;=14/24,R$9&lt;20/24)</formula>
    </cfRule>
    <cfRule type="expression" dxfId="776" priority="258">
      <formula>AND(R$9&gt;=8/24,R$9&lt;14/24)</formula>
    </cfRule>
    <cfRule type="expression" dxfId="775" priority="259">
      <formula>R$9&lt;8/24</formula>
    </cfRule>
  </conditionalFormatting>
  <conditionalFormatting sqref="R79:Z79">
    <cfRule type="expression" dxfId="774" priority="252">
      <formula>R$9&gt;=20/24</formula>
    </cfRule>
    <cfRule type="expression" dxfId="773" priority="253">
      <formula>AND(R$9&gt;=14/24,R$9&lt;20/24)</formula>
    </cfRule>
    <cfRule type="expression" dxfId="772" priority="254">
      <formula>AND(R$9&gt;=8/24,R$9&lt;14/24)</formula>
    </cfRule>
    <cfRule type="expression" dxfId="771" priority="255">
      <formula>R$9&lt;8/24</formula>
    </cfRule>
  </conditionalFormatting>
  <conditionalFormatting sqref="T82:Z82">
    <cfRule type="expression" dxfId="770" priority="248">
      <formula>T$9&gt;=20/24</formula>
    </cfRule>
    <cfRule type="expression" dxfId="769" priority="249">
      <formula>AND(T$9&gt;=14/24,T$9&lt;20/24)</formula>
    </cfRule>
    <cfRule type="expression" dxfId="768" priority="250">
      <formula>AND(T$9&gt;=8/24,T$9&lt;14/24)</formula>
    </cfRule>
    <cfRule type="expression" dxfId="767" priority="251">
      <formula>T$9&lt;8/24</formula>
    </cfRule>
  </conditionalFormatting>
  <conditionalFormatting sqref="L33:X33">
    <cfRule type="expression" dxfId="766" priority="244">
      <formula>L$9&gt;=20/24</formula>
    </cfRule>
    <cfRule type="expression" dxfId="765" priority="245">
      <formula>AND(L$9&gt;=14/24,L$9&lt;20/24)</formula>
    </cfRule>
    <cfRule type="expression" dxfId="764" priority="246">
      <formula>AND(L$9&gt;=8/24,L$9&lt;14/24)</formula>
    </cfRule>
    <cfRule type="expression" dxfId="763" priority="247">
      <formula>L$9&lt;8/24</formula>
    </cfRule>
  </conditionalFormatting>
  <conditionalFormatting sqref="L47:X47">
    <cfRule type="expression" dxfId="762" priority="240">
      <formula>L$9&gt;=20/24</formula>
    </cfRule>
    <cfRule type="expression" dxfId="761" priority="241">
      <formula>AND(L$9&gt;=14/24,L$9&lt;20/24)</formula>
    </cfRule>
    <cfRule type="expression" dxfId="760" priority="242">
      <formula>AND(L$9&gt;=8/24,L$9&lt;14/24)</formula>
    </cfRule>
    <cfRule type="expression" dxfId="759" priority="243">
      <formula>L$9&lt;8/24</formula>
    </cfRule>
  </conditionalFormatting>
  <conditionalFormatting sqref="L48:X48">
    <cfRule type="expression" dxfId="758" priority="236">
      <formula>L$9&gt;=20/24</formula>
    </cfRule>
    <cfRule type="expression" dxfId="757" priority="237">
      <formula>AND(L$9&gt;=14/24,L$9&lt;20/24)</formula>
    </cfRule>
    <cfRule type="expression" dxfId="756" priority="238">
      <formula>AND(L$9&gt;=8/24,L$9&lt;14/24)</formula>
    </cfRule>
    <cfRule type="expression" dxfId="755" priority="239">
      <formula>L$9&lt;8/24</formula>
    </cfRule>
  </conditionalFormatting>
  <conditionalFormatting sqref="L43:X46 S44:AF44">
    <cfRule type="expression" dxfId="754" priority="232">
      <formula>L$9&gt;=20/24</formula>
    </cfRule>
    <cfRule type="expression" dxfId="753" priority="233">
      <formula>AND(L$9&gt;=14/24,L$9&lt;20/24)</formula>
    </cfRule>
    <cfRule type="expression" dxfId="752" priority="234">
      <formula>AND(L$9&gt;=8/24,L$9&lt;14/24)</formula>
    </cfRule>
    <cfRule type="expression" dxfId="751" priority="235">
      <formula>L$9&lt;8/24</formula>
    </cfRule>
  </conditionalFormatting>
  <conditionalFormatting sqref="S35:AF35">
    <cfRule type="expression" dxfId="750" priority="228">
      <formula>S$9&gt;=20/24</formula>
    </cfRule>
    <cfRule type="expression" dxfId="749" priority="229">
      <formula>AND(S$9&gt;=14/24,S$9&lt;20/24)</formula>
    </cfRule>
    <cfRule type="expression" dxfId="748" priority="230">
      <formula>AND(S$9&gt;=8/24,S$9&lt;14/24)</formula>
    </cfRule>
    <cfRule type="expression" dxfId="747" priority="231">
      <formula>S$9&lt;8/24</formula>
    </cfRule>
  </conditionalFormatting>
  <conditionalFormatting sqref="Y33:AF33">
    <cfRule type="expression" dxfId="746" priority="224">
      <formula>Y$9&gt;=20/24</formula>
    </cfRule>
    <cfRule type="expression" dxfId="745" priority="225">
      <formula>AND(Y$9&gt;=14/24,Y$9&lt;20/24)</formula>
    </cfRule>
    <cfRule type="expression" dxfId="744" priority="226">
      <formula>AND(Y$9&gt;=8/24,Y$9&lt;14/24)</formula>
    </cfRule>
    <cfRule type="expression" dxfId="743" priority="227">
      <formula>Y$9&lt;8/24</formula>
    </cfRule>
  </conditionalFormatting>
  <conditionalFormatting sqref="R40:S41 T41:X41 S43:AD46">
    <cfRule type="expression" dxfId="742" priority="220">
      <formula>R$9&gt;=20/24</formula>
    </cfRule>
    <cfRule type="expression" dxfId="741" priority="221">
      <formula>AND(R$9&gt;=14/24,R$9&lt;20/24)</formula>
    </cfRule>
    <cfRule type="expression" dxfId="740" priority="222">
      <formula>AND(R$9&gt;=8/24,R$9&lt;14/24)</formula>
    </cfRule>
    <cfRule type="expression" dxfId="739" priority="223">
      <formula>R$9&lt;8/24</formula>
    </cfRule>
  </conditionalFormatting>
  <conditionalFormatting sqref="S47:AD47">
    <cfRule type="expression" dxfId="738" priority="216">
      <formula>S$9&gt;=20/24</formula>
    </cfRule>
    <cfRule type="expression" dxfId="737" priority="217">
      <formula>AND(S$9&gt;=14/24,S$9&lt;20/24)</formula>
    </cfRule>
    <cfRule type="expression" dxfId="736" priority="218">
      <formula>AND(S$9&gt;=8/24,S$9&lt;14/24)</formula>
    </cfRule>
    <cfRule type="expression" dxfId="735" priority="219">
      <formula>S$9&lt;8/24</formula>
    </cfRule>
  </conditionalFormatting>
  <conditionalFormatting sqref="S48:AD48">
    <cfRule type="expression" dxfId="734" priority="212">
      <formula>S$9&gt;=20/24</formula>
    </cfRule>
    <cfRule type="expression" dxfId="733" priority="213">
      <formula>AND(S$9&gt;=14/24,S$9&lt;20/24)</formula>
    </cfRule>
    <cfRule type="expression" dxfId="732" priority="214">
      <formula>AND(S$9&gt;=8/24,S$9&lt;14/24)</formula>
    </cfRule>
    <cfRule type="expression" dxfId="731" priority="215">
      <formula>S$9&lt;8/24</formula>
    </cfRule>
  </conditionalFormatting>
  <conditionalFormatting sqref="AE59:AF65 Y58:AD65">
    <cfRule type="expression" dxfId="730" priority="208">
      <formula>Y$9&gt;=20/24</formula>
    </cfRule>
    <cfRule type="expression" dxfId="729" priority="209">
      <formula>AND(Y$9&gt;=14/24,Y$9&lt;20/24)</formula>
    </cfRule>
    <cfRule type="expression" dxfId="728" priority="210">
      <formula>AND(Y$9&gt;=8/24,Y$9&lt;14/24)</formula>
    </cfRule>
    <cfRule type="expression" dxfId="727" priority="211">
      <formula>Y$9&lt;8/24</formula>
    </cfRule>
  </conditionalFormatting>
  <conditionalFormatting sqref="AA92:AF95">
    <cfRule type="expression" dxfId="726" priority="204">
      <formula>AA$9&gt;=20/24</formula>
    </cfRule>
    <cfRule type="expression" dxfId="725" priority="205">
      <formula>AND(AA$9&gt;=14/24,AA$9&lt;20/24)</formula>
    </cfRule>
    <cfRule type="expression" dxfId="724" priority="206">
      <formula>AND(AA$9&gt;=8/24,AA$9&lt;14/24)</formula>
    </cfRule>
    <cfRule type="expression" dxfId="723" priority="207">
      <formula>AA$9&lt;8/24</formula>
    </cfRule>
  </conditionalFormatting>
  <conditionalFormatting sqref="H61:H65 I60:K65 B60:H60">
    <cfRule type="expression" dxfId="722" priority="200">
      <formula>B$9&gt;=20/24</formula>
    </cfRule>
    <cfRule type="expression" dxfId="721" priority="201">
      <formula>AND(B$9&gt;=14/24,B$9&lt;20/24)</formula>
    </cfRule>
    <cfRule type="expression" dxfId="720" priority="202">
      <formula>AND(B$9&gt;=8/24,B$9&lt;14/24)</formula>
    </cfRule>
    <cfRule type="expression" dxfId="719" priority="203">
      <formula>B$9&lt;8/24</formula>
    </cfRule>
  </conditionalFormatting>
  <conditionalFormatting sqref="T92:Z95">
    <cfRule type="expression" dxfId="718" priority="196">
      <formula>T$9&gt;=20/24</formula>
    </cfRule>
    <cfRule type="expression" dxfId="717" priority="197">
      <formula>AND(T$9&gt;=14/24,T$9&lt;20/24)</formula>
    </cfRule>
    <cfRule type="expression" dxfId="716" priority="198">
      <formula>AND(T$9&gt;=8/24,T$9&lt;14/24)</formula>
    </cfRule>
    <cfRule type="expression" dxfId="715" priority="199">
      <formula>T$9&lt;8/24</formula>
    </cfRule>
  </conditionalFormatting>
  <conditionalFormatting sqref="C49:AG49 E43:J45 B50:AF54 B11:R13 S11:AA11 B15:T15 S13:W13 Y15:Y23 U17:X23 U24:Y31 B17:T31 B16:X16 Y12:AA13 E37:AF41 AB11:AF13 Z15:AF31 B33:AF36 K43:AF48">
    <cfRule type="expression" dxfId="714" priority="195">
      <formula>B11&gt;$AG11</formula>
    </cfRule>
  </conditionalFormatting>
  <conditionalFormatting sqref="A98:A154 A82:A95 A11:A13 A15:A31 A43:A70 A78:A80 A72:A76 A33:A41 A167:A198">
    <cfRule type="expression" dxfId="713" priority="194">
      <formula>$AH11=0</formula>
    </cfRule>
  </conditionalFormatting>
  <conditionalFormatting sqref="AA96:AF96">
    <cfRule type="expression" dxfId="712" priority="190">
      <formula>AA$9&gt;=20/24</formula>
    </cfRule>
    <cfRule type="expression" dxfId="711" priority="191">
      <formula>AND(AA$9&gt;=14/24,AA$9&lt;20/24)</formula>
    </cfRule>
    <cfRule type="expression" dxfId="710" priority="192">
      <formula>AND(AA$9&gt;=8/24,AA$9&lt;14/24)</formula>
    </cfRule>
    <cfRule type="expression" dxfId="709" priority="193">
      <formula>AA$9&lt;8/24</formula>
    </cfRule>
  </conditionalFormatting>
  <conditionalFormatting sqref="T96:Z96">
    <cfRule type="expression" dxfId="708" priority="186">
      <formula>T$9&gt;=20/24</formula>
    </cfRule>
    <cfRule type="expression" dxfId="707" priority="187">
      <formula>AND(T$9&gt;=14/24,T$9&lt;20/24)</formula>
    </cfRule>
    <cfRule type="expression" dxfId="706" priority="188">
      <formula>AND(T$9&gt;=8/24,T$9&lt;14/24)</formula>
    </cfRule>
    <cfRule type="expression" dxfId="705" priority="189">
      <formula>T$9&lt;8/24</formula>
    </cfRule>
  </conditionalFormatting>
  <conditionalFormatting sqref="A96">
    <cfRule type="expression" dxfId="704" priority="185">
      <formula>$AH96=0</formula>
    </cfRule>
  </conditionalFormatting>
  <conditionalFormatting sqref="L34:AF34">
    <cfRule type="expression" dxfId="703" priority="181">
      <formula>L$9&gt;=20/24</formula>
    </cfRule>
    <cfRule type="expression" dxfId="702" priority="182">
      <formula>AND(L$9&gt;=14/24,L$9&lt;20/24)</formula>
    </cfRule>
    <cfRule type="expression" dxfId="701" priority="183">
      <formula>AND(L$9&gt;=8/24,L$9&lt;14/24)</formula>
    </cfRule>
    <cfRule type="expression" dxfId="700" priority="184">
      <formula>L$9&lt;8/24</formula>
    </cfRule>
  </conditionalFormatting>
  <conditionalFormatting sqref="U34:AF34">
    <cfRule type="expression" dxfId="699" priority="177">
      <formula>U$9&gt;=20/24</formula>
    </cfRule>
    <cfRule type="expression" dxfId="698" priority="178">
      <formula>AND(U$9&gt;=14/24,U$9&lt;20/24)</formula>
    </cfRule>
    <cfRule type="expression" dxfId="697" priority="179">
      <formula>AND(U$9&gt;=8/24,U$9&lt;14/24)</formula>
    </cfRule>
    <cfRule type="expression" dxfId="696" priority="180">
      <formula>U$9&lt;8/24</formula>
    </cfRule>
  </conditionalFormatting>
  <conditionalFormatting sqref="B34:K34">
    <cfRule type="expression" dxfId="695" priority="173">
      <formula>B$9&gt;=20/24</formula>
    </cfRule>
    <cfRule type="expression" dxfId="694" priority="174">
      <formula>AND(B$9&gt;=14/24,B$9&lt;20/24)</formula>
    </cfRule>
    <cfRule type="expression" dxfId="693" priority="175">
      <formula>AND(B$9&gt;=8/24,B$9&lt;14/24)</formula>
    </cfRule>
    <cfRule type="expression" dxfId="692" priority="176">
      <formula>B$9&lt;8/24</formula>
    </cfRule>
  </conditionalFormatting>
  <conditionalFormatting sqref="E61:G65">
    <cfRule type="expression" dxfId="691" priority="169">
      <formula>E$9&gt;=20/24</formula>
    </cfRule>
    <cfRule type="expression" dxfId="690" priority="170">
      <formula>AND(E$9&gt;=14/24,E$9&lt;20/24)</formula>
    </cfRule>
    <cfRule type="expression" dxfId="689" priority="171">
      <formula>AND(E$9&gt;=8/24,E$9&lt;14/24)</formula>
    </cfRule>
    <cfRule type="expression" dxfId="688" priority="172">
      <formula>E$9&lt;8/24</formula>
    </cfRule>
  </conditionalFormatting>
  <conditionalFormatting sqref="L60:O65">
    <cfRule type="expression" dxfId="687" priority="165">
      <formula>L$9&gt;=20/24</formula>
    </cfRule>
    <cfRule type="expression" dxfId="686" priority="166">
      <formula>AND(L$9&gt;=14/24,L$9&lt;20/24)</formula>
    </cfRule>
    <cfRule type="expression" dxfId="685" priority="167">
      <formula>AND(L$9&gt;=8/24,L$9&lt;14/24)</formula>
    </cfRule>
    <cfRule type="expression" dxfId="684" priority="168">
      <formula>L$9&lt;8/24</formula>
    </cfRule>
  </conditionalFormatting>
  <conditionalFormatting sqref="AL31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683" priority="160">
      <formula>Y$9&gt;=20/24</formula>
    </cfRule>
    <cfRule type="expression" dxfId="682" priority="161">
      <formula>AND(Y$9&gt;=14/24,Y$9&lt;20/24)</formula>
    </cfRule>
    <cfRule type="expression" dxfId="681" priority="162">
      <formula>AND(Y$9&gt;=8/24,Y$9&lt;14/24)</formula>
    </cfRule>
    <cfRule type="expression" dxfId="680" priority="163">
      <formula>Y$9&lt;8/24</formula>
    </cfRule>
  </conditionalFormatting>
  <conditionalFormatting sqref="L32:X32">
    <cfRule type="expression" dxfId="679" priority="156">
      <formula>L$9&gt;=20/24</formula>
    </cfRule>
    <cfRule type="expression" dxfId="678" priority="157">
      <formula>AND(L$9&gt;=14/24,L$9&lt;20/24)</formula>
    </cfRule>
    <cfRule type="expression" dxfId="677" priority="158">
      <formula>AND(L$9&gt;=8/24,L$9&lt;14/24)</formula>
    </cfRule>
    <cfRule type="expression" dxfId="676" priority="159">
      <formula>L$9&lt;8/24</formula>
    </cfRule>
  </conditionalFormatting>
  <conditionalFormatting sqref="B32:AF32">
    <cfRule type="expression" dxfId="675" priority="151">
      <formula>B32&gt;$AG32</formula>
    </cfRule>
  </conditionalFormatting>
  <conditionalFormatting sqref="A32">
    <cfRule type="expression" dxfId="674" priority="150">
      <formula>$AH32=0</formula>
    </cfRule>
  </conditionalFormatting>
  <conditionalFormatting sqref="B81:AF81">
    <cfRule type="expression" dxfId="673" priority="146">
      <formula>B$9&gt;=20/24</formula>
    </cfRule>
    <cfRule type="expression" dxfId="672" priority="147">
      <formula>AND(B$9&gt;=14/24,B$9&lt;20/24)</formula>
    </cfRule>
    <cfRule type="expression" dxfId="671" priority="148">
      <formula>AND(B$9&gt;=8/24,B$9&lt;14/24)</formula>
    </cfRule>
    <cfRule type="expression" dxfId="670" priority="149">
      <formula>B$9&lt;8/24</formula>
    </cfRule>
  </conditionalFormatting>
  <conditionalFormatting sqref="A81">
    <cfRule type="expression" dxfId="669" priority="145">
      <formula>$AH81=0</formula>
    </cfRule>
  </conditionalFormatting>
  <conditionalFormatting sqref="Y14:AF14">
    <cfRule type="expression" dxfId="668" priority="141">
      <formula>Y$9&gt;=20/24</formula>
    </cfRule>
    <cfRule type="expression" dxfId="667" priority="142">
      <formula>AND(Y$9&gt;=14/24,Y$9&lt;20/24)</formula>
    </cfRule>
    <cfRule type="expression" dxfId="666" priority="143">
      <formula>AND(Y$9&gt;=8/24,Y$9&lt;14/24)</formula>
    </cfRule>
    <cfRule type="expression" dxfId="665" priority="144">
      <formula>Y$9&lt;8/24</formula>
    </cfRule>
  </conditionalFormatting>
  <conditionalFormatting sqref="L14:T14">
    <cfRule type="expression" dxfId="664" priority="137">
      <formula>L$9&gt;=20/24</formula>
    </cfRule>
    <cfRule type="expression" dxfId="663" priority="138">
      <formula>AND(L$9&gt;=14/24,L$9&lt;20/24)</formula>
    </cfRule>
    <cfRule type="expression" dxfId="662" priority="139">
      <formula>AND(L$9&gt;=8/24,L$9&lt;14/24)</formula>
    </cfRule>
    <cfRule type="expression" dxfId="661" priority="140">
      <formula>L$9&lt;8/24</formula>
    </cfRule>
  </conditionalFormatting>
  <conditionalFormatting sqref="B14:T14 Y14:AF14">
    <cfRule type="expression" dxfId="660" priority="136">
      <formula>B14&gt;$AG14</formula>
    </cfRule>
  </conditionalFormatting>
  <conditionalFormatting sqref="A14">
    <cfRule type="expression" dxfId="659" priority="135">
      <formula>$AH14=0</formula>
    </cfRule>
  </conditionalFormatting>
  <conditionalFormatting sqref="A161:A166">
    <cfRule type="expression" dxfId="658" priority="134">
      <formula>$AH161=0</formula>
    </cfRule>
  </conditionalFormatting>
  <conditionalFormatting sqref="A155:A160">
    <cfRule type="expression" dxfId="657" priority="133">
      <formula>$AH155=0</formula>
    </cfRule>
  </conditionalFormatting>
  <conditionalFormatting sqref="Y42:AD42">
    <cfRule type="expression" dxfId="656" priority="129">
      <formula>Y$9&gt;=20/24</formula>
    </cfRule>
    <cfRule type="expression" dxfId="655" priority="130">
      <formula>AND(Y$9&gt;=14/24,Y$9&lt;20/24)</formula>
    </cfRule>
    <cfRule type="expression" dxfId="654" priority="131">
      <formula>AND(Y$9&gt;=8/24,Y$9&lt;14/24)</formula>
    </cfRule>
    <cfRule type="expression" dxfId="653" priority="132">
      <formula>Y$9&lt;8/24</formula>
    </cfRule>
  </conditionalFormatting>
  <conditionalFormatting sqref="L42:R42">
    <cfRule type="expression" dxfId="652" priority="125">
      <formula>L$9&gt;=20/24</formula>
    </cfRule>
    <cfRule type="expression" dxfId="651" priority="126">
      <formula>AND(L$9&gt;=14/24,L$9&lt;20/24)</formula>
    </cfRule>
    <cfRule type="expression" dxfId="650" priority="127">
      <formula>AND(L$9&gt;=8/24,L$9&lt;14/24)</formula>
    </cfRule>
    <cfRule type="expression" dxfId="649" priority="128">
      <formula>L$9&lt;8/24</formula>
    </cfRule>
  </conditionalFormatting>
  <conditionalFormatting sqref="S42:X42">
    <cfRule type="expression" dxfId="648" priority="121">
      <formula>S$9&gt;=20/24</formula>
    </cfRule>
    <cfRule type="expression" dxfId="647" priority="122">
      <formula>AND(S$9&gt;=14/24,S$9&lt;20/24)</formula>
    </cfRule>
    <cfRule type="expression" dxfId="646" priority="123">
      <formula>AND(S$9&gt;=8/24,S$9&lt;14/24)</formula>
    </cfRule>
    <cfRule type="expression" dxfId="645" priority="124">
      <formula>S$9&lt;8/24</formula>
    </cfRule>
  </conditionalFormatting>
  <conditionalFormatting sqref="E42:AF42">
    <cfRule type="expression" dxfId="644" priority="120">
      <formula>E42&gt;$AG42</formula>
    </cfRule>
  </conditionalFormatting>
  <conditionalFormatting sqref="A42">
    <cfRule type="expression" dxfId="643" priority="119">
      <formula>$AH42=0</formula>
    </cfRule>
  </conditionalFormatting>
  <conditionalFormatting sqref="B77:AF77">
    <cfRule type="expression" dxfId="642" priority="115">
      <formula>B$9&gt;=20/24</formula>
    </cfRule>
    <cfRule type="expression" dxfId="641" priority="116">
      <formula>AND(B$9&gt;=14/24,B$9&lt;20/24)</formula>
    </cfRule>
    <cfRule type="expression" dxfId="640" priority="117">
      <formula>AND(B$9&gt;=8/24,B$9&lt;14/24)</formula>
    </cfRule>
    <cfRule type="expression" dxfId="639" priority="118">
      <formula>B$9&lt;8/24</formula>
    </cfRule>
  </conditionalFormatting>
  <conditionalFormatting sqref="A77">
    <cfRule type="expression" dxfId="638" priority="114">
      <formula>$AH77=0</formula>
    </cfRule>
  </conditionalFormatting>
  <conditionalFormatting sqref="B71:AG71">
    <cfRule type="expression" dxfId="637" priority="110">
      <formula>B$9&gt;=20/24</formula>
    </cfRule>
    <cfRule type="expression" dxfId="636" priority="111">
      <formula>AND(B$9&gt;=14/24,B$9&lt;20/24)</formula>
    </cfRule>
    <cfRule type="expression" dxfId="635" priority="112">
      <formula>AND(B$9&gt;=8/24,B$9&lt;14/24)</formula>
    </cfRule>
    <cfRule type="expression" dxfId="634" priority="113">
      <formula>B$9&lt;8/24</formula>
    </cfRule>
  </conditionalFormatting>
  <conditionalFormatting sqref="A71">
    <cfRule type="expression" dxfId="633" priority="109">
      <formula>$AH71=0</formula>
    </cfRule>
  </conditionalFormatting>
  <conditionalFormatting sqref="AL32:AL33 AL7:AL30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T58:X58">
    <cfRule type="expression" dxfId="632" priority="105">
      <formula>T$9&gt;=20/24</formula>
    </cfRule>
    <cfRule type="expression" dxfId="631" priority="106">
      <formula>AND(T$9&gt;=14/24,T$9&lt;20/24)</formula>
    </cfRule>
    <cfRule type="expression" dxfId="630" priority="107">
      <formula>AND(T$9&gt;=8/24,T$9&lt;14/24)</formula>
    </cfRule>
    <cfRule type="expression" dxfId="629" priority="108">
      <formula>T$9&lt;8/24</formula>
    </cfRule>
  </conditionalFormatting>
  <conditionalFormatting sqref="T83:V89">
    <cfRule type="expression" dxfId="628" priority="101">
      <formula>T$9&gt;=20/24</formula>
    </cfRule>
    <cfRule type="expression" dxfId="627" priority="102">
      <formula>AND(T$9&gt;=14/24,T$9&lt;20/24)</formula>
    </cfRule>
    <cfRule type="expression" dxfId="626" priority="103">
      <formula>AND(T$9&gt;=8/24,T$9&lt;14/24)</formula>
    </cfRule>
    <cfRule type="expression" dxfId="625" priority="104">
      <formula>T$9&lt;8/24</formula>
    </cfRule>
  </conditionalFormatting>
  <conditionalFormatting sqref="R83:S89 B82:Q89">
    <cfRule type="expression" dxfId="624" priority="97">
      <formula>B$9&gt;=20/24</formula>
    </cfRule>
    <cfRule type="expression" dxfId="623" priority="98">
      <formula>AND(B$9&gt;=14/24,B$9&lt;20/24)</formula>
    </cfRule>
    <cfRule type="expression" dxfId="622" priority="99">
      <formula>AND(B$9&gt;=8/24,B$9&lt;14/24)</formula>
    </cfRule>
    <cfRule type="expression" dxfId="621" priority="100">
      <formula>B$9&lt;8/24</formula>
    </cfRule>
  </conditionalFormatting>
  <conditionalFormatting sqref="R82:S82">
    <cfRule type="expression" dxfId="620" priority="93">
      <formula>R$9&gt;=20/24</formula>
    </cfRule>
    <cfRule type="expression" dxfId="619" priority="94">
      <formula>AND(R$9&gt;=14/24,R$9&lt;20/24)</formula>
    </cfRule>
    <cfRule type="expression" dxfId="618" priority="95">
      <formula>AND(R$9&gt;=8/24,R$9&lt;14/24)</formula>
    </cfRule>
    <cfRule type="expression" dxfId="617" priority="96">
      <formula>R$9&lt;8/24</formula>
    </cfRule>
  </conditionalFormatting>
  <conditionalFormatting sqref="B92:E92 B93:O95">
    <cfRule type="expression" dxfId="616" priority="89">
      <formula>B$9&gt;=20/24</formula>
    </cfRule>
    <cfRule type="expression" dxfId="615" priority="90">
      <formula>AND(B$9&gt;=14/24,B$9&lt;20/24)</formula>
    </cfRule>
    <cfRule type="expression" dxfId="614" priority="91">
      <formula>AND(B$9&gt;=8/24,B$9&lt;14/24)</formula>
    </cfRule>
    <cfRule type="expression" dxfId="613" priority="92">
      <formula>B$9&lt;8/24</formula>
    </cfRule>
  </conditionalFormatting>
  <conditionalFormatting sqref="P92:Q95">
    <cfRule type="expression" dxfId="612" priority="85">
      <formula>P$9&gt;=20/24</formula>
    </cfRule>
    <cfRule type="expression" dxfId="611" priority="86">
      <formula>AND(P$9&gt;=14/24,P$9&lt;20/24)</formula>
    </cfRule>
    <cfRule type="expression" dxfId="610" priority="87">
      <formula>AND(P$9&gt;=8/24,P$9&lt;14/24)</formula>
    </cfRule>
    <cfRule type="expression" dxfId="609" priority="88">
      <formula>P$9&lt;8/24</formula>
    </cfRule>
  </conditionalFormatting>
  <conditionalFormatting sqref="R92:S95">
    <cfRule type="expression" dxfId="608" priority="81">
      <formula>R$9&gt;=20/24</formula>
    </cfRule>
    <cfRule type="expression" dxfId="607" priority="82">
      <formula>AND(R$9&gt;=14/24,R$9&lt;20/24)</formula>
    </cfRule>
    <cfRule type="expression" dxfId="606" priority="83">
      <formula>AND(R$9&gt;=8/24,R$9&lt;14/24)</formula>
    </cfRule>
    <cfRule type="expression" dxfId="605" priority="84">
      <formula>R$9&lt;8/24</formula>
    </cfRule>
  </conditionalFormatting>
  <conditionalFormatting sqref="B96:O96">
    <cfRule type="expression" dxfId="604" priority="77">
      <formula>B$9&gt;=20/24</formula>
    </cfRule>
    <cfRule type="expression" dxfId="603" priority="78">
      <formula>AND(B$9&gt;=14/24,B$9&lt;20/24)</formula>
    </cfRule>
    <cfRule type="expression" dxfId="602" priority="79">
      <formula>AND(B$9&gt;=8/24,B$9&lt;14/24)</formula>
    </cfRule>
    <cfRule type="expression" dxfId="601" priority="80">
      <formula>B$9&lt;8/24</formula>
    </cfRule>
  </conditionalFormatting>
  <conditionalFormatting sqref="P96:Q96">
    <cfRule type="expression" dxfId="600" priority="73">
      <formula>P$9&gt;=20/24</formula>
    </cfRule>
    <cfRule type="expression" dxfId="599" priority="74">
      <formula>AND(P$9&gt;=14/24,P$9&lt;20/24)</formula>
    </cfRule>
    <cfRule type="expression" dxfId="598" priority="75">
      <formula>AND(P$9&gt;=8/24,P$9&lt;14/24)</formula>
    </cfRule>
    <cfRule type="expression" dxfId="597" priority="76">
      <formula>P$9&lt;8/24</formula>
    </cfRule>
  </conditionalFormatting>
  <conditionalFormatting sqref="R96:S96">
    <cfRule type="expression" dxfId="596" priority="69">
      <formula>R$9&gt;=20/24</formula>
    </cfRule>
    <cfRule type="expression" dxfId="595" priority="70">
      <formula>AND(R$9&gt;=14/24,R$9&lt;20/24)</formula>
    </cfRule>
    <cfRule type="expression" dxfId="594" priority="71">
      <formula>AND(R$9&gt;=8/24,R$9&lt;14/24)</formula>
    </cfRule>
    <cfRule type="expression" dxfId="593" priority="72">
      <formula>R$9&lt;8/24</formula>
    </cfRule>
  </conditionalFormatting>
  <conditionalFormatting sqref="L92:O92">
    <cfRule type="expression" dxfId="592" priority="65">
      <formula>L$9&gt;=20/24</formula>
    </cfRule>
    <cfRule type="expression" dxfId="591" priority="66">
      <formula>AND(L$9&gt;=14/24,L$9&lt;20/24)</formula>
    </cfRule>
    <cfRule type="expression" dxfId="590" priority="67">
      <formula>AND(L$9&gt;=8/24,L$9&lt;14/24)</formula>
    </cfRule>
    <cfRule type="expression" dxfId="589" priority="68">
      <formula>L$9&lt;8/24</formula>
    </cfRule>
  </conditionalFormatting>
  <conditionalFormatting sqref="F92:K92">
    <cfRule type="expression" dxfId="588" priority="61">
      <formula>F$9&gt;=20/24</formula>
    </cfRule>
    <cfRule type="expression" dxfId="587" priority="62">
      <formula>AND(F$9&gt;=14/24,F$9&lt;20/24)</formula>
    </cfRule>
    <cfRule type="expression" dxfId="586" priority="63">
      <formula>AND(F$9&gt;=8/24,F$9&lt;14/24)</formula>
    </cfRule>
    <cfRule type="expression" dxfId="585" priority="64">
      <formula>F$9&lt;8/24</formula>
    </cfRule>
  </conditionalFormatting>
  <conditionalFormatting sqref="T92:V92">
    <cfRule type="expression" dxfId="584" priority="57">
      <formula>T$9&gt;=20/24</formula>
    </cfRule>
    <cfRule type="expression" dxfId="583" priority="58">
      <formula>AND(T$9&gt;=14/24,T$9&lt;20/24)</formula>
    </cfRule>
    <cfRule type="expression" dxfId="582" priority="59">
      <formula>AND(T$9&gt;=8/24,T$9&lt;14/24)</formula>
    </cfRule>
    <cfRule type="expression" dxfId="581" priority="60">
      <formula>T$9&lt;8/24</formula>
    </cfRule>
  </conditionalFormatting>
  <conditionalFormatting sqref="P92:S92">
    <cfRule type="expression" dxfId="580" priority="53">
      <formula>P$9&gt;=20/24</formula>
    </cfRule>
    <cfRule type="expression" dxfId="579" priority="54">
      <formula>AND(P$9&gt;=14/24,P$9&lt;20/24)</formula>
    </cfRule>
    <cfRule type="expression" dxfId="578" priority="55">
      <formula>AND(P$9&gt;=8/24,P$9&lt;14/24)</formula>
    </cfRule>
    <cfRule type="expression" dxfId="577" priority="56">
      <formula>P$9&lt;8/24</formula>
    </cfRule>
  </conditionalFormatting>
  <conditionalFormatting sqref="AA97:AF97">
    <cfRule type="expression" dxfId="576" priority="49">
      <formula>AA$9&gt;=20/24</formula>
    </cfRule>
    <cfRule type="expression" dxfId="575" priority="50">
      <formula>AND(AA$9&gt;=14/24,AA$9&lt;20/24)</formula>
    </cfRule>
    <cfRule type="expression" dxfId="574" priority="51">
      <formula>AND(AA$9&gt;=8/24,AA$9&lt;14/24)</formula>
    </cfRule>
    <cfRule type="expression" dxfId="573" priority="52">
      <formula>AA$9&lt;8/24</formula>
    </cfRule>
  </conditionalFormatting>
  <conditionalFormatting sqref="T97:Z97">
    <cfRule type="expression" dxfId="572" priority="45">
      <formula>T$9&gt;=20/24</formula>
    </cfRule>
    <cfRule type="expression" dxfId="571" priority="46">
      <formula>AND(T$9&gt;=14/24,T$9&lt;20/24)</formula>
    </cfRule>
    <cfRule type="expression" dxfId="570" priority="47">
      <formula>AND(T$9&gt;=8/24,T$9&lt;14/24)</formula>
    </cfRule>
    <cfRule type="expression" dxfId="569" priority="48">
      <formula>T$9&lt;8/24</formula>
    </cfRule>
  </conditionalFormatting>
  <conditionalFormatting sqref="A97">
    <cfRule type="expression" dxfId="568" priority="44">
      <formula>$AH97=0</formula>
    </cfRule>
  </conditionalFormatting>
  <conditionalFormatting sqref="B97:O97">
    <cfRule type="expression" dxfId="567" priority="40">
      <formula>B$9&gt;=20/24</formula>
    </cfRule>
    <cfRule type="expression" dxfId="566" priority="41">
      <formula>AND(B$9&gt;=14/24,B$9&lt;20/24)</formula>
    </cfRule>
    <cfRule type="expression" dxfId="565" priority="42">
      <formula>AND(B$9&gt;=8/24,B$9&lt;14/24)</formula>
    </cfRule>
    <cfRule type="expression" dxfId="564" priority="43">
      <formula>B$9&lt;8/24</formula>
    </cfRule>
  </conditionalFormatting>
  <conditionalFormatting sqref="P97:Q97">
    <cfRule type="expression" dxfId="563" priority="36">
      <formula>P$9&gt;=20/24</formula>
    </cfRule>
    <cfRule type="expression" dxfId="562" priority="37">
      <formula>AND(P$9&gt;=14/24,P$9&lt;20/24)</formula>
    </cfRule>
    <cfRule type="expression" dxfId="561" priority="38">
      <formula>AND(P$9&gt;=8/24,P$9&lt;14/24)</formula>
    </cfRule>
    <cfRule type="expression" dxfId="560" priority="39">
      <formula>P$9&lt;8/24</formula>
    </cfRule>
  </conditionalFormatting>
  <conditionalFormatting sqref="R97:S97">
    <cfRule type="expression" dxfId="559" priority="32">
      <formula>R$9&gt;=20/24</formula>
    </cfRule>
    <cfRule type="expression" dxfId="558" priority="33">
      <formula>AND(R$9&gt;=14/24,R$9&lt;20/24)</formula>
    </cfRule>
    <cfRule type="expression" dxfId="557" priority="34">
      <formula>AND(R$9&gt;=8/24,R$9&lt;14/24)</formula>
    </cfRule>
    <cfRule type="expression" dxfId="556" priority="35">
      <formula>R$9&lt;8/24</formula>
    </cfRule>
  </conditionalFormatting>
  <conditionalFormatting sqref="S12:X12 U14:W15 X13:X15">
    <cfRule type="expression" dxfId="555" priority="28">
      <formula>S$9&gt;=20/24</formula>
    </cfRule>
    <cfRule type="expression" dxfId="554" priority="29">
      <formula>AND(S$9&gt;=14/24,S$9&lt;20/24)</formula>
    </cfRule>
    <cfRule type="expression" dxfId="553" priority="30">
      <formula>AND(S$9&gt;=8/24,S$9&lt;14/24)</formula>
    </cfRule>
    <cfRule type="expression" dxfId="552" priority="31">
      <formula>S$9&lt;8/24</formula>
    </cfRule>
  </conditionalFormatting>
  <conditionalFormatting sqref="S12:X12">
    <cfRule type="expression" dxfId="551" priority="20">
      <formula>S$9&gt;=20/24</formula>
    </cfRule>
    <cfRule type="expression" dxfId="550" priority="21">
      <formula>AND(S$9&gt;=14/24,S$9&lt;20/24)</formula>
    </cfRule>
    <cfRule type="expression" dxfId="549" priority="22">
      <formula>AND(S$9&gt;=8/24,S$9&lt;14/24)</formula>
    </cfRule>
    <cfRule type="expression" dxfId="548" priority="23">
      <formula>S$9&lt;8/24</formula>
    </cfRule>
  </conditionalFormatting>
  <conditionalFormatting sqref="AA56:AD57">
    <cfRule type="expression" dxfId="547" priority="16">
      <formula>AA$9&gt;=20/24</formula>
    </cfRule>
    <cfRule type="expression" dxfId="546" priority="17">
      <formula>AND(AA$9&gt;=14/24,AA$9&lt;20/24)</formula>
    </cfRule>
    <cfRule type="expression" dxfId="545" priority="18">
      <formula>AND(AA$9&gt;=8/24,AA$9&lt;14/24)</formula>
    </cfRule>
    <cfRule type="expression" dxfId="544" priority="19">
      <formula>AA$9&lt;8/24</formula>
    </cfRule>
  </conditionalFormatting>
  <conditionalFormatting sqref="B49 B37:D41">
    <cfRule type="expression" dxfId="543" priority="15">
      <formula>B37&gt;$AG37</formula>
    </cfRule>
  </conditionalFormatting>
  <conditionalFormatting sqref="B42:D42">
    <cfRule type="expression" dxfId="542" priority="14">
      <formula>B42&gt;$AG42</formula>
    </cfRule>
  </conditionalFormatting>
  <conditionalFormatting sqref="B43:D45 B46:J46">
    <cfRule type="expression" dxfId="541" priority="10">
      <formula>B$9&gt;=20/24</formula>
    </cfRule>
    <cfRule type="expression" dxfId="540" priority="11">
      <formula>AND(B$9&gt;=14/24,B$9&lt;20/24)</formula>
    </cfRule>
    <cfRule type="expression" dxfId="539" priority="12">
      <formula>AND(B$9&gt;=8/24,B$9&lt;14/24)</formula>
    </cfRule>
    <cfRule type="expression" dxfId="538" priority="13">
      <formula>B$9&lt;8/24</formula>
    </cfRule>
  </conditionalFormatting>
  <conditionalFormatting sqref="B47:J47">
    <cfRule type="expression" dxfId="537" priority="6">
      <formula>B$9&gt;=20/24</formula>
    </cfRule>
    <cfRule type="expression" dxfId="536" priority="7">
      <formula>AND(B$9&gt;=14/24,B$9&lt;20/24)</formula>
    </cfRule>
    <cfRule type="expression" dxfId="535" priority="8">
      <formula>AND(B$9&gt;=8/24,B$9&lt;14/24)</formula>
    </cfRule>
    <cfRule type="expression" dxfId="534" priority="9">
      <formula>B$9&lt;8/24</formula>
    </cfRule>
  </conditionalFormatting>
  <conditionalFormatting sqref="B48:J48">
    <cfRule type="expression" dxfId="533" priority="2">
      <formula>B$9&gt;=20/24</formula>
    </cfRule>
    <cfRule type="expression" dxfId="532" priority="3">
      <formula>AND(B$9&gt;=14/24,B$9&lt;20/24)</formula>
    </cfRule>
    <cfRule type="expression" dxfId="531" priority="4">
      <formula>AND(B$9&gt;=8/24,B$9&lt;14/24)</formula>
    </cfRule>
    <cfRule type="expression" dxfId="530" priority="5">
      <formula>B$9&lt;8/24</formula>
    </cfRule>
  </conditionalFormatting>
  <conditionalFormatting sqref="B43:D45 B46:J48">
    <cfRule type="expression" dxfId="529" priority="1">
      <formula>B43&gt;$AG43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I21" sqref="I2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e">
        <f ca="1">"2078/"&amp;"04/"&amp;INT(MID(CELL("filename",D6),FIND("]",CELL("filename",D6))+1,200))</f>
        <v>#VALUE!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0</v>
      </c>
      <c r="C5" s="32">
        <f t="shared" ref="C5:AF5" si="0">C66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B73</f>
        <v>3.54</v>
      </c>
      <c r="C7" s="37">
        <f t="shared" si="1"/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>L73</f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  <c r="M11" s="50"/>
      <c r="N11" s="50"/>
      <c r="O11" s="50"/>
      <c r="P11" s="50"/>
      <c r="Q11" s="51"/>
      <c r="R11" s="52"/>
      <c r="S11" s="52"/>
      <c r="T11" s="52"/>
      <c r="U11" s="52"/>
      <c r="V11" s="52"/>
      <c r="W11" s="52"/>
      <c r="X11" s="52"/>
      <c r="Y11" s="53"/>
      <c r="Z11" s="115"/>
      <c r="AA11" s="115"/>
      <c r="AB11" s="115"/>
      <c r="AC11" s="115"/>
      <c r="AD11" s="115"/>
      <c r="AE11" s="49"/>
      <c r="AF11" s="49"/>
      <c r="AG11" s="54">
        <v>456</v>
      </c>
      <c r="AH11" s="55">
        <f>MAX(B11:AF11)</f>
        <v>0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59"/>
      <c r="S12" s="59"/>
      <c r="T12" s="59"/>
      <c r="U12" s="59"/>
      <c r="V12" s="59"/>
      <c r="W12" s="59"/>
      <c r="X12" s="59"/>
      <c r="Y12" s="50"/>
      <c r="Z12" s="50"/>
      <c r="AA12" s="50"/>
      <c r="AB12" s="50"/>
      <c r="AC12" s="50"/>
      <c r="AD12" s="50"/>
      <c r="AE12" s="49"/>
      <c r="AF12" s="49"/>
      <c r="AG12" s="60">
        <v>60</v>
      </c>
      <c r="AH12" s="55">
        <f t="shared" ref="AH12:AH76" si="2">MAX(B12:AF12)</f>
        <v>0</v>
      </c>
      <c r="AI12" s="56">
        <f t="shared" ref="AI12:AI76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  <c r="M13" s="50"/>
      <c r="N13" s="50"/>
      <c r="O13" s="50"/>
      <c r="P13" s="50"/>
      <c r="Q13" s="50"/>
      <c r="R13" s="61"/>
      <c r="S13" s="61"/>
      <c r="T13" s="61"/>
      <c r="U13" s="61"/>
      <c r="V13" s="61"/>
      <c r="W13" s="61"/>
      <c r="X13" s="61"/>
      <c r="Y13" s="50"/>
      <c r="Z13" s="50"/>
      <c r="AA13" s="50"/>
      <c r="AB13" s="50"/>
      <c r="AC13" s="50"/>
      <c r="AD13" s="50"/>
      <c r="AE13" s="49"/>
      <c r="AF13" s="49"/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50"/>
      <c r="M14" s="50"/>
      <c r="N14" s="50"/>
      <c r="O14" s="50"/>
      <c r="P14" s="50"/>
      <c r="Q14" s="50"/>
      <c r="R14" s="61"/>
      <c r="S14" s="61"/>
      <c r="T14" s="61"/>
      <c r="U14" s="61"/>
      <c r="V14" s="61"/>
      <c r="W14" s="61"/>
      <c r="X14" s="61"/>
      <c r="Y14" s="50"/>
      <c r="Z14" s="50"/>
      <c r="AA14" s="50"/>
      <c r="AB14" s="50"/>
      <c r="AC14" s="50"/>
      <c r="AD14" s="50"/>
      <c r="AE14" s="62"/>
      <c r="AF14" s="62"/>
      <c r="AG14" s="63">
        <v>45</v>
      </c>
      <c r="AH14" s="55">
        <f t="shared" si="2"/>
        <v>0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  <c r="M15" s="50"/>
      <c r="N15" s="50"/>
      <c r="O15" s="50"/>
      <c r="P15" s="50"/>
      <c r="Q15" s="50"/>
      <c r="R15" s="84"/>
      <c r="S15" s="84"/>
      <c r="T15" s="84"/>
      <c r="U15" s="84"/>
      <c r="V15" s="84"/>
      <c r="W15" s="84"/>
      <c r="X15" s="84"/>
      <c r="Y15" s="50"/>
      <c r="Z15" s="50"/>
      <c r="AA15" s="50"/>
      <c r="AB15" s="50"/>
      <c r="AC15" s="50"/>
      <c r="AD15" s="50"/>
      <c r="AE15" s="49"/>
      <c r="AF15" s="49"/>
      <c r="AG15" s="60">
        <v>45</v>
      </c>
      <c r="AH15" s="55">
        <f t="shared" si="2"/>
        <v>0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50"/>
      <c r="N16" s="50"/>
      <c r="O16" s="50"/>
      <c r="P16" s="50"/>
      <c r="Q16" s="50"/>
      <c r="R16" s="61"/>
      <c r="S16" s="61"/>
      <c r="T16" s="61"/>
      <c r="U16" s="61"/>
      <c r="V16" s="61"/>
      <c r="W16" s="61"/>
      <c r="X16" s="61"/>
      <c r="Y16" s="50"/>
      <c r="Z16" s="50"/>
      <c r="AA16" s="50"/>
      <c r="AB16" s="50"/>
      <c r="AC16" s="50"/>
      <c r="AD16" s="50"/>
      <c r="AE16" s="49"/>
      <c r="AF16" s="49"/>
      <c r="AG16" s="60">
        <v>42</v>
      </c>
      <c r="AH16" s="55">
        <f t="shared" si="2"/>
        <v>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49"/>
      <c r="AF17" s="49"/>
      <c r="AG17" s="60">
        <v>36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49"/>
      <c r="AF18" s="49"/>
      <c r="AG18" s="60">
        <v>30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49"/>
      <c r="AF19" s="49"/>
      <c r="AG19" s="60">
        <v>27</v>
      </c>
      <c r="AH19" s="55">
        <f t="shared" si="2"/>
        <v>0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49"/>
      <c r="AF20" s="49"/>
      <c r="AG20" s="60">
        <v>25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49"/>
      <c r="AF21" s="49"/>
      <c r="AG21" s="60">
        <v>25</v>
      </c>
      <c r="AH21" s="55">
        <f t="shared" si="2"/>
        <v>0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49"/>
      <c r="AF22" s="49"/>
      <c r="AG22" s="60">
        <v>25</v>
      </c>
      <c r="AH22" s="55">
        <f t="shared" si="2"/>
        <v>0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49"/>
      <c r="AF23" s="49"/>
      <c r="AG23" s="60">
        <v>25</v>
      </c>
      <c r="AH23" s="55">
        <f t="shared" si="2"/>
        <v>0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49"/>
      <c r="AF24" s="49"/>
      <c r="AG24" s="60">
        <v>24.2</v>
      </c>
      <c r="AH24" s="55">
        <f t="shared" si="2"/>
        <v>0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49"/>
      <c r="AF25" s="49"/>
      <c r="AG25" s="60">
        <v>20</v>
      </c>
      <c r="AH25" s="55">
        <f>MAX(B25:AF25)</f>
        <v>0</v>
      </c>
      <c r="AI25" s="56">
        <f>MIN(B25:AF25)</f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49"/>
      <c r="AB26" s="49"/>
      <c r="AC26" s="49"/>
      <c r="AD26" s="49"/>
      <c r="AE26" s="49"/>
      <c r="AF26" s="49"/>
      <c r="AG26" s="60">
        <v>23.5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49"/>
      <c r="AF27" s="49"/>
      <c r="AG27" s="60">
        <v>22.2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49"/>
      <c r="AF28" s="49"/>
      <c r="AG28" s="60">
        <v>22.1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49"/>
      <c r="AF29" s="49"/>
      <c r="AG29" s="60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62"/>
      <c r="AF30" s="62"/>
      <c r="AG30" s="63">
        <v>22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62"/>
      <c r="AF31" s="62"/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62"/>
      <c r="AF32" s="62"/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62"/>
      <c r="AF33" s="62"/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7">
        <v>85</v>
      </c>
      <c r="AH34" s="55">
        <f t="shared" si="2"/>
        <v>0</v>
      </c>
      <c r="AI34" s="56">
        <f t="shared" si="3"/>
        <v>0</v>
      </c>
      <c r="AK34" s="57"/>
    </row>
    <row r="35" spans="1:88" ht="15.75" thickBot="1" x14ac:dyDescent="0.3">
      <c r="A35" s="69" t="s">
        <v>42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62"/>
      <c r="AF35" s="62"/>
      <c r="AG35" s="67">
        <v>240</v>
      </c>
      <c r="AH35" s="55">
        <f t="shared" si="2"/>
        <v>0</v>
      </c>
      <c r="AI35" s="56">
        <f t="shared" si="3"/>
        <v>0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0</v>
      </c>
      <c r="C36" s="72">
        <f t="shared" si="4"/>
        <v>0</v>
      </c>
      <c r="D36" s="72">
        <f t="shared" si="4"/>
        <v>0</v>
      </c>
      <c r="E36" s="72">
        <f t="shared" si="4"/>
        <v>0</v>
      </c>
      <c r="F36" s="72">
        <f t="shared" si="4"/>
        <v>0</v>
      </c>
      <c r="G36" s="72">
        <f t="shared" si="4"/>
        <v>0</v>
      </c>
      <c r="H36" s="72">
        <f t="shared" si="4"/>
        <v>0</v>
      </c>
      <c r="I36" s="72">
        <f t="shared" si="4"/>
        <v>0</v>
      </c>
      <c r="J36" s="72">
        <f t="shared" si="4"/>
        <v>0</v>
      </c>
      <c r="K36" s="72">
        <f t="shared" si="4"/>
        <v>0</v>
      </c>
      <c r="L36" s="72">
        <f t="shared" si="4"/>
        <v>0</v>
      </c>
      <c r="M36" s="72">
        <f t="shared" si="4"/>
        <v>0</v>
      </c>
      <c r="N36" s="72">
        <f t="shared" si="4"/>
        <v>0</v>
      </c>
      <c r="O36" s="72">
        <f t="shared" si="4"/>
        <v>0</v>
      </c>
      <c r="P36" s="72">
        <f t="shared" si="4"/>
        <v>0</v>
      </c>
      <c r="Q36" s="72">
        <f t="shared" si="4"/>
        <v>0</v>
      </c>
      <c r="R36" s="72">
        <f t="shared" si="4"/>
        <v>0</v>
      </c>
      <c r="S36" s="72">
        <f t="shared" si="4"/>
        <v>0</v>
      </c>
      <c r="T36" s="72">
        <f t="shared" si="4"/>
        <v>0</v>
      </c>
      <c r="U36" s="72">
        <f t="shared" si="4"/>
        <v>0</v>
      </c>
      <c r="V36" s="72">
        <f t="shared" si="4"/>
        <v>0</v>
      </c>
      <c r="W36" s="72">
        <f t="shared" si="4"/>
        <v>0</v>
      </c>
      <c r="X36" s="72">
        <f t="shared" si="4"/>
        <v>0</v>
      </c>
      <c r="Y36" s="72">
        <f t="shared" si="4"/>
        <v>0</v>
      </c>
      <c r="Z36" s="72">
        <f t="shared" si="4"/>
        <v>0</v>
      </c>
      <c r="AA36" s="72">
        <f t="shared" si="4"/>
        <v>0</v>
      </c>
      <c r="AB36" s="72">
        <f t="shared" si="4"/>
        <v>0</v>
      </c>
      <c r="AC36" s="72">
        <f t="shared" si="4"/>
        <v>0</v>
      </c>
      <c r="AD36" s="72">
        <f t="shared" si="4"/>
        <v>0</v>
      </c>
      <c r="AE36" s="72">
        <f t="shared" si="4"/>
        <v>0</v>
      </c>
      <c r="AF36" s="72">
        <f t="shared" si="4"/>
        <v>0</v>
      </c>
      <c r="AG36" s="67">
        <f>SUM(AG11:AG35)</f>
        <v>1431.83</v>
      </c>
      <c r="AH36" s="55">
        <f t="shared" si="2"/>
        <v>0</v>
      </c>
      <c r="AI36" s="56">
        <f t="shared" si="3"/>
        <v>0</v>
      </c>
      <c r="AK36" s="57"/>
    </row>
    <row r="37" spans="1:88" x14ac:dyDescent="0.25">
      <c r="A37" s="58" t="s">
        <v>44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49"/>
      <c r="AF37" s="49"/>
      <c r="AG37" s="63">
        <v>144</v>
      </c>
      <c r="AH37" s="55">
        <f t="shared" si="2"/>
        <v>0</v>
      </c>
      <c r="AI37" s="56">
        <f t="shared" si="3"/>
        <v>0</v>
      </c>
      <c r="AK37" s="57"/>
    </row>
    <row r="38" spans="1:88" x14ac:dyDescent="0.25">
      <c r="A38" s="66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62"/>
      <c r="AF38" s="62"/>
      <c r="AG38" s="67">
        <v>70</v>
      </c>
      <c r="AH38" s="55">
        <f t="shared" si="2"/>
        <v>0</v>
      </c>
      <c r="AI38" s="56">
        <f t="shared" si="3"/>
        <v>0</v>
      </c>
      <c r="AK38" s="57"/>
    </row>
    <row r="39" spans="1:88" x14ac:dyDescent="0.25">
      <c r="A39" s="66" t="s">
        <v>46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62"/>
      <c r="AF39" s="62"/>
      <c r="AG39" s="67">
        <v>69</v>
      </c>
      <c r="AH39" s="55">
        <f t="shared" si="2"/>
        <v>0</v>
      </c>
      <c r="AI39" s="56">
        <f t="shared" si="3"/>
        <v>0</v>
      </c>
      <c r="AK39" s="57"/>
    </row>
    <row r="40" spans="1:88" x14ac:dyDescent="0.25">
      <c r="A40" s="66" t="s">
        <v>47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62"/>
      <c r="AF40" s="62"/>
      <c r="AG40" s="67">
        <v>60</v>
      </c>
      <c r="AH40" s="55">
        <f t="shared" si="2"/>
        <v>0</v>
      </c>
      <c r="AI40" s="56">
        <f t="shared" si="3"/>
        <v>0</v>
      </c>
      <c r="AK40" s="57"/>
    </row>
    <row r="41" spans="1:88" x14ac:dyDescent="0.25">
      <c r="A41" s="66" t="s">
        <v>48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2"/>
      <c r="Z41" s="52"/>
      <c r="AA41" s="52"/>
      <c r="AB41" s="52"/>
      <c r="AC41" s="52"/>
      <c r="AD41" s="52"/>
      <c r="AE41" s="62"/>
      <c r="AF41" s="62"/>
      <c r="AG41" s="67">
        <v>30</v>
      </c>
      <c r="AH41" s="55">
        <f t="shared" si="2"/>
        <v>0</v>
      </c>
      <c r="AI41" s="56">
        <f t="shared" si="3"/>
        <v>0</v>
      </c>
      <c r="AK41" s="57"/>
    </row>
    <row r="42" spans="1:88" x14ac:dyDescent="0.25">
      <c r="A42" s="66" t="s">
        <v>49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62"/>
      <c r="AF42" s="62"/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62"/>
      <c r="AF43" s="62"/>
      <c r="AG43" s="67">
        <v>24</v>
      </c>
      <c r="AH43" s="55">
        <f t="shared" si="2"/>
        <v>0</v>
      </c>
      <c r="AI43" s="56">
        <f t="shared" si="3"/>
        <v>0</v>
      </c>
      <c r="AK43" s="57"/>
    </row>
    <row r="44" spans="1:88" x14ac:dyDescent="0.25">
      <c r="A44" s="66" t="s">
        <v>51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62"/>
      <c r="AF44" s="62"/>
      <c r="AG44" s="67">
        <v>15</v>
      </c>
      <c r="AH44" s="55">
        <f t="shared" si="2"/>
        <v>0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62"/>
      <c r="AF45" s="62"/>
      <c r="AG45" s="67">
        <v>14.1</v>
      </c>
      <c r="AH45" s="55">
        <f t="shared" si="2"/>
        <v>0</v>
      </c>
      <c r="AI45" s="56">
        <f t="shared" si="3"/>
        <v>0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62"/>
      <c r="AF46" s="62"/>
      <c r="AG46" s="67">
        <v>14</v>
      </c>
      <c r="AH46" s="55">
        <f t="shared" si="2"/>
        <v>0</v>
      </c>
      <c r="AI46" s="56">
        <f t="shared" si="3"/>
        <v>0</v>
      </c>
      <c r="AK46" s="57"/>
    </row>
    <row r="47" spans="1:88" x14ac:dyDescent="0.25">
      <c r="A47" s="66" t="s">
        <v>54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62"/>
      <c r="AF47" s="62"/>
      <c r="AG47" s="67">
        <v>10.050000000000001</v>
      </c>
      <c r="AH47" s="55">
        <f t="shared" si="2"/>
        <v>0</v>
      </c>
      <c r="AI47" s="56">
        <f t="shared" si="3"/>
        <v>0</v>
      </c>
      <c r="AK47" s="57"/>
    </row>
    <row r="48" spans="1:88" x14ac:dyDescent="0.25">
      <c r="A48" s="66" t="s">
        <v>55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62"/>
      <c r="AF48" s="62"/>
      <c r="AG48" s="67">
        <v>6.2</v>
      </c>
      <c r="AH48" s="55">
        <f t="shared" si="2"/>
        <v>0</v>
      </c>
      <c r="AI48" s="56">
        <f t="shared" si="3"/>
        <v>0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T197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3.54</v>
      </c>
      <c r="C50" s="72">
        <f t="shared" si="6"/>
        <v>3.54</v>
      </c>
      <c r="D50" s="72">
        <f t="shared" si="6"/>
        <v>3.54</v>
      </c>
      <c r="E50" s="72">
        <f t="shared" si="6"/>
        <v>3.54</v>
      </c>
      <c r="F50" s="72">
        <f t="shared" si="6"/>
        <v>3.54</v>
      </c>
      <c r="G50" s="72">
        <f t="shared" si="6"/>
        <v>3.54</v>
      </c>
      <c r="H50" s="72">
        <f t="shared" si="6"/>
        <v>3.54</v>
      </c>
      <c r="I50" s="72">
        <f t="shared" si="6"/>
        <v>3.54</v>
      </c>
      <c r="J50" s="72">
        <f t="shared" si="6"/>
        <v>3.54</v>
      </c>
      <c r="K50" s="72">
        <f t="shared" si="6"/>
        <v>3.54</v>
      </c>
      <c r="L50" s="72">
        <f t="shared" si="6"/>
        <v>3.54</v>
      </c>
      <c r="M50" s="72">
        <f t="shared" si="6"/>
        <v>3.54</v>
      </c>
      <c r="N50" s="72">
        <f t="shared" si="6"/>
        <v>3.54</v>
      </c>
      <c r="O50" s="72">
        <f t="shared" si="6"/>
        <v>3.54</v>
      </c>
      <c r="P50" s="72">
        <f t="shared" si="6"/>
        <v>3.54</v>
      </c>
      <c r="Q50" s="72">
        <f t="shared" si="6"/>
        <v>3.54</v>
      </c>
      <c r="R50" s="72">
        <f t="shared" si="6"/>
        <v>3.54</v>
      </c>
      <c r="S50" s="72">
        <f t="shared" si="6"/>
        <v>3.54</v>
      </c>
      <c r="T50" s="72">
        <f t="shared" si="6"/>
        <v>3.54</v>
      </c>
      <c r="U50" s="72">
        <f t="shared" si="6"/>
        <v>3.54</v>
      </c>
      <c r="V50" s="72">
        <f t="shared" si="6"/>
        <v>3.54</v>
      </c>
      <c r="W50" s="72">
        <f t="shared" si="6"/>
        <v>3.54</v>
      </c>
      <c r="X50" s="72">
        <f t="shared" si="6"/>
        <v>3.54</v>
      </c>
      <c r="Y50" s="72">
        <f t="shared" si="6"/>
        <v>3.54</v>
      </c>
      <c r="Z50" s="72">
        <f t="shared" si="6"/>
        <v>3.54</v>
      </c>
      <c r="AA50" s="72">
        <f t="shared" si="6"/>
        <v>3.54</v>
      </c>
      <c r="AB50" s="72">
        <f t="shared" si="6"/>
        <v>3.54</v>
      </c>
      <c r="AC50" s="72">
        <f t="shared" si="6"/>
        <v>3.54</v>
      </c>
      <c r="AD50" s="72">
        <f t="shared" si="6"/>
        <v>3.54</v>
      </c>
      <c r="AE50" s="72">
        <f t="shared" si="6"/>
        <v>3.54</v>
      </c>
      <c r="AF50" s="72">
        <f t="shared" si="6"/>
        <v>3.54</v>
      </c>
      <c r="AG50" s="77">
        <f>SUM(AG37:AG49)</f>
        <v>489.91</v>
      </c>
      <c r="AH50" s="55">
        <f t="shared" si="2"/>
        <v>3.54</v>
      </c>
      <c r="AI50" s="56">
        <f t="shared" si="3"/>
        <v>3.54</v>
      </c>
      <c r="AK50" s="57"/>
    </row>
    <row r="51" spans="1:37" x14ac:dyDescent="0.25">
      <c r="A51" s="58" t="s">
        <v>58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174"/>
      <c r="M51" s="174"/>
      <c r="N51" s="174"/>
      <c r="O51" s="174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63">
        <v>60</v>
      </c>
      <c r="AH51" s="55">
        <f t="shared" si="2"/>
        <v>0</v>
      </c>
      <c r="AI51" s="56">
        <f t="shared" si="3"/>
        <v>0</v>
      </c>
      <c r="AK51" s="57"/>
    </row>
    <row r="52" spans="1:37" x14ac:dyDescent="0.25">
      <c r="A52" s="66" t="s">
        <v>59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174"/>
      <c r="M52" s="174"/>
      <c r="N52" s="174"/>
      <c r="O52" s="174"/>
      <c r="P52" s="52"/>
      <c r="Q52" s="52"/>
      <c r="R52" s="50"/>
      <c r="S52" s="50"/>
      <c r="T52" s="50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67">
        <v>32</v>
      </c>
      <c r="AH52" s="55">
        <f t="shared" si="2"/>
        <v>0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175"/>
      <c r="M53" s="175"/>
      <c r="N53" s="175"/>
      <c r="O53" s="175"/>
      <c r="P53" s="78"/>
      <c r="Q53" s="78"/>
      <c r="R53" s="50"/>
      <c r="S53" s="50"/>
      <c r="T53" s="50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9">
        <v>14</v>
      </c>
      <c r="AH53" s="55">
        <f t="shared" si="2"/>
        <v>0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0</v>
      </c>
      <c r="Y54" s="72">
        <f t="shared" si="7"/>
        <v>0</v>
      </c>
      <c r="Z54" s="72">
        <f t="shared" si="7"/>
        <v>0</v>
      </c>
      <c r="AA54" s="72">
        <f t="shared" si="7"/>
        <v>0</v>
      </c>
      <c r="AB54" s="72">
        <f t="shared" si="7"/>
        <v>0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0</v>
      </c>
      <c r="AI54" s="56">
        <f t="shared" si="3"/>
        <v>0</v>
      </c>
      <c r="AK54" s="57"/>
    </row>
    <row r="55" spans="1:37" x14ac:dyDescent="0.25">
      <c r="A55" s="58" t="s">
        <v>62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63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80"/>
      <c r="X56" s="80"/>
      <c r="Y56" s="80"/>
      <c r="Z56" s="80"/>
      <c r="AA56" s="52"/>
      <c r="AB56" s="52"/>
      <c r="AC56" s="52"/>
      <c r="AD56" s="52"/>
      <c r="AE56" s="52"/>
      <c r="AF56" s="52"/>
      <c r="AG56" s="67"/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66" t="s">
        <v>64</v>
      </c>
      <c r="B57" s="52"/>
      <c r="C57" s="52"/>
      <c r="D57" s="52"/>
      <c r="E57" s="52"/>
      <c r="F57" s="52"/>
      <c r="G57" s="50"/>
      <c r="H57" s="50"/>
      <c r="I57" s="50"/>
      <c r="J57" s="50"/>
      <c r="K57" s="50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81"/>
      <c r="X57" s="81"/>
      <c r="Y57" s="81"/>
      <c r="Z57" s="81"/>
      <c r="AA57" s="52"/>
      <c r="AB57" s="52"/>
      <c r="AC57" s="52"/>
      <c r="AD57" s="52"/>
      <c r="AE57" s="52"/>
      <c r="AF57" s="52"/>
      <c r="AG57" s="82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6" t="s">
        <v>65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9"/>
      <c r="AF58" s="59"/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67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/>
      <c r="C61" s="59"/>
      <c r="D61" s="59"/>
      <c r="E61" s="59"/>
      <c r="F61" s="59"/>
      <c r="G61" s="59"/>
      <c r="H61" s="50"/>
      <c r="I61" s="50"/>
      <c r="J61" s="50"/>
      <c r="K61" s="50"/>
      <c r="L61" s="50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/>
      <c r="C64" s="59"/>
      <c r="D64" s="59"/>
      <c r="E64" s="59"/>
      <c r="F64" s="59"/>
      <c r="G64" s="59"/>
      <c r="H64" s="52"/>
      <c r="I64" s="52"/>
      <c r="J64" s="52"/>
      <c r="K64" s="52"/>
      <c r="L64" s="52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/>
      <c r="C65" s="59"/>
      <c r="D65" s="59"/>
      <c r="E65" s="59"/>
      <c r="F65" s="59"/>
      <c r="G65" s="59"/>
      <c r="H65" s="50"/>
      <c r="I65" s="50"/>
      <c r="J65" s="50"/>
      <c r="K65" s="50"/>
      <c r="L65" s="50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0</v>
      </c>
      <c r="C66" s="72">
        <f t="shared" ref="C66:AF66" si="8">SUM(C55:C65)</f>
        <v>0</v>
      </c>
      <c r="D66" s="72">
        <f t="shared" si="8"/>
        <v>0</v>
      </c>
      <c r="E66" s="72">
        <f t="shared" si="8"/>
        <v>0</v>
      </c>
      <c r="F66" s="72">
        <f t="shared" si="8"/>
        <v>0</v>
      </c>
      <c r="G66" s="72">
        <f t="shared" si="8"/>
        <v>0</v>
      </c>
      <c r="H66" s="72">
        <f t="shared" si="8"/>
        <v>0</v>
      </c>
      <c r="I66" s="72">
        <f t="shared" si="8"/>
        <v>0</v>
      </c>
      <c r="J66" s="72">
        <f t="shared" si="8"/>
        <v>0</v>
      </c>
      <c r="K66" s="72">
        <f t="shared" si="8"/>
        <v>0</v>
      </c>
      <c r="L66" s="72">
        <f t="shared" si="8"/>
        <v>0</v>
      </c>
      <c r="M66" s="72">
        <f t="shared" si="8"/>
        <v>0</v>
      </c>
      <c r="N66" s="72">
        <f t="shared" si="8"/>
        <v>0</v>
      </c>
      <c r="O66" s="72">
        <f t="shared" si="8"/>
        <v>0</v>
      </c>
      <c r="P66" s="72">
        <f t="shared" si="8"/>
        <v>0</v>
      </c>
      <c r="Q66" s="72">
        <f t="shared" si="8"/>
        <v>0</v>
      </c>
      <c r="R66" s="72">
        <f t="shared" si="8"/>
        <v>0</v>
      </c>
      <c r="S66" s="72">
        <f t="shared" si="8"/>
        <v>0</v>
      </c>
      <c r="T66" s="72">
        <f t="shared" si="8"/>
        <v>0</v>
      </c>
      <c r="U66" s="72">
        <f t="shared" si="8"/>
        <v>0</v>
      </c>
      <c r="V66" s="72">
        <f t="shared" si="8"/>
        <v>0</v>
      </c>
      <c r="W66" s="72">
        <f t="shared" si="8"/>
        <v>0</v>
      </c>
      <c r="X66" s="72">
        <f t="shared" si="8"/>
        <v>0</v>
      </c>
      <c r="Y66" s="72">
        <f t="shared" si="8"/>
        <v>0</v>
      </c>
      <c r="Z66" s="72">
        <f t="shared" si="8"/>
        <v>0</v>
      </c>
      <c r="AA66" s="72">
        <f t="shared" si="8"/>
        <v>0</v>
      </c>
      <c r="AB66" s="72">
        <f t="shared" si="8"/>
        <v>0</v>
      </c>
      <c r="AC66" s="72">
        <f t="shared" si="8"/>
        <v>0</v>
      </c>
      <c r="AD66" s="72">
        <f t="shared" si="8"/>
        <v>0</v>
      </c>
      <c r="AE66" s="72">
        <f t="shared" si="8"/>
        <v>0</v>
      </c>
      <c r="AF66" s="72">
        <f t="shared" si="8"/>
        <v>0</v>
      </c>
      <c r="AG66" s="77">
        <f>SUM(AG55:AG65)</f>
        <v>0</v>
      </c>
      <c r="AH66" s="55">
        <f t="shared" si="2"/>
        <v>0</v>
      </c>
      <c r="AI66" s="56">
        <f t="shared" si="3"/>
        <v>0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3.54</v>
      </c>
      <c r="C71" s="87">
        <f t="shared" ref="C71:AG71" si="10">C66+C54+C50+C36+C70</f>
        <v>3.54</v>
      </c>
      <c r="D71" s="87">
        <f t="shared" si="10"/>
        <v>3.54</v>
      </c>
      <c r="E71" s="87">
        <f t="shared" si="10"/>
        <v>3.54</v>
      </c>
      <c r="F71" s="87">
        <f t="shared" si="10"/>
        <v>3.54</v>
      </c>
      <c r="G71" s="87">
        <f t="shared" si="10"/>
        <v>3.54</v>
      </c>
      <c r="H71" s="87">
        <f t="shared" si="10"/>
        <v>3.54</v>
      </c>
      <c r="I71" s="87">
        <f t="shared" si="10"/>
        <v>3.54</v>
      </c>
      <c r="J71" s="87">
        <f t="shared" si="10"/>
        <v>3.54</v>
      </c>
      <c r="K71" s="87">
        <f t="shared" si="10"/>
        <v>3.54</v>
      </c>
      <c r="L71" s="87">
        <f t="shared" si="10"/>
        <v>3.54</v>
      </c>
      <c r="M71" s="87">
        <f t="shared" si="10"/>
        <v>3.54</v>
      </c>
      <c r="N71" s="87">
        <f t="shared" si="10"/>
        <v>3.54</v>
      </c>
      <c r="O71" s="87">
        <f t="shared" si="10"/>
        <v>3.54</v>
      </c>
      <c r="P71" s="87">
        <f t="shared" si="10"/>
        <v>3.54</v>
      </c>
      <c r="Q71" s="87">
        <f t="shared" si="10"/>
        <v>3.54</v>
      </c>
      <c r="R71" s="87">
        <f t="shared" si="10"/>
        <v>3.54</v>
      </c>
      <c r="S71" s="87">
        <f t="shared" si="10"/>
        <v>3.54</v>
      </c>
      <c r="T71" s="87">
        <f t="shared" si="10"/>
        <v>3.54</v>
      </c>
      <c r="U71" s="87">
        <f t="shared" si="10"/>
        <v>3.54</v>
      </c>
      <c r="V71" s="87">
        <f t="shared" si="10"/>
        <v>3.54</v>
      </c>
      <c r="W71" s="87">
        <f t="shared" si="10"/>
        <v>3.54</v>
      </c>
      <c r="X71" s="87">
        <f t="shared" si="10"/>
        <v>3.54</v>
      </c>
      <c r="Y71" s="87">
        <f t="shared" si="10"/>
        <v>3.54</v>
      </c>
      <c r="Z71" s="87">
        <f t="shared" si="10"/>
        <v>3.54</v>
      </c>
      <c r="AA71" s="87">
        <f t="shared" si="10"/>
        <v>3.54</v>
      </c>
      <c r="AB71" s="87">
        <f t="shared" si="10"/>
        <v>3.54</v>
      </c>
      <c r="AC71" s="87">
        <f t="shared" si="10"/>
        <v>3.54</v>
      </c>
      <c r="AD71" s="87">
        <f t="shared" si="10"/>
        <v>3.54</v>
      </c>
      <c r="AE71" s="87">
        <f t="shared" si="10"/>
        <v>3.54</v>
      </c>
      <c r="AF71" s="87">
        <f t="shared" si="10"/>
        <v>3.54</v>
      </c>
      <c r="AG71" s="87">
        <f t="shared" si="10"/>
        <v>2083.14</v>
      </c>
      <c r="AH71" s="55">
        <f t="shared" si="2"/>
        <v>3.54</v>
      </c>
      <c r="AI71" s="56">
        <f t="shared" si="3"/>
        <v>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3.54</v>
      </c>
      <c r="C73" s="87">
        <f t="shared" ref="C73:AF73" si="11">C70+C66+C54+C50+C36+C72</f>
        <v>3.54</v>
      </c>
      <c r="D73" s="87">
        <f t="shared" si="11"/>
        <v>3.54</v>
      </c>
      <c r="E73" s="87">
        <f t="shared" si="11"/>
        <v>3.54</v>
      </c>
      <c r="F73" s="87">
        <f t="shared" si="11"/>
        <v>3.54</v>
      </c>
      <c r="G73" s="87">
        <f t="shared" si="11"/>
        <v>3.54</v>
      </c>
      <c r="H73" s="87">
        <f t="shared" si="11"/>
        <v>3.54</v>
      </c>
      <c r="I73" s="87">
        <f t="shared" si="11"/>
        <v>3.54</v>
      </c>
      <c r="J73" s="87">
        <f t="shared" si="11"/>
        <v>3.54</v>
      </c>
      <c r="K73" s="87">
        <f t="shared" si="11"/>
        <v>3.54</v>
      </c>
      <c r="L73" s="87">
        <f t="shared" si="11"/>
        <v>3.54</v>
      </c>
      <c r="M73" s="87">
        <f t="shared" si="11"/>
        <v>3.54</v>
      </c>
      <c r="N73" s="87">
        <f t="shared" si="11"/>
        <v>3.54</v>
      </c>
      <c r="O73" s="87">
        <f t="shared" si="11"/>
        <v>3.54</v>
      </c>
      <c r="P73" s="87">
        <f t="shared" si="11"/>
        <v>3.54</v>
      </c>
      <c r="Q73" s="87">
        <f t="shared" si="11"/>
        <v>3.54</v>
      </c>
      <c r="R73" s="87">
        <f t="shared" si="11"/>
        <v>3.54</v>
      </c>
      <c r="S73" s="87">
        <f t="shared" si="11"/>
        <v>3.54</v>
      </c>
      <c r="T73" s="87">
        <f t="shared" si="11"/>
        <v>3.54</v>
      </c>
      <c r="U73" s="87">
        <f t="shared" si="11"/>
        <v>3.54</v>
      </c>
      <c r="V73" s="87">
        <f t="shared" si="11"/>
        <v>3.54</v>
      </c>
      <c r="W73" s="87">
        <f t="shared" si="11"/>
        <v>3.54</v>
      </c>
      <c r="X73" s="87">
        <f t="shared" si="11"/>
        <v>3.54</v>
      </c>
      <c r="Y73" s="87">
        <f t="shared" si="11"/>
        <v>3.54</v>
      </c>
      <c r="Z73" s="87">
        <f t="shared" si="11"/>
        <v>3.54</v>
      </c>
      <c r="AA73" s="87">
        <f t="shared" si="11"/>
        <v>3.54</v>
      </c>
      <c r="AB73" s="87">
        <f t="shared" si="11"/>
        <v>3.54</v>
      </c>
      <c r="AC73" s="87">
        <f t="shared" si="11"/>
        <v>3.54</v>
      </c>
      <c r="AD73" s="87">
        <f t="shared" si="11"/>
        <v>3.54</v>
      </c>
      <c r="AE73" s="87">
        <f t="shared" si="11"/>
        <v>3.54</v>
      </c>
      <c r="AF73" s="87">
        <f t="shared" si="11"/>
        <v>3.54</v>
      </c>
      <c r="AG73" s="77">
        <f>AG70+AG66+AG54+AG50+AG36+AG72</f>
        <v>2083.14</v>
      </c>
      <c r="AH73" s="55">
        <f t="shared" si="2"/>
        <v>3.54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>IF(B58&lt;0,B58*-1,0)</f>
        <v>0</v>
      </c>
      <c r="C74" s="59">
        <f t="shared" ref="C74:Q74" si="12">IF(C58&lt;0,C58*-1,0)</f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 t="shared" ref="R74:AF74" si="13">IF(R58&lt;0,R58*-1,0)</f>
        <v>0</v>
      </c>
      <c r="S74" s="59">
        <f t="shared" si="13"/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IF(B56&lt;0,B56*-1,0)</f>
        <v>0</v>
      </c>
      <c r="C75" s="59">
        <f t="shared" ref="C75:AF75" si="14">IF(C56&lt;0,C56*-1,0)</f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 t="shared" si="14"/>
        <v>0</v>
      </c>
      <c r="S75" s="59">
        <f t="shared" si="14"/>
        <v>0</v>
      </c>
      <c r="T75" s="59">
        <f t="shared" si="14"/>
        <v>0</v>
      </c>
      <c r="U75" s="59">
        <f t="shared" si="14"/>
        <v>0</v>
      </c>
      <c r="V75" s="59">
        <f t="shared" si="14"/>
        <v>0</v>
      </c>
      <c r="W75" s="59">
        <f t="shared" si="14"/>
        <v>0</v>
      </c>
      <c r="X75" s="59">
        <f t="shared" si="14"/>
        <v>0</v>
      </c>
      <c r="Y75" s="59">
        <f t="shared" si="14"/>
        <v>0</v>
      </c>
      <c r="Z75" s="59">
        <f t="shared" si="14"/>
        <v>0</v>
      </c>
      <c r="AA75" s="59">
        <f t="shared" si="14"/>
        <v>0</v>
      </c>
      <c r="AB75" s="59">
        <f t="shared" si="14"/>
        <v>0</v>
      </c>
      <c r="AC75" s="59">
        <f t="shared" si="14"/>
        <v>0</v>
      </c>
      <c r="AD75" s="59">
        <f t="shared" si="14"/>
        <v>0</v>
      </c>
      <c r="AE75" s="59">
        <f t="shared" si="14"/>
        <v>0</v>
      </c>
      <c r="AF75" s="59">
        <f t="shared" si="14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IF(B59&lt;0,B59*-1,0)</f>
        <v>0</v>
      </c>
      <c r="C76" s="59">
        <f t="shared" ref="C76:AF76" si="15">IF(C59&lt;0,C59*-1,0)</f>
        <v>0</v>
      </c>
      <c r="D76" s="59">
        <f t="shared" si="15"/>
        <v>0</v>
      </c>
      <c r="E76" s="59">
        <f t="shared" si="15"/>
        <v>0</v>
      </c>
      <c r="F76" s="59">
        <f t="shared" si="15"/>
        <v>0</v>
      </c>
      <c r="G76" s="59">
        <f t="shared" si="15"/>
        <v>0</v>
      </c>
      <c r="H76" s="59">
        <f t="shared" si="15"/>
        <v>0</v>
      </c>
      <c r="I76" s="59">
        <f t="shared" si="15"/>
        <v>0</v>
      </c>
      <c r="J76" s="59">
        <f t="shared" si="15"/>
        <v>0</v>
      </c>
      <c r="K76" s="59">
        <f t="shared" si="15"/>
        <v>0</v>
      </c>
      <c r="L76" s="59">
        <f t="shared" si="15"/>
        <v>0</v>
      </c>
      <c r="M76" s="59">
        <f t="shared" si="15"/>
        <v>0</v>
      </c>
      <c r="N76" s="59">
        <f t="shared" si="15"/>
        <v>0</v>
      </c>
      <c r="O76" s="59">
        <f t="shared" si="15"/>
        <v>0</v>
      </c>
      <c r="P76" s="59">
        <f t="shared" si="15"/>
        <v>0</v>
      </c>
      <c r="Q76" s="59">
        <f t="shared" si="15"/>
        <v>0</v>
      </c>
      <c r="R76" s="59">
        <f t="shared" si="15"/>
        <v>0</v>
      </c>
      <c r="S76" s="59">
        <f t="shared" si="15"/>
        <v>0</v>
      </c>
      <c r="T76" s="59">
        <f t="shared" si="15"/>
        <v>0</v>
      </c>
      <c r="U76" s="59">
        <f t="shared" si="15"/>
        <v>0</v>
      </c>
      <c r="V76" s="59">
        <f t="shared" si="15"/>
        <v>0</v>
      </c>
      <c r="W76" s="59">
        <f t="shared" si="15"/>
        <v>0</v>
      </c>
      <c r="X76" s="59">
        <f t="shared" si="15"/>
        <v>0</v>
      </c>
      <c r="Y76" s="59">
        <f t="shared" si="15"/>
        <v>0</v>
      </c>
      <c r="Z76" s="59">
        <f t="shared" si="15"/>
        <v>0</v>
      </c>
      <c r="AA76" s="59">
        <f t="shared" si="15"/>
        <v>0</v>
      </c>
      <c r="AB76" s="59">
        <f t="shared" si="15"/>
        <v>0</v>
      </c>
      <c r="AC76" s="59">
        <f t="shared" si="15"/>
        <v>0</v>
      </c>
      <c r="AD76" s="59">
        <f t="shared" si="15"/>
        <v>0</v>
      </c>
      <c r="AE76" s="59">
        <f t="shared" si="15"/>
        <v>0</v>
      </c>
      <c r="AF76" s="59">
        <f t="shared" si="15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IF(B57&lt;0,B57*-1,0)</f>
        <v>0</v>
      </c>
      <c r="C77" s="59">
        <f t="shared" ref="C77:AF77" si="16">IF(C57&lt;0,C57*-1,0)</f>
        <v>0</v>
      </c>
      <c r="D77" s="59">
        <f t="shared" si="16"/>
        <v>0</v>
      </c>
      <c r="E77" s="59">
        <f t="shared" si="16"/>
        <v>0</v>
      </c>
      <c r="F77" s="59">
        <f t="shared" si="16"/>
        <v>0</v>
      </c>
      <c r="G77" s="59">
        <f t="shared" si="16"/>
        <v>0</v>
      </c>
      <c r="H77" s="59">
        <f t="shared" si="16"/>
        <v>0</v>
      </c>
      <c r="I77" s="59">
        <f t="shared" si="16"/>
        <v>0</v>
      </c>
      <c r="J77" s="59">
        <f t="shared" si="16"/>
        <v>0</v>
      </c>
      <c r="K77" s="59">
        <f t="shared" si="16"/>
        <v>0</v>
      </c>
      <c r="L77" s="59">
        <f t="shared" si="16"/>
        <v>0</v>
      </c>
      <c r="M77" s="59">
        <f t="shared" si="16"/>
        <v>0</v>
      </c>
      <c r="N77" s="59">
        <f t="shared" si="16"/>
        <v>0</v>
      </c>
      <c r="O77" s="59">
        <f t="shared" si="16"/>
        <v>0</v>
      </c>
      <c r="P77" s="59">
        <f t="shared" si="16"/>
        <v>0</v>
      </c>
      <c r="Q77" s="59">
        <f t="shared" si="16"/>
        <v>0</v>
      </c>
      <c r="R77" s="59">
        <f t="shared" si="16"/>
        <v>0</v>
      </c>
      <c r="S77" s="59">
        <f t="shared" si="16"/>
        <v>0</v>
      </c>
      <c r="T77" s="59">
        <f t="shared" si="16"/>
        <v>0</v>
      </c>
      <c r="U77" s="59">
        <f t="shared" si="16"/>
        <v>0</v>
      </c>
      <c r="V77" s="59">
        <f t="shared" si="16"/>
        <v>0</v>
      </c>
      <c r="W77" s="59">
        <f t="shared" si="16"/>
        <v>0</v>
      </c>
      <c r="X77" s="59">
        <f t="shared" si="16"/>
        <v>0</v>
      </c>
      <c r="Y77" s="59">
        <f t="shared" si="16"/>
        <v>0</v>
      </c>
      <c r="Z77" s="59">
        <f t="shared" si="16"/>
        <v>0</v>
      </c>
      <c r="AA77" s="59">
        <f t="shared" si="16"/>
        <v>0</v>
      </c>
      <c r="AB77" s="59">
        <f t="shared" si="16"/>
        <v>0</v>
      </c>
      <c r="AC77" s="59">
        <f t="shared" si="16"/>
        <v>0</v>
      </c>
      <c r="AD77" s="59">
        <f t="shared" si="16"/>
        <v>0</v>
      </c>
      <c r="AE77" s="59">
        <f t="shared" si="16"/>
        <v>0</v>
      </c>
      <c r="AF77" s="59">
        <f t="shared" si="16"/>
        <v>0</v>
      </c>
      <c r="AG77" s="90"/>
      <c r="AH77" s="55">
        <f t="shared" ref="AH77:AH89" si="17">MAX(B77:AF77)</f>
        <v>0</v>
      </c>
      <c r="AI77" s="56">
        <f t="shared" ref="AI77:AI89" si="18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IF(B55&lt;0,B55*-1,0)</f>
        <v>0</v>
      </c>
      <c r="C78" s="59">
        <f t="shared" ref="C78:AF78" si="19">IF(C55&lt;0,C55*-1,0)</f>
        <v>0</v>
      </c>
      <c r="D78" s="59">
        <f t="shared" si="19"/>
        <v>0</v>
      </c>
      <c r="E78" s="59">
        <f t="shared" si="19"/>
        <v>0</v>
      </c>
      <c r="F78" s="59">
        <f t="shared" si="19"/>
        <v>0</v>
      </c>
      <c r="G78" s="59">
        <f t="shared" si="19"/>
        <v>0</v>
      </c>
      <c r="H78" s="59">
        <f t="shared" si="19"/>
        <v>0</v>
      </c>
      <c r="I78" s="59">
        <f t="shared" si="19"/>
        <v>0</v>
      </c>
      <c r="J78" s="59">
        <f t="shared" si="19"/>
        <v>0</v>
      </c>
      <c r="K78" s="59">
        <f t="shared" si="19"/>
        <v>0</v>
      </c>
      <c r="L78" s="59">
        <f t="shared" si="19"/>
        <v>0</v>
      </c>
      <c r="M78" s="59">
        <f t="shared" si="19"/>
        <v>0</v>
      </c>
      <c r="N78" s="59">
        <f t="shared" si="19"/>
        <v>0</v>
      </c>
      <c r="O78" s="59">
        <f t="shared" si="19"/>
        <v>0</v>
      </c>
      <c r="P78" s="59">
        <f t="shared" si="19"/>
        <v>0</v>
      </c>
      <c r="Q78" s="59">
        <f t="shared" si="19"/>
        <v>0</v>
      </c>
      <c r="R78" s="59">
        <f t="shared" si="19"/>
        <v>0</v>
      </c>
      <c r="S78" s="59">
        <f t="shared" si="19"/>
        <v>0</v>
      </c>
      <c r="T78" s="59">
        <f t="shared" si="19"/>
        <v>0</v>
      </c>
      <c r="U78" s="59">
        <f t="shared" si="19"/>
        <v>0</v>
      </c>
      <c r="V78" s="59">
        <f t="shared" si="19"/>
        <v>0</v>
      </c>
      <c r="W78" s="59">
        <f t="shared" si="19"/>
        <v>0</v>
      </c>
      <c r="X78" s="59">
        <f t="shared" si="19"/>
        <v>0</v>
      </c>
      <c r="Y78" s="59">
        <f t="shared" si="19"/>
        <v>0</v>
      </c>
      <c r="Z78" s="59">
        <f t="shared" si="19"/>
        <v>0</v>
      </c>
      <c r="AA78" s="59">
        <f t="shared" si="19"/>
        <v>0</v>
      </c>
      <c r="AB78" s="59">
        <f t="shared" si="19"/>
        <v>0</v>
      </c>
      <c r="AC78" s="59">
        <f t="shared" si="19"/>
        <v>0</v>
      </c>
      <c r="AD78" s="59">
        <f t="shared" si="19"/>
        <v>0</v>
      </c>
      <c r="AE78" s="59">
        <f t="shared" si="19"/>
        <v>0</v>
      </c>
      <c r="AF78" s="59">
        <f t="shared" si="19"/>
        <v>0</v>
      </c>
      <c r="AG78" s="90"/>
      <c r="AH78" s="55">
        <f t="shared" si="17"/>
        <v>0</v>
      </c>
      <c r="AI78" s="56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7"/>
        <v>0</v>
      </c>
      <c r="AI79" s="56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0">SUM(B74:B79)</f>
        <v>0</v>
      </c>
      <c r="C80" s="72">
        <f t="shared" si="20"/>
        <v>0</v>
      </c>
      <c r="D80" s="72">
        <f t="shared" si="20"/>
        <v>0</v>
      </c>
      <c r="E80" s="72">
        <f t="shared" si="20"/>
        <v>0</v>
      </c>
      <c r="F80" s="72">
        <f t="shared" si="20"/>
        <v>0</v>
      </c>
      <c r="G80" s="72">
        <f t="shared" si="20"/>
        <v>0</v>
      </c>
      <c r="H80" s="72">
        <f t="shared" si="20"/>
        <v>0</v>
      </c>
      <c r="I80" s="72">
        <f t="shared" si="20"/>
        <v>0</v>
      </c>
      <c r="J80" s="72">
        <f t="shared" si="20"/>
        <v>0</v>
      </c>
      <c r="K80" s="72">
        <f t="shared" si="20"/>
        <v>0</v>
      </c>
      <c r="L80" s="72">
        <f t="shared" si="20"/>
        <v>0</v>
      </c>
      <c r="M80" s="72">
        <f t="shared" si="20"/>
        <v>0</v>
      </c>
      <c r="N80" s="72">
        <f t="shared" si="20"/>
        <v>0</v>
      </c>
      <c r="O80" s="72">
        <f t="shared" si="20"/>
        <v>0</v>
      </c>
      <c r="P80" s="72">
        <f t="shared" si="20"/>
        <v>0</v>
      </c>
      <c r="Q80" s="72">
        <f t="shared" si="20"/>
        <v>0</v>
      </c>
      <c r="R80" s="72">
        <f t="shared" si="20"/>
        <v>0</v>
      </c>
      <c r="S80" s="72">
        <f t="shared" si="20"/>
        <v>0</v>
      </c>
      <c r="T80" s="72">
        <f t="shared" si="20"/>
        <v>0</v>
      </c>
      <c r="U80" s="72">
        <f t="shared" si="20"/>
        <v>0</v>
      </c>
      <c r="V80" s="72">
        <f t="shared" si="20"/>
        <v>0</v>
      </c>
      <c r="W80" s="72">
        <f t="shared" si="20"/>
        <v>0</v>
      </c>
      <c r="X80" s="72">
        <f t="shared" si="20"/>
        <v>0</v>
      </c>
      <c r="Y80" s="72">
        <f t="shared" si="20"/>
        <v>0</v>
      </c>
      <c r="Z80" s="72">
        <f t="shared" si="20"/>
        <v>0</v>
      </c>
      <c r="AA80" s="72">
        <f t="shared" si="20"/>
        <v>0</v>
      </c>
      <c r="AB80" s="72">
        <f t="shared" si="20"/>
        <v>0</v>
      </c>
      <c r="AC80" s="72">
        <f t="shared" si="20"/>
        <v>0</v>
      </c>
      <c r="AD80" s="72">
        <f t="shared" si="20"/>
        <v>0</v>
      </c>
      <c r="AE80" s="72">
        <f t="shared" si="20"/>
        <v>0</v>
      </c>
      <c r="AF80" s="72">
        <f t="shared" si="20"/>
        <v>0</v>
      </c>
      <c r="AG80" s="77">
        <f t="shared" si="20"/>
        <v>0</v>
      </c>
      <c r="AH80" s="55">
        <f t="shared" si="17"/>
        <v>0</v>
      </c>
      <c r="AI80" s="56">
        <f t="shared" si="18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1">SUM(B68:B80)</f>
        <v>7.08</v>
      </c>
      <c r="C81" s="72">
        <f t="shared" si="21"/>
        <v>7.08</v>
      </c>
      <c r="D81" s="72">
        <f t="shared" si="21"/>
        <v>7.08</v>
      </c>
      <c r="E81" s="72">
        <f t="shared" si="21"/>
        <v>7.08</v>
      </c>
      <c r="F81" s="72">
        <f t="shared" si="21"/>
        <v>7.08</v>
      </c>
      <c r="G81" s="72">
        <f t="shared" si="21"/>
        <v>7.08</v>
      </c>
      <c r="H81" s="72">
        <f t="shared" si="21"/>
        <v>7.08</v>
      </c>
      <c r="I81" s="72">
        <f t="shared" si="21"/>
        <v>7.08</v>
      </c>
      <c r="J81" s="72">
        <f t="shared" si="21"/>
        <v>7.08</v>
      </c>
      <c r="K81" s="72">
        <f t="shared" si="21"/>
        <v>7.08</v>
      </c>
      <c r="L81" s="72">
        <f t="shared" si="21"/>
        <v>7.08</v>
      </c>
      <c r="M81" s="72">
        <f t="shared" si="21"/>
        <v>7.08</v>
      </c>
      <c r="N81" s="72">
        <f t="shared" si="21"/>
        <v>7.08</v>
      </c>
      <c r="O81" s="72">
        <f t="shared" si="21"/>
        <v>7.08</v>
      </c>
      <c r="P81" s="72">
        <f t="shared" si="21"/>
        <v>7.08</v>
      </c>
      <c r="Q81" s="72">
        <f t="shared" si="21"/>
        <v>7.08</v>
      </c>
      <c r="R81" s="72">
        <f t="shared" si="21"/>
        <v>7.08</v>
      </c>
      <c r="S81" s="72">
        <f t="shared" si="21"/>
        <v>7.08</v>
      </c>
      <c r="T81" s="72">
        <f t="shared" si="21"/>
        <v>7.08</v>
      </c>
      <c r="U81" s="72">
        <f t="shared" si="21"/>
        <v>7.08</v>
      </c>
      <c r="V81" s="72">
        <f t="shared" si="21"/>
        <v>7.08</v>
      </c>
      <c r="W81" s="72">
        <f t="shared" si="21"/>
        <v>7.08</v>
      </c>
      <c r="X81" s="72">
        <f t="shared" si="21"/>
        <v>7.08</v>
      </c>
      <c r="Y81" s="72">
        <f t="shared" si="21"/>
        <v>7.08</v>
      </c>
      <c r="Z81" s="72">
        <f t="shared" si="21"/>
        <v>7.08</v>
      </c>
      <c r="AA81" s="72">
        <f t="shared" si="21"/>
        <v>7.08</v>
      </c>
      <c r="AB81" s="72">
        <f t="shared" si="21"/>
        <v>7.08</v>
      </c>
      <c r="AC81" s="72">
        <f t="shared" si="21"/>
        <v>7.08</v>
      </c>
      <c r="AD81" s="72">
        <f t="shared" si="21"/>
        <v>7.08</v>
      </c>
      <c r="AE81" s="72">
        <f t="shared" si="21"/>
        <v>7.08</v>
      </c>
      <c r="AF81" s="72">
        <f t="shared" si="21"/>
        <v>7.08</v>
      </c>
      <c r="AG81" s="77">
        <f t="shared" si="21"/>
        <v>4238.08</v>
      </c>
      <c r="AH81" s="55">
        <f t="shared" si="17"/>
        <v>7.08</v>
      </c>
      <c r="AI81" s="56">
        <f t="shared" si="18"/>
        <v>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4"/>
      <c r="AG82" s="95"/>
      <c r="AH82" s="55">
        <f t="shared" si="17"/>
        <v>0</v>
      </c>
      <c r="AI82" s="56">
        <f t="shared" si="18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97"/>
      <c r="U83" s="97"/>
      <c r="V83" s="97"/>
      <c r="W83" s="97"/>
      <c r="X83" s="97"/>
      <c r="Y83" s="97"/>
      <c r="Z83" s="97"/>
      <c r="AA83" s="52"/>
      <c r="AB83" s="52"/>
      <c r="AC83" s="52"/>
      <c r="AD83" s="52"/>
      <c r="AE83" s="52"/>
      <c r="AF83" s="98"/>
      <c r="AG83" s="99"/>
      <c r="AH83" s="55">
        <f t="shared" si="17"/>
        <v>0</v>
      </c>
      <c r="AI83" s="56">
        <f t="shared" si="18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97"/>
      <c r="U84" s="97"/>
      <c r="V84" s="97"/>
      <c r="W84" s="97"/>
      <c r="X84" s="97"/>
      <c r="Y84" s="97"/>
      <c r="Z84" s="97"/>
      <c r="AA84" s="52"/>
      <c r="AB84" s="52"/>
      <c r="AC84" s="52"/>
      <c r="AD84" s="52"/>
      <c r="AE84" s="52"/>
      <c r="AF84" s="98"/>
      <c r="AG84" s="99"/>
      <c r="AH84" s="55">
        <f t="shared" si="17"/>
        <v>0</v>
      </c>
      <c r="AI84" s="56">
        <f t="shared" si="18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97"/>
      <c r="X85" s="97"/>
      <c r="Y85" s="97"/>
      <c r="Z85" s="97"/>
      <c r="AA85" s="52"/>
      <c r="AB85" s="52"/>
      <c r="AC85" s="52"/>
      <c r="AD85" s="52"/>
      <c r="AE85" s="52"/>
      <c r="AF85" s="98"/>
      <c r="AG85" s="99"/>
      <c r="AH85" s="55">
        <f t="shared" si="17"/>
        <v>0</v>
      </c>
      <c r="AI85" s="56">
        <f t="shared" si="18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97"/>
      <c r="X86" s="97"/>
      <c r="Y86" s="97"/>
      <c r="Z86" s="97"/>
      <c r="AA86" s="52"/>
      <c r="AB86" s="52"/>
      <c r="AC86" s="52"/>
      <c r="AD86" s="52"/>
      <c r="AE86" s="52"/>
      <c r="AF86" s="98"/>
      <c r="AG86" s="99"/>
      <c r="AH86" s="55">
        <f t="shared" si="17"/>
        <v>0</v>
      </c>
      <c r="AI86" s="56">
        <f t="shared" si="18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97"/>
      <c r="X87" s="97"/>
      <c r="Y87" s="97"/>
      <c r="Z87" s="97"/>
      <c r="AA87" s="101"/>
      <c r="AB87" s="101"/>
      <c r="AC87" s="101"/>
      <c r="AD87" s="101"/>
      <c r="AE87" s="101"/>
      <c r="AF87" s="102"/>
      <c r="AG87" s="103"/>
      <c r="AH87" s="55">
        <f t="shared" si="17"/>
        <v>0</v>
      </c>
      <c r="AI87" s="56">
        <f t="shared" si="18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97"/>
      <c r="X88" s="97"/>
      <c r="Y88" s="97"/>
      <c r="Z88" s="97"/>
      <c r="AA88" s="52"/>
      <c r="AB88" s="52"/>
      <c r="AC88" s="52"/>
      <c r="AD88" s="52"/>
      <c r="AE88" s="52"/>
      <c r="AF88" s="98"/>
      <c r="AG88" s="99"/>
      <c r="AH88" s="55">
        <f t="shared" si="17"/>
        <v>0</v>
      </c>
      <c r="AI88" s="56">
        <f t="shared" si="18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5"/>
      <c r="AG89" s="106"/>
      <c r="AH89" s="55">
        <f t="shared" si="17"/>
        <v>0</v>
      </c>
      <c r="AI89" s="56">
        <f t="shared" si="18"/>
        <v>0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78">
        <f>SUM(B14,B17,B20:B21,B40,B42:B43,B45,B47,B92:B95,B100,B106,B112,B121,B123,B135,B142,B145:B146,B153,B155,B157,B161:B163,B165:B167,B172,B178:B179,B181:B183,B191,B196)</f>
        <v>34.840000000000003</v>
      </c>
      <c r="C91" s="178">
        <f t="shared" ref="C91:AF91" si="22">SUM(C14,C17,C20:C21,C40,C42:C43,C45,C47,C92:C95,C100,C106,C112,C121,C123,C135,C142,C145:C146,C153,C155,C157,C161:C163,C165:C167,C172,C178:C179,C181:C183,C191,C196)</f>
        <v>34.840000000000003</v>
      </c>
      <c r="D91" s="178">
        <f t="shared" si="22"/>
        <v>34.840000000000003</v>
      </c>
      <c r="E91" s="178">
        <f t="shared" si="22"/>
        <v>34.840000000000003</v>
      </c>
      <c r="F91" s="111">
        <f t="shared" si="22"/>
        <v>34.840000000000003</v>
      </c>
      <c r="G91" s="111">
        <f t="shared" si="22"/>
        <v>34.840000000000003</v>
      </c>
      <c r="H91" s="111">
        <f t="shared" si="22"/>
        <v>34.840000000000003</v>
      </c>
      <c r="I91" s="111">
        <f t="shared" si="22"/>
        <v>34.840000000000003</v>
      </c>
      <c r="J91" s="111">
        <f t="shared" si="22"/>
        <v>34.840000000000003</v>
      </c>
      <c r="K91" s="111">
        <f t="shared" si="22"/>
        <v>34.840000000000003</v>
      </c>
      <c r="L91" s="111">
        <f t="shared" si="22"/>
        <v>34.840000000000003</v>
      </c>
      <c r="M91" s="111">
        <f t="shared" si="22"/>
        <v>34.840000000000003</v>
      </c>
      <c r="N91" s="111">
        <f t="shared" si="22"/>
        <v>34.840000000000003</v>
      </c>
      <c r="O91" s="111">
        <f t="shared" si="22"/>
        <v>34.840000000000003</v>
      </c>
      <c r="P91" s="111">
        <f t="shared" si="22"/>
        <v>34.840000000000003</v>
      </c>
      <c r="Q91" s="111">
        <f t="shared" si="22"/>
        <v>34.840000000000003</v>
      </c>
      <c r="R91" s="111">
        <f t="shared" si="22"/>
        <v>34.840000000000003</v>
      </c>
      <c r="S91" s="111">
        <f t="shared" si="22"/>
        <v>34.840000000000003</v>
      </c>
      <c r="T91" s="111">
        <f t="shared" si="22"/>
        <v>34.840000000000003</v>
      </c>
      <c r="U91" s="111">
        <f t="shared" si="22"/>
        <v>34.840000000000003</v>
      </c>
      <c r="V91" s="111">
        <f t="shared" si="22"/>
        <v>34.840000000000003</v>
      </c>
      <c r="W91" s="111">
        <f t="shared" si="22"/>
        <v>34.840000000000003</v>
      </c>
      <c r="X91" s="111">
        <f t="shared" si="22"/>
        <v>34.840000000000003</v>
      </c>
      <c r="Y91" s="111">
        <f t="shared" si="22"/>
        <v>34.840000000000003</v>
      </c>
      <c r="Z91" s="111">
        <f t="shared" si="22"/>
        <v>34.840000000000003</v>
      </c>
      <c r="AA91" s="111">
        <f t="shared" si="22"/>
        <v>34.840000000000003</v>
      </c>
      <c r="AB91" s="111">
        <f t="shared" si="22"/>
        <v>34.840000000000003</v>
      </c>
      <c r="AC91" s="111">
        <f t="shared" si="22"/>
        <v>34.840000000000003</v>
      </c>
      <c r="AD91" s="111">
        <f t="shared" si="22"/>
        <v>34.840000000000003</v>
      </c>
      <c r="AE91" s="111">
        <f t="shared" si="22"/>
        <v>34.840000000000003</v>
      </c>
      <c r="AF91" s="111">
        <f t="shared" si="22"/>
        <v>34.840000000000003</v>
      </c>
      <c r="AG91" s="112"/>
      <c r="AH91" s="55">
        <f>MAX(B91:AF91)</f>
        <v>34.840000000000003</v>
      </c>
      <c r="AI91" s="56">
        <f>MIN(B91:AF91)</f>
        <v>34.840000000000003</v>
      </c>
    </row>
    <row r="92" spans="1:88" x14ac:dyDescent="0.25">
      <c r="A92" s="113" t="s">
        <v>95</v>
      </c>
      <c r="B92" s="59"/>
      <c r="C92" s="59"/>
      <c r="D92" s="59"/>
      <c r="E92" s="59"/>
      <c r="F92" s="114"/>
      <c r="G92" s="114"/>
      <c r="H92" s="114"/>
      <c r="I92" s="114"/>
      <c r="J92" s="114"/>
      <c r="K92" s="114"/>
      <c r="L92" s="115"/>
      <c r="M92" s="114"/>
      <c r="N92" s="114"/>
      <c r="O92" s="114"/>
      <c r="P92" s="114"/>
      <c r="Q92" s="114"/>
      <c r="R92" s="114"/>
      <c r="S92" s="114"/>
      <c r="T92" s="115"/>
      <c r="U92" s="115"/>
      <c r="V92" s="115"/>
      <c r="W92" s="114"/>
      <c r="X92" s="114"/>
      <c r="Y92" s="114"/>
      <c r="Z92" s="114"/>
      <c r="AA92" s="115"/>
      <c r="AB92" s="115"/>
      <c r="AC92" s="115"/>
      <c r="AD92" s="115"/>
      <c r="AE92" s="115"/>
      <c r="AF92" s="116"/>
      <c r="AG92" s="117">
        <v>75</v>
      </c>
      <c r="AH92" s="55">
        <f>IF(ABS(MAX(B92:AF92))&gt;ABS(MIN(B92:AF92)),MAX(B92:AF92),MIN(B92:AF92))</f>
        <v>0</v>
      </c>
      <c r="AI92" s="118" t="e">
        <f>INDEX($B$9:$AF$9,1,MATCH(AH92,B92:AF92,0))</f>
        <v>#N/A</v>
      </c>
    </row>
    <row r="93" spans="1:88" x14ac:dyDescent="0.25">
      <c r="A93" s="119" t="s">
        <v>96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52"/>
      <c r="AB93" s="52"/>
      <c r="AC93" s="52"/>
      <c r="AD93" s="52"/>
      <c r="AE93" s="52"/>
      <c r="AF93" s="120"/>
      <c r="AG93" s="117">
        <v>240</v>
      </c>
      <c r="AH93" s="55">
        <f>IF(ABS(MAX(B93:AF93))&gt;ABS(MIN(B93:AF93)),MAX(B93:AF93),MIN(B93:AF93))</f>
        <v>0</v>
      </c>
      <c r="AI93" s="118" t="e">
        <f>INDEX($B$9:$AF$9,1,MATCH(AH93,B93:AF93,0))</f>
        <v>#N/A</v>
      </c>
    </row>
    <row r="94" spans="1:88" x14ac:dyDescent="0.25">
      <c r="A94" s="119" t="s">
        <v>97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52"/>
      <c r="AB94" s="52"/>
      <c r="AC94" s="52"/>
      <c r="AD94" s="52"/>
      <c r="AE94" s="52"/>
      <c r="AF94" s="120"/>
      <c r="AG94" s="117">
        <v>60</v>
      </c>
      <c r="AH94" s="55">
        <f>IF(ABS(MAX(B94:AF94))&gt;ABS(MIN(B94:AF94)),MAX(B94:AF94),MIN(B94:AF94))</f>
        <v>0</v>
      </c>
      <c r="AI94" s="118" t="e">
        <f>INDEX($B$9:$AF$9,1,MATCH(AH94,B94:AF94,0))</f>
        <v>#N/A</v>
      </c>
    </row>
    <row r="95" spans="1:88" x14ac:dyDescent="0.25">
      <c r="A95" s="121" t="s">
        <v>98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122"/>
      <c r="AB95" s="122"/>
      <c r="AC95" s="122"/>
      <c r="AD95" s="122"/>
      <c r="AE95" s="122"/>
      <c r="AF95" s="123"/>
      <c r="AG95" s="124">
        <v>120</v>
      </c>
      <c r="AH95" s="55">
        <f>IF(ABS(MAX(B95:AF95))&gt;ABS(MIN(B95:AF95)),MAX(B95:AF95),MIN(B95:AF95))</f>
        <v>0</v>
      </c>
      <c r="AI95" s="118" t="e">
        <f>INDEX($B$9:$AF$9,1,MATCH(AH95,B95:AF95,0))</f>
        <v>#N/A</v>
      </c>
    </row>
    <row r="96" spans="1:88" x14ac:dyDescent="0.25">
      <c r="A96" s="121" t="s">
        <v>99</v>
      </c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122"/>
      <c r="AB96" s="122"/>
      <c r="AC96" s="122"/>
      <c r="AD96" s="122"/>
      <c r="AE96" s="122"/>
      <c r="AF96" s="123"/>
      <c r="AG96" s="124"/>
      <c r="AH96" s="55">
        <f>IF(ABS(MAX(B96:AF96))&gt;ABS(MIN(B96:AF96)),MAX(B96:AF96),MIN(B96:AF96))</f>
        <v>0</v>
      </c>
      <c r="AI96" s="118" t="e">
        <f>INDEX($B$9:$AF$9,1,MATCH(AH96,B96:AF96,0))</f>
        <v>#N/A</v>
      </c>
    </row>
    <row r="97" spans="1:37" ht="15.75" thickBot="1" x14ac:dyDescent="0.3">
      <c r="A97" s="121" t="s">
        <v>100</v>
      </c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122"/>
      <c r="AB97" s="122"/>
      <c r="AC97" s="122"/>
      <c r="AD97" s="122"/>
      <c r="AE97" s="122"/>
      <c r="AF97" s="123"/>
      <c r="AG97" s="125"/>
      <c r="AH97" s="55"/>
      <c r="AI97" s="118"/>
    </row>
    <row r="98" spans="1:37" ht="15.75" thickBot="1" x14ac:dyDescent="0.3">
      <c r="A98" s="126" t="s">
        <v>101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8"/>
      <c r="AH98" s="129"/>
      <c r="AI98" s="56"/>
      <c r="AK98" s="57"/>
    </row>
    <row r="99" spans="1:37" x14ac:dyDescent="0.25">
      <c r="A99" s="130" t="s">
        <v>102</v>
      </c>
      <c r="B99" s="54">
        <v>9.9</v>
      </c>
      <c r="C99" s="131">
        <f t="shared" ref="C99:R104" si="23">B99</f>
        <v>9.9</v>
      </c>
      <c r="D99" s="131">
        <f t="shared" si="23"/>
        <v>9.9</v>
      </c>
      <c r="E99" s="131">
        <f t="shared" si="23"/>
        <v>9.9</v>
      </c>
      <c r="F99" s="131">
        <f t="shared" si="23"/>
        <v>9.9</v>
      </c>
      <c r="G99" s="131">
        <f t="shared" si="23"/>
        <v>9.9</v>
      </c>
      <c r="H99" s="131">
        <f t="shared" si="23"/>
        <v>9.9</v>
      </c>
      <c r="I99" s="131">
        <f t="shared" si="23"/>
        <v>9.9</v>
      </c>
      <c r="J99" s="131">
        <f t="shared" si="23"/>
        <v>9.9</v>
      </c>
      <c r="K99" s="131">
        <f t="shared" si="23"/>
        <v>9.9</v>
      </c>
      <c r="L99" s="131">
        <f t="shared" si="23"/>
        <v>9.9</v>
      </c>
      <c r="M99" s="131">
        <f t="shared" si="23"/>
        <v>9.9</v>
      </c>
      <c r="N99" s="131">
        <f t="shared" si="23"/>
        <v>9.9</v>
      </c>
      <c r="O99" s="131">
        <f t="shared" si="23"/>
        <v>9.9</v>
      </c>
      <c r="P99" s="131">
        <f t="shared" si="23"/>
        <v>9.9</v>
      </c>
      <c r="Q99" s="131">
        <f t="shared" si="23"/>
        <v>9.9</v>
      </c>
      <c r="R99" s="131">
        <f t="shared" si="23"/>
        <v>9.9</v>
      </c>
      <c r="S99" s="131">
        <f t="shared" ref="S99:AF104" si="24">R99</f>
        <v>9.9</v>
      </c>
      <c r="T99" s="131">
        <f t="shared" si="24"/>
        <v>9.9</v>
      </c>
      <c r="U99" s="131">
        <f t="shared" si="24"/>
        <v>9.9</v>
      </c>
      <c r="V99" s="131">
        <f t="shared" si="24"/>
        <v>9.9</v>
      </c>
      <c r="W99" s="131">
        <f t="shared" si="24"/>
        <v>9.9</v>
      </c>
      <c r="X99" s="131">
        <f t="shared" si="24"/>
        <v>9.9</v>
      </c>
      <c r="Y99" s="131">
        <f t="shared" si="24"/>
        <v>9.9</v>
      </c>
      <c r="Z99" s="131">
        <f t="shared" si="24"/>
        <v>9.9</v>
      </c>
      <c r="AA99" s="131">
        <f t="shared" si="24"/>
        <v>9.9</v>
      </c>
      <c r="AB99" s="131">
        <f t="shared" si="24"/>
        <v>9.9</v>
      </c>
      <c r="AC99" s="131">
        <f t="shared" si="24"/>
        <v>9.9</v>
      </c>
      <c r="AD99" s="131">
        <f t="shared" si="24"/>
        <v>9.9</v>
      </c>
      <c r="AE99" s="131">
        <f t="shared" si="24"/>
        <v>9.9</v>
      </c>
      <c r="AF99" s="131">
        <f t="shared" si="24"/>
        <v>9.9</v>
      </c>
      <c r="AG99" s="132">
        <v>9.94</v>
      </c>
      <c r="AH99" s="55"/>
      <c r="AI99" s="56"/>
      <c r="AK99" s="57"/>
    </row>
    <row r="100" spans="1:37" x14ac:dyDescent="0.25">
      <c r="A100" s="119" t="s">
        <v>103</v>
      </c>
      <c r="B100" s="133">
        <v>9.6</v>
      </c>
      <c r="C100" s="134">
        <f t="shared" si="23"/>
        <v>9.6</v>
      </c>
      <c r="D100" s="134">
        <f t="shared" si="23"/>
        <v>9.6</v>
      </c>
      <c r="E100" s="134">
        <f t="shared" si="23"/>
        <v>9.6</v>
      </c>
      <c r="F100" s="134">
        <f t="shared" si="23"/>
        <v>9.6</v>
      </c>
      <c r="G100" s="134">
        <f t="shared" si="23"/>
        <v>9.6</v>
      </c>
      <c r="H100" s="134">
        <f t="shared" si="23"/>
        <v>9.6</v>
      </c>
      <c r="I100" s="134">
        <f t="shared" si="23"/>
        <v>9.6</v>
      </c>
      <c r="J100" s="134">
        <f t="shared" si="23"/>
        <v>9.6</v>
      </c>
      <c r="K100" s="134">
        <f t="shared" si="23"/>
        <v>9.6</v>
      </c>
      <c r="L100" s="134">
        <f t="shared" si="23"/>
        <v>9.6</v>
      </c>
      <c r="M100" s="134">
        <f t="shared" si="23"/>
        <v>9.6</v>
      </c>
      <c r="N100" s="134">
        <f t="shared" si="23"/>
        <v>9.6</v>
      </c>
      <c r="O100" s="134">
        <f t="shared" si="23"/>
        <v>9.6</v>
      </c>
      <c r="P100" s="134">
        <f t="shared" si="23"/>
        <v>9.6</v>
      </c>
      <c r="Q100" s="134">
        <f t="shared" si="23"/>
        <v>9.6</v>
      </c>
      <c r="R100" s="134">
        <f t="shared" si="23"/>
        <v>9.6</v>
      </c>
      <c r="S100" s="134">
        <f t="shared" si="24"/>
        <v>9.6</v>
      </c>
      <c r="T100" s="134">
        <f t="shared" si="24"/>
        <v>9.6</v>
      </c>
      <c r="U100" s="134">
        <f t="shared" si="24"/>
        <v>9.6</v>
      </c>
      <c r="V100" s="134">
        <f t="shared" si="24"/>
        <v>9.6</v>
      </c>
      <c r="W100" s="134">
        <f t="shared" si="24"/>
        <v>9.6</v>
      </c>
      <c r="X100" s="134">
        <f t="shared" si="24"/>
        <v>9.6</v>
      </c>
      <c r="Y100" s="134">
        <f t="shared" si="24"/>
        <v>9.6</v>
      </c>
      <c r="Z100" s="134">
        <f t="shared" si="24"/>
        <v>9.6</v>
      </c>
      <c r="AA100" s="134">
        <f t="shared" si="24"/>
        <v>9.6</v>
      </c>
      <c r="AB100" s="134">
        <f t="shared" si="24"/>
        <v>9.6</v>
      </c>
      <c r="AC100" s="134">
        <f t="shared" si="24"/>
        <v>9.6</v>
      </c>
      <c r="AD100" s="134">
        <f t="shared" si="24"/>
        <v>9.6</v>
      </c>
      <c r="AE100" s="134">
        <f t="shared" si="24"/>
        <v>9.6</v>
      </c>
      <c r="AF100" s="134">
        <f t="shared" si="24"/>
        <v>9.6</v>
      </c>
      <c r="AG100" s="135">
        <v>9.9</v>
      </c>
      <c r="AH100" s="55"/>
      <c r="AI100" s="56"/>
      <c r="AK100" s="57"/>
    </row>
    <row r="101" spans="1:37" x14ac:dyDescent="0.25">
      <c r="A101" s="121" t="s">
        <v>104</v>
      </c>
      <c r="B101" s="133">
        <v>9.98</v>
      </c>
      <c r="C101" s="134">
        <f t="shared" si="23"/>
        <v>9.98</v>
      </c>
      <c r="D101" s="134">
        <f t="shared" si="23"/>
        <v>9.98</v>
      </c>
      <c r="E101" s="134">
        <f t="shared" si="23"/>
        <v>9.98</v>
      </c>
      <c r="F101" s="134">
        <f t="shared" si="23"/>
        <v>9.98</v>
      </c>
      <c r="G101" s="134">
        <f t="shared" si="23"/>
        <v>9.98</v>
      </c>
      <c r="H101" s="134">
        <f t="shared" si="23"/>
        <v>9.98</v>
      </c>
      <c r="I101" s="134">
        <f t="shared" si="23"/>
        <v>9.98</v>
      </c>
      <c r="J101" s="134">
        <f t="shared" si="23"/>
        <v>9.98</v>
      </c>
      <c r="K101" s="134">
        <f t="shared" si="23"/>
        <v>9.98</v>
      </c>
      <c r="L101" s="134">
        <f t="shared" si="23"/>
        <v>9.98</v>
      </c>
      <c r="M101" s="134">
        <f t="shared" si="23"/>
        <v>9.98</v>
      </c>
      <c r="N101" s="134">
        <f t="shared" si="23"/>
        <v>9.98</v>
      </c>
      <c r="O101" s="134">
        <f t="shared" si="23"/>
        <v>9.98</v>
      </c>
      <c r="P101" s="134">
        <f t="shared" si="23"/>
        <v>9.98</v>
      </c>
      <c r="Q101" s="134">
        <f t="shared" si="23"/>
        <v>9.98</v>
      </c>
      <c r="R101" s="134">
        <f t="shared" si="23"/>
        <v>9.98</v>
      </c>
      <c r="S101" s="134">
        <f t="shared" si="24"/>
        <v>9.98</v>
      </c>
      <c r="T101" s="134">
        <f t="shared" si="24"/>
        <v>9.98</v>
      </c>
      <c r="U101" s="134">
        <f t="shared" si="24"/>
        <v>9.98</v>
      </c>
      <c r="V101" s="134">
        <f t="shared" si="24"/>
        <v>9.98</v>
      </c>
      <c r="W101" s="134">
        <f t="shared" si="24"/>
        <v>9.98</v>
      </c>
      <c r="X101" s="134">
        <f t="shared" si="24"/>
        <v>9.98</v>
      </c>
      <c r="Y101" s="134">
        <f t="shared" si="24"/>
        <v>9.98</v>
      </c>
      <c r="Z101" s="134">
        <f t="shared" si="24"/>
        <v>9.98</v>
      </c>
      <c r="AA101" s="134">
        <f t="shared" si="24"/>
        <v>9.98</v>
      </c>
      <c r="AB101" s="134">
        <f t="shared" si="24"/>
        <v>9.98</v>
      </c>
      <c r="AC101" s="134">
        <f t="shared" si="24"/>
        <v>9.98</v>
      </c>
      <c r="AD101" s="134">
        <f t="shared" si="24"/>
        <v>9.98</v>
      </c>
      <c r="AE101" s="134">
        <f t="shared" si="24"/>
        <v>9.98</v>
      </c>
      <c r="AF101" s="134">
        <f t="shared" si="24"/>
        <v>9.98</v>
      </c>
      <c r="AG101" s="136">
        <v>9.6579999999999995</v>
      </c>
      <c r="AH101" s="55"/>
      <c r="AI101" s="56"/>
      <c r="AK101" s="57"/>
    </row>
    <row r="102" spans="1:37" x14ac:dyDescent="0.25">
      <c r="A102" s="121" t="s">
        <v>105</v>
      </c>
      <c r="B102" s="133">
        <v>9.1</v>
      </c>
      <c r="C102" s="134">
        <f t="shared" si="23"/>
        <v>9.1</v>
      </c>
      <c r="D102" s="134">
        <f t="shared" si="23"/>
        <v>9.1</v>
      </c>
      <c r="E102" s="134">
        <f t="shared" si="23"/>
        <v>9.1</v>
      </c>
      <c r="F102" s="134">
        <f t="shared" si="23"/>
        <v>9.1</v>
      </c>
      <c r="G102" s="134">
        <f t="shared" si="23"/>
        <v>9.1</v>
      </c>
      <c r="H102" s="134">
        <f t="shared" si="23"/>
        <v>9.1</v>
      </c>
      <c r="I102" s="134">
        <f t="shared" si="23"/>
        <v>9.1</v>
      </c>
      <c r="J102" s="134">
        <f t="shared" si="23"/>
        <v>9.1</v>
      </c>
      <c r="K102" s="134">
        <f t="shared" si="23"/>
        <v>9.1</v>
      </c>
      <c r="L102" s="134">
        <f t="shared" si="23"/>
        <v>9.1</v>
      </c>
      <c r="M102" s="134">
        <f t="shared" si="23"/>
        <v>9.1</v>
      </c>
      <c r="N102" s="134">
        <f t="shared" si="23"/>
        <v>9.1</v>
      </c>
      <c r="O102" s="134">
        <f t="shared" si="23"/>
        <v>9.1</v>
      </c>
      <c r="P102" s="134">
        <f t="shared" si="23"/>
        <v>9.1</v>
      </c>
      <c r="Q102" s="134">
        <f t="shared" si="23"/>
        <v>9.1</v>
      </c>
      <c r="R102" s="134">
        <f t="shared" si="23"/>
        <v>9.1</v>
      </c>
      <c r="S102" s="134">
        <f t="shared" si="24"/>
        <v>9.1</v>
      </c>
      <c r="T102" s="134">
        <f t="shared" si="24"/>
        <v>9.1</v>
      </c>
      <c r="U102" s="134">
        <f t="shared" si="24"/>
        <v>9.1</v>
      </c>
      <c r="V102" s="134">
        <f t="shared" si="24"/>
        <v>9.1</v>
      </c>
      <c r="W102" s="134">
        <f t="shared" si="24"/>
        <v>9.1</v>
      </c>
      <c r="X102" s="134">
        <f t="shared" si="24"/>
        <v>9.1</v>
      </c>
      <c r="Y102" s="134">
        <f t="shared" si="24"/>
        <v>9.1</v>
      </c>
      <c r="Z102" s="134">
        <f t="shared" si="24"/>
        <v>9.1</v>
      </c>
      <c r="AA102" s="134">
        <f t="shared" si="24"/>
        <v>9.1</v>
      </c>
      <c r="AB102" s="134">
        <f t="shared" si="24"/>
        <v>9.1</v>
      </c>
      <c r="AC102" s="134">
        <f t="shared" si="24"/>
        <v>9.1</v>
      </c>
      <c r="AD102" s="134">
        <f t="shared" si="24"/>
        <v>9.1</v>
      </c>
      <c r="AE102" s="134">
        <f t="shared" si="24"/>
        <v>9.1</v>
      </c>
      <c r="AF102" s="134">
        <f t="shared" si="24"/>
        <v>9.1</v>
      </c>
      <c r="AG102" s="136">
        <v>9.6</v>
      </c>
      <c r="AH102" s="55"/>
      <c r="AI102" s="56"/>
      <c r="AK102" s="57"/>
    </row>
    <row r="103" spans="1:37" x14ac:dyDescent="0.25">
      <c r="A103" s="121" t="s">
        <v>106</v>
      </c>
      <c r="B103" s="133">
        <v>9.18</v>
      </c>
      <c r="C103" s="134">
        <f t="shared" si="23"/>
        <v>9.18</v>
      </c>
      <c r="D103" s="134">
        <f t="shared" si="23"/>
        <v>9.18</v>
      </c>
      <c r="E103" s="134">
        <f t="shared" si="23"/>
        <v>9.18</v>
      </c>
      <c r="F103" s="134">
        <f t="shared" si="23"/>
        <v>9.18</v>
      </c>
      <c r="G103" s="134">
        <f t="shared" si="23"/>
        <v>9.18</v>
      </c>
      <c r="H103" s="134">
        <f t="shared" si="23"/>
        <v>9.18</v>
      </c>
      <c r="I103" s="134">
        <f t="shared" si="23"/>
        <v>9.18</v>
      </c>
      <c r="J103" s="134">
        <f t="shared" si="23"/>
        <v>9.18</v>
      </c>
      <c r="K103" s="134">
        <f t="shared" si="23"/>
        <v>9.18</v>
      </c>
      <c r="L103" s="134">
        <f t="shared" si="23"/>
        <v>9.18</v>
      </c>
      <c r="M103" s="134">
        <f t="shared" si="23"/>
        <v>9.18</v>
      </c>
      <c r="N103" s="134">
        <f t="shared" si="23"/>
        <v>9.18</v>
      </c>
      <c r="O103" s="134">
        <f t="shared" si="23"/>
        <v>9.18</v>
      </c>
      <c r="P103" s="134">
        <f t="shared" si="23"/>
        <v>9.18</v>
      </c>
      <c r="Q103" s="134">
        <f t="shared" si="23"/>
        <v>9.18</v>
      </c>
      <c r="R103" s="134">
        <f t="shared" si="23"/>
        <v>9.18</v>
      </c>
      <c r="S103" s="134">
        <f t="shared" si="24"/>
        <v>9.18</v>
      </c>
      <c r="T103" s="134">
        <f t="shared" si="24"/>
        <v>9.18</v>
      </c>
      <c r="U103" s="134">
        <f t="shared" si="24"/>
        <v>9.18</v>
      </c>
      <c r="V103" s="134">
        <f t="shared" si="24"/>
        <v>9.18</v>
      </c>
      <c r="W103" s="134">
        <f t="shared" si="24"/>
        <v>9.18</v>
      </c>
      <c r="X103" s="134">
        <f t="shared" si="24"/>
        <v>9.18</v>
      </c>
      <c r="Y103" s="134">
        <f t="shared" si="24"/>
        <v>9.18</v>
      </c>
      <c r="Z103" s="134">
        <f t="shared" si="24"/>
        <v>9.18</v>
      </c>
      <c r="AA103" s="134">
        <f t="shared" si="24"/>
        <v>9.18</v>
      </c>
      <c r="AB103" s="134">
        <f t="shared" si="24"/>
        <v>9.18</v>
      </c>
      <c r="AC103" s="134">
        <f t="shared" si="24"/>
        <v>9.18</v>
      </c>
      <c r="AD103" s="134">
        <f t="shared" si="24"/>
        <v>9.18</v>
      </c>
      <c r="AE103" s="134">
        <f t="shared" si="24"/>
        <v>9.18</v>
      </c>
      <c r="AF103" s="134">
        <f t="shared" si="24"/>
        <v>9.18</v>
      </c>
      <c r="AG103" s="136">
        <v>9.51</v>
      </c>
      <c r="AH103" s="55"/>
      <c r="AI103" s="56"/>
      <c r="AK103" s="57"/>
    </row>
    <row r="104" spans="1:37" x14ac:dyDescent="0.25">
      <c r="A104" s="121" t="s">
        <v>107</v>
      </c>
      <c r="B104" s="133">
        <v>7</v>
      </c>
      <c r="C104" s="134">
        <f t="shared" si="23"/>
        <v>7</v>
      </c>
      <c r="D104" s="134">
        <f t="shared" si="23"/>
        <v>7</v>
      </c>
      <c r="E104" s="134">
        <f t="shared" si="23"/>
        <v>7</v>
      </c>
      <c r="F104" s="134">
        <f t="shared" si="23"/>
        <v>7</v>
      </c>
      <c r="G104" s="134">
        <f t="shared" si="23"/>
        <v>7</v>
      </c>
      <c r="H104" s="134">
        <f t="shared" si="23"/>
        <v>7</v>
      </c>
      <c r="I104" s="134">
        <f t="shared" si="23"/>
        <v>7</v>
      </c>
      <c r="J104" s="134">
        <f t="shared" si="23"/>
        <v>7</v>
      </c>
      <c r="K104" s="134">
        <f t="shared" si="23"/>
        <v>7</v>
      </c>
      <c r="L104" s="134">
        <f t="shared" si="23"/>
        <v>7</v>
      </c>
      <c r="M104" s="134">
        <f t="shared" si="23"/>
        <v>7</v>
      </c>
      <c r="N104" s="134">
        <f t="shared" si="23"/>
        <v>7</v>
      </c>
      <c r="O104" s="134">
        <f t="shared" si="23"/>
        <v>7</v>
      </c>
      <c r="P104" s="134">
        <f t="shared" si="23"/>
        <v>7</v>
      </c>
      <c r="Q104" s="134">
        <f t="shared" si="23"/>
        <v>7</v>
      </c>
      <c r="R104" s="134">
        <f t="shared" si="23"/>
        <v>7</v>
      </c>
      <c r="S104" s="134">
        <f t="shared" si="24"/>
        <v>7</v>
      </c>
      <c r="T104" s="134">
        <f t="shared" si="24"/>
        <v>7</v>
      </c>
      <c r="U104" s="134">
        <f t="shared" si="24"/>
        <v>7</v>
      </c>
      <c r="V104" s="134">
        <f t="shared" si="24"/>
        <v>7</v>
      </c>
      <c r="W104" s="134">
        <f t="shared" si="24"/>
        <v>7</v>
      </c>
      <c r="X104" s="134">
        <f t="shared" si="24"/>
        <v>7</v>
      </c>
      <c r="Y104" s="134">
        <f t="shared" si="24"/>
        <v>7</v>
      </c>
      <c r="Z104" s="134">
        <f t="shared" si="24"/>
        <v>7</v>
      </c>
      <c r="AA104" s="134">
        <f t="shared" si="24"/>
        <v>7</v>
      </c>
      <c r="AB104" s="134">
        <f t="shared" si="24"/>
        <v>7</v>
      </c>
      <c r="AC104" s="134">
        <f t="shared" si="24"/>
        <v>7</v>
      </c>
      <c r="AD104" s="134">
        <f t="shared" si="24"/>
        <v>7</v>
      </c>
      <c r="AE104" s="134">
        <f t="shared" si="24"/>
        <v>7</v>
      </c>
      <c r="AF104" s="134">
        <f t="shared" si="24"/>
        <v>7</v>
      </c>
      <c r="AG104" s="136">
        <v>9.4</v>
      </c>
      <c r="AH104" s="55"/>
      <c r="AI104" s="56"/>
      <c r="AK104" s="57"/>
    </row>
    <row r="105" spans="1:37" x14ac:dyDescent="0.25">
      <c r="A105" s="121" t="s">
        <v>108</v>
      </c>
      <c r="B105" s="133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6">
        <v>8.8000000000000007</v>
      </c>
      <c r="AH105" s="55"/>
      <c r="AI105" s="56"/>
      <c r="AK105" s="57"/>
    </row>
    <row r="106" spans="1:37" x14ac:dyDescent="0.25">
      <c r="A106" s="121" t="s">
        <v>109</v>
      </c>
      <c r="B106" s="133">
        <v>2.25</v>
      </c>
      <c r="C106" s="134">
        <f t="shared" ref="C106:R107" si="25">B106</f>
        <v>2.25</v>
      </c>
      <c r="D106" s="134">
        <f t="shared" si="25"/>
        <v>2.25</v>
      </c>
      <c r="E106" s="134">
        <f t="shared" si="25"/>
        <v>2.25</v>
      </c>
      <c r="F106" s="134">
        <f t="shared" si="25"/>
        <v>2.25</v>
      </c>
      <c r="G106" s="134">
        <f t="shared" si="25"/>
        <v>2.25</v>
      </c>
      <c r="H106" s="134">
        <f t="shared" si="25"/>
        <v>2.25</v>
      </c>
      <c r="I106" s="134">
        <f t="shared" si="25"/>
        <v>2.25</v>
      </c>
      <c r="J106" s="134">
        <f t="shared" si="25"/>
        <v>2.25</v>
      </c>
      <c r="K106" s="134">
        <f t="shared" si="25"/>
        <v>2.25</v>
      </c>
      <c r="L106" s="134">
        <f t="shared" si="25"/>
        <v>2.25</v>
      </c>
      <c r="M106" s="134">
        <f t="shared" si="25"/>
        <v>2.25</v>
      </c>
      <c r="N106" s="134">
        <f t="shared" si="25"/>
        <v>2.25</v>
      </c>
      <c r="O106" s="134">
        <f t="shared" si="25"/>
        <v>2.25</v>
      </c>
      <c r="P106" s="134">
        <f t="shared" si="25"/>
        <v>2.25</v>
      </c>
      <c r="Q106" s="134">
        <f t="shared" si="25"/>
        <v>2.25</v>
      </c>
      <c r="R106" s="134">
        <f t="shared" si="25"/>
        <v>2.25</v>
      </c>
      <c r="S106" s="134">
        <f t="shared" ref="S106:AF107" si="26">R106</f>
        <v>2.25</v>
      </c>
      <c r="T106" s="134">
        <f t="shared" si="26"/>
        <v>2.25</v>
      </c>
      <c r="U106" s="134">
        <f t="shared" si="26"/>
        <v>2.25</v>
      </c>
      <c r="V106" s="134">
        <f t="shared" si="26"/>
        <v>2.25</v>
      </c>
      <c r="W106" s="134">
        <f t="shared" si="26"/>
        <v>2.25</v>
      </c>
      <c r="X106" s="134">
        <f t="shared" si="26"/>
        <v>2.25</v>
      </c>
      <c r="Y106" s="134">
        <f t="shared" si="26"/>
        <v>2.25</v>
      </c>
      <c r="Z106" s="134">
        <f t="shared" si="26"/>
        <v>2.25</v>
      </c>
      <c r="AA106" s="134">
        <f t="shared" si="26"/>
        <v>2.25</v>
      </c>
      <c r="AB106" s="134">
        <f t="shared" si="26"/>
        <v>2.25</v>
      </c>
      <c r="AC106" s="134">
        <f t="shared" si="26"/>
        <v>2.25</v>
      </c>
      <c r="AD106" s="134">
        <f t="shared" si="26"/>
        <v>2.25</v>
      </c>
      <c r="AE106" s="134">
        <f t="shared" si="26"/>
        <v>2.25</v>
      </c>
      <c r="AF106" s="134">
        <f t="shared" si="26"/>
        <v>2.25</v>
      </c>
      <c r="AG106" s="136">
        <v>8.5</v>
      </c>
      <c r="AH106" s="55"/>
      <c r="AI106" s="56"/>
      <c r="AK106" s="57"/>
    </row>
    <row r="107" spans="1:37" x14ac:dyDescent="0.25">
      <c r="A107" s="121" t="s">
        <v>110</v>
      </c>
      <c r="B107" s="133">
        <v>1.64</v>
      </c>
      <c r="C107" s="134">
        <f t="shared" si="25"/>
        <v>1.64</v>
      </c>
      <c r="D107" s="134">
        <f t="shared" si="25"/>
        <v>1.64</v>
      </c>
      <c r="E107" s="134">
        <f t="shared" si="25"/>
        <v>1.64</v>
      </c>
      <c r="F107" s="134">
        <f t="shared" si="25"/>
        <v>1.64</v>
      </c>
      <c r="G107" s="134">
        <f t="shared" si="25"/>
        <v>1.64</v>
      </c>
      <c r="H107" s="134">
        <f t="shared" si="25"/>
        <v>1.64</v>
      </c>
      <c r="I107" s="134">
        <f t="shared" si="25"/>
        <v>1.64</v>
      </c>
      <c r="J107" s="134">
        <f t="shared" si="25"/>
        <v>1.64</v>
      </c>
      <c r="K107" s="134">
        <f t="shared" si="25"/>
        <v>1.64</v>
      </c>
      <c r="L107" s="134">
        <f t="shared" si="25"/>
        <v>1.64</v>
      </c>
      <c r="M107" s="134">
        <f t="shared" si="25"/>
        <v>1.64</v>
      </c>
      <c r="N107" s="134">
        <f t="shared" si="25"/>
        <v>1.64</v>
      </c>
      <c r="O107" s="134">
        <f t="shared" si="25"/>
        <v>1.64</v>
      </c>
      <c r="P107" s="134">
        <f t="shared" si="25"/>
        <v>1.64</v>
      </c>
      <c r="Q107" s="134">
        <f t="shared" si="25"/>
        <v>1.64</v>
      </c>
      <c r="R107" s="134">
        <f t="shared" si="25"/>
        <v>1.64</v>
      </c>
      <c r="S107" s="134">
        <f t="shared" si="26"/>
        <v>1.64</v>
      </c>
      <c r="T107" s="134">
        <f t="shared" si="26"/>
        <v>1.64</v>
      </c>
      <c r="U107" s="134">
        <f t="shared" si="26"/>
        <v>1.64</v>
      </c>
      <c r="V107" s="134">
        <f t="shared" si="26"/>
        <v>1.64</v>
      </c>
      <c r="W107" s="134">
        <f t="shared" si="26"/>
        <v>1.64</v>
      </c>
      <c r="X107" s="134">
        <f t="shared" si="26"/>
        <v>1.64</v>
      </c>
      <c r="Y107" s="134">
        <f t="shared" si="26"/>
        <v>1.64</v>
      </c>
      <c r="Z107" s="134">
        <f t="shared" si="26"/>
        <v>1.64</v>
      </c>
      <c r="AA107" s="134">
        <f t="shared" si="26"/>
        <v>1.64</v>
      </c>
      <c r="AB107" s="134">
        <f t="shared" si="26"/>
        <v>1.64</v>
      </c>
      <c r="AC107" s="134">
        <f t="shared" si="26"/>
        <v>1.64</v>
      </c>
      <c r="AD107" s="134">
        <f t="shared" si="26"/>
        <v>1.64</v>
      </c>
      <c r="AE107" s="134">
        <f t="shared" si="26"/>
        <v>1.64</v>
      </c>
      <c r="AF107" s="134">
        <f t="shared" si="26"/>
        <v>1.64</v>
      </c>
      <c r="AG107" s="136">
        <v>8.5</v>
      </c>
      <c r="AH107" s="55"/>
      <c r="AI107" s="56"/>
      <c r="AK107" s="57"/>
    </row>
    <row r="108" spans="1:37" x14ac:dyDescent="0.25">
      <c r="A108" s="121" t="s">
        <v>111</v>
      </c>
      <c r="B108" s="133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6">
        <v>8.4</v>
      </c>
      <c r="AH108" s="55"/>
      <c r="AI108" s="56"/>
      <c r="AK108" s="57"/>
    </row>
    <row r="109" spans="1:37" x14ac:dyDescent="0.25">
      <c r="A109" s="121" t="s">
        <v>112</v>
      </c>
      <c r="B109" s="133">
        <v>1.62</v>
      </c>
      <c r="C109" s="134">
        <f t="shared" ref="C109:R116" si="27">B109</f>
        <v>1.62</v>
      </c>
      <c r="D109" s="134">
        <f t="shared" si="27"/>
        <v>1.62</v>
      </c>
      <c r="E109" s="134">
        <f t="shared" si="27"/>
        <v>1.62</v>
      </c>
      <c r="F109" s="134">
        <f t="shared" si="27"/>
        <v>1.62</v>
      </c>
      <c r="G109" s="134">
        <f t="shared" si="27"/>
        <v>1.62</v>
      </c>
      <c r="H109" s="134">
        <f t="shared" si="27"/>
        <v>1.62</v>
      </c>
      <c r="I109" s="134">
        <f t="shared" si="27"/>
        <v>1.62</v>
      </c>
      <c r="J109" s="134">
        <f t="shared" si="27"/>
        <v>1.62</v>
      </c>
      <c r="K109" s="134">
        <f t="shared" si="27"/>
        <v>1.62</v>
      </c>
      <c r="L109" s="134">
        <f t="shared" si="27"/>
        <v>1.62</v>
      </c>
      <c r="M109" s="134">
        <f t="shared" si="27"/>
        <v>1.62</v>
      </c>
      <c r="N109" s="134">
        <f t="shared" si="27"/>
        <v>1.62</v>
      </c>
      <c r="O109" s="134">
        <f t="shared" si="27"/>
        <v>1.62</v>
      </c>
      <c r="P109" s="134">
        <f t="shared" si="27"/>
        <v>1.62</v>
      </c>
      <c r="Q109" s="134">
        <f t="shared" si="27"/>
        <v>1.62</v>
      </c>
      <c r="R109" s="134">
        <f t="shared" si="27"/>
        <v>1.62</v>
      </c>
      <c r="S109" s="134">
        <f t="shared" ref="S109:AF124" si="28">R109</f>
        <v>1.62</v>
      </c>
      <c r="T109" s="134">
        <f t="shared" si="28"/>
        <v>1.62</v>
      </c>
      <c r="U109" s="134">
        <f t="shared" si="28"/>
        <v>1.62</v>
      </c>
      <c r="V109" s="134">
        <f t="shared" si="28"/>
        <v>1.62</v>
      </c>
      <c r="W109" s="134">
        <f t="shared" si="28"/>
        <v>1.62</v>
      </c>
      <c r="X109" s="134">
        <f t="shared" si="28"/>
        <v>1.62</v>
      </c>
      <c r="Y109" s="134">
        <f t="shared" si="28"/>
        <v>1.62</v>
      </c>
      <c r="Z109" s="134">
        <f t="shared" si="28"/>
        <v>1.62</v>
      </c>
      <c r="AA109" s="134">
        <f t="shared" si="28"/>
        <v>1.62</v>
      </c>
      <c r="AB109" s="134">
        <f t="shared" si="28"/>
        <v>1.62</v>
      </c>
      <c r="AC109" s="134">
        <f t="shared" si="28"/>
        <v>1.62</v>
      </c>
      <c r="AD109" s="134">
        <f t="shared" si="28"/>
        <v>1.62</v>
      </c>
      <c r="AE109" s="134">
        <f t="shared" si="28"/>
        <v>1.62</v>
      </c>
      <c r="AF109" s="134">
        <f t="shared" si="28"/>
        <v>1.62</v>
      </c>
      <c r="AG109" s="136">
        <v>8</v>
      </c>
      <c r="AH109" s="55"/>
      <c r="AI109" s="56"/>
      <c r="AK109" s="57"/>
    </row>
    <row r="110" spans="1:37" x14ac:dyDescent="0.25">
      <c r="A110" s="121" t="s">
        <v>113</v>
      </c>
      <c r="B110" s="133">
        <v>8.36</v>
      </c>
      <c r="C110" s="134">
        <f t="shared" si="27"/>
        <v>8.36</v>
      </c>
      <c r="D110" s="134">
        <f t="shared" si="27"/>
        <v>8.36</v>
      </c>
      <c r="E110" s="134">
        <f t="shared" si="27"/>
        <v>8.36</v>
      </c>
      <c r="F110" s="134">
        <f t="shared" si="27"/>
        <v>8.36</v>
      </c>
      <c r="G110" s="134">
        <f t="shared" si="27"/>
        <v>8.36</v>
      </c>
      <c r="H110" s="134">
        <f t="shared" si="27"/>
        <v>8.36</v>
      </c>
      <c r="I110" s="134">
        <f t="shared" si="27"/>
        <v>8.36</v>
      </c>
      <c r="J110" s="134">
        <f t="shared" si="27"/>
        <v>8.36</v>
      </c>
      <c r="K110" s="134">
        <f t="shared" si="27"/>
        <v>8.36</v>
      </c>
      <c r="L110" s="134">
        <f t="shared" si="27"/>
        <v>8.36</v>
      </c>
      <c r="M110" s="134">
        <f t="shared" si="27"/>
        <v>8.36</v>
      </c>
      <c r="N110" s="134">
        <f t="shared" si="27"/>
        <v>8.36</v>
      </c>
      <c r="O110" s="134">
        <f t="shared" si="27"/>
        <v>8.36</v>
      </c>
      <c r="P110" s="134">
        <f t="shared" si="27"/>
        <v>8.36</v>
      </c>
      <c r="Q110" s="134">
        <f t="shared" si="27"/>
        <v>8.36</v>
      </c>
      <c r="R110" s="134">
        <f t="shared" si="27"/>
        <v>8.36</v>
      </c>
      <c r="S110" s="134">
        <f t="shared" si="28"/>
        <v>8.36</v>
      </c>
      <c r="T110" s="134">
        <f t="shared" si="28"/>
        <v>8.36</v>
      </c>
      <c r="U110" s="134">
        <f t="shared" si="28"/>
        <v>8.36</v>
      </c>
      <c r="V110" s="134">
        <f t="shared" si="28"/>
        <v>8.36</v>
      </c>
      <c r="W110" s="134">
        <f t="shared" si="28"/>
        <v>8.36</v>
      </c>
      <c r="X110" s="134">
        <f t="shared" si="28"/>
        <v>8.36</v>
      </c>
      <c r="Y110" s="134">
        <f t="shared" si="28"/>
        <v>8.36</v>
      </c>
      <c r="Z110" s="134">
        <f t="shared" si="28"/>
        <v>8.36</v>
      </c>
      <c r="AA110" s="134">
        <f t="shared" si="28"/>
        <v>8.36</v>
      </c>
      <c r="AB110" s="134">
        <f t="shared" si="28"/>
        <v>8.36</v>
      </c>
      <c r="AC110" s="134">
        <f t="shared" si="28"/>
        <v>8.36</v>
      </c>
      <c r="AD110" s="134">
        <f t="shared" si="28"/>
        <v>8.36</v>
      </c>
      <c r="AE110" s="134">
        <f t="shared" si="28"/>
        <v>8.36</v>
      </c>
      <c r="AF110" s="134">
        <f t="shared" si="28"/>
        <v>8.36</v>
      </c>
      <c r="AG110" s="136">
        <v>8</v>
      </c>
      <c r="AH110" s="55"/>
      <c r="AI110" s="56"/>
      <c r="AK110" s="57"/>
    </row>
    <row r="111" spans="1:37" x14ac:dyDescent="0.25">
      <c r="A111" s="121" t="s">
        <v>114</v>
      </c>
      <c r="B111" s="133">
        <v>8</v>
      </c>
      <c r="C111" s="134">
        <f t="shared" si="27"/>
        <v>8</v>
      </c>
      <c r="D111" s="134">
        <f t="shared" si="27"/>
        <v>8</v>
      </c>
      <c r="E111" s="134">
        <f t="shared" si="27"/>
        <v>8</v>
      </c>
      <c r="F111" s="134">
        <f t="shared" si="27"/>
        <v>8</v>
      </c>
      <c r="G111" s="134">
        <f t="shared" si="27"/>
        <v>8</v>
      </c>
      <c r="H111" s="134">
        <f t="shared" si="27"/>
        <v>8</v>
      </c>
      <c r="I111" s="134">
        <v>5.4</v>
      </c>
      <c r="J111" s="134">
        <f t="shared" si="27"/>
        <v>5.4</v>
      </c>
      <c r="K111" s="134">
        <f t="shared" si="27"/>
        <v>5.4</v>
      </c>
      <c r="L111" s="134">
        <f t="shared" si="27"/>
        <v>5.4</v>
      </c>
      <c r="M111" s="134">
        <f t="shared" si="27"/>
        <v>5.4</v>
      </c>
      <c r="N111" s="134">
        <f t="shared" si="27"/>
        <v>5.4</v>
      </c>
      <c r="O111" s="134">
        <f t="shared" si="27"/>
        <v>5.4</v>
      </c>
      <c r="P111" s="134">
        <f t="shared" si="27"/>
        <v>5.4</v>
      </c>
      <c r="Q111" s="134">
        <f t="shared" si="27"/>
        <v>5.4</v>
      </c>
      <c r="R111" s="134">
        <f t="shared" si="27"/>
        <v>5.4</v>
      </c>
      <c r="S111" s="134">
        <f t="shared" si="28"/>
        <v>5.4</v>
      </c>
      <c r="T111" s="134">
        <f t="shared" si="28"/>
        <v>5.4</v>
      </c>
      <c r="U111" s="134">
        <f t="shared" si="28"/>
        <v>5.4</v>
      </c>
      <c r="V111" s="134">
        <f t="shared" si="28"/>
        <v>5.4</v>
      </c>
      <c r="W111" s="134">
        <f t="shared" si="28"/>
        <v>5.4</v>
      </c>
      <c r="X111" s="134">
        <f t="shared" si="28"/>
        <v>5.4</v>
      </c>
      <c r="Y111" s="134">
        <f t="shared" si="28"/>
        <v>5.4</v>
      </c>
      <c r="Z111" s="134">
        <f t="shared" si="28"/>
        <v>5.4</v>
      </c>
      <c r="AA111" s="134">
        <f t="shared" si="28"/>
        <v>5.4</v>
      </c>
      <c r="AB111" s="134">
        <f t="shared" si="28"/>
        <v>5.4</v>
      </c>
      <c r="AC111" s="134">
        <f t="shared" si="28"/>
        <v>5.4</v>
      </c>
      <c r="AD111" s="134">
        <f t="shared" si="28"/>
        <v>5.4</v>
      </c>
      <c r="AE111" s="134">
        <f t="shared" si="28"/>
        <v>5.4</v>
      </c>
      <c r="AF111" s="134">
        <f t="shared" si="28"/>
        <v>5.4</v>
      </c>
      <c r="AG111" s="136">
        <v>8</v>
      </c>
      <c r="AH111" s="55"/>
      <c r="AI111" s="56"/>
      <c r="AK111" s="57"/>
    </row>
    <row r="112" spans="1:37" x14ac:dyDescent="0.25">
      <c r="A112" s="121" t="s">
        <v>115</v>
      </c>
      <c r="B112" s="133">
        <v>6.57</v>
      </c>
      <c r="C112" s="134">
        <f t="shared" si="27"/>
        <v>6.57</v>
      </c>
      <c r="D112" s="134">
        <f t="shared" si="27"/>
        <v>6.57</v>
      </c>
      <c r="E112" s="134">
        <f t="shared" si="27"/>
        <v>6.57</v>
      </c>
      <c r="F112" s="134">
        <f t="shared" si="27"/>
        <v>6.57</v>
      </c>
      <c r="G112" s="134">
        <f t="shared" si="27"/>
        <v>6.57</v>
      </c>
      <c r="H112" s="134">
        <f t="shared" si="27"/>
        <v>6.57</v>
      </c>
      <c r="I112" s="134">
        <f t="shared" si="27"/>
        <v>6.57</v>
      </c>
      <c r="J112" s="134">
        <f t="shared" si="27"/>
        <v>6.57</v>
      </c>
      <c r="K112" s="134">
        <f t="shared" si="27"/>
        <v>6.57</v>
      </c>
      <c r="L112" s="134">
        <f t="shared" si="27"/>
        <v>6.57</v>
      </c>
      <c r="M112" s="134">
        <f t="shared" si="27"/>
        <v>6.57</v>
      </c>
      <c r="N112" s="134">
        <f t="shared" si="27"/>
        <v>6.57</v>
      </c>
      <c r="O112" s="134">
        <f t="shared" si="27"/>
        <v>6.57</v>
      </c>
      <c r="P112" s="134">
        <f t="shared" si="27"/>
        <v>6.57</v>
      </c>
      <c r="Q112" s="134">
        <f t="shared" si="27"/>
        <v>6.57</v>
      </c>
      <c r="R112" s="134">
        <f t="shared" si="27"/>
        <v>6.57</v>
      </c>
      <c r="S112" s="134">
        <f t="shared" si="28"/>
        <v>6.57</v>
      </c>
      <c r="T112" s="134">
        <f t="shared" si="28"/>
        <v>6.57</v>
      </c>
      <c r="U112" s="134">
        <f t="shared" si="28"/>
        <v>6.57</v>
      </c>
      <c r="V112" s="134">
        <f t="shared" si="28"/>
        <v>6.57</v>
      </c>
      <c r="W112" s="134">
        <f t="shared" si="28"/>
        <v>6.57</v>
      </c>
      <c r="X112" s="134">
        <f t="shared" si="28"/>
        <v>6.57</v>
      </c>
      <c r="Y112" s="134">
        <f t="shared" si="28"/>
        <v>6.57</v>
      </c>
      <c r="Z112" s="134">
        <f t="shared" si="28"/>
        <v>6.57</v>
      </c>
      <c r="AA112" s="134">
        <f t="shared" si="28"/>
        <v>6.57</v>
      </c>
      <c r="AB112" s="134">
        <f t="shared" si="28"/>
        <v>6.57</v>
      </c>
      <c r="AC112" s="134">
        <f t="shared" si="28"/>
        <v>6.57</v>
      </c>
      <c r="AD112" s="134">
        <f t="shared" si="28"/>
        <v>6.57</v>
      </c>
      <c r="AE112" s="134">
        <f t="shared" si="28"/>
        <v>6.57</v>
      </c>
      <c r="AF112" s="134">
        <f t="shared" si="28"/>
        <v>6.57</v>
      </c>
      <c r="AG112" s="136">
        <v>7.8</v>
      </c>
      <c r="AH112" s="55"/>
      <c r="AI112" s="56"/>
      <c r="AK112" s="57"/>
    </row>
    <row r="113" spans="1:37" x14ac:dyDescent="0.25">
      <c r="A113" s="121" t="s">
        <v>116</v>
      </c>
      <c r="B113" s="133">
        <v>3.43</v>
      </c>
      <c r="C113" s="134">
        <f t="shared" si="27"/>
        <v>3.43</v>
      </c>
      <c r="D113" s="134">
        <f t="shared" si="27"/>
        <v>3.43</v>
      </c>
      <c r="E113" s="134">
        <f t="shared" si="27"/>
        <v>3.43</v>
      </c>
      <c r="F113" s="134">
        <f t="shared" si="27"/>
        <v>3.43</v>
      </c>
      <c r="G113" s="134">
        <f t="shared" si="27"/>
        <v>3.43</v>
      </c>
      <c r="H113" s="134">
        <f t="shared" si="27"/>
        <v>3.43</v>
      </c>
      <c r="I113" s="134">
        <f t="shared" si="27"/>
        <v>3.43</v>
      </c>
      <c r="J113" s="134">
        <f t="shared" si="27"/>
        <v>3.43</v>
      </c>
      <c r="K113" s="134">
        <f t="shared" si="27"/>
        <v>3.43</v>
      </c>
      <c r="L113" s="134">
        <f t="shared" si="27"/>
        <v>3.43</v>
      </c>
      <c r="M113" s="134">
        <f t="shared" si="27"/>
        <v>3.43</v>
      </c>
      <c r="N113" s="134">
        <f t="shared" si="27"/>
        <v>3.43</v>
      </c>
      <c r="O113" s="134">
        <f t="shared" si="27"/>
        <v>3.43</v>
      </c>
      <c r="P113" s="134">
        <f t="shared" si="27"/>
        <v>3.43</v>
      </c>
      <c r="Q113" s="134">
        <f t="shared" si="27"/>
        <v>3.43</v>
      </c>
      <c r="R113" s="134">
        <f t="shared" si="27"/>
        <v>3.43</v>
      </c>
      <c r="S113" s="134">
        <f t="shared" si="28"/>
        <v>3.43</v>
      </c>
      <c r="T113" s="134">
        <f t="shared" si="28"/>
        <v>3.43</v>
      </c>
      <c r="U113" s="134">
        <f t="shared" si="28"/>
        <v>3.43</v>
      </c>
      <c r="V113" s="134">
        <f t="shared" si="28"/>
        <v>3.43</v>
      </c>
      <c r="W113" s="134">
        <f t="shared" si="28"/>
        <v>3.43</v>
      </c>
      <c r="X113" s="134">
        <f t="shared" si="28"/>
        <v>3.43</v>
      </c>
      <c r="Y113" s="134">
        <f t="shared" si="28"/>
        <v>3.43</v>
      </c>
      <c r="Z113" s="134">
        <f t="shared" si="28"/>
        <v>3.43</v>
      </c>
      <c r="AA113" s="134">
        <f t="shared" si="28"/>
        <v>3.43</v>
      </c>
      <c r="AB113" s="134">
        <f t="shared" si="28"/>
        <v>3.43</v>
      </c>
      <c r="AC113" s="134">
        <f t="shared" si="28"/>
        <v>3.43</v>
      </c>
      <c r="AD113" s="134">
        <f t="shared" si="28"/>
        <v>3.43</v>
      </c>
      <c r="AE113" s="134">
        <f t="shared" si="28"/>
        <v>3.43</v>
      </c>
      <c r="AF113" s="134">
        <f t="shared" si="28"/>
        <v>3.43</v>
      </c>
      <c r="AG113" s="136">
        <v>7.6</v>
      </c>
      <c r="AH113" s="55"/>
      <c r="AI113" s="56"/>
      <c r="AK113" s="57"/>
    </row>
    <row r="114" spans="1:37" x14ac:dyDescent="0.25">
      <c r="A114" s="121" t="s">
        <v>117</v>
      </c>
      <c r="B114" s="133">
        <v>2.96</v>
      </c>
      <c r="C114" s="134">
        <f t="shared" si="27"/>
        <v>2.96</v>
      </c>
      <c r="D114" s="134">
        <f t="shared" si="27"/>
        <v>2.96</v>
      </c>
      <c r="E114" s="134">
        <f t="shared" si="27"/>
        <v>2.96</v>
      </c>
      <c r="F114" s="134">
        <f t="shared" si="27"/>
        <v>2.96</v>
      </c>
      <c r="G114" s="134">
        <f t="shared" si="27"/>
        <v>2.96</v>
      </c>
      <c r="H114" s="134">
        <f t="shared" si="27"/>
        <v>2.96</v>
      </c>
      <c r="I114" s="134">
        <f t="shared" si="27"/>
        <v>2.96</v>
      </c>
      <c r="J114" s="134">
        <f t="shared" si="27"/>
        <v>2.96</v>
      </c>
      <c r="K114" s="134">
        <f t="shared" si="27"/>
        <v>2.96</v>
      </c>
      <c r="L114" s="134">
        <f t="shared" si="27"/>
        <v>2.96</v>
      </c>
      <c r="M114" s="134">
        <f t="shared" si="27"/>
        <v>2.96</v>
      </c>
      <c r="N114" s="134">
        <f t="shared" si="27"/>
        <v>2.96</v>
      </c>
      <c r="O114" s="134">
        <f t="shared" si="27"/>
        <v>2.96</v>
      </c>
      <c r="P114" s="134">
        <f t="shared" si="27"/>
        <v>2.96</v>
      </c>
      <c r="Q114" s="134">
        <f t="shared" si="27"/>
        <v>2.96</v>
      </c>
      <c r="R114" s="134">
        <f t="shared" si="27"/>
        <v>2.96</v>
      </c>
      <c r="S114" s="134">
        <f t="shared" si="28"/>
        <v>2.96</v>
      </c>
      <c r="T114" s="134">
        <f t="shared" si="28"/>
        <v>2.96</v>
      </c>
      <c r="U114" s="134">
        <f t="shared" si="28"/>
        <v>2.96</v>
      </c>
      <c r="V114" s="134">
        <f t="shared" si="28"/>
        <v>2.96</v>
      </c>
      <c r="W114" s="134">
        <f t="shared" si="28"/>
        <v>2.96</v>
      </c>
      <c r="X114" s="134">
        <f t="shared" si="28"/>
        <v>2.96</v>
      </c>
      <c r="Y114" s="134">
        <f t="shared" si="28"/>
        <v>2.96</v>
      </c>
      <c r="Z114" s="134">
        <f t="shared" si="28"/>
        <v>2.96</v>
      </c>
      <c r="AA114" s="134">
        <f t="shared" si="28"/>
        <v>2.96</v>
      </c>
      <c r="AB114" s="134">
        <f t="shared" si="28"/>
        <v>2.96</v>
      </c>
      <c r="AC114" s="134">
        <f t="shared" si="28"/>
        <v>2.96</v>
      </c>
      <c r="AD114" s="134">
        <f t="shared" si="28"/>
        <v>2.96</v>
      </c>
      <c r="AE114" s="134">
        <f t="shared" si="28"/>
        <v>2.96</v>
      </c>
      <c r="AF114" s="134">
        <f t="shared" si="28"/>
        <v>2.96</v>
      </c>
      <c r="AG114" s="136">
        <v>7.5</v>
      </c>
      <c r="AH114" s="55"/>
      <c r="AI114" s="56"/>
      <c r="AK114" s="57"/>
    </row>
    <row r="115" spans="1:37" x14ac:dyDescent="0.25">
      <c r="A115" s="121" t="s">
        <v>118</v>
      </c>
      <c r="B115" s="133">
        <v>8</v>
      </c>
      <c r="C115" s="134">
        <f t="shared" si="27"/>
        <v>8</v>
      </c>
      <c r="D115" s="134">
        <f t="shared" si="27"/>
        <v>8</v>
      </c>
      <c r="E115" s="134">
        <f t="shared" si="27"/>
        <v>8</v>
      </c>
      <c r="F115" s="134">
        <f t="shared" si="27"/>
        <v>8</v>
      </c>
      <c r="G115" s="134">
        <f t="shared" si="27"/>
        <v>8</v>
      </c>
      <c r="H115" s="134">
        <f t="shared" si="27"/>
        <v>8</v>
      </c>
      <c r="I115" s="134">
        <f t="shared" si="27"/>
        <v>8</v>
      </c>
      <c r="J115" s="134">
        <f t="shared" si="27"/>
        <v>8</v>
      </c>
      <c r="K115" s="134">
        <f t="shared" si="27"/>
        <v>8</v>
      </c>
      <c r="L115" s="134">
        <f t="shared" si="27"/>
        <v>8</v>
      </c>
      <c r="M115" s="134">
        <f t="shared" si="27"/>
        <v>8</v>
      </c>
      <c r="N115" s="134">
        <f t="shared" si="27"/>
        <v>8</v>
      </c>
      <c r="O115" s="134">
        <f t="shared" si="27"/>
        <v>8</v>
      </c>
      <c r="P115" s="134">
        <f t="shared" si="27"/>
        <v>8</v>
      </c>
      <c r="Q115" s="134">
        <f t="shared" si="27"/>
        <v>8</v>
      </c>
      <c r="R115" s="134">
        <f t="shared" si="27"/>
        <v>8</v>
      </c>
      <c r="S115" s="134">
        <f t="shared" si="28"/>
        <v>8</v>
      </c>
      <c r="T115" s="134">
        <f t="shared" si="28"/>
        <v>8</v>
      </c>
      <c r="U115" s="134">
        <f t="shared" si="28"/>
        <v>8</v>
      </c>
      <c r="V115" s="134">
        <f t="shared" si="28"/>
        <v>8</v>
      </c>
      <c r="W115" s="134">
        <f t="shared" si="28"/>
        <v>8</v>
      </c>
      <c r="X115" s="134">
        <f t="shared" si="28"/>
        <v>8</v>
      </c>
      <c r="Y115" s="134">
        <f t="shared" si="28"/>
        <v>8</v>
      </c>
      <c r="Z115" s="134">
        <f t="shared" si="28"/>
        <v>8</v>
      </c>
      <c r="AA115" s="134">
        <f t="shared" si="28"/>
        <v>8</v>
      </c>
      <c r="AB115" s="134">
        <f t="shared" si="28"/>
        <v>8</v>
      </c>
      <c r="AC115" s="134">
        <f t="shared" si="28"/>
        <v>8</v>
      </c>
      <c r="AD115" s="134">
        <f t="shared" si="28"/>
        <v>8</v>
      </c>
      <c r="AE115" s="134">
        <f t="shared" si="28"/>
        <v>8</v>
      </c>
      <c r="AF115" s="134">
        <f t="shared" si="28"/>
        <v>8</v>
      </c>
      <c r="AG115" s="136">
        <v>7.5</v>
      </c>
      <c r="AH115" s="55"/>
      <c r="AI115" s="56"/>
      <c r="AK115" s="57"/>
    </row>
    <row r="116" spans="1:37" x14ac:dyDescent="0.25">
      <c r="A116" s="121" t="s">
        <v>119</v>
      </c>
      <c r="B116" s="133">
        <v>7</v>
      </c>
      <c r="C116" s="134">
        <f>B116</f>
        <v>7</v>
      </c>
      <c r="D116" s="134">
        <f t="shared" si="27"/>
        <v>7</v>
      </c>
      <c r="E116" s="134">
        <f t="shared" si="27"/>
        <v>7</v>
      </c>
      <c r="F116" s="134">
        <f t="shared" si="27"/>
        <v>7</v>
      </c>
      <c r="G116" s="134">
        <f t="shared" si="27"/>
        <v>7</v>
      </c>
      <c r="H116" s="134">
        <f t="shared" si="27"/>
        <v>7</v>
      </c>
      <c r="I116" s="134">
        <f t="shared" si="27"/>
        <v>7</v>
      </c>
      <c r="J116" s="134">
        <f t="shared" si="27"/>
        <v>7</v>
      </c>
      <c r="K116" s="134">
        <f t="shared" si="27"/>
        <v>7</v>
      </c>
      <c r="L116" s="134">
        <f t="shared" si="27"/>
        <v>7</v>
      </c>
      <c r="M116" s="134">
        <f t="shared" si="27"/>
        <v>7</v>
      </c>
      <c r="N116" s="134">
        <f t="shared" si="27"/>
        <v>7</v>
      </c>
      <c r="O116" s="134">
        <f t="shared" si="27"/>
        <v>7</v>
      </c>
      <c r="P116" s="134">
        <f t="shared" si="27"/>
        <v>7</v>
      </c>
      <c r="Q116" s="134">
        <f t="shared" si="27"/>
        <v>7</v>
      </c>
      <c r="R116" s="134">
        <f t="shared" si="27"/>
        <v>7</v>
      </c>
      <c r="S116" s="134">
        <f t="shared" si="28"/>
        <v>7</v>
      </c>
      <c r="T116" s="134">
        <f t="shared" si="28"/>
        <v>7</v>
      </c>
      <c r="U116" s="134">
        <f t="shared" si="28"/>
        <v>7</v>
      </c>
      <c r="V116" s="134">
        <f t="shared" si="28"/>
        <v>7</v>
      </c>
      <c r="W116" s="134">
        <f t="shared" si="28"/>
        <v>7</v>
      </c>
      <c r="X116" s="134">
        <f t="shared" si="28"/>
        <v>7</v>
      </c>
      <c r="Y116" s="134">
        <f t="shared" si="28"/>
        <v>7</v>
      </c>
      <c r="Z116" s="134">
        <f t="shared" si="28"/>
        <v>7</v>
      </c>
      <c r="AA116" s="134">
        <f t="shared" si="28"/>
        <v>7</v>
      </c>
      <c r="AB116" s="134">
        <f t="shared" si="28"/>
        <v>7</v>
      </c>
      <c r="AC116" s="134">
        <f t="shared" si="28"/>
        <v>7</v>
      </c>
      <c r="AD116" s="134">
        <f t="shared" si="28"/>
        <v>7</v>
      </c>
      <c r="AE116" s="134">
        <f t="shared" si="28"/>
        <v>7</v>
      </c>
      <c r="AF116" s="134">
        <f t="shared" si="28"/>
        <v>7</v>
      </c>
      <c r="AG116" s="136">
        <v>7</v>
      </c>
      <c r="AH116" s="55"/>
      <c r="AI116" s="56"/>
      <c r="AK116" s="57"/>
    </row>
    <row r="117" spans="1:37" x14ac:dyDescent="0.25">
      <c r="A117" s="121" t="s">
        <v>120</v>
      </c>
      <c r="B117" s="133">
        <v>3.47</v>
      </c>
      <c r="C117" s="134">
        <f t="shared" ref="C117:R126" si="29">B117</f>
        <v>3.47</v>
      </c>
      <c r="D117" s="134">
        <f t="shared" si="29"/>
        <v>3.47</v>
      </c>
      <c r="E117" s="134">
        <f t="shared" si="29"/>
        <v>3.47</v>
      </c>
      <c r="F117" s="134">
        <f t="shared" si="29"/>
        <v>3.47</v>
      </c>
      <c r="G117" s="134">
        <f t="shared" si="29"/>
        <v>3.47</v>
      </c>
      <c r="H117" s="134">
        <f t="shared" si="29"/>
        <v>3.47</v>
      </c>
      <c r="I117" s="134">
        <f t="shared" si="29"/>
        <v>3.47</v>
      </c>
      <c r="J117" s="134">
        <f t="shared" si="29"/>
        <v>3.47</v>
      </c>
      <c r="K117" s="134">
        <f t="shared" si="29"/>
        <v>3.47</v>
      </c>
      <c r="L117" s="134">
        <f t="shared" si="29"/>
        <v>3.47</v>
      </c>
      <c r="M117" s="134">
        <f t="shared" si="29"/>
        <v>3.47</v>
      </c>
      <c r="N117" s="134">
        <f t="shared" si="29"/>
        <v>3.47</v>
      </c>
      <c r="O117" s="134">
        <f t="shared" si="29"/>
        <v>3.47</v>
      </c>
      <c r="P117" s="134">
        <f t="shared" si="29"/>
        <v>3.47</v>
      </c>
      <c r="Q117" s="134">
        <f t="shared" si="29"/>
        <v>3.47</v>
      </c>
      <c r="R117" s="134">
        <f t="shared" si="29"/>
        <v>3.47</v>
      </c>
      <c r="S117" s="134">
        <f t="shared" si="28"/>
        <v>3.47</v>
      </c>
      <c r="T117" s="134">
        <f t="shared" si="28"/>
        <v>3.47</v>
      </c>
      <c r="U117" s="134">
        <f t="shared" si="28"/>
        <v>3.47</v>
      </c>
      <c r="V117" s="134">
        <f t="shared" si="28"/>
        <v>3.47</v>
      </c>
      <c r="W117" s="134">
        <f t="shared" si="28"/>
        <v>3.47</v>
      </c>
      <c r="X117" s="134">
        <f t="shared" si="28"/>
        <v>3.47</v>
      </c>
      <c r="Y117" s="134">
        <f t="shared" si="28"/>
        <v>3.47</v>
      </c>
      <c r="Z117" s="134">
        <f t="shared" si="28"/>
        <v>3.47</v>
      </c>
      <c r="AA117" s="134">
        <f t="shared" si="28"/>
        <v>3.47</v>
      </c>
      <c r="AB117" s="134">
        <f t="shared" si="28"/>
        <v>3.47</v>
      </c>
      <c r="AC117" s="134">
        <f t="shared" si="28"/>
        <v>3.47</v>
      </c>
      <c r="AD117" s="134">
        <f t="shared" si="28"/>
        <v>3.47</v>
      </c>
      <c r="AE117" s="134">
        <f t="shared" si="28"/>
        <v>3.47</v>
      </c>
      <c r="AF117" s="134">
        <f t="shared" si="28"/>
        <v>3.47</v>
      </c>
      <c r="AG117" s="136">
        <v>7</v>
      </c>
      <c r="AH117" s="55"/>
      <c r="AI117" s="56"/>
      <c r="AK117" s="57"/>
    </row>
    <row r="118" spans="1:37" x14ac:dyDescent="0.25">
      <c r="A118" s="121" t="s">
        <v>121</v>
      </c>
      <c r="B118" s="133">
        <v>2.1</v>
      </c>
      <c r="C118" s="134">
        <f t="shared" si="29"/>
        <v>2.1</v>
      </c>
      <c r="D118" s="134">
        <f t="shared" si="29"/>
        <v>2.1</v>
      </c>
      <c r="E118" s="134">
        <f t="shared" si="29"/>
        <v>2.1</v>
      </c>
      <c r="F118" s="134">
        <f t="shared" si="29"/>
        <v>2.1</v>
      </c>
      <c r="G118" s="134">
        <f t="shared" si="29"/>
        <v>2.1</v>
      </c>
      <c r="H118" s="134">
        <f t="shared" si="29"/>
        <v>2.1</v>
      </c>
      <c r="I118" s="134">
        <f t="shared" si="29"/>
        <v>2.1</v>
      </c>
      <c r="J118" s="134">
        <f t="shared" si="29"/>
        <v>2.1</v>
      </c>
      <c r="K118" s="134">
        <f t="shared" si="29"/>
        <v>2.1</v>
      </c>
      <c r="L118" s="134">
        <f t="shared" si="29"/>
        <v>2.1</v>
      </c>
      <c r="M118" s="134">
        <f t="shared" si="29"/>
        <v>2.1</v>
      </c>
      <c r="N118" s="134">
        <f t="shared" si="29"/>
        <v>2.1</v>
      </c>
      <c r="O118" s="134">
        <f t="shared" si="29"/>
        <v>2.1</v>
      </c>
      <c r="P118" s="134">
        <f t="shared" si="29"/>
        <v>2.1</v>
      </c>
      <c r="Q118" s="134">
        <f t="shared" si="29"/>
        <v>2.1</v>
      </c>
      <c r="R118" s="134">
        <f t="shared" si="29"/>
        <v>2.1</v>
      </c>
      <c r="S118" s="134">
        <f t="shared" si="28"/>
        <v>2.1</v>
      </c>
      <c r="T118" s="134">
        <f t="shared" si="28"/>
        <v>2.1</v>
      </c>
      <c r="U118" s="134">
        <f t="shared" si="28"/>
        <v>2.1</v>
      </c>
      <c r="V118" s="134">
        <f t="shared" si="28"/>
        <v>2.1</v>
      </c>
      <c r="W118" s="134">
        <f t="shared" si="28"/>
        <v>2.1</v>
      </c>
      <c r="X118" s="134">
        <f t="shared" si="28"/>
        <v>2.1</v>
      </c>
      <c r="Y118" s="134">
        <f t="shared" si="28"/>
        <v>2.1</v>
      </c>
      <c r="Z118" s="134">
        <f t="shared" si="28"/>
        <v>2.1</v>
      </c>
      <c r="AA118" s="134">
        <f t="shared" si="28"/>
        <v>2.1</v>
      </c>
      <c r="AB118" s="134">
        <f t="shared" si="28"/>
        <v>2.1</v>
      </c>
      <c r="AC118" s="134">
        <f t="shared" si="28"/>
        <v>2.1</v>
      </c>
      <c r="AD118" s="134">
        <f t="shared" si="28"/>
        <v>2.1</v>
      </c>
      <c r="AE118" s="134">
        <f t="shared" si="28"/>
        <v>2.1</v>
      </c>
      <c r="AF118" s="134">
        <f t="shared" si="28"/>
        <v>2.1</v>
      </c>
      <c r="AG118" s="136">
        <v>7</v>
      </c>
      <c r="AH118" s="55"/>
      <c r="AI118" s="56"/>
      <c r="AK118" s="57"/>
    </row>
    <row r="119" spans="1:37" x14ac:dyDescent="0.25">
      <c r="A119" s="121" t="s">
        <v>122</v>
      </c>
      <c r="B119" s="133">
        <v>9.3000000000000007</v>
      </c>
      <c r="C119" s="134">
        <f t="shared" si="29"/>
        <v>9.3000000000000007</v>
      </c>
      <c r="D119" s="134">
        <f t="shared" si="29"/>
        <v>9.3000000000000007</v>
      </c>
      <c r="E119" s="134">
        <f t="shared" si="29"/>
        <v>9.3000000000000007</v>
      </c>
      <c r="F119" s="134">
        <f t="shared" si="29"/>
        <v>9.3000000000000007</v>
      </c>
      <c r="G119" s="134">
        <f t="shared" si="29"/>
        <v>9.3000000000000007</v>
      </c>
      <c r="H119" s="134">
        <f t="shared" si="29"/>
        <v>9.3000000000000007</v>
      </c>
      <c r="I119" s="134">
        <f t="shared" si="29"/>
        <v>9.3000000000000007</v>
      </c>
      <c r="J119" s="134">
        <f t="shared" si="29"/>
        <v>9.3000000000000007</v>
      </c>
      <c r="K119" s="134">
        <f t="shared" si="29"/>
        <v>9.3000000000000007</v>
      </c>
      <c r="L119" s="134">
        <f t="shared" si="29"/>
        <v>9.3000000000000007</v>
      </c>
      <c r="M119" s="134">
        <f t="shared" si="29"/>
        <v>9.3000000000000007</v>
      </c>
      <c r="N119" s="134">
        <f t="shared" si="29"/>
        <v>9.3000000000000007</v>
      </c>
      <c r="O119" s="134">
        <f t="shared" si="29"/>
        <v>9.3000000000000007</v>
      </c>
      <c r="P119" s="134">
        <f t="shared" si="29"/>
        <v>9.3000000000000007</v>
      </c>
      <c r="Q119" s="134">
        <f t="shared" si="29"/>
        <v>9.3000000000000007</v>
      </c>
      <c r="R119" s="134">
        <f t="shared" si="29"/>
        <v>9.3000000000000007</v>
      </c>
      <c r="S119" s="134">
        <f t="shared" si="28"/>
        <v>9.3000000000000007</v>
      </c>
      <c r="T119" s="134">
        <f t="shared" si="28"/>
        <v>9.3000000000000007</v>
      </c>
      <c r="U119" s="134">
        <f t="shared" si="28"/>
        <v>9.3000000000000007</v>
      </c>
      <c r="V119" s="134">
        <f t="shared" si="28"/>
        <v>9.3000000000000007</v>
      </c>
      <c r="W119" s="134">
        <f t="shared" si="28"/>
        <v>9.3000000000000007</v>
      </c>
      <c r="X119" s="134">
        <f t="shared" si="28"/>
        <v>9.3000000000000007</v>
      </c>
      <c r="Y119" s="134">
        <f t="shared" si="28"/>
        <v>9.3000000000000007</v>
      </c>
      <c r="Z119" s="134">
        <f t="shared" si="28"/>
        <v>9.3000000000000007</v>
      </c>
      <c r="AA119" s="134">
        <f t="shared" si="28"/>
        <v>9.3000000000000007</v>
      </c>
      <c r="AB119" s="134">
        <f t="shared" si="28"/>
        <v>9.3000000000000007</v>
      </c>
      <c r="AC119" s="134">
        <f t="shared" si="28"/>
        <v>9.3000000000000007</v>
      </c>
      <c r="AD119" s="134">
        <f t="shared" si="28"/>
        <v>9.3000000000000007</v>
      </c>
      <c r="AE119" s="134">
        <f t="shared" si="28"/>
        <v>9.3000000000000007</v>
      </c>
      <c r="AF119" s="134">
        <f t="shared" si="28"/>
        <v>9.3000000000000007</v>
      </c>
      <c r="AG119" s="136">
        <v>7</v>
      </c>
      <c r="AH119" s="55"/>
      <c r="AI119" s="56"/>
      <c r="AK119" s="57"/>
    </row>
    <row r="120" spans="1:37" x14ac:dyDescent="0.25">
      <c r="A120" s="121" t="s">
        <v>123</v>
      </c>
      <c r="B120" s="133">
        <v>0</v>
      </c>
      <c r="C120" s="134">
        <f t="shared" si="29"/>
        <v>0</v>
      </c>
      <c r="D120" s="134">
        <f t="shared" si="29"/>
        <v>0</v>
      </c>
      <c r="E120" s="134">
        <f t="shared" si="29"/>
        <v>0</v>
      </c>
      <c r="F120" s="134">
        <f t="shared" si="29"/>
        <v>0</v>
      </c>
      <c r="G120" s="134">
        <f t="shared" si="29"/>
        <v>0</v>
      </c>
      <c r="H120" s="134">
        <f t="shared" si="29"/>
        <v>0</v>
      </c>
      <c r="I120" s="134">
        <f t="shared" si="29"/>
        <v>0</v>
      </c>
      <c r="J120" s="134">
        <f t="shared" si="29"/>
        <v>0</v>
      </c>
      <c r="K120" s="134">
        <f t="shared" si="29"/>
        <v>0</v>
      </c>
      <c r="L120" s="134">
        <f t="shared" si="29"/>
        <v>0</v>
      </c>
      <c r="M120" s="134">
        <f t="shared" si="29"/>
        <v>0</v>
      </c>
      <c r="N120" s="134">
        <f t="shared" si="29"/>
        <v>0</v>
      </c>
      <c r="O120" s="134">
        <f t="shared" si="29"/>
        <v>0</v>
      </c>
      <c r="P120" s="134">
        <f t="shared" si="29"/>
        <v>0</v>
      </c>
      <c r="Q120" s="134">
        <f t="shared" si="29"/>
        <v>0</v>
      </c>
      <c r="R120" s="134">
        <f t="shared" si="29"/>
        <v>0</v>
      </c>
      <c r="S120" s="134">
        <f t="shared" si="28"/>
        <v>0</v>
      </c>
      <c r="T120" s="134">
        <f t="shared" si="28"/>
        <v>0</v>
      </c>
      <c r="U120" s="134">
        <f t="shared" si="28"/>
        <v>0</v>
      </c>
      <c r="V120" s="134">
        <f t="shared" si="28"/>
        <v>0</v>
      </c>
      <c r="W120" s="134">
        <f t="shared" si="28"/>
        <v>0</v>
      </c>
      <c r="X120" s="134">
        <f t="shared" si="28"/>
        <v>0</v>
      </c>
      <c r="Y120" s="134">
        <f t="shared" si="28"/>
        <v>0</v>
      </c>
      <c r="Z120" s="134">
        <f t="shared" si="28"/>
        <v>0</v>
      </c>
      <c r="AA120" s="134">
        <f t="shared" si="28"/>
        <v>0</v>
      </c>
      <c r="AB120" s="134">
        <f t="shared" si="28"/>
        <v>0</v>
      </c>
      <c r="AC120" s="134">
        <f t="shared" si="28"/>
        <v>0</v>
      </c>
      <c r="AD120" s="134">
        <f t="shared" si="28"/>
        <v>0</v>
      </c>
      <c r="AE120" s="134">
        <f t="shared" si="28"/>
        <v>0</v>
      </c>
      <c r="AF120" s="134">
        <f t="shared" si="28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124</v>
      </c>
      <c r="B121" s="133">
        <v>0</v>
      </c>
      <c r="C121" s="134">
        <f t="shared" si="29"/>
        <v>0</v>
      </c>
      <c r="D121" s="134">
        <f t="shared" si="29"/>
        <v>0</v>
      </c>
      <c r="E121" s="134">
        <f t="shared" si="29"/>
        <v>0</v>
      </c>
      <c r="F121" s="134">
        <f t="shared" si="29"/>
        <v>0</v>
      </c>
      <c r="G121" s="134">
        <f t="shared" si="29"/>
        <v>0</v>
      </c>
      <c r="H121" s="134">
        <f t="shared" si="29"/>
        <v>0</v>
      </c>
      <c r="I121" s="134">
        <f t="shared" si="29"/>
        <v>0</v>
      </c>
      <c r="J121" s="134">
        <f t="shared" si="29"/>
        <v>0</v>
      </c>
      <c r="K121" s="134">
        <f t="shared" si="29"/>
        <v>0</v>
      </c>
      <c r="L121" s="134">
        <f t="shared" si="29"/>
        <v>0</v>
      </c>
      <c r="M121" s="134">
        <f t="shared" si="29"/>
        <v>0</v>
      </c>
      <c r="N121" s="134">
        <f t="shared" si="29"/>
        <v>0</v>
      </c>
      <c r="O121" s="134">
        <f t="shared" si="29"/>
        <v>0</v>
      </c>
      <c r="P121" s="134">
        <f t="shared" si="29"/>
        <v>0</v>
      </c>
      <c r="Q121" s="134">
        <f t="shared" si="29"/>
        <v>0</v>
      </c>
      <c r="R121" s="134">
        <f t="shared" si="29"/>
        <v>0</v>
      </c>
      <c r="S121" s="134">
        <f t="shared" si="28"/>
        <v>0</v>
      </c>
      <c r="T121" s="134">
        <f t="shared" si="28"/>
        <v>0</v>
      </c>
      <c r="U121" s="134">
        <f t="shared" si="28"/>
        <v>0</v>
      </c>
      <c r="V121" s="134">
        <f t="shared" si="28"/>
        <v>0</v>
      </c>
      <c r="W121" s="134">
        <f t="shared" si="28"/>
        <v>0</v>
      </c>
      <c r="X121" s="134">
        <f t="shared" si="28"/>
        <v>0</v>
      </c>
      <c r="Y121" s="134">
        <f t="shared" si="28"/>
        <v>0</v>
      </c>
      <c r="Z121" s="134">
        <f t="shared" si="28"/>
        <v>0</v>
      </c>
      <c r="AA121" s="134">
        <f t="shared" si="28"/>
        <v>0</v>
      </c>
      <c r="AB121" s="134">
        <f t="shared" si="28"/>
        <v>0</v>
      </c>
      <c r="AC121" s="134">
        <f t="shared" si="28"/>
        <v>0</v>
      </c>
      <c r="AD121" s="134">
        <f t="shared" si="28"/>
        <v>0</v>
      </c>
      <c r="AE121" s="134">
        <f t="shared" si="28"/>
        <v>0</v>
      </c>
      <c r="AF121" s="134">
        <f t="shared" si="28"/>
        <v>0</v>
      </c>
      <c r="AG121" s="136">
        <v>6.6</v>
      </c>
      <c r="AH121" s="55"/>
      <c r="AI121" s="56"/>
      <c r="AK121" s="57"/>
    </row>
    <row r="122" spans="1:37" x14ac:dyDescent="0.25">
      <c r="A122" s="121" t="s">
        <v>125</v>
      </c>
      <c r="B122" s="133">
        <v>5</v>
      </c>
      <c r="C122" s="134">
        <f t="shared" si="29"/>
        <v>5</v>
      </c>
      <c r="D122" s="134">
        <f t="shared" si="29"/>
        <v>5</v>
      </c>
      <c r="E122" s="134">
        <f t="shared" si="29"/>
        <v>5</v>
      </c>
      <c r="F122" s="134">
        <f t="shared" si="29"/>
        <v>5</v>
      </c>
      <c r="G122" s="134">
        <f t="shared" si="29"/>
        <v>5</v>
      </c>
      <c r="H122" s="134">
        <f t="shared" si="29"/>
        <v>5</v>
      </c>
      <c r="I122" s="134">
        <f t="shared" si="29"/>
        <v>5</v>
      </c>
      <c r="J122" s="134">
        <f t="shared" si="29"/>
        <v>5</v>
      </c>
      <c r="K122" s="134">
        <f t="shared" si="29"/>
        <v>5</v>
      </c>
      <c r="L122" s="134">
        <f t="shared" si="29"/>
        <v>5</v>
      </c>
      <c r="M122" s="134">
        <f t="shared" si="29"/>
        <v>5</v>
      </c>
      <c r="N122" s="134">
        <f t="shared" si="29"/>
        <v>5</v>
      </c>
      <c r="O122" s="134">
        <f t="shared" si="29"/>
        <v>5</v>
      </c>
      <c r="P122" s="134">
        <f t="shared" si="29"/>
        <v>5</v>
      </c>
      <c r="Q122" s="134">
        <f t="shared" si="29"/>
        <v>5</v>
      </c>
      <c r="R122" s="134">
        <f t="shared" si="29"/>
        <v>5</v>
      </c>
      <c r="S122" s="134">
        <f t="shared" si="28"/>
        <v>5</v>
      </c>
      <c r="T122" s="134">
        <f t="shared" si="28"/>
        <v>5</v>
      </c>
      <c r="U122" s="134">
        <f t="shared" si="28"/>
        <v>5</v>
      </c>
      <c r="V122" s="134">
        <f t="shared" si="28"/>
        <v>5</v>
      </c>
      <c r="W122" s="134">
        <f t="shared" si="28"/>
        <v>5</v>
      </c>
      <c r="X122" s="134">
        <f t="shared" si="28"/>
        <v>5</v>
      </c>
      <c r="Y122" s="134">
        <f t="shared" si="28"/>
        <v>5</v>
      </c>
      <c r="Z122" s="134">
        <f t="shared" si="28"/>
        <v>5</v>
      </c>
      <c r="AA122" s="134">
        <f t="shared" si="28"/>
        <v>5</v>
      </c>
      <c r="AB122" s="134">
        <f t="shared" si="28"/>
        <v>5</v>
      </c>
      <c r="AC122" s="134">
        <f t="shared" si="28"/>
        <v>5</v>
      </c>
      <c r="AD122" s="134">
        <f t="shared" si="28"/>
        <v>5</v>
      </c>
      <c r="AE122" s="134">
        <f t="shared" si="28"/>
        <v>5</v>
      </c>
      <c r="AF122" s="134">
        <f t="shared" si="28"/>
        <v>5</v>
      </c>
      <c r="AG122" s="136">
        <v>6.4</v>
      </c>
      <c r="AH122" s="55"/>
      <c r="AI122" s="56"/>
      <c r="AK122" s="57"/>
    </row>
    <row r="123" spans="1:37" x14ac:dyDescent="0.25">
      <c r="A123" s="121" t="s">
        <v>126</v>
      </c>
      <c r="B123" s="133">
        <v>1</v>
      </c>
      <c r="C123" s="134">
        <f t="shared" si="29"/>
        <v>1</v>
      </c>
      <c r="D123" s="134">
        <f t="shared" si="29"/>
        <v>1</v>
      </c>
      <c r="E123" s="134">
        <f t="shared" si="29"/>
        <v>1</v>
      </c>
      <c r="F123" s="134">
        <f t="shared" si="29"/>
        <v>1</v>
      </c>
      <c r="G123" s="134">
        <f t="shared" si="29"/>
        <v>1</v>
      </c>
      <c r="H123" s="134">
        <f t="shared" si="29"/>
        <v>1</v>
      </c>
      <c r="I123" s="134">
        <f t="shared" si="29"/>
        <v>1</v>
      </c>
      <c r="J123" s="134">
        <f t="shared" si="29"/>
        <v>1</v>
      </c>
      <c r="K123" s="134">
        <f t="shared" si="29"/>
        <v>1</v>
      </c>
      <c r="L123" s="134">
        <f t="shared" si="29"/>
        <v>1</v>
      </c>
      <c r="M123" s="134">
        <f t="shared" si="29"/>
        <v>1</v>
      </c>
      <c r="N123" s="134">
        <f t="shared" si="29"/>
        <v>1</v>
      </c>
      <c r="O123" s="134">
        <f t="shared" si="29"/>
        <v>1</v>
      </c>
      <c r="P123" s="134">
        <f t="shared" si="29"/>
        <v>1</v>
      </c>
      <c r="Q123" s="134">
        <f t="shared" si="29"/>
        <v>1</v>
      </c>
      <c r="R123" s="134">
        <f t="shared" si="29"/>
        <v>1</v>
      </c>
      <c r="S123" s="134">
        <f t="shared" si="28"/>
        <v>1</v>
      </c>
      <c r="T123" s="134">
        <f t="shared" si="28"/>
        <v>1</v>
      </c>
      <c r="U123" s="134">
        <f t="shared" si="28"/>
        <v>1</v>
      </c>
      <c r="V123" s="134">
        <f t="shared" si="28"/>
        <v>1</v>
      </c>
      <c r="W123" s="134">
        <f t="shared" si="28"/>
        <v>1</v>
      </c>
      <c r="X123" s="134">
        <f t="shared" si="28"/>
        <v>1</v>
      </c>
      <c r="Y123" s="134">
        <f t="shared" si="28"/>
        <v>1</v>
      </c>
      <c r="Z123" s="134">
        <f t="shared" si="28"/>
        <v>1</v>
      </c>
      <c r="AA123" s="134">
        <f t="shared" si="28"/>
        <v>1</v>
      </c>
      <c r="AB123" s="134">
        <f t="shared" si="28"/>
        <v>1</v>
      </c>
      <c r="AC123" s="134">
        <f t="shared" si="28"/>
        <v>1</v>
      </c>
      <c r="AD123" s="134">
        <f t="shared" si="28"/>
        <v>1</v>
      </c>
      <c r="AE123" s="134">
        <f t="shared" si="28"/>
        <v>1</v>
      </c>
      <c r="AF123" s="134">
        <f t="shared" si="28"/>
        <v>1</v>
      </c>
      <c r="AG123" s="136">
        <v>6</v>
      </c>
      <c r="AH123" s="55"/>
      <c r="AI123" s="56"/>
      <c r="AK123" s="57"/>
    </row>
    <row r="124" spans="1:37" x14ac:dyDescent="0.25">
      <c r="A124" s="121" t="s">
        <v>127</v>
      </c>
      <c r="B124" s="133">
        <v>1.58</v>
      </c>
      <c r="C124" s="134">
        <f t="shared" si="29"/>
        <v>1.58</v>
      </c>
      <c r="D124" s="134">
        <f t="shared" si="29"/>
        <v>1.58</v>
      </c>
      <c r="E124" s="134">
        <f t="shared" si="29"/>
        <v>1.58</v>
      </c>
      <c r="F124" s="134">
        <f t="shared" si="29"/>
        <v>1.58</v>
      </c>
      <c r="G124" s="134">
        <f t="shared" si="29"/>
        <v>1.58</v>
      </c>
      <c r="H124" s="134">
        <f t="shared" si="29"/>
        <v>1.58</v>
      </c>
      <c r="I124" s="134">
        <f t="shared" si="29"/>
        <v>1.58</v>
      </c>
      <c r="J124" s="134">
        <f t="shared" si="29"/>
        <v>1.58</v>
      </c>
      <c r="K124" s="134">
        <f t="shared" si="29"/>
        <v>1.58</v>
      </c>
      <c r="L124" s="134">
        <f t="shared" si="29"/>
        <v>1.58</v>
      </c>
      <c r="M124" s="134">
        <f t="shared" si="29"/>
        <v>1.58</v>
      </c>
      <c r="N124" s="134">
        <f t="shared" si="29"/>
        <v>1.58</v>
      </c>
      <c r="O124" s="134">
        <f t="shared" si="29"/>
        <v>1.58</v>
      </c>
      <c r="P124" s="134">
        <f t="shared" si="29"/>
        <v>1.58</v>
      </c>
      <c r="Q124" s="134">
        <f t="shared" si="29"/>
        <v>1.58</v>
      </c>
      <c r="R124" s="134">
        <f t="shared" si="29"/>
        <v>1.58</v>
      </c>
      <c r="S124" s="134">
        <f t="shared" si="28"/>
        <v>1.58</v>
      </c>
      <c r="T124" s="134">
        <f t="shared" si="28"/>
        <v>1.58</v>
      </c>
      <c r="U124" s="134">
        <f t="shared" si="28"/>
        <v>1.58</v>
      </c>
      <c r="V124" s="134">
        <f t="shared" si="28"/>
        <v>1.58</v>
      </c>
      <c r="W124" s="134">
        <f t="shared" si="28"/>
        <v>1.58</v>
      </c>
      <c r="X124" s="134">
        <f t="shared" si="28"/>
        <v>1.58</v>
      </c>
      <c r="Y124" s="134">
        <f t="shared" si="28"/>
        <v>1.58</v>
      </c>
      <c r="Z124" s="134">
        <f t="shared" si="28"/>
        <v>1.58</v>
      </c>
      <c r="AA124" s="134">
        <f t="shared" si="28"/>
        <v>1.58</v>
      </c>
      <c r="AB124" s="134">
        <f t="shared" si="28"/>
        <v>1.58</v>
      </c>
      <c r="AC124" s="134">
        <f t="shared" si="28"/>
        <v>1.58</v>
      </c>
      <c r="AD124" s="134">
        <f t="shared" si="28"/>
        <v>1.58</v>
      </c>
      <c r="AE124" s="134">
        <f t="shared" si="28"/>
        <v>1.58</v>
      </c>
      <c r="AF124" s="134">
        <f t="shared" si="28"/>
        <v>1.58</v>
      </c>
      <c r="AG124" s="136">
        <v>5.0999999999999996</v>
      </c>
      <c r="AH124" s="55"/>
      <c r="AI124" s="56"/>
      <c r="AK124" s="57"/>
    </row>
    <row r="125" spans="1:37" x14ac:dyDescent="0.25">
      <c r="A125" s="121" t="s">
        <v>128</v>
      </c>
      <c r="B125" s="133">
        <v>1.46</v>
      </c>
      <c r="C125" s="134">
        <f t="shared" si="29"/>
        <v>1.46</v>
      </c>
      <c r="D125" s="134">
        <f t="shared" si="29"/>
        <v>1.46</v>
      </c>
      <c r="E125" s="134">
        <f t="shared" si="29"/>
        <v>1.46</v>
      </c>
      <c r="F125" s="134">
        <f t="shared" si="29"/>
        <v>1.46</v>
      </c>
      <c r="G125" s="134">
        <f t="shared" si="29"/>
        <v>1.46</v>
      </c>
      <c r="H125" s="134">
        <f t="shared" si="29"/>
        <v>1.46</v>
      </c>
      <c r="I125" s="134">
        <f t="shared" si="29"/>
        <v>1.46</v>
      </c>
      <c r="J125" s="134">
        <f t="shared" si="29"/>
        <v>1.46</v>
      </c>
      <c r="K125" s="134">
        <f t="shared" si="29"/>
        <v>1.46</v>
      </c>
      <c r="L125" s="134">
        <f t="shared" si="29"/>
        <v>1.46</v>
      </c>
      <c r="M125" s="134">
        <f t="shared" si="29"/>
        <v>1.46</v>
      </c>
      <c r="N125" s="134">
        <f t="shared" si="29"/>
        <v>1.46</v>
      </c>
      <c r="O125" s="134">
        <f t="shared" si="29"/>
        <v>1.46</v>
      </c>
      <c r="P125" s="134">
        <f t="shared" si="29"/>
        <v>1.46</v>
      </c>
      <c r="Q125" s="134">
        <f t="shared" si="29"/>
        <v>1.46</v>
      </c>
      <c r="R125" s="134">
        <f t="shared" si="29"/>
        <v>1.46</v>
      </c>
      <c r="S125" s="134">
        <f t="shared" ref="S125:AF126" si="30">R125</f>
        <v>1.46</v>
      </c>
      <c r="T125" s="134">
        <f t="shared" si="30"/>
        <v>1.46</v>
      </c>
      <c r="U125" s="134">
        <f t="shared" si="30"/>
        <v>1.46</v>
      </c>
      <c r="V125" s="134">
        <f t="shared" si="30"/>
        <v>1.46</v>
      </c>
      <c r="W125" s="134">
        <f t="shared" si="30"/>
        <v>1.46</v>
      </c>
      <c r="X125" s="134">
        <f t="shared" si="30"/>
        <v>1.46</v>
      </c>
      <c r="Y125" s="134">
        <f t="shared" si="30"/>
        <v>1.46</v>
      </c>
      <c r="Z125" s="134">
        <f t="shared" si="30"/>
        <v>1.46</v>
      </c>
      <c r="AA125" s="134">
        <f t="shared" si="30"/>
        <v>1.46</v>
      </c>
      <c r="AB125" s="134">
        <f t="shared" si="30"/>
        <v>1.46</v>
      </c>
      <c r="AC125" s="134">
        <f t="shared" si="30"/>
        <v>1.46</v>
      </c>
      <c r="AD125" s="134">
        <f t="shared" si="30"/>
        <v>1.46</v>
      </c>
      <c r="AE125" s="134">
        <f t="shared" si="30"/>
        <v>1.46</v>
      </c>
      <c r="AF125" s="134">
        <f t="shared" si="30"/>
        <v>1.46</v>
      </c>
      <c r="AG125" s="136">
        <v>5</v>
      </c>
      <c r="AH125" s="55"/>
      <c r="AI125" s="56"/>
      <c r="AK125" s="57"/>
    </row>
    <row r="126" spans="1:37" x14ac:dyDescent="0.25">
      <c r="A126" s="119" t="s">
        <v>129</v>
      </c>
      <c r="B126" s="133">
        <v>1.48</v>
      </c>
      <c r="C126" s="134">
        <f t="shared" si="29"/>
        <v>1.48</v>
      </c>
      <c r="D126" s="134">
        <f t="shared" si="29"/>
        <v>1.48</v>
      </c>
      <c r="E126" s="134">
        <f t="shared" si="29"/>
        <v>1.48</v>
      </c>
      <c r="F126" s="134">
        <f t="shared" si="29"/>
        <v>1.48</v>
      </c>
      <c r="G126" s="134">
        <f t="shared" si="29"/>
        <v>1.48</v>
      </c>
      <c r="H126" s="134">
        <f t="shared" si="29"/>
        <v>1.48</v>
      </c>
      <c r="I126" s="134">
        <f t="shared" si="29"/>
        <v>1.48</v>
      </c>
      <c r="J126" s="134">
        <f t="shared" si="29"/>
        <v>1.48</v>
      </c>
      <c r="K126" s="134">
        <f t="shared" si="29"/>
        <v>1.48</v>
      </c>
      <c r="L126" s="134">
        <f t="shared" si="29"/>
        <v>1.48</v>
      </c>
      <c r="M126" s="134">
        <f t="shared" si="29"/>
        <v>1.48</v>
      </c>
      <c r="N126" s="134">
        <f t="shared" si="29"/>
        <v>1.48</v>
      </c>
      <c r="O126" s="134">
        <f t="shared" si="29"/>
        <v>1.48</v>
      </c>
      <c r="P126" s="134">
        <f t="shared" si="29"/>
        <v>1.48</v>
      </c>
      <c r="Q126" s="134">
        <f t="shared" si="29"/>
        <v>1.48</v>
      </c>
      <c r="R126" s="134">
        <f t="shared" si="29"/>
        <v>1.48</v>
      </c>
      <c r="S126" s="134">
        <f t="shared" si="30"/>
        <v>1.48</v>
      </c>
      <c r="T126" s="134">
        <f t="shared" si="30"/>
        <v>1.48</v>
      </c>
      <c r="U126" s="134">
        <f t="shared" si="30"/>
        <v>1.48</v>
      </c>
      <c r="V126" s="134">
        <f t="shared" si="30"/>
        <v>1.48</v>
      </c>
      <c r="W126" s="134">
        <f t="shared" si="30"/>
        <v>1.48</v>
      </c>
      <c r="X126" s="134">
        <f t="shared" si="30"/>
        <v>1.48</v>
      </c>
      <c r="Y126" s="134">
        <f t="shared" si="30"/>
        <v>1.48</v>
      </c>
      <c r="Z126" s="134">
        <f t="shared" si="30"/>
        <v>1.48</v>
      </c>
      <c r="AA126" s="134">
        <f t="shared" si="30"/>
        <v>1.48</v>
      </c>
      <c r="AB126" s="134">
        <f t="shared" si="30"/>
        <v>1.48</v>
      </c>
      <c r="AC126" s="134">
        <f t="shared" si="30"/>
        <v>1.48</v>
      </c>
      <c r="AD126" s="134">
        <f t="shared" si="30"/>
        <v>1.48</v>
      </c>
      <c r="AE126" s="134">
        <f t="shared" si="30"/>
        <v>1.48</v>
      </c>
      <c r="AF126" s="134">
        <f t="shared" si="30"/>
        <v>1.48</v>
      </c>
      <c r="AG126" s="135">
        <v>5</v>
      </c>
      <c r="AH126" s="55"/>
      <c r="AI126" s="56"/>
      <c r="AK126" s="57"/>
    </row>
    <row r="127" spans="1:37" x14ac:dyDescent="0.25">
      <c r="A127" s="121" t="s">
        <v>130</v>
      </c>
      <c r="B127" s="133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6">
        <v>5</v>
      </c>
      <c r="AH127" s="55"/>
      <c r="AI127" s="56"/>
      <c r="AK127" s="57"/>
    </row>
    <row r="128" spans="1:37" x14ac:dyDescent="0.25">
      <c r="A128" s="121" t="s">
        <v>131</v>
      </c>
      <c r="B128" s="133">
        <v>2.2000000000000002</v>
      </c>
      <c r="C128" s="134">
        <f t="shared" ref="C128:R135" si="31">B128</f>
        <v>2.2000000000000002</v>
      </c>
      <c r="D128" s="134">
        <f t="shared" si="31"/>
        <v>2.2000000000000002</v>
      </c>
      <c r="E128" s="134">
        <f t="shared" si="31"/>
        <v>2.2000000000000002</v>
      </c>
      <c r="F128" s="134">
        <f t="shared" si="31"/>
        <v>2.2000000000000002</v>
      </c>
      <c r="G128" s="134">
        <f t="shared" si="31"/>
        <v>2.2000000000000002</v>
      </c>
      <c r="H128" s="134">
        <f t="shared" si="31"/>
        <v>2.2000000000000002</v>
      </c>
      <c r="I128" s="134">
        <f t="shared" si="31"/>
        <v>2.2000000000000002</v>
      </c>
      <c r="J128" s="134">
        <f t="shared" si="31"/>
        <v>2.2000000000000002</v>
      </c>
      <c r="K128" s="134">
        <f t="shared" si="31"/>
        <v>2.2000000000000002</v>
      </c>
      <c r="L128" s="134">
        <f t="shared" si="31"/>
        <v>2.2000000000000002</v>
      </c>
      <c r="M128" s="134">
        <f t="shared" si="31"/>
        <v>2.2000000000000002</v>
      </c>
      <c r="N128" s="134">
        <f t="shared" si="31"/>
        <v>2.2000000000000002</v>
      </c>
      <c r="O128" s="134">
        <f t="shared" si="31"/>
        <v>2.2000000000000002</v>
      </c>
      <c r="P128" s="134">
        <f t="shared" si="31"/>
        <v>2.2000000000000002</v>
      </c>
      <c r="Q128" s="134">
        <f t="shared" si="31"/>
        <v>2.2000000000000002</v>
      </c>
      <c r="R128" s="134">
        <f t="shared" si="31"/>
        <v>2.2000000000000002</v>
      </c>
      <c r="S128" s="134">
        <f t="shared" ref="S128:AF135" si="32">R128</f>
        <v>2.2000000000000002</v>
      </c>
      <c r="T128" s="134">
        <f t="shared" si="32"/>
        <v>2.2000000000000002</v>
      </c>
      <c r="U128" s="134">
        <f t="shared" si="32"/>
        <v>2.2000000000000002</v>
      </c>
      <c r="V128" s="134">
        <f t="shared" si="32"/>
        <v>2.2000000000000002</v>
      </c>
      <c r="W128" s="134">
        <f t="shared" si="32"/>
        <v>2.2000000000000002</v>
      </c>
      <c r="X128" s="134">
        <f t="shared" si="32"/>
        <v>2.2000000000000002</v>
      </c>
      <c r="Y128" s="134">
        <f t="shared" si="32"/>
        <v>2.2000000000000002</v>
      </c>
      <c r="Z128" s="134">
        <f t="shared" si="32"/>
        <v>2.2000000000000002</v>
      </c>
      <c r="AA128" s="134">
        <f t="shared" si="32"/>
        <v>2.2000000000000002</v>
      </c>
      <c r="AB128" s="134">
        <f t="shared" si="32"/>
        <v>2.2000000000000002</v>
      </c>
      <c r="AC128" s="134">
        <f t="shared" si="32"/>
        <v>2.2000000000000002</v>
      </c>
      <c r="AD128" s="134">
        <f t="shared" si="32"/>
        <v>2.2000000000000002</v>
      </c>
      <c r="AE128" s="134">
        <f t="shared" si="32"/>
        <v>2.2000000000000002</v>
      </c>
      <c r="AF128" s="134">
        <f t="shared" si="32"/>
        <v>2.2000000000000002</v>
      </c>
      <c r="AG128" s="136">
        <v>5</v>
      </c>
      <c r="AH128" s="55"/>
      <c r="AI128" s="56"/>
      <c r="AK128" s="57"/>
    </row>
    <row r="129" spans="1:37" x14ac:dyDescent="0.25">
      <c r="A129" s="121" t="s">
        <v>132</v>
      </c>
      <c r="B129" s="133">
        <v>2</v>
      </c>
      <c r="C129" s="134">
        <f t="shared" si="31"/>
        <v>2</v>
      </c>
      <c r="D129" s="134">
        <f t="shared" si="31"/>
        <v>2</v>
      </c>
      <c r="E129" s="134">
        <f t="shared" si="31"/>
        <v>2</v>
      </c>
      <c r="F129" s="134">
        <f t="shared" si="31"/>
        <v>2</v>
      </c>
      <c r="G129" s="134">
        <f t="shared" si="31"/>
        <v>2</v>
      </c>
      <c r="H129" s="134">
        <f t="shared" si="31"/>
        <v>2</v>
      </c>
      <c r="I129" s="134">
        <f t="shared" si="31"/>
        <v>2</v>
      </c>
      <c r="J129" s="134">
        <f t="shared" si="31"/>
        <v>2</v>
      </c>
      <c r="K129" s="134">
        <f t="shared" si="31"/>
        <v>2</v>
      </c>
      <c r="L129" s="134">
        <f t="shared" si="31"/>
        <v>2</v>
      </c>
      <c r="M129" s="134">
        <f t="shared" si="31"/>
        <v>2</v>
      </c>
      <c r="N129" s="134">
        <f t="shared" si="31"/>
        <v>2</v>
      </c>
      <c r="O129" s="134">
        <f t="shared" si="31"/>
        <v>2</v>
      </c>
      <c r="P129" s="134">
        <f t="shared" si="31"/>
        <v>2</v>
      </c>
      <c r="Q129" s="134">
        <f t="shared" si="31"/>
        <v>2</v>
      </c>
      <c r="R129" s="134">
        <f t="shared" si="31"/>
        <v>2</v>
      </c>
      <c r="S129" s="134">
        <f t="shared" si="32"/>
        <v>2</v>
      </c>
      <c r="T129" s="134">
        <f t="shared" si="32"/>
        <v>2</v>
      </c>
      <c r="U129" s="134">
        <f t="shared" si="32"/>
        <v>2</v>
      </c>
      <c r="V129" s="134">
        <f t="shared" si="32"/>
        <v>2</v>
      </c>
      <c r="W129" s="134">
        <f t="shared" si="32"/>
        <v>2</v>
      </c>
      <c r="X129" s="134">
        <f t="shared" si="32"/>
        <v>2</v>
      </c>
      <c r="Y129" s="134">
        <f t="shared" si="32"/>
        <v>2</v>
      </c>
      <c r="Z129" s="134">
        <f t="shared" si="32"/>
        <v>2</v>
      </c>
      <c r="AA129" s="134">
        <f t="shared" si="32"/>
        <v>2</v>
      </c>
      <c r="AB129" s="134">
        <f t="shared" si="32"/>
        <v>2</v>
      </c>
      <c r="AC129" s="134">
        <f t="shared" si="32"/>
        <v>2</v>
      </c>
      <c r="AD129" s="134">
        <f t="shared" si="32"/>
        <v>2</v>
      </c>
      <c r="AE129" s="134">
        <f t="shared" si="32"/>
        <v>2</v>
      </c>
      <c r="AF129" s="134">
        <f t="shared" si="32"/>
        <v>2</v>
      </c>
      <c r="AG129" s="136">
        <v>5</v>
      </c>
      <c r="AH129" s="55"/>
      <c r="AI129" s="56"/>
      <c r="AK129" s="57"/>
    </row>
    <row r="130" spans="1:37" x14ac:dyDescent="0.25">
      <c r="A130" s="121" t="s">
        <v>133</v>
      </c>
      <c r="B130" s="133">
        <v>1.25</v>
      </c>
      <c r="C130" s="134">
        <f t="shared" si="31"/>
        <v>1.25</v>
      </c>
      <c r="D130" s="134">
        <f t="shared" si="31"/>
        <v>1.25</v>
      </c>
      <c r="E130" s="134">
        <f t="shared" si="31"/>
        <v>1.25</v>
      </c>
      <c r="F130" s="134">
        <f t="shared" si="31"/>
        <v>1.25</v>
      </c>
      <c r="G130" s="134">
        <f t="shared" si="31"/>
        <v>1.25</v>
      </c>
      <c r="H130" s="134">
        <f t="shared" si="31"/>
        <v>1.25</v>
      </c>
      <c r="I130" s="134">
        <f t="shared" si="31"/>
        <v>1.25</v>
      </c>
      <c r="J130" s="134">
        <f t="shared" si="31"/>
        <v>1.25</v>
      </c>
      <c r="K130" s="134">
        <f t="shared" si="31"/>
        <v>1.25</v>
      </c>
      <c r="L130" s="134">
        <f t="shared" si="31"/>
        <v>1.25</v>
      </c>
      <c r="M130" s="134">
        <f t="shared" si="31"/>
        <v>1.25</v>
      </c>
      <c r="N130" s="134">
        <f t="shared" si="31"/>
        <v>1.25</v>
      </c>
      <c r="O130" s="134">
        <f t="shared" si="31"/>
        <v>1.25</v>
      </c>
      <c r="P130" s="134">
        <f t="shared" si="31"/>
        <v>1.25</v>
      </c>
      <c r="Q130" s="134">
        <f t="shared" si="31"/>
        <v>1.25</v>
      </c>
      <c r="R130" s="134">
        <f t="shared" si="31"/>
        <v>1.25</v>
      </c>
      <c r="S130" s="134">
        <f t="shared" si="32"/>
        <v>1.25</v>
      </c>
      <c r="T130" s="134">
        <f t="shared" si="32"/>
        <v>1.25</v>
      </c>
      <c r="U130" s="134">
        <f t="shared" si="32"/>
        <v>1.25</v>
      </c>
      <c r="V130" s="134">
        <f t="shared" si="32"/>
        <v>1.25</v>
      </c>
      <c r="W130" s="134">
        <f t="shared" si="32"/>
        <v>1.25</v>
      </c>
      <c r="X130" s="134">
        <f t="shared" si="32"/>
        <v>1.25</v>
      </c>
      <c r="Y130" s="134">
        <f t="shared" si="32"/>
        <v>1.25</v>
      </c>
      <c r="Z130" s="134">
        <f t="shared" si="32"/>
        <v>1.25</v>
      </c>
      <c r="AA130" s="134">
        <f t="shared" si="32"/>
        <v>1.25</v>
      </c>
      <c r="AB130" s="134">
        <f t="shared" si="32"/>
        <v>1.25</v>
      </c>
      <c r="AC130" s="134">
        <f t="shared" si="32"/>
        <v>1.25</v>
      </c>
      <c r="AD130" s="134">
        <f t="shared" si="32"/>
        <v>1.25</v>
      </c>
      <c r="AE130" s="134">
        <f t="shared" si="32"/>
        <v>1.25</v>
      </c>
      <c r="AF130" s="134">
        <f t="shared" si="32"/>
        <v>1.25</v>
      </c>
      <c r="AG130" s="136">
        <v>5</v>
      </c>
      <c r="AH130" s="55"/>
      <c r="AI130" s="56"/>
      <c r="AK130" s="57"/>
    </row>
    <row r="131" spans="1:37" x14ac:dyDescent="0.25">
      <c r="A131" s="121" t="s">
        <v>134</v>
      </c>
      <c r="B131" s="133">
        <v>1.1499999999999999</v>
      </c>
      <c r="C131" s="134">
        <f t="shared" si="31"/>
        <v>1.1499999999999999</v>
      </c>
      <c r="D131" s="134">
        <f t="shared" si="31"/>
        <v>1.1499999999999999</v>
      </c>
      <c r="E131" s="134">
        <f t="shared" si="31"/>
        <v>1.1499999999999999</v>
      </c>
      <c r="F131" s="134">
        <f t="shared" si="31"/>
        <v>1.1499999999999999</v>
      </c>
      <c r="G131" s="134">
        <f t="shared" si="31"/>
        <v>1.1499999999999999</v>
      </c>
      <c r="H131" s="134">
        <f t="shared" si="31"/>
        <v>1.1499999999999999</v>
      </c>
      <c r="I131" s="134">
        <f t="shared" si="31"/>
        <v>1.1499999999999999</v>
      </c>
      <c r="J131" s="134">
        <f t="shared" si="31"/>
        <v>1.1499999999999999</v>
      </c>
      <c r="K131" s="134">
        <f t="shared" si="31"/>
        <v>1.1499999999999999</v>
      </c>
      <c r="L131" s="134">
        <f t="shared" si="31"/>
        <v>1.1499999999999999</v>
      </c>
      <c r="M131" s="134">
        <f t="shared" si="31"/>
        <v>1.1499999999999999</v>
      </c>
      <c r="N131" s="134">
        <f t="shared" si="31"/>
        <v>1.1499999999999999</v>
      </c>
      <c r="O131" s="134">
        <f t="shared" si="31"/>
        <v>1.1499999999999999</v>
      </c>
      <c r="P131" s="134">
        <f t="shared" si="31"/>
        <v>1.1499999999999999</v>
      </c>
      <c r="Q131" s="134">
        <f t="shared" si="31"/>
        <v>1.1499999999999999</v>
      </c>
      <c r="R131" s="134">
        <f t="shared" si="31"/>
        <v>1.1499999999999999</v>
      </c>
      <c r="S131" s="134">
        <f t="shared" si="32"/>
        <v>1.1499999999999999</v>
      </c>
      <c r="T131" s="134">
        <f t="shared" si="32"/>
        <v>1.1499999999999999</v>
      </c>
      <c r="U131" s="134">
        <f t="shared" si="32"/>
        <v>1.1499999999999999</v>
      </c>
      <c r="V131" s="134">
        <f t="shared" si="32"/>
        <v>1.1499999999999999</v>
      </c>
      <c r="W131" s="134">
        <f t="shared" si="32"/>
        <v>1.1499999999999999</v>
      </c>
      <c r="X131" s="134">
        <f t="shared" si="32"/>
        <v>1.1499999999999999</v>
      </c>
      <c r="Y131" s="134">
        <f t="shared" si="32"/>
        <v>1.1499999999999999</v>
      </c>
      <c r="Z131" s="134">
        <f t="shared" si="32"/>
        <v>1.1499999999999999</v>
      </c>
      <c r="AA131" s="134">
        <f t="shared" si="32"/>
        <v>1.1499999999999999</v>
      </c>
      <c r="AB131" s="134">
        <f t="shared" si="32"/>
        <v>1.1499999999999999</v>
      </c>
      <c r="AC131" s="134">
        <f t="shared" si="32"/>
        <v>1.1499999999999999</v>
      </c>
      <c r="AD131" s="134">
        <f t="shared" si="32"/>
        <v>1.1499999999999999</v>
      </c>
      <c r="AE131" s="134">
        <f t="shared" si="32"/>
        <v>1.1499999999999999</v>
      </c>
      <c r="AF131" s="134">
        <f t="shared" si="32"/>
        <v>1.1499999999999999</v>
      </c>
      <c r="AG131" s="136">
        <v>5</v>
      </c>
      <c r="AH131" s="55"/>
      <c r="AI131" s="56"/>
      <c r="AK131" s="57"/>
    </row>
    <row r="132" spans="1:37" x14ac:dyDescent="0.25">
      <c r="A132" s="121" t="s">
        <v>135</v>
      </c>
      <c r="B132" s="133">
        <v>2.133</v>
      </c>
      <c r="C132" s="134">
        <f t="shared" si="31"/>
        <v>2.133</v>
      </c>
      <c r="D132" s="134">
        <f t="shared" si="31"/>
        <v>2.133</v>
      </c>
      <c r="E132" s="134">
        <f t="shared" si="31"/>
        <v>2.133</v>
      </c>
      <c r="F132" s="134">
        <f t="shared" si="31"/>
        <v>2.133</v>
      </c>
      <c r="G132" s="134">
        <f t="shared" si="31"/>
        <v>2.133</v>
      </c>
      <c r="H132" s="134">
        <f t="shared" si="31"/>
        <v>2.133</v>
      </c>
      <c r="I132" s="134">
        <f t="shared" si="31"/>
        <v>2.133</v>
      </c>
      <c r="J132" s="134">
        <f t="shared" si="31"/>
        <v>2.133</v>
      </c>
      <c r="K132" s="134">
        <f t="shared" si="31"/>
        <v>2.133</v>
      </c>
      <c r="L132" s="134">
        <f t="shared" si="31"/>
        <v>2.133</v>
      </c>
      <c r="M132" s="134">
        <f t="shared" si="31"/>
        <v>2.133</v>
      </c>
      <c r="N132" s="134">
        <f t="shared" si="31"/>
        <v>2.133</v>
      </c>
      <c r="O132" s="134">
        <f t="shared" si="31"/>
        <v>2.133</v>
      </c>
      <c r="P132" s="134">
        <f t="shared" si="31"/>
        <v>2.133</v>
      </c>
      <c r="Q132" s="134">
        <f t="shared" si="31"/>
        <v>2.133</v>
      </c>
      <c r="R132" s="134">
        <f t="shared" si="31"/>
        <v>2.133</v>
      </c>
      <c r="S132" s="134">
        <f t="shared" si="32"/>
        <v>2.133</v>
      </c>
      <c r="T132" s="134">
        <f t="shared" si="32"/>
        <v>2.133</v>
      </c>
      <c r="U132" s="134">
        <f t="shared" si="32"/>
        <v>2.133</v>
      </c>
      <c r="V132" s="134">
        <f t="shared" si="32"/>
        <v>2.133</v>
      </c>
      <c r="W132" s="134">
        <f t="shared" si="32"/>
        <v>2.133</v>
      </c>
      <c r="X132" s="134">
        <f t="shared" si="32"/>
        <v>2.133</v>
      </c>
      <c r="Y132" s="134">
        <f t="shared" si="32"/>
        <v>2.133</v>
      </c>
      <c r="Z132" s="134">
        <f t="shared" si="32"/>
        <v>2.133</v>
      </c>
      <c r="AA132" s="134">
        <f t="shared" si="32"/>
        <v>2.133</v>
      </c>
      <c r="AB132" s="134">
        <f t="shared" si="32"/>
        <v>2.133</v>
      </c>
      <c r="AC132" s="134">
        <f t="shared" si="32"/>
        <v>2.133</v>
      </c>
      <c r="AD132" s="134">
        <f t="shared" si="32"/>
        <v>2.133</v>
      </c>
      <c r="AE132" s="134">
        <f t="shared" si="32"/>
        <v>2.133</v>
      </c>
      <c r="AF132" s="134">
        <f t="shared" si="32"/>
        <v>2.133</v>
      </c>
      <c r="AG132" s="136">
        <v>4.9930000000000003</v>
      </c>
      <c r="AH132" s="55"/>
      <c r="AI132" s="56"/>
      <c r="AK132" s="57"/>
    </row>
    <row r="133" spans="1:37" x14ac:dyDescent="0.25">
      <c r="A133" s="121" t="s">
        <v>136</v>
      </c>
      <c r="B133" s="133">
        <v>2.09</v>
      </c>
      <c r="C133" s="134">
        <f t="shared" si="31"/>
        <v>2.09</v>
      </c>
      <c r="D133" s="134">
        <f t="shared" si="31"/>
        <v>2.09</v>
      </c>
      <c r="E133" s="134">
        <f t="shared" si="31"/>
        <v>2.09</v>
      </c>
      <c r="F133" s="134">
        <f t="shared" si="31"/>
        <v>2.09</v>
      </c>
      <c r="G133" s="134">
        <f t="shared" si="31"/>
        <v>2.09</v>
      </c>
      <c r="H133" s="134">
        <f t="shared" si="31"/>
        <v>2.09</v>
      </c>
      <c r="I133" s="134">
        <f t="shared" si="31"/>
        <v>2.09</v>
      </c>
      <c r="J133" s="134">
        <f t="shared" si="31"/>
        <v>2.09</v>
      </c>
      <c r="K133" s="134">
        <f t="shared" si="31"/>
        <v>2.09</v>
      </c>
      <c r="L133" s="134">
        <f t="shared" si="31"/>
        <v>2.09</v>
      </c>
      <c r="M133" s="134">
        <f t="shared" si="31"/>
        <v>2.09</v>
      </c>
      <c r="N133" s="134">
        <f t="shared" si="31"/>
        <v>2.09</v>
      </c>
      <c r="O133" s="134">
        <f t="shared" si="31"/>
        <v>2.09</v>
      </c>
      <c r="P133" s="134">
        <f t="shared" si="31"/>
        <v>2.09</v>
      </c>
      <c r="Q133" s="134">
        <f t="shared" si="31"/>
        <v>2.09</v>
      </c>
      <c r="R133" s="134">
        <f t="shared" si="31"/>
        <v>2.09</v>
      </c>
      <c r="S133" s="134">
        <f t="shared" si="32"/>
        <v>2.09</v>
      </c>
      <c r="T133" s="134">
        <f t="shared" si="32"/>
        <v>2.09</v>
      </c>
      <c r="U133" s="134">
        <f t="shared" si="32"/>
        <v>2.09</v>
      </c>
      <c r="V133" s="134">
        <f t="shared" si="32"/>
        <v>2.09</v>
      </c>
      <c r="W133" s="134">
        <f t="shared" si="32"/>
        <v>2.09</v>
      </c>
      <c r="X133" s="134">
        <f t="shared" si="32"/>
        <v>2.09</v>
      </c>
      <c r="Y133" s="134">
        <f t="shared" si="32"/>
        <v>2.09</v>
      </c>
      <c r="Z133" s="134">
        <f t="shared" si="32"/>
        <v>2.09</v>
      </c>
      <c r="AA133" s="134">
        <f t="shared" si="32"/>
        <v>2.09</v>
      </c>
      <c r="AB133" s="134">
        <f t="shared" si="32"/>
        <v>2.09</v>
      </c>
      <c r="AC133" s="134">
        <f t="shared" si="32"/>
        <v>2.09</v>
      </c>
      <c r="AD133" s="134">
        <f t="shared" si="32"/>
        <v>2.09</v>
      </c>
      <c r="AE133" s="134">
        <f t="shared" si="32"/>
        <v>2.09</v>
      </c>
      <c r="AF133" s="134">
        <f t="shared" si="32"/>
        <v>2.09</v>
      </c>
      <c r="AG133" s="136">
        <v>4.9800000000000004</v>
      </c>
      <c r="AH133" s="55"/>
      <c r="AI133" s="56"/>
      <c r="AK133" s="57"/>
    </row>
    <row r="134" spans="1:37" x14ac:dyDescent="0.25">
      <c r="A134" s="121" t="s">
        <v>137</v>
      </c>
      <c r="B134" s="133">
        <v>1.1399999999999999</v>
      </c>
      <c r="C134" s="134">
        <f t="shared" si="31"/>
        <v>1.1399999999999999</v>
      </c>
      <c r="D134" s="134">
        <f t="shared" si="31"/>
        <v>1.1399999999999999</v>
      </c>
      <c r="E134" s="134">
        <f t="shared" si="31"/>
        <v>1.1399999999999999</v>
      </c>
      <c r="F134" s="134">
        <f t="shared" si="31"/>
        <v>1.1399999999999999</v>
      </c>
      <c r="G134" s="134">
        <f t="shared" si="31"/>
        <v>1.1399999999999999</v>
      </c>
      <c r="H134" s="134">
        <f t="shared" si="31"/>
        <v>1.1399999999999999</v>
      </c>
      <c r="I134" s="134">
        <f t="shared" si="31"/>
        <v>1.1399999999999999</v>
      </c>
      <c r="J134" s="134">
        <f t="shared" si="31"/>
        <v>1.1399999999999999</v>
      </c>
      <c r="K134" s="134">
        <f t="shared" si="31"/>
        <v>1.1399999999999999</v>
      </c>
      <c r="L134" s="134">
        <f t="shared" si="31"/>
        <v>1.1399999999999999</v>
      </c>
      <c r="M134" s="134">
        <f t="shared" si="31"/>
        <v>1.1399999999999999</v>
      </c>
      <c r="N134" s="134">
        <f t="shared" si="31"/>
        <v>1.1399999999999999</v>
      </c>
      <c r="O134" s="134">
        <f t="shared" si="31"/>
        <v>1.1399999999999999</v>
      </c>
      <c r="P134" s="134">
        <f t="shared" si="31"/>
        <v>1.1399999999999999</v>
      </c>
      <c r="Q134" s="134">
        <f t="shared" si="31"/>
        <v>1.1399999999999999</v>
      </c>
      <c r="R134" s="134">
        <f t="shared" si="31"/>
        <v>1.1399999999999999</v>
      </c>
      <c r="S134" s="134">
        <f t="shared" si="32"/>
        <v>1.1399999999999999</v>
      </c>
      <c r="T134" s="134">
        <f t="shared" si="32"/>
        <v>1.1399999999999999</v>
      </c>
      <c r="U134" s="134">
        <f t="shared" si="32"/>
        <v>1.1399999999999999</v>
      </c>
      <c r="V134" s="134">
        <f t="shared" si="32"/>
        <v>1.1399999999999999</v>
      </c>
      <c r="W134" s="134">
        <f t="shared" si="32"/>
        <v>1.1399999999999999</v>
      </c>
      <c r="X134" s="134">
        <f t="shared" si="32"/>
        <v>1.1399999999999999</v>
      </c>
      <c r="Y134" s="134">
        <f t="shared" si="32"/>
        <v>1.1399999999999999</v>
      </c>
      <c r="Z134" s="134">
        <f t="shared" si="32"/>
        <v>1.1399999999999999</v>
      </c>
      <c r="AA134" s="134">
        <f t="shared" si="32"/>
        <v>1.1399999999999999</v>
      </c>
      <c r="AB134" s="134">
        <f t="shared" si="32"/>
        <v>1.1399999999999999</v>
      </c>
      <c r="AC134" s="134">
        <f t="shared" si="32"/>
        <v>1.1399999999999999</v>
      </c>
      <c r="AD134" s="134">
        <f t="shared" si="32"/>
        <v>1.1399999999999999</v>
      </c>
      <c r="AE134" s="134">
        <f t="shared" si="32"/>
        <v>1.1399999999999999</v>
      </c>
      <c r="AF134" s="134">
        <f t="shared" si="32"/>
        <v>1.1399999999999999</v>
      </c>
      <c r="AG134" s="136">
        <v>4.95</v>
      </c>
      <c r="AH134" s="55"/>
      <c r="AI134" s="56"/>
      <c r="AK134" s="57"/>
    </row>
    <row r="135" spans="1:37" x14ac:dyDescent="0.25">
      <c r="A135" s="121" t="s">
        <v>138</v>
      </c>
      <c r="B135" s="133">
        <v>0.82</v>
      </c>
      <c r="C135" s="134">
        <f t="shared" si="31"/>
        <v>0.82</v>
      </c>
      <c r="D135" s="134">
        <f t="shared" si="31"/>
        <v>0.82</v>
      </c>
      <c r="E135" s="134">
        <f t="shared" si="31"/>
        <v>0.82</v>
      </c>
      <c r="F135" s="134">
        <f t="shared" si="31"/>
        <v>0.82</v>
      </c>
      <c r="G135" s="134">
        <f t="shared" si="31"/>
        <v>0.82</v>
      </c>
      <c r="H135" s="134">
        <f t="shared" si="31"/>
        <v>0.82</v>
      </c>
      <c r="I135" s="134">
        <f t="shared" si="31"/>
        <v>0.82</v>
      </c>
      <c r="J135" s="134">
        <f t="shared" si="31"/>
        <v>0.82</v>
      </c>
      <c r="K135" s="134">
        <f t="shared" si="31"/>
        <v>0.82</v>
      </c>
      <c r="L135" s="134">
        <f t="shared" si="31"/>
        <v>0.82</v>
      </c>
      <c r="M135" s="134">
        <f t="shared" si="31"/>
        <v>0.82</v>
      </c>
      <c r="N135" s="134">
        <f t="shared" si="31"/>
        <v>0.82</v>
      </c>
      <c r="O135" s="134">
        <f t="shared" si="31"/>
        <v>0.82</v>
      </c>
      <c r="P135" s="134">
        <f t="shared" si="31"/>
        <v>0.82</v>
      </c>
      <c r="Q135" s="134">
        <f t="shared" si="31"/>
        <v>0.82</v>
      </c>
      <c r="R135" s="134">
        <f t="shared" si="31"/>
        <v>0.82</v>
      </c>
      <c r="S135" s="134">
        <f t="shared" si="32"/>
        <v>0.82</v>
      </c>
      <c r="T135" s="134">
        <f t="shared" si="32"/>
        <v>0.82</v>
      </c>
      <c r="U135" s="134">
        <f t="shared" si="32"/>
        <v>0.82</v>
      </c>
      <c r="V135" s="134">
        <f t="shared" si="32"/>
        <v>0.82</v>
      </c>
      <c r="W135" s="134">
        <f t="shared" si="32"/>
        <v>0.82</v>
      </c>
      <c r="X135" s="134">
        <f t="shared" si="32"/>
        <v>0.82</v>
      </c>
      <c r="Y135" s="134">
        <f t="shared" si="32"/>
        <v>0.82</v>
      </c>
      <c r="Z135" s="134">
        <f t="shared" si="32"/>
        <v>0.82</v>
      </c>
      <c r="AA135" s="134">
        <f t="shared" si="32"/>
        <v>0.82</v>
      </c>
      <c r="AB135" s="134">
        <f t="shared" si="32"/>
        <v>0.82</v>
      </c>
      <c r="AC135" s="134">
        <f t="shared" si="32"/>
        <v>0.82</v>
      </c>
      <c r="AD135" s="134">
        <f t="shared" si="32"/>
        <v>0.82</v>
      </c>
      <c r="AE135" s="134">
        <f t="shared" si="32"/>
        <v>0.82</v>
      </c>
      <c r="AF135" s="134">
        <f t="shared" si="32"/>
        <v>0.82</v>
      </c>
      <c r="AG135" s="136">
        <v>4.95</v>
      </c>
      <c r="AH135" s="55"/>
      <c r="AI135" s="56"/>
      <c r="AK135" s="57"/>
    </row>
    <row r="136" spans="1:37" x14ac:dyDescent="0.25">
      <c r="A136" s="121" t="s">
        <v>139</v>
      </c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6">
        <v>4.8</v>
      </c>
      <c r="AH136" s="55"/>
      <c r="AI136" s="56"/>
      <c r="AK136" s="57"/>
    </row>
    <row r="137" spans="1:37" x14ac:dyDescent="0.25">
      <c r="A137" s="121" t="s">
        <v>140</v>
      </c>
      <c r="B137" s="133">
        <v>2</v>
      </c>
      <c r="C137" s="134">
        <f t="shared" ref="C137:R143" si="33">B137</f>
        <v>2</v>
      </c>
      <c r="D137" s="134">
        <f t="shared" si="33"/>
        <v>2</v>
      </c>
      <c r="E137" s="134">
        <f t="shared" si="33"/>
        <v>2</v>
      </c>
      <c r="F137" s="134">
        <f t="shared" si="33"/>
        <v>2</v>
      </c>
      <c r="G137" s="134">
        <f t="shared" si="33"/>
        <v>2</v>
      </c>
      <c r="H137" s="134">
        <f t="shared" si="33"/>
        <v>2</v>
      </c>
      <c r="I137" s="134">
        <f t="shared" si="33"/>
        <v>2</v>
      </c>
      <c r="J137" s="134">
        <f t="shared" si="33"/>
        <v>2</v>
      </c>
      <c r="K137" s="134">
        <f t="shared" si="33"/>
        <v>2</v>
      </c>
      <c r="L137" s="134">
        <f t="shared" si="33"/>
        <v>2</v>
      </c>
      <c r="M137" s="134">
        <f t="shared" si="33"/>
        <v>2</v>
      </c>
      <c r="N137" s="134">
        <f t="shared" si="33"/>
        <v>2</v>
      </c>
      <c r="O137" s="134">
        <f t="shared" si="33"/>
        <v>2</v>
      </c>
      <c r="P137" s="134">
        <f t="shared" si="33"/>
        <v>2</v>
      </c>
      <c r="Q137" s="134">
        <f t="shared" si="33"/>
        <v>2</v>
      </c>
      <c r="R137" s="134">
        <f t="shared" si="33"/>
        <v>2</v>
      </c>
      <c r="S137" s="134">
        <f t="shared" ref="S137:AF143" si="34">R137</f>
        <v>2</v>
      </c>
      <c r="T137" s="134">
        <f t="shared" si="34"/>
        <v>2</v>
      </c>
      <c r="U137" s="134">
        <f t="shared" si="34"/>
        <v>2</v>
      </c>
      <c r="V137" s="134">
        <f t="shared" si="34"/>
        <v>2</v>
      </c>
      <c r="W137" s="134">
        <f t="shared" si="34"/>
        <v>2</v>
      </c>
      <c r="X137" s="134">
        <f t="shared" si="34"/>
        <v>2</v>
      </c>
      <c r="Y137" s="134">
        <f t="shared" si="34"/>
        <v>2</v>
      </c>
      <c r="Z137" s="134">
        <f t="shared" si="34"/>
        <v>2</v>
      </c>
      <c r="AA137" s="134">
        <f t="shared" si="34"/>
        <v>2</v>
      </c>
      <c r="AB137" s="134">
        <f t="shared" si="34"/>
        <v>2</v>
      </c>
      <c r="AC137" s="134">
        <f t="shared" si="34"/>
        <v>2</v>
      </c>
      <c r="AD137" s="134">
        <f t="shared" si="34"/>
        <v>2</v>
      </c>
      <c r="AE137" s="134">
        <f t="shared" si="34"/>
        <v>2</v>
      </c>
      <c r="AF137" s="134">
        <f t="shared" si="34"/>
        <v>2</v>
      </c>
      <c r="AG137" s="136">
        <v>4.8</v>
      </c>
      <c r="AH137" s="55"/>
      <c r="AI137" s="56"/>
      <c r="AK137" s="57"/>
    </row>
    <row r="138" spans="1:37" x14ac:dyDescent="0.25">
      <c r="A138" s="121" t="s">
        <v>141</v>
      </c>
      <c r="B138" s="133">
        <v>5.61</v>
      </c>
      <c r="C138" s="134">
        <f t="shared" si="33"/>
        <v>5.61</v>
      </c>
      <c r="D138" s="134">
        <f t="shared" si="33"/>
        <v>5.61</v>
      </c>
      <c r="E138" s="134">
        <f t="shared" si="33"/>
        <v>5.61</v>
      </c>
      <c r="F138" s="134">
        <f t="shared" si="33"/>
        <v>5.61</v>
      </c>
      <c r="G138" s="134">
        <f t="shared" si="33"/>
        <v>5.61</v>
      </c>
      <c r="H138" s="134">
        <f t="shared" si="33"/>
        <v>5.61</v>
      </c>
      <c r="I138" s="134">
        <f t="shared" si="33"/>
        <v>5.61</v>
      </c>
      <c r="J138" s="134">
        <f t="shared" si="33"/>
        <v>5.61</v>
      </c>
      <c r="K138" s="134">
        <f t="shared" si="33"/>
        <v>5.61</v>
      </c>
      <c r="L138" s="134">
        <f t="shared" si="33"/>
        <v>5.61</v>
      </c>
      <c r="M138" s="134">
        <f t="shared" si="33"/>
        <v>5.61</v>
      </c>
      <c r="N138" s="134">
        <f t="shared" si="33"/>
        <v>5.61</v>
      </c>
      <c r="O138" s="134">
        <f t="shared" si="33"/>
        <v>5.61</v>
      </c>
      <c r="P138" s="134">
        <f t="shared" si="33"/>
        <v>5.61</v>
      </c>
      <c r="Q138" s="134">
        <f t="shared" si="33"/>
        <v>5.61</v>
      </c>
      <c r="R138" s="134">
        <f t="shared" si="33"/>
        <v>5.61</v>
      </c>
      <c r="S138" s="134">
        <f t="shared" si="34"/>
        <v>5.61</v>
      </c>
      <c r="T138" s="134">
        <f t="shared" si="34"/>
        <v>5.61</v>
      </c>
      <c r="U138" s="134">
        <f t="shared" si="34"/>
        <v>5.61</v>
      </c>
      <c r="V138" s="134">
        <f t="shared" si="34"/>
        <v>5.61</v>
      </c>
      <c r="W138" s="134">
        <f t="shared" si="34"/>
        <v>5.61</v>
      </c>
      <c r="X138" s="134">
        <f t="shared" si="34"/>
        <v>5.61</v>
      </c>
      <c r="Y138" s="134">
        <f t="shared" si="34"/>
        <v>5.61</v>
      </c>
      <c r="Z138" s="134">
        <f t="shared" si="34"/>
        <v>5.61</v>
      </c>
      <c r="AA138" s="134">
        <f t="shared" si="34"/>
        <v>5.61</v>
      </c>
      <c r="AB138" s="134">
        <f t="shared" si="34"/>
        <v>5.61</v>
      </c>
      <c r="AC138" s="134">
        <f t="shared" si="34"/>
        <v>5.61</v>
      </c>
      <c r="AD138" s="134">
        <f t="shared" si="34"/>
        <v>5.61</v>
      </c>
      <c r="AE138" s="134">
        <f t="shared" si="34"/>
        <v>5.61</v>
      </c>
      <c r="AF138" s="134">
        <f t="shared" si="34"/>
        <v>5.61</v>
      </c>
      <c r="AG138" s="136">
        <v>4.8</v>
      </c>
      <c r="AH138" s="55"/>
      <c r="AI138" s="56"/>
      <c r="AK138" s="57"/>
    </row>
    <row r="139" spans="1:37" x14ac:dyDescent="0.25">
      <c r="A139" s="121" t="s">
        <v>142</v>
      </c>
      <c r="B139" s="133">
        <v>1.25</v>
      </c>
      <c r="C139" s="134">
        <f t="shared" si="33"/>
        <v>1.25</v>
      </c>
      <c r="D139" s="134">
        <f t="shared" si="33"/>
        <v>1.25</v>
      </c>
      <c r="E139" s="134">
        <f t="shared" si="33"/>
        <v>1.25</v>
      </c>
      <c r="F139" s="134">
        <f t="shared" si="33"/>
        <v>1.25</v>
      </c>
      <c r="G139" s="134">
        <f t="shared" si="33"/>
        <v>1.25</v>
      </c>
      <c r="H139" s="134">
        <f t="shared" si="33"/>
        <v>1.25</v>
      </c>
      <c r="I139" s="134">
        <f t="shared" si="33"/>
        <v>1.25</v>
      </c>
      <c r="J139" s="134">
        <f t="shared" si="33"/>
        <v>1.25</v>
      </c>
      <c r="K139" s="134">
        <f t="shared" si="33"/>
        <v>1.25</v>
      </c>
      <c r="L139" s="134">
        <f t="shared" si="33"/>
        <v>1.25</v>
      </c>
      <c r="M139" s="134">
        <f t="shared" si="33"/>
        <v>1.25</v>
      </c>
      <c r="N139" s="134">
        <f t="shared" si="33"/>
        <v>1.25</v>
      </c>
      <c r="O139" s="134">
        <f t="shared" si="33"/>
        <v>1.25</v>
      </c>
      <c r="P139" s="134">
        <f t="shared" si="33"/>
        <v>1.25</v>
      </c>
      <c r="Q139" s="134">
        <f t="shared" si="33"/>
        <v>1.25</v>
      </c>
      <c r="R139" s="134">
        <f t="shared" si="33"/>
        <v>1.25</v>
      </c>
      <c r="S139" s="134">
        <f t="shared" si="34"/>
        <v>1.25</v>
      </c>
      <c r="T139" s="134">
        <f t="shared" si="34"/>
        <v>1.25</v>
      </c>
      <c r="U139" s="134">
        <f t="shared" si="34"/>
        <v>1.25</v>
      </c>
      <c r="V139" s="134">
        <f t="shared" si="34"/>
        <v>1.25</v>
      </c>
      <c r="W139" s="134">
        <f t="shared" si="34"/>
        <v>1.25</v>
      </c>
      <c r="X139" s="134">
        <f t="shared" si="34"/>
        <v>1.25</v>
      </c>
      <c r="Y139" s="134">
        <f t="shared" si="34"/>
        <v>1.25</v>
      </c>
      <c r="Z139" s="134">
        <f t="shared" si="34"/>
        <v>1.25</v>
      </c>
      <c r="AA139" s="134">
        <f t="shared" si="34"/>
        <v>1.25</v>
      </c>
      <c r="AB139" s="134">
        <f t="shared" si="34"/>
        <v>1.25</v>
      </c>
      <c r="AC139" s="134">
        <f t="shared" si="34"/>
        <v>1.25</v>
      </c>
      <c r="AD139" s="134">
        <f t="shared" si="34"/>
        <v>1.25</v>
      </c>
      <c r="AE139" s="134">
        <f t="shared" si="34"/>
        <v>1.25</v>
      </c>
      <c r="AF139" s="134">
        <f t="shared" si="34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143</v>
      </c>
      <c r="B140" s="133">
        <v>1.25</v>
      </c>
      <c r="C140" s="134">
        <f t="shared" si="33"/>
        <v>1.25</v>
      </c>
      <c r="D140" s="134">
        <f t="shared" si="33"/>
        <v>1.25</v>
      </c>
      <c r="E140" s="134">
        <f t="shared" si="33"/>
        <v>1.25</v>
      </c>
      <c r="F140" s="134">
        <f t="shared" si="33"/>
        <v>1.25</v>
      </c>
      <c r="G140" s="134">
        <f t="shared" si="33"/>
        <v>1.25</v>
      </c>
      <c r="H140" s="134">
        <f t="shared" si="33"/>
        <v>1.25</v>
      </c>
      <c r="I140" s="134">
        <f t="shared" si="33"/>
        <v>1.25</v>
      </c>
      <c r="J140" s="134">
        <f t="shared" si="33"/>
        <v>1.25</v>
      </c>
      <c r="K140" s="134">
        <f t="shared" si="33"/>
        <v>1.25</v>
      </c>
      <c r="L140" s="134">
        <f t="shared" si="33"/>
        <v>1.25</v>
      </c>
      <c r="M140" s="134">
        <f t="shared" si="33"/>
        <v>1.25</v>
      </c>
      <c r="N140" s="134">
        <f t="shared" si="33"/>
        <v>1.25</v>
      </c>
      <c r="O140" s="134">
        <f t="shared" si="33"/>
        <v>1.25</v>
      </c>
      <c r="P140" s="134">
        <f t="shared" si="33"/>
        <v>1.25</v>
      </c>
      <c r="Q140" s="134">
        <f t="shared" si="33"/>
        <v>1.25</v>
      </c>
      <c r="R140" s="134">
        <f t="shared" si="33"/>
        <v>1.25</v>
      </c>
      <c r="S140" s="134">
        <f t="shared" si="34"/>
        <v>1.25</v>
      </c>
      <c r="T140" s="134">
        <f t="shared" si="34"/>
        <v>1.25</v>
      </c>
      <c r="U140" s="134">
        <f t="shared" si="34"/>
        <v>1.25</v>
      </c>
      <c r="V140" s="134">
        <f t="shared" si="34"/>
        <v>1.25</v>
      </c>
      <c r="W140" s="134">
        <f t="shared" si="34"/>
        <v>1.25</v>
      </c>
      <c r="X140" s="134">
        <f t="shared" si="34"/>
        <v>1.25</v>
      </c>
      <c r="Y140" s="134">
        <f t="shared" si="34"/>
        <v>1.25</v>
      </c>
      <c r="Z140" s="134">
        <f t="shared" si="34"/>
        <v>1.25</v>
      </c>
      <c r="AA140" s="134">
        <f t="shared" si="34"/>
        <v>1.25</v>
      </c>
      <c r="AB140" s="134">
        <f t="shared" si="34"/>
        <v>1.25</v>
      </c>
      <c r="AC140" s="134">
        <f t="shared" si="34"/>
        <v>1.25</v>
      </c>
      <c r="AD140" s="134">
        <f t="shared" si="34"/>
        <v>1.25</v>
      </c>
      <c r="AE140" s="134">
        <f t="shared" si="34"/>
        <v>1.25</v>
      </c>
      <c r="AF140" s="134">
        <f t="shared" si="34"/>
        <v>1.25</v>
      </c>
      <c r="AG140" s="136">
        <v>4.5</v>
      </c>
      <c r="AH140" s="55"/>
      <c r="AI140" s="56"/>
      <c r="AK140" s="57"/>
    </row>
    <row r="141" spans="1:37" x14ac:dyDescent="0.25">
      <c r="A141" s="121" t="s">
        <v>144</v>
      </c>
      <c r="B141" s="133">
        <v>1.46</v>
      </c>
      <c r="C141" s="134">
        <f t="shared" si="33"/>
        <v>1.46</v>
      </c>
      <c r="D141" s="134">
        <f t="shared" si="33"/>
        <v>1.46</v>
      </c>
      <c r="E141" s="134">
        <f t="shared" si="33"/>
        <v>1.46</v>
      </c>
      <c r="F141" s="134">
        <f t="shared" si="33"/>
        <v>1.46</v>
      </c>
      <c r="G141" s="134">
        <f t="shared" si="33"/>
        <v>1.46</v>
      </c>
      <c r="H141" s="134">
        <f t="shared" si="33"/>
        <v>1.46</v>
      </c>
      <c r="I141" s="134">
        <f t="shared" si="33"/>
        <v>1.46</v>
      </c>
      <c r="J141" s="134">
        <f t="shared" si="33"/>
        <v>1.46</v>
      </c>
      <c r="K141" s="134">
        <f t="shared" si="33"/>
        <v>1.46</v>
      </c>
      <c r="L141" s="134">
        <f t="shared" si="33"/>
        <v>1.46</v>
      </c>
      <c r="M141" s="134">
        <f t="shared" si="33"/>
        <v>1.46</v>
      </c>
      <c r="N141" s="134">
        <f t="shared" si="33"/>
        <v>1.46</v>
      </c>
      <c r="O141" s="134">
        <f t="shared" si="33"/>
        <v>1.46</v>
      </c>
      <c r="P141" s="134">
        <f t="shared" si="33"/>
        <v>1.46</v>
      </c>
      <c r="Q141" s="134">
        <f t="shared" si="33"/>
        <v>1.46</v>
      </c>
      <c r="R141" s="134">
        <f t="shared" si="33"/>
        <v>1.46</v>
      </c>
      <c r="S141" s="134">
        <f t="shared" si="34"/>
        <v>1.46</v>
      </c>
      <c r="T141" s="134">
        <f t="shared" si="34"/>
        <v>1.46</v>
      </c>
      <c r="U141" s="134">
        <f t="shared" si="34"/>
        <v>1.46</v>
      </c>
      <c r="V141" s="134">
        <f t="shared" si="34"/>
        <v>1.46</v>
      </c>
      <c r="W141" s="134">
        <f t="shared" si="34"/>
        <v>1.46</v>
      </c>
      <c r="X141" s="134">
        <f t="shared" si="34"/>
        <v>1.46</v>
      </c>
      <c r="Y141" s="134">
        <f t="shared" si="34"/>
        <v>1.46</v>
      </c>
      <c r="Z141" s="134">
        <f t="shared" si="34"/>
        <v>1.46</v>
      </c>
      <c r="AA141" s="134">
        <f t="shared" si="34"/>
        <v>1.46</v>
      </c>
      <c r="AB141" s="134">
        <f t="shared" si="34"/>
        <v>1.46</v>
      </c>
      <c r="AC141" s="134">
        <f t="shared" si="34"/>
        <v>1.46</v>
      </c>
      <c r="AD141" s="134">
        <f t="shared" si="34"/>
        <v>1.46</v>
      </c>
      <c r="AE141" s="134">
        <f t="shared" si="34"/>
        <v>1.46</v>
      </c>
      <c r="AF141" s="134">
        <f t="shared" si="34"/>
        <v>1.46</v>
      </c>
      <c r="AG141" s="136">
        <v>4.4550000000000001</v>
      </c>
      <c r="AH141" s="55"/>
      <c r="AI141" s="56"/>
      <c r="AK141" s="57"/>
    </row>
    <row r="142" spans="1:37" x14ac:dyDescent="0.25">
      <c r="A142" s="121" t="s">
        <v>145</v>
      </c>
      <c r="B142" s="133">
        <v>3</v>
      </c>
      <c r="C142" s="134">
        <f t="shared" si="33"/>
        <v>3</v>
      </c>
      <c r="D142" s="134">
        <f t="shared" si="33"/>
        <v>3</v>
      </c>
      <c r="E142" s="134">
        <f t="shared" si="33"/>
        <v>3</v>
      </c>
      <c r="F142" s="134">
        <f t="shared" si="33"/>
        <v>3</v>
      </c>
      <c r="G142" s="134">
        <f t="shared" si="33"/>
        <v>3</v>
      </c>
      <c r="H142" s="134">
        <f t="shared" si="33"/>
        <v>3</v>
      </c>
      <c r="I142" s="134">
        <f t="shared" si="33"/>
        <v>3</v>
      </c>
      <c r="J142" s="134">
        <f t="shared" si="33"/>
        <v>3</v>
      </c>
      <c r="K142" s="134">
        <f t="shared" si="33"/>
        <v>3</v>
      </c>
      <c r="L142" s="134">
        <f t="shared" si="33"/>
        <v>3</v>
      </c>
      <c r="M142" s="134">
        <f t="shared" si="33"/>
        <v>3</v>
      </c>
      <c r="N142" s="134">
        <f t="shared" si="33"/>
        <v>3</v>
      </c>
      <c r="O142" s="134">
        <f t="shared" si="33"/>
        <v>3</v>
      </c>
      <c r="P142" s="134">
        <f t="shared" si="33"/>
        <v>3</v>
      </c>
      <c r="Q142" s="134">
        <f t="shared" si="33"/>
        <v>3</v>
      </c>
      <c r="R142" s="134">
        <f t="shared" si="33"/>
        <v>3</v>
      </c>
      <c r="S142" s="134">
        <f t="shared" si="34"/>
        <v>3</v>
      </c>
      <c r="T142" s="134">
        <f t="shared" si="34"/>
        <v>3</v>
      </c>
      <c r="U142" s="134">
        <f t="shared" si="34"/>
        <v>3</v>
      </c>
      <c r="V142" s="134">
        <f t="shared" si="34"/>
        <v>3</v>
      </c>
      <c r="W142" s="134">
        <f t="shared" si="34"/>
        <v>3</v>
      </c>
      <c r="X142" s="134">
        <f t="shared" si="34"/>
        <v>3</v>
      </c>
      <c r="Y142" s="134">
        <f t="shared" si="34"/>
        <v>3</v>
      </c>
      <c r="Z142" s="134">
        <f t="shared" si="34"/>
        <v>3</v>
      </c>
      <c r="AA142" s="134">
        <f t="shared" si="34"/>
        <v>3</v>
      </c>
      <c r="AB142" s="134">
        <f t="shared" si="34"/>
        <v>3</v>
      </c>
      <c r="AC142" s="134">
        <f t="shared" si="34"/>
        <v>3</v>
      </c>
      <c r="AD142" s="134">
        <f t="shared" si="34"/>
        <v>3</v>
      </c>
      <c r="AE142" s="134">
        <f t="shared" si="34"/>
        <v>3</v>
      </c>
      <c r="AF142" s="134">
        <f t="shared" si="34"/>
        <v>3</v>
      </c>
      <c r="AG142" s="136">
        <v>4.41</v>
      </c>
      <c r="AH142" s="55"/>
      <c r="AI142" s="56"/>
      <c r="AK142" s="57"/>
    </row>
    <row r="143" spans="1:37" x14ac:dyDescent="0.25">
      <c r="A143" s="121" t="s">
        <v>146</v>
      </c>
      <c r="B143" s="133">
        <v>3.3</v>
      </c>
      <c r="C143" s="134">
        <f t="shared" si="33"/>
        <v>3.3</v>
      </c>
      <c r="D143" s="134">
        <f t="shared" si="33"/>
        <v>3.3</v>
      </c>
      <c r="E143" s="134">
        <f t="shared" si="33"/>
        <v>3.3</v>
      </c>
      <c r="F143" s="134">
        <f t="shared" si="33"/>
        <v>3.3</v>
      </c>
      <c r="G143" s="134">
        <f t="shared" si="33"/>
        <v>3.3</v>
      </c>
      <c r="H143" s="134">
        <f t="shared" si="33"/>
        <v>3.3</v>
      </c>
      <c r="I143" s="134">
        <f t="shared" si="33"/>
        <v>3.3</v>
      </c>
      <c r="J143" s="134">
        <f t="shared" si="33"/>
        <v>3.3</v>
      </c>
      <c r="K143" s="134">
        <f t="shared" si="33"/>
        <v>3.3</v>
      </c>
      <c r="L143" s="134">
        <f t="shared" si="33"/>
        <v>3.3</v>
      </c>
      <c r="M143" s="134">
        <f t="shared" si="33"/>
        <v>3.3</v>
      </c>
      <c r="N143" s="134">
        <f t="shared" si="33"/>
        <v>3.3</v>
      </c>
      <c r="O143" s="134">
        <f t="shared" si="33"/>
        <v>3.3</v>
      </c>
      <c r="P143" s="134">
        <f t="shared" si="33"/>
        <v>3.3</v>
      </c>
      <c r="Q143" s="134">
        <f t="shared" si="33"/>
        <v>3.3</v>
      </c>
      <c r="R143" s="134">
        <f t="shared" si="33"/>
        <v>3.3</v>
      </c>
      <c r="S143" s="134">
        <f t="shared" si="34"/>
        <v>3.3</v>
      </c>
      <c r="T143" s="134">
        <f t="shared" si="34"/>
        <v>3.3</v>
      </c>
      <c r="U143" s="134">
        <f t="shared" si="34"/>
        <v>3.3</v>
      </c>
      <c r="V143" s="134">
        <f t="shared" si="34"/>
        <v>3.3</v>
      </c>
      <c r="W143" s="134">
        <f t="shared" si="34"/>
        <v>3.3</v>
      </c>
      <c r="X143" s="134">
        <f t="shared" si="34"/>
        <v>3.3</v>
      </c>
      <c r="Y143" s="134">
        <f t="shared" si="34"/>
        <v>3.3</v>
      </c>
      <c r="Z143" s="134">
        <f t="shared" si="34"/>
        <v>3.3</v>
      </c>
      <c r="AA143" s="134">
        <f t="shared" si="34"/>
        <v>3.3</v>
      </c>
      <c r="AB143" s="134">
        <f t="shared" si="34"/>
        <v>3.3</v>
      </c>
      <c r="AC143" s="134">
        <f t="shared" si="34"/>
        <v>3.3</v>
      </c>
      <c r="AD143" s="134">
        <f t="shared" si="34"/>
        <v>3.3</v>
      </c>
      <c r="AE143" s="134">
        <f t="shared" si="34"/>
        <v>3.3</v>
      </c>
      <c r="AF143" s="134">
        <f t="shared" si="34"/>
        <v>3.3</v>
      </c>
      <c r="AG143" s="136">
        <v>4.4000000000000004</v>
      </c>
      <c r="AH143" s="55"/>
      <c r="AI143" s="56"/>
      <c r="AK143" s="57"/>
    </row>
    <row r="144" spans="1:37" x14ac:dyDescent="0.25">
      <c r="A144" s="121" t="s">
        <v>147</v>
      </c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6">
        <v>4.3600000000000003</v>
      </c>
      <c r="AH144" s="55"/>
      <c r="AI144" s="56"/>
      <c r="AK144" s="57"/>
    </row>
    <row r="145" spans="1:37" x14ac:dyDescent="0.25">
      <c r="A145" s="121" t="s">
        <v>148</v>
      </c>
      <c r="B145" s="133">
        <v>1.76</v>
      </c>
      <c r="C145" s="134">
        <f t="shared" ref="C145:R146" si="35">B145</f>
        <v>1.76</v>
      </c>
      <c r="D145" s="134">
        <f t="shared" si="35"/>
        <v>1.76</v>
      </c>
      <c r="E145" s="134">
        <f t="shared" si="35"/>
        <v>1.76</v>
      </c>
      <c r="F145" s="134">
        <f t="shared" si="35"/>
        <v>1.76</v>
      </c>
      <c r="G145" s="134">
        <f t="shared" si="35"/>
        <v>1.76</v>
      </c>
      <c r="H145" s="134">
        <f t="shared" si="35"/>
        <v>1.76</v>
      </c>
      <c r="I145" s="134">
        <f t="shared" si="35"/>
        <v>1.76</v>
      </c>
      <c r="J145" s="134">
        <f t="shared" si="35"/>
        <v>1.76</v>
      </c>
      <c r="K145" s="134">
        <f t="shared" si="35"/>
        <v>1.76</v>
      </c>
      <c r="L145" s="134">
        <f t="shared" si="35"/>
        <v>1.76</v>
      </c>
      <c r="M145" s="134">
        <f t="shared" si="35"/>
        <v>1.76</v>
      </c>
      <c r="N145" s="134">
        <f t="shared" si="35"/>
        <v>1.76</v>
      </c>
      <c r="O145" s="134">
        <f t="shared" si="35"/>
        <v>1.76</v>
      </c>
      <c r="P145" s="134">
        <f t="shared" si="35"/>
        <v>1.76</v>
      </c>
      <c r="Q145" s="134">
        <f t="shared" si="35"/>
        <v>1.76</v>
      </c>
      <c r="R145" s="134">
        <f t="shared" si="35"/>
        <v>1.76</v>
      </c>
      <c r="S145" s="134">
        <f t="shared" ref="S145:AF146" si="36">R145</f>
        <v>1.76</v>
      </c>
      <c r="T145" s="134">
        <f t="shared" si="36"/>
        <v>1.76</v>
      </c>
      <c r="U145" s="134">
        <f t="shared" si="36"/>
        <v>1.76</v>
      </c>
      <c r="V145" s="134">
        <f t="shared" si="36"/>
        <v>1.76</v>
      </c>
      <c r="W145" s="134">
        <f t="shared" si="36"/>
        <v>1.76</v>
      </c>
      <c r="X145" s="134">
        <f t="shared" si="36"/>
        <v>1.76</v>
      </c>
      <c r="Y145" s="134">
        <f t="shared" si="36"/>
        <v>1.76</v>
      </c>
      <c r="Z145" s="134">
        <f t="shared" si="36"/>
        <v>1.76</v>
      </c>
      <c r="AA145" s="134">
        <f t="shared" si="36"/>
        <v>1.76</v>
      </c>
      <c r="AB145" s="134">
        <f t="shared" si="36"/>
        <v>1.76</v>
      </c>
      <c r="AC145" s="134">
        <f t="shared" si="36"/>
        <v>1.76</v>
      </c>
      <c r="AD145" s="134">
        <f t="shared" si="36"/>
        <v>1.76</v>
      </c>
      <c r="AE145" s="134">
        <f t="shared" si="36"/>
        <v>1.76</v>
      </c>
      <c r="AF145" s="134">
        <f t="shared" si="36"/>
        <v>1.76</v>
      </c>
      <c r="AG145" s="136">
        <v>4.2</v>
      </c>
      <c r="AH145" s="55"/>
      <c r="AI145" s="56"/>
      <c r="AK145" s="57"/>
    </row>
    <row r="146" spans="1:37" x14ac:dyDescent="0.25">
      <c r="A146" s="121" t="s">
        <v>149</v>
      </c>
      <c r="B146" s="133">
        <v>0</v>
      </c>
      <c r="C146" s="134">
        <f t="shared" si="35"/>
        <v>0</v>
      </c>
      <c r="D146" s="134">
        <f t="shared" si="35"/>
        <v>0</v>
      </c>
      <c r="E146" s="134">
        <f t="shared" si="35"/>
        <v>0</v>
      </c>
      <c r="F146" s="134">
        <f t="shared" si="35"/>
        <v>0</v>
      </c>
      <c r="G146" s="134">
        <f t="shared" si="35"/>
        <v>0</v>
      </c>
      <c r="H146" s="134">
        <f t="shared" si="35"/>
        <v>0</v>
      </c>
      <c r="I146" s="134">
        <f t="shared" si="35"/>
        <v>0</v>
      </c>
      <c r="J146" s="134">
        <f t="shared" si="35"/>
        <v>0</v>
      </c>
      <c r="K146" s="134">
        <f t="shared" si="35"/>
        <v>0</v>
      </c>
      <c r="L146" s="134">
        <f t="shared" si="35"/>
        <v>0</v>
      </c>
      <c r="M146" s="134">
        <f t="shared" si="35"/>
        <v>0</v>
      </c>
      <c r="N146" s="134">
        <f t="shared" si="35"/>
        <v>0</v>
      </c>
      <c r="O146" s="134">
        <f t="shared" si="35"/>
        <v>0</v>
      </c>
      <c r="P146" s="134">
        <f t="shared" si="35"/>
        <v>0</v>
      </c>
      <c r="Q146" s="134">
        <f t="shared" si="35"/>
        <v>0</v>
      </c>
      <c r="R146" s="134">
        <f t="shared" si="35"/>
        <v>0</v>
      </c>
      <c r="S146" s="134">
        <f t="shared" si="36"/>
        <v>0</v>
      </c>
      <c r="T146" s="134">
        <f t="shared" si="36"/>
        <v>0</v>
      </c>
      <c r="U146" s="134">
        <f t="shared" si="36"/>
        <v>0</v>
      </c>
      <c r="V146" s="134">
        <f t="shared" si="36"/>
        <v>0</v>
      </c>
      <c r="W146" s="134">
        <f t="shared" si="36"/>
        <v>0</v>
      </c>
      <c r="X146" s="134">
        <f t="shared" si="36"/>
        <v>0</v>
      </c>
      <c r="Y146" s="134">
        <f t="shared" si="36"/>
        <v>0</v>
      </c>
      <c r="Z146" s="134">
        <f t="shared" si="36"/>
        <v>0</v>
      </c>
      <c r="AA146" s="134">
        <f t="shared" si="36"/>
        <v>0</v>
      </c>
      <c r="AB146" s="134">
        <f t="shared" si="36"/>
        <v>0</v>
      </c>
      <c r="AC146" s="134">
        <f t="shared" si="36"/>
        <v>0</v>
      </c>
      <c r="AD146" s="134">
        <f t="shared" si="36"/>
        <v>0</v>
      </c>
      <c r="AE146" s="134">
        <f t="shared" si="36"/>
        <v>0</v>
      </c>
      <c r="AF146" s="134">
        <f t="shared" si="36"/>
        <v>0</v>
      </c>
      <c r="AG146" s="136">
        <v>4</v>
      </c>
      <c r="AH146" s="55"/>
      <c r="AI146" s="56"/>
      <c r="AK146" s="57"/>
    </row>
    <row r="147" spans="1:37" x14ac:dyDescent="0.25">
      <c r="A147" s="121" t="s">
        <v>150</v>
      </c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6">
        <v>4</v>
      </c>
      <c r="AH147" s="55"/>
      <c r="AI147" s="56"/>
      <c r="AK147" s="57"/>
    </row>
    <row r="148" spans="1:37" x14ac:dyDescent="0.25">
      <c r="A148" s="121" t="s">
        <v>151</v>
      </c>
      <c r="B148" s="133">
        <v>0.1</v>
      </c>
      <c r="C148" s="134">
        <f t="shared" ref="C148:R151" si="37">B148</f>
        <v>0.1</v>
      </c>
      <c r="D148" s="134">
        <f t="shared" si="37"/>
        <v>0.1</v>
      </c>
      <c r="E148" s="134">
        <f t="shared" si="37"/>
        <v>0.1</v>
      </c>
      <c r="F148" s="134">
        <f t="shared" si="37"/>
        <v>0.1</v>
      </c>
      <c r="G148" s="134">
        <f t="shared" si="37"/>
        <v>0.1</v>
      </c>
      <c r="H148" s="134">
        <f t="shared" si="37"/>
        <v>0.1</v>
      </c>
      <c r="I148" s="134">
        <f t="shared" si="37"/>
        <v>0.1</v>
      </c>
      <c r="J148" s="134">
        <f t="shared" si="37"/>
        <v>0.1</v>
      </c>
      <c r="K148" s="134">
        <f t="shared" si="37"/>
        <v>0.1</v>
      </c>
      <c r="L148" s="134">
        <f t="shared" si="37"/>
        <v>0.1</v>
      </c>
      <c r="M148" s="134">
        <f t="shared" si="37"/>
        <v>0.1</v>
      </c>
      <c r="N148" s="134">
        <f t="shared" si="37"/>
        <v>0.1</v>
      </c>
      <c r="O148" s="134">
        <f t="shared" si="37"/>
        <v>0.1</v>
      </c>
      <c r="P148" s="134">
        <f t="shared" si="37"/>
        <v>0.1</v>
      </c>
      <c r="Q148" s="134">
        <f t="shared" si="37"/>
        <v>0.1</v>
      </c>
      <c r="R148" s="134">
        <f t="shared" si="37"/>
        <v>0.1</v>
      </c>
      <c r="S148" s="134">
        <f t="shared" ref="S148:AF151" si="38">R148</f>
        <v>0.1</v>
      </c>
      <c r="T148" s="134">
        <f t="shared" si="38"/>
        <v>0.1</v>
      </c>
      <c r="U148" s="134">
        <f t="shared" si="38"/>
        <v>0.1</v>
      </c>
      <c r="V148" s="134">
        <f t="shared" si="38"/>
        <v>0.1</v>
      </c>
      <c r="W148" s="134">
        <f t="shared" si="38"/>
        <v>0.1</v>
      </c>
      <c r="X148" s="134">
        <f t="shared" si="38"/>
        <v>0.1</v>
      </c>
      <c r="Y148" s="134">
        <f t="shared" si="38"/>
        <v>0.1</v>
      </c>
      <c r="Z148" s="134">
        <f t="shared" si="38"/>
        <v>0.1</v>
      </c>
      <c r="AA148" s="134">
        <f t="shared" si="38"/>
        <v>0.1</v>
      </c>
      <c r="AB148" s="134">
        <f t="shared" si="38"/>
        <v>0.1</v>
      </c>
      <c r="AC148" s="134">
        <f t="shared" si="38"/>
        <v>0.1</v>
      </c>
      <c r="AD148" s="134">
        <f t="shared" si="38"/>
        <v>0.1</v>
      </c>
      <c r="AE148" s="134">
        <f t="shared" si="38"/>
        <v>0.1</v>
      </c>
      <c r="AF148" s="134">
        <f t="shared" si="38"/>
        <v>0.1</v>
      </c>
      <c r="AG148" s="136">
        <v>4</v>
      </c>
      <c r="AH148" s="55"/>
      <c r="AI148" s="56"/>
      <c r="AK148" s="57"/>
    </row>
    <row r="149" spans="1:37" x14ac:dyDescent="0.25">
      <c r="A149" s="121" t="s">
        <v>152</v>
      </c>
      <c r="B149" s="133">
        <v>2.0499999999999998</v>
      </c>
      <c r="C149" s="134">
        <f t="shared" si="37"/>
        <v>2.0499999999999998</v>
      </c>
      <c r="D149" s="134">
        <f t="shared" si="37"/>
        <v>2.0499999999999998</v>
      </c>
      <c r="E149" s="134">
        <f t="shared" si="37"/>
        <v>2.0499999999999998</v>
      </c>
      <c r="F149" s="134">
        <f t="shared" si="37"/>
        <v>2.0499999999999998</v>
      </c>
      <c r="G149" s="134">
        <f t="shared" si="37"/>
        <v>2.0499999999999998</v>
      </c>
      <c r="H149" s="134">
        <f t="shared" si="37"/>
        <v>2.0499999999999998</v>
      </c>
      <c r="I149" s="134">
        <f t="shared" si="37"/>
        <v>2.0499999999999998</v>
      </c>
      <c r="J149" s="134">
        <f t="shared" si="37"/>
        <v>2.0499999999999998</v>
      </c>
      <c r="K149" s="134">
        <f t="shared" si="37"/>
        <v>2.0499999999999998</v>
      </c>
      <c r="L149" s="134">
        <f t="shared" si="37"/>
        <v>2.0499999999999998</v>
      </c>
      <c r="M149" s="134">
        <f t="shared" si="37"/>
        <v>2.0499999999999998</v>
      </c>
      <c r="N149" s="134">
        <f t="shared" si="37"/>
        <v>2.0499999999999998</v>
      </c>
      <c r="O149" s="134">
        <f t="shared" si="37"/>
        <v>2.0499999999999998</v>
      </c>
      <c r="P149" s="134">
        <f t="shared" si="37"/>
        <v>2.0499999999999998</v>
      </c>
      <c r="Q149" s="134">
        <f t="shared" si="37"/>
        <v>2.0499999999999998</v>
      </c>
      <c r="R149" s="134">
        <f t="shared" si="37"/>
        <v>2.0499999999999998</v>
      </c>
      <c r="S149" s="134">
        <f t="shared" si="38"/>
        <v>2.0499999999999998</v>
      </c>
      <c r="T149" s="134">
        <f t="shared" si="38"/>
        <v>2.0499999999999998</v>
      </c>
      <c r="U149" s="134">
        <f t="shared" si="38"/>
        <v>2.0499999999999998</v>
      </c>
      <c r="V149" s="134">
        <f t="shared" si="38"/>
        <v>2.0499999999999998</v>
      </c>
      <c r="W149" s="134">
        <f t="shared" si="38"/>
        <v>2.0499999999999998</v>
      </c>
      <c r="X149" s="134">
        <f t="shared" si="38"/>
        <v>2.0499999999999998</v>
      </c>
      <c r="Y149" s="134">
        <f t="shared" si="38"/>
        <v>2.0499999999999998</v>
      </c>
      <c r="Z149" s="134">
        <f t="shared" si="38"/>
        <v>2.0499999999999998</v>
      </c>
      <c r="AA149" s="134">
        <f t="shared" si="38"/>
        <v>2.0499999999999998</v>
      </c>
      <c r="AB149" s="134">
        <f t="shared" si="38"/>
        <v>2.0499999999999998</v>
      </c>
      <c r="AC149" s="134">
        <f t="shared" si="38"/>
        <v>2.0499999999999998</v>
      </c>
      <c r="AD149" s="134">
        <f t="shared" si="38"/>
        <v>2.0499999999999998</v>
      </c>
      <c r="AE149" s="134">
        <f t="shared" si="38"/>
        <v>2.0499999999999998</v>
      </c>
      <c r="AF149" s="134">
        <f t="shared" si="38"/>
        <v>2.0499999999999998</v>
      </c>
      <c r="AG149" s="136">
        <v>4</v>
      </c>
      <c r="AH149" s="55"/>
      <c r="AI149" s="56"/>
      <c r="AK149" s="57"/>
    </row>
    <row r="150" spans="1:37" x14ac:dyDescent="0.25">
      <c r="A150" s="121" t="s">
        <v>153</v>
      </c>
      <c r="B150" s="133">
        <v>2.7</v>
      </c>
      <c r="C150" s="134">
        <f t="shared" si="37"/>
        <v>2.7</v>
      </c>
      <c r="D150" s="134">
        <f t="shared" si="37"/>
        <v>2.7</v>
      </c>
      <c r="E150" s="134">
        <f t="shared" si="37"/>
        <v>2.7</v>
      </c>
      <c r="F150" s="134">
        <f t="shared" si="37"/>
        <v>2.7</v>
      </c>
      <c r="G150" s="134">
        <f t="shared" si="37"/>
        <v>2.7</v>
      </c>
      <c r="H150" s="134">
        <f t="shared" si="37"/>
        <v>2.7</v>
      </c>
      <c r="I150" s="134">
        <f t="shared" si="37"/>
        <v>2.7</v>
      </c>
      <c r="J150" s="134">
        <f t="shared" si="37"/>
        <v>2.7</v>
      </c>
      <c r="K150" s="134">
        <f t="shared" si="37"/>
        <v>2.7</v>
      </c>
      <c r="L150" s="134">
        <f t="shared" si="37"/>
        <v>2.7</v>
      </c>
      <c r="M150" s="134">
        <f t="shared" si="37"/>
        <v>2.7</v>
      </c>
      <c r="N150" s="134">
        <f t="shared" si="37"/>
        <v>2.7</v>
      </c>
      <c r="O150" s="134">
        <f t="shared" si="37"/>
        <v>2.7</v>
      </c>
      <c r="P150" s="134">
        <f t="shared" si="37"/>
        <v>2.7</v>
      </c>
      <c r="Q150" s="134">
        <f t="shared" si="37"/>
        <v>2.7</v>
      </c>
      <c r="R150" s="134">
        <f t="shared" si="37"/>
        <v>2.7</v>
      </c>
      <c r="S150" s="134">
        <f t="shared" si="38"/>
        <v>2.7</v>
      </c>
      <c r="T150" s="134">
        <f t="shared" si="38"/>
        <v>2.7</v>
      </c>
      <c r="U150" s="134">
        <f t="shared" si="38"/>
        <v>2.7</v>
      </c>
      <c r="V150" s="134">
        <f t="shared" si="38"/>
        <v>2.7</v>
      </c>
      <c r="W150" s="134">
        <f t="shared" si="38"/>
        <v>2.7</v>
      </c>
      <c r="X150" s="134">
        <f t="shared" si="38"/>
        <v>2.7</v>
      </c>
      <c r="Y150" s="134">
        <f t="shared" si="38"/>
        <v>2.7</v>
      </c>
      <c r="Z150" s="134">
        <f t="shared" si="38"/>
        <v>2.7</v>
      </c>
      <c r="AA150" s="134">
        <f t="shared" si="38"/>
        <v>2.7</v>
      </c>
      <c r="AB150" s="134">
        <f t="shared" si="38"/>
        <v>2.7</v>
      </c>
      <c r="AC150" s="134">
        <f t="shared" si="38"/>
        <v>2.7</v>
      </c>
      <c r="AD150" s="134">
        <f t="shared" si="38"/>
        <v>2.7</v>
      </c>
      <c r="AE150" s="134">
        <f t="shared" si="38"/>
        <v>2.7</v>
      </c>
      <c r="AF150" s="134">
        <f t="shared" si="38"/>
        <v>2.7</v>
      </c>
      <c r="AG150" s="136">
        <v>4</v>
      </c>
      <c r="AH150" s="55"/>
      <c r="AI150" s="56"/>
      <c r="AK150" s="57"/>
    </row>
    <row r="151" spans="1:37" x14ac:dyDescent="0.25">
      <c r="A151" s="121" t="s">
        <v>154</v>
      </c>
      <c r="B151" s="133">
        <v>2.15</v>
      </c>
      <c r="C151" s="134">
        <f t="shared" si="37"/>
        <v>2.15</v>
      </c>
      <c r="D151" s="134">
        <f t="shared" si="37"/>
        <v>2.15</v>
      </c>
      <c r="E151" s="134">
        <f t="shared" si="37"/>
        <v>2.15</v>
      </c>
      <c r="F151" s="134">
        <f t="shared" si="37"/>
        <v>2.15</v>
      </c>
      <c r="G151" s="134">
        <f t="shared" si="37"/>
        <v>2.15</v>
      </c>
      <c r="H151" s="134">
        <f t="shared" si="37"/>
        <v>2.15</v>
      </c>
      <c r="I151" s="134">
        <f t="shared" si="37"/>
        <v>2.15</v>
      </c>
      <c r="J151" s="134">
        <f t="shared" si="37"/>
        <v>2.15</v>
      </c>
      <c r="K151" s="134">
        <f t="shared" si="37"/>
        <v>2.15</v>
      </c>
      <c r="L151" s="134">
        <f t="shared" si="37"/>
        <v>2.15</v>
      </c>
      <c r="M151" s="134">
        <f t="shared" si="37"/>
        <v>2.15</v>
      </c>
      <c r="N151" s="134">
        <f t="shared" si="37"/>
        <v>2.15</v>
      </c>
      <c r="O151" s="134">
        <f t="shared" si="37"/>
        <v>2.15</v>
      </c>
      <c r="P151" s="134">
        <f t="shared" si="37"/>
        <v>2.15</v>
      </c>
      <c r="Q151" s="134">
        <f t="shared" si="37"/>
        <v>2.15</v>
      </c>
      <c r="R151" s="134">
        <f t="shared" si="37"/>
        <v>2.15</v>
      </c>
      <c r="S151" s="134">
        <f t="shared" si="38"/>
        <v>2.15</v>
      </c>
      <c r="T151" s="134">
        <f t="shared" si="38"/>
        <v>2.15</v>
      </c>
      <c r="U151" s="134">
        <f t="shared" si="38"/>
        <v>2.15</v>
      </c>
      <c r="V151" s="134">
        <f t="shared" si="38"/>
        <v>2.15</v>
      </c>
      <c r="W151" s="134">
        <f t="shared" si="38"/>
        <v>2.15</v>
      </c>
      <c r="X151" s="134">
        <f t="shared" si="38"/>
        <v>2.15</v>
      </c>
      <c r="Y151" s="134">
        <f t="shared" si="38"/>
        <v>2.15</v>
      </c>
      <c r="Z151" s="134">
        <f t="shared" si="38"/>
        <v>2.15</v>
      </c>
      <c r="AA151" s="134">
        <f t="shared" si="38"/>
        <v>2.15</v>
      </c>
      <c r="AB151" s="134">
        <f t="shared" si="38"/>
        <v>2.15</v>
      </c>
      <c r="AC151" s="134">
        <f t="shared" si="38"/>
        <v>2.15</v>
      </c>
      <c r="AD151" s="134">
        <f t="shared" si="38"/>
        <v>2.15</v>
      </c>
      <c r="AE151" s="134">
        <f t="shared" si="38"/>
        <v>2.15</v>
      </c>
      <c r="AF151" s="134">
        <f t="shared" si="38"/>
        <v>2.15</v>
      </c>
      <c r="AG151" s="136">
        <v>4</v>
      </c>
      <c r="AH151" s="55"/>
      <c r="AI151" s="56"/>
      <c r="AK151" s="57"/>
    </row>
    <row r="152" spans="1:37" x14ac:dyDescent="0.25">
      <c r="A152" s="121" t="s">
        <v>155</v>
      </c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6">
        <v>4</v>
      </c>
      <c r="AH152" s="55"/>
      <c r="AI152" s="56"/>
      <c r="AK152" s="57"/>
    </row>
    <row r="153" spans="1:37" x14ac:dyDescent="0.25">
      <c r="A153" s="121" t="s">
        <v>156</v>
      </c>
      <c r="B153" s="133">
        <v>0.9</v>
      </c>
      <c r="C153" s="134">
        <f t="shared" ref="C153:R165" si="39">B153</f>
        <v>0.9</v>
      </c>
      <c r="D153" s="134">
        <f t="shared" si="39"/>
        <v>0.9</v>
      </c>
      <c r="E153" s="134">
        <f t="shared" si="39"/>
        <v>0.9</v>
      </c>
      <c r="F153" s="134">
        <f t="shared" si="39"/>
        <v>0.9</v>
      </c>
      <c r="G153" s="134">
        <f t="shared" si="39"/>
        <v>0.9</v>
      </c>
      <c r="H153" s="134">
        <f t="shared" si="39"/>
        <v>0.9</v>
      </c>
      <c r="I153" s="134">
        <f t="shared" si="39"/>
        <v>0.9</v>
      </c>
      <c r="J153" s="134">
        <f t="shared" si="39"/>
        <v>0.9</v>
      </c>
      <c r="K153" s="134">
        <f t="shared" si="39"/>
        <v>0.9</v>
      </c>
      <c r="L153" s="134">
        <f t="shared" si="39"/>
        <v>0.9</v>
      </c>
      <c r="M153" s="134">
        <f t="shared" si="39"/>
        <v>0.9</v>
      </c>
      <c r="N153" s="134">
        <f t="shared" si="39"/>
        <v>0.9</v>
      </c>
      <c r="O153" s="134">
        <f t="shared" si="39"/>
        <v>0.9</v>
      </c>
      <c r="P153" s="134">
        <f t="shared" si="39"/>
        <v>0.9</v>
      </c>
      <c r="Q153" s="134">
        <f t="shared" si="39"/>
        <v>0.9</v>
      </c>
      <c r="R153" s="134">
        <f t="shared" si="39"/>
        <v>0.9</v>
      </c>
      <c r="S153" s="134">
        <f t="shared" ref="R153:AF165" si="40">R153</f>
        <v>0.9</v>
      </c>
      <c r="T153" s="134">
        <f t="shared" si="40"/>
        <v>0.9</v>
      </c>
      <c r="U153" s="134">
        <f t="shared" si="40"/>
        <v>0.9</v>
      </c>
      <c r="V153" s="134">
        <f t="shared" si="40"/>
        <v>0.9</v>
      </c>
      <c r="W153" s="134">
        <f t="shared" si="40"/>
        <v>0.9</v>
      </c>
      <c r="X153" s="134">
        <f t="shared" si="40"/>
        <v>0.9</v>
      </c>
      <c r="Y153" s="134">
        <f t="shared" si="40"/>
        <v>0.9</v>
      </c>
      <c r="Z153" s="134">
        <f t="shared" si="40"/>
        <v>0.9</v>
      </c>
      <c r="AA153" s="134">
        <f t="shared" si="40"/>
        <v>0.9</v>
      </c>
      <c r="AB153" s="134">
        <f t="shared" si="40"/>
        <v>0.9</v>
      </c>
      <c r="AC153" s="134">
        <f t="shared" si="40"/>
        <v>0.9</v>
      </c>
      <c r="AD153" s="134">
        <f t="shared" si="40"/>
        <v>0.9</v>
      </c>
      <c r="AE153" s="134">
        <f t="shared" si="40"/>
        <v>0.9</v>
      </c>
      <c r="AF153" s="134">
        <f t="shared" si="40"/>
        <v>0.9</v>
      </c>
      <c r="AG153" s="136">
        <v>4</v>
      </c>
      <c r="AH153" s="55"/>
      <c r="AI153" s="56"/>
      <c r="AK153" s="57"/>
    </row>
    <row r="154" spans="1:37" x14ac:dyDescent="0.25">
      <c r="A154" s="121" t="s">
        <v>157</v>
      </c>
      <c r="B154" s="133">
        <v>1.08</v>
      </c>
      <c r="C154" s="134">
        <f t="shared" si="39"/>
        <v>1.08</v>
      </c>
      <c r="D154" s="134">
        <f t="shared" si="39"/>
        <v>1.08</v>
      </c>
      <c r="E154" s="134">
        <f t="shared" si="39"/>
        <v>1.08</v>
      </c>
      <c r="F154" s="134">
        <f t="shared" si="39"/>
        <v>1.08</v>
      </c>
      <c r="G154" s="134">
        <f t="shared" si="39"/>
        <v>1.08</v>
      </c>
      <c r="H154" s="134">
        <f t="shared" si="39"/>
        <v>1.08</v>
      </c>
      <c r="I154" s="134">
        <f t="shared" si="39"/>
        <v>1.08</v>
      </c>
      <c r="J154" s="134">
        <f t="shared" si="39"/>
        <v>1.08</v>
      </c>
      <c r="K154" s="134">
        <f t="shared" si="39"/>
        <v>1.08</v>
      </c>
      <c r="L154" s="134">
        <f t="shared" si="39"/>
        <v>1.08</v>
      </c>
      <c r="M154" s="134">
        <f t="shared" si="39"/>
        <v>1.08</v>
      </c>
      <c r="N154" s="134">
        <f t="shared" si="39"/>
        <v>1.08</v>
      </c>
      <c r="O154" s="134">
        <f t="shared" si="39"/>
        <v>1.08</v>
      </c>
      <c r="P154" s="134">
        <f t="shared" si="39"/>
        <v>1.08</v>
      </c>
      <c r="Q154" s="134">
        <f t="shared" si="39"/>
        <v>1.08</v>
      </c>
      <c r="R154" s="134">
        <f t="shared" si="39"/>
        <v>1.08</v>
      </c>
      <c r="S154" s="134">
        <f t="shared" si="40"/>
        <v>1.08</v>
      </c>
      <c r="T154" s="134">
        <f t="shared" si="40"/>
        <v>1.08</v>
      </c>
      <c r="U154" s="134">
        <f t="shared" si="40"/>
        <v>1.08</v>
      </c>
      <c r="V154" s="134">
        <f t="shared" si="40"/>
        <v>1.08</v>
      </c>
      <c r="W154" s="134">
        <f t="shared" si="40"/>
        <v>1.08</v>
      </c>
      <c r="X154" s="134">
        <f t="shared" si="40"/>
        <v>1.08</v>
      </c>
      <c r="Y154" s="134">
        <f t="shared" si="40"/>
        <v>1.08</v>
      </c>
      <c r="Z154" s="134">
        <f t="shared" si="40"/>
        <v>1.08</v>
      </c>
      <c r="AA154" s="134">
        <f t="shared" si="40"/>
        <v>1.08</v>
      </c>
      <c r="AB154" s="134">
        <f t="shared" si="40"/>
        <v>1.08</v>
      </c>
      <c r="AC154" s="134">
        <f t="shared" si="40"/>
        <v>1.08</v>
      </c>
      <c r="AD154" s="134">
        <f t="shared" si="40"/>
        <v>1.08</v>
      </c>
      <c r="AE154" s="134">
        <f t="shared" si="40"/>
        <v>1.08</v>
      </c>
      <c r="AF154" s="134">
        <f t="shared" si="40"/>
        <v>1.08</v>
      </c>
      <c r="AG154" s="136">
        <v>3.75</v>
      </c>
      <c r="AH154" s="55"/>
      <c r="AI154" s="56"/>
      <c r="AK154" s="57"/>
    </row>
    <row r="155" spans="1:37" x14ac:dyDescent="0.25">
      <c r="A155" s="121" t="s">
        <v>158</v>
      </c>
      <c r="B155" s="133">
        <v>2.37</v>
      </c>
      <c r="C155" s="134">
        <f t="shared" si="39"/>
        <v>2.37</v>
      </c>
      <c r="D155" s="134">
        <f t="shared" si="39"/>
        <v>2.37</v>
      </c>
      <c r="E155" s="134">
        <f t="shared" si="39"/>
        <v>2.37</v>
      </c>
      <c r="F155" s="134">
        <f t="shared" si="39"/>
        <v>2.37</v>
      </c>
      <c r="G155" s="134">
        <f t="shared" si="39"/>
        <v>2.37</v>
      </c>
      <c r="H155" s="134">
        <f t="shared" si="39"/>
        <v>2.37</v>
      </c>
      <c r="I155" s="134">
        <f t="shared" si="39"/>
        <v>2.37</v>
      </c>
      <c r="J155" s="134">
        <f t="shared" si="39"/>
        <v>2.37</v>
      </c>
      <c r="K155" s="134">
        <f t="shared" si="39"/>
        <v>2.37</v>
      </c>
      <c r="L155" s="134">
        <f t="shared" si="39"/>
        <v>2.37</v>
      </c>
      <c r="M155" s="134">
        <f t="shared" si="39"/>
        <v>2.37</v>
      </c>
      <c r="N155" s="134">
        <f t="shared" si="39"/>
        <v>2.37</v>
      </c>
      <c r="O155" s="134">
        <f t="shared" si="39"/>
        <v>2.37</v>
      </c>
      <c r="P155" s="134">
        <f t="shared" si="39"/>
        <v>2.37</v>
      </c>
      <c r="Q155" s="134">
        <f t="shared" si="39"/>
        <v>2.37</v>
      </c>
      <c r="R155" s="134">
        <f t="shared" si="39"/>
        <v>2.37</v>
      </c>
      <c r="S155" s="134">
        <f t="shared" si="40"/>
        <v>2.37</v>
      </c>
      <c r="T155" s="134">
        <f t="shared" si="40"/>
        <v>2.37</v>
      </c>
      <c r="U155" s="134">
        <f t="shared" si="40"/>
        <v>2.37</v>
      </c>
      <c r="V155" s="134">
        <f t="shared" si="40"/>
        <v>2.37</v>
      </c>
      <c r="W155" s="134">
        <f t="shared" si="40"/>
        <v>2.37</v>
      </c>
      <c r="X155" s="134">
        <f t="shared" si="40"/>
        <v>2.37</v>
      </c>
      <c r="Y155" s="134">
        <f t="shared" si="40"/>
        <v>2.37</v>
      </c>
      <c r="Z155" s="134">
        <f t="shared" si="40"/>
        <v>2.37</v>
      </c>
      <c r="AA155" s="134">
        <f t="shared" si="40"/>
        <v>2.37</v>
      </c>
      <c r="AB155" s="134">
        <f t="shared" si="40"/>
        <v>2.37</v>
      </c>
      <c r="AC155" s="134">
        <f t="shared" si="40"/>
        <v>2.37</v>
      </c>
      <c r="AD155" s="134">
        <f t="shared" si="40"/>
        <v>2.37</v>
      </c>
      <c r="AE155" s="134">
        <f t="shared" si="40"/>
        <v>2.37</v>
      </c>
      <c r="AF155" s="134">
        <f t="shared" si="40"/>
        <v>2.37</v>
      </c>
      <c r="AG155" s="136">
        <v>3.52</v>
      </c>
      <c r="AH155" s="55"/>
      <c r="AI155" s="56"/>
      <c r="AK155" s="57"/>
    </row>
    <row r="156" spans="1:37" x14ac:dyDescent="0.25">
      <c r="A156" s="121" t="s">
        <v>159</v>
      </c>
      <c r="B156" s="133">
        <v>1.81</v>
      </c>
      <c r="C156" s="134">
        <f t="shared" si="39"/>
        <v>1.81</v>
      </c>
      <c r="D156" s="134">
        <f t="shared" si="39"/>
        <v>1.81</v>
      </c>
      <c r="E156" s="134">
        <f t="shared" si="39"/>
        <v>1.81</v>
      </c>
      <c r="F156" s="134">
        <f t="shared" si="39"/>
        <v>1.81</v>
      </c>
      <c r="G156" s="134">
        <f t="shared" si="39"/>
        <v>1.81</v>
      </c>
      <c r="H156" s="134">
        <f t="shared" si="39"/>
        <v>1.81</v>
      </c>
      <c r="I156" s="134">
        <f t="shared" si="39"/>
        <v>1.81</v>
      </c>
      <c r="J156" s="134">
        <f t="shared" si="39"/>
        <v>1.81</v>
      </c>
      <c r="K156" s="134">
        <f t="shared" si="39"/>
        <v>1.81</v>
      </c>
      <c r="L156" s="134">
        <f t="shared" si="39"/>
        <v>1.81</v>
      </c>
      <c r="M156" s="134">
        <f t="shared" si="39"/>
        <v>1.81</v>
      </c>
      <c r="N156" s="134">
        <f t="shared" si="39"/>
        <v>1.81</v>
      </c>
      <c r="O156" s="134">
        <f t="shared" si="39"/>
        <v>1.81</v>
      </c>
      <c r="P156" s="134">
        <f t="shared" si="39"/>
        <v>1.81</v>
      </c>
      <c r="Q156" s="134">
        <f t="shared" si="39"/>
        <v>1.81</v>
      </c>
      <c r="R156" s="134">
        <f t="shared" si="39"/>
        <v>1.81</v>
      </c>
      <c r="S156" s="134">
        <f t="shared" si="40"/>
        <v>1.81</v>
      </c>
      <c r="T156" s="134">
        <f t="shared" si="40"/>
        <v>1.81</v>
      </c>
      <c r="U156" s="134">
        <f t="shared" si="40"/>
        <v>1.81</v>
      </c>
      <c r="V156" s="134">
        <f t="shared" si="40"/>
        <v>1.81</v>
      </c>
      <c r="W156" s="134">
        <f t="shared" si="40"/>
        <v>1.81</v>
      </c>
      <c r="X156" s="134">
        <f t="shared" si="40"/>
        <v>1.81</v>
      </c>
      <c r="Y156" s="134">
        <f t="shared" si="40"/>
        <v>1.81</v>
      </c>
      <c r="Z156" s="134">
        <f t="shared" si="40"/>
        <v>1.81</v>
      </c>
      <c r="AA156" s="134">
        <f t="shared" si="40"/>
        <v>1.81</v>
      </c>
      <c r="AB156" s="134">
        <f t="shared" si="40"/>
        <v>1.81</v>
      </c>
      <c r="AC156" s="134">
        <f t="shared" si="40"/>
        <v>1.81</v>
      </c>
      <c r="AD156" s="134">
        <f t="shared" si="40"/>
        <v>1.81</v>
      </c>
      <c r="AE156" s="134">
        <f t="shared" si="40"/>
        <v>1.81</v>
      </c>
      <c r="AF156" s="134">
        <f t="shared" si="40"/>
        <v>1.81</v>
      </c>
      <c r="AG156" s="136">
        <v>3.33</v>
      </c>
      <c r="AH156" s="55"/>
      <c r="AI156" s="56"/>
      <c r="AK156" s="57"/>
    </row>
    <row r="157" spans="1:37" x14ac:dyDescent="0.25">
      <c r="A157" s="121" t="s">
        <v>160</v>
      </c>
      <c r="B157" s="133">
        <v>1.0900000000000001</v>
      </c>
      <c r="C157" s="134">
        <f t="shared" si="39"/>
        <v>1.0900000000000001</v>
      </c>
      <c r="D157" s="134">
        <f t="shared" si="39"/>
        <v>1.0900000000000001</v>
      </c>
      <c r="E157" s="134">
        <f t="shared" si="39"/>
        <v>1.0900000000000001</v>
      </c>
      <c r="F157" s="134">
        <f t="shared" si="39"/>
        <v>1.0900000000000001</v>
      </c>
      <c r="G157" s="134">
        <f t="shared" si="39"/>
        <v>1.0900000000000001</v>
      </c>
      <c r="H157" s="134">
        <f t="shared" si="39"/>
        <v>1.0900000000000001</v>
      </c>
      <c r="I157" s="134">
        <f t="shared" si="39"/>
        <v>1.0900000000000001</v>
      </c>
      <c r="J157" s="134">
        <f t="shared" si="39"/>
        <v>1.0900000000000001</v>
      </c>
      <c r="K157" s="134">
        <f t="shared" si="39"/>
        <v>1.0900000000000001</v>
      </c>
      <c r="L157" s="134">
        <f t="shared" si="39"/>
        <v>1.0900000000000001</v>
      </c>
      <c r="M157" s="134">
        <f t="shared" si="39"/>
        <v>1.0900000000000001</v>
      </c>
      <c r="N157" s="134">
        <f t="shared" si="39"/>
        <v>1.0900000000000001</v>
      </c>
      <c r="O157" s="134">
        <f t="shared" si="39"/>
        <v>1.0900000000000001</v>
      </c>
      <c r="P157" s="134">
        <f t="shared" si="39"/>
        <v>1.0900000000000001</v>
      </c>
      <c r="Q157" s="134">
        <f t="shared" si="39"/>
        <v>1.0900000000000001</v>
      </c>
      <c r="R157" s="134">
        <f t="shared" si="39"/>
        <v>1.0900000000000001</v>
      </c>
      <c r="S157" s="134">
        <f t="shared" si="40"/>
        <v>1.0900000000000001</v>
      </c>
      <c r="T157" s="134">
        <f t="shared" si="40"/>
        <v>1.0900000000000001</v>
      </c>
      <c r="U157" s="134">
        <f t="shared" si="40"/>
        <v>1.0900000000000001</v>
      </c>
      <c r="V157" s="134">
        <f t="shared" si="40"/>
        <v>1.0900000000000001</v>
      </c>
      <c r="W157" s="134">
        <f t="shared" si="40"/>
        <v>1.0900000000000001</v>
      </c>
      <c r="X157" s="134">
        <f t="shared" si="40"/>
        <v>1.0900000000000001</v>
      </c>
      <c r="Y157" s="134">
        <f t="shared" si="40"/>
        <v>1.0900000000000001</v>
      </c>
      <c r="Z157" s="134">
        <f t="shared" si="40"/>
        <v>1.0900000000000001</v>
      </c>
      <c r="AA157" s="134">
        <f t="shared" si="40"/>
        <v>1.0900000000000001</v>
      </c>
      <c r="AB157" s="134">
        <f t="shared" si="40"/>
        <v>1.0900000000000001</v>
      </c>
      <c r="AC157" s="134">
        <f t="shared" si="40"/>
        <v>1.0900000000000001</v>
      </c>
      <c r="AD157" s="134">
        <f t="shared" si="40"/>
        <v>1.0900000000000001</v>
      </c>
      <c r="AE157" s="134">
        <f t="shared" si="40"/>
        <v>1.0900000000000001</v>
      </c>
      <c r="AF157" s="134">
        <f t="shared" si="40"/>
        <v>1.0900000000000001</v>
      </c>
      <c r="AG157" s="136">
        <v>3.2</v>
      </c>
      <c r="AH157" s="55"/>
      <c r="AI157" s="56"/>
      <c r="AK157" s="57"/>
    </row>
    <row r="158" spans="1:37" x14ac:dyDescent="0.25">
      <c r="A158" s="121" t="s">
        <v>161</v>
      </c>
      <c r="B158" s="133">
        <v>1.58</v>
      </c>
      <c r="C158" s="134">
        <f t="shared" si="39"/>
        <v>1.58</v>
      </c>
      <c r="D158" s="134">
        <f t="shared" si="39"/>
        <v>1.58</v>
      </c>
      <c r="E158" s="134">
        <f t="shared" si="39"/>
        <v>1.58</v>
      </c>
      <c r="F158" s="134">
        <f t="shared" si="39"/>
        <v>1.58</v>
      </c>
      <c r="G158" s="134">
        <f t="shared" si="39"/>
        <v>1.58</v>
      </c>
      <c r="H158" s="134">
        <f t="shared" si="39"/>
        <v>1.58</v>
      </c>
      <c r="I158" s="134">
        <f t="shared" si="39"/>
        <v>1.58</v>
      </c>
      <c r="J158" s="134">
        <f t="shared" si="39"/>
        <v>1.58</v>
      </c>
      <c r="K158" s="134">
        <f t="shared" si="39"/>
        <v>1.58</v>
      </c>
      <c r="L158" s="134">
        <f t="shared" si="39"/>
        <v>1.58</v>
      </c>
      <c r="M158" s="134">
        <f t="shared" si="39"/>
        <v>1.58</v>
      </c>
      <c r="N158" s="134">
        <f t="shared" si="39"/>
        <v>1.58</v>
      </c>
      <c r="O158" s="134">
        <f t="shared" si="39"/>
        <v>1.58</v>
      </c>
      <c r="P158" s="134">
        <f t="shared" si="39"/>
        <v>1.58</v>
      </c>
      <c r="Q158" s="134">
        <f t="shared" si="39"/>
        <v>1.58</v>
      </c>
      <c r="R158" s="134">
        <f t="shared" si="39"/>
        <v>1.58</v>
      </c>
      <c r="S158" s="134">
        <f t="shared" si="40"/>
        <v>1.58</v>
      </c>
      <c r="T158" s="134">
        <f t="shared" si="40"/>
        <v>1.58</v>
      </c>
      <c r="U158" s="134">
        <f t="shared" si="40"/>
        <v>1.58</v>
      </c>
      <c r="V158" s="134">
        <f t="shared" si="40"/>
        <v>1.58</v>
      </c>
      <c r="W158" s="134">
        <f t="shared" si="40"/>
        <v>1.58</v>
      </c>
      <c r="X158" s="134">
        <f t="shared" si="40"/>
        <v>1.58</v>
      </c>
      <c r="Y158" s="134">
        <f t="shared" si="40"/>
        <v>1.58</v>
      </c>
      <c r="Z158" s="134">
        <f t="shared" si="40"/>
        <v>1.58</v>
      </c>
      <c r="AA158" s="134">
        <f t="shared" si="40"/>
        <v>1.58</v>
      </c>
      <c r="AB158" s="134">
        <f t="shared" si="40"/>
        <v>1.58</v>
      </c>
      <c r="AC158" s="134">
        <f t="shared" si="40"/>
        <v>1.58</v>
      </c>
      <c r="AD158" s="134">
        <f t="shared" si="40"/>
        <v>1.58</v>
      </c>
      <c r="AE158" s="134">
        <f t="shared" si="40"/>
        <v>1.58</v>
      </c>
      <c r="AF158" s="134">
        <f t="shared" si="40"/>
        <v>1.58</v>
      </c>
      <c r="AG158" s="136">
        <v>3</v>
      </c>
      <c r="AH158" s="55"/>
      <c r="AI158" s="56"/>
      <c r="AK158" s="57"/>
    </row>
    <row r="159" spans="1:37" x14ac:dyDescent="0.25">
      <c r="A159" s="121" t="s">
        <v>162</v>
      </c>
      <c r="B159" s="133">
        <v>2</v>
      </c>
      <c r="C159" s="134">
        <f t="shared" si="39"/>
        <v>2</v>
      </c>
      <c r="D159" s="134">
        <f t="shared" si="39"/>
        <v>2</v>
      </c>
      <c r="E159" s="134">
        <f t="shared" si="39"/>
        <v>2</v>
      </c>
      <c r="F159" s="134">
        <f t="shared" si="39"/>
        <v>2</v>
      </c>
      <c r="G159" s="134">
        <f t="shared" si="39"/>
        <v>2</v>
      </c>
      <c r="H159" s="134">
        <f t="shared" si="39"/>
        <v>2</v>
      </c>
      <c r="I159" s="134">
        <f t="shared" si="39"/>
        <v>2</v>
      </c>
      <c r="J159" s="134">
        <f t="shared" si="39"/>
        <v>2</v>
      </c>
      <c r="K159" s="134">
        <f t="shared" si="39"/>
        <v>2</v>
      </c>
      <c r="L159" s="134">
        <f t="shared" si="39"/>
        <v>2</v>
      </c>
      <c r="M159" s="134">
        <f t="shared" si="39"/>
        <v>2</v>
      </c>
      <c r="N159" s="134">
        <f t="shared" si="39"/>
        <v>2</v>
      </c>
      <c r="O159" s="134">
        <f t="shared" si="39"/>
        <v>2</v>
      </c>
      <c r="P159" s="134">
        <f t="shared" si="39"/>
        <v>2</v>
      </c>
      <c r="Q159" s="134">
        <f t="shared" si="39"/>
        <v>2</v>
      </c>
      <c r="R159" s="134">
        <f t="shared" si="39"/>
        <v>2</v>
      </c>
      <c r="S159" s="134">
        <f t="shared" si="40"/>
        <v>2</v>
      </c>
      <c r="T159" s="134">
        <f t="shared" si="40"/>
        <v>2</v>
      </c>
      <c r="U159" s="134">
        <f t="shared" si="40"/>
        <v>2</v>
      </c>
      <c r="V159" s="134">
        <f t="shared" si="40"/>
        <v>2</v>
      </c>
      <c r="W159" s="134">
        <f t="shared" si="40"/>
        <v>2</v>
      </c>
      <c r="X159" s="134">
        <f t="shared" si="40"/>
        <v>2</v>
      </c>
      <c r="Y159" s="134">
        <f t="shared" si="40"/>
        <v>2</v>
      </c>
      <c r="Z159" s="134">
        <f t="shared" si="40"/>
        <v>2</v>
      </c>
      <c r="AA159" s="134">
        <f t="shared" si="40"/>
        <v>2</v>
      </c>
      <c r="AB159" s="134">
        <f t="shared" si="40"/>
        <v>2</v>
      </c>
      <c r="AC159" s="134">
        <f t="shared" si="40"/>
        <v>2</v>
      </c>
      <c r="AD159" s="134">
        <f t="shared" si="40"/>
        <v>2</v>
      </c>
      <c r="AE159" s="134">
        <f t="shared" si="40"/>
        <v>2</v>
      </c>
      <c r="AF159" s="134">
        <f t="shared" si="40"/>
        <v>2</v>
      </c>
      <c r="AG159" s="136">
        <v>3</v>
      </c>
      <c r="AH159" s="55"/>
      <c r="AI159" s="56"/>
      <c r="AK159" s="57"/>
    </row>
    <row r="160" spans="1:37" x14ac:dyDescent="0.25">
      <c r="A160" s="121" t="s">
        <v>163</v>
      </c>
      <c r="B160" s="133">
        <v>0.47</v>
      </c>
      <c r="C160" s="134">
        <f t="shared" si="39"/>
        <v>0.47</v>
      </c>
      <c r="D160" s="134">
        <f t="shared" si="39"/>
        <v>0.47</v>
      </c>
      <c r="E160" s="134">
        <f t="shared" si="39"/>
        <v>0.47</v>
      </c>
      <c r="F160" s="134">
        <f t="shared" si="39"/>
        <v>0.47</v>
      </c>
      <c r="G160" s="134">
        <f t="shared" si="39"/>
        <v>0.47</v>
      </c>
      <c r="H160" s="134">
        <f t="shared" si="39"/>
        <v>0.47</v>
      </c>
      <c r="I160" s="134">
        <f t="shared" si="39"/>
        <v>0.47</v>
      </c>
      <c r="J160" s="134">
        <f t="shared" si="39"/>
        <v>0.47</v>
      </c>
      <c r="K160" s="134">
        <f t="shared" si="39"/>
        <v>0.47</v>
      </c>
      <c r="L160" s="134">
        <f t="shared" si="39"/>
        <v>0.47</v>
      </c>
      <c r="M160" s="134">
        <f t="shared" si="39"/>
        <v>0.47</v>
      </c>
      <c r="N160" s="134">
        <f t="shared" si="39"/>
        <v>0.47</v>
      </c>
      <c r="O160" s="134">
        <f t="shared" si="39"/>
        <v>0.47</v>
      </c>
      <c r="P160" s="134">
        <f t="shared" si="39"/>
        <v>0.47</v>
      </c>
      <c r="Q160" s="134">
        <f t="shared" si="39"/>
        <v>0.47</v>
      </c>
      <c r="R160" s="134">
        <f t="shared" si="39"/>
        <v>0.47</v>
      </c>
      <c r="S160" s="134">
        <f t="shared" si="40"/>
        <v>0.47</v>
      </c>
      <c r="T160" s="134">
        <f t="shared" si="40"/>
        <v>0.47</v>
      </c>
      <c r="U160" s="134">
        <f t="shared" si="40"/>
        <v>0.47</v>
      </c>
      <c r="V160" s="134">
        <f t="shared" si="40"/>
        <v>0.47</v>
      </c>
      <c r="W160" s="134">
        <f t="shared" si="40"/>
        <v>0.47</v>
      </c>
      <c r="X160" s="134">
        <f t="shared" si="40"/>
        <v>0.47</v>
      </c>
      <c r="Y160" s="134">
        <f t="shared" si="40"/>
        <v>0.47</v>
      </c>
      <c r="Z160" s="134">
        <f t="shared" si="40"/>
        <v>0.47</v>
      </c>
      <c r="AA160" s="134">
        <f t="shared" si="40"/>
        <v>0.47</v>
      </c>
      <c r="AB160" s="134">
        <f t="shared" si="40"/>
        <v>0.47</v>
      </c>
      <c r="AC160" s="134">
        <f t="shared" si="40"/>
        <v>0.47</v>
      </c>
      <c r="AD160" s="134">
        <f t="shared" si="40"/>
        <v>0.47</v>
      </c>
      <c r="AE160" s="134">
        <f t="shared" si="40"/>
        <v>0.47</v>
      </c>
      <c r="AF160" s="134">
        <f t="shared" si="40"/>
        <v>0.47</v>
      </c>
      <c r="AG160" s="136">
        <v>3</v>
      </c>
      <c r="AH160" s="55"/>
      <c r="AI160" s="56"/>
      <c r="AK160" s="57"/>
    </row>
    <row r="161" spans="1:37" x14ac:dyDescent="0.25">
      <c r="A161" s="121" t="s">
        <v>164</v>
      </c>
      <c r="B161" s="133">
        <v>0</v>
      </c>
      <c r="C161" s="134">
        <f t="shared" si="39"/>
        <v>0</v>
      </c>
      <c r="D161" s="134">
        <f t="shared" si="39"/>
        <v>0</v>
      </c>
      <c r="E161" s="134">
        <f t="shared" si="39"/>
        <v>0</v>
      </c>
      <c r="F161" s="134">
        <f t="shared" si="39"/>
        <v>0</v>
      </c>
      <c r="G161" s="134">
        <f t="shared" si="39"/>
        <v>0</v>
      </c>
      <c r="H161" s="134">
        <f t="shared" si="39"/>
        <v>0</v>
      </c>
      <c r="I161" s="134">
        <f t="shared" si="39"/>
        <v>0</v>
      </c>
      <c r="J161" s="134">
        <f t="shared" si="39"/>
        <v>0</v>
      </c>
      <c r="K161" s="134">
        <f t="shared" si="39"/>
        <v>0</v>
      </c>
      <c r="L161" s="134">
        <f t="shared" si="39"/>
        <v>0</v>
      </c>
      <c r="M161" s="134">
        <f t="shared" si="39"/>
        <v>0</v>
      </c>
      <c r="N161" s="134">
        <f t="shared" si="39"/>
        <v>0</v>
      </c>
      <c r="O161" s="134">
        <f t="shared" si="39"/>
        <v>0</v>
      </c>
      <c r="P161" s="134">
        <f t="shared" si="39"/>
        <v>0</v>
      </c>
      <c r="Q161" s="134">
        <f t="shared" si="39"/>
        <v>0</v>
      </c>
      <c r="R161" s="134">
        <f t="shared" si="39"/>
        <v>0</v>
      </c>
      <c r="S161" s="134">
        <f t="shared" si="40"/>
        <v>0</v>
      </c>
      <c r="T161" s="134">
        <f t="shared" si="40"/>
        <v>0</v>
      </c>
      <c r="U161" s="134">
        <f t="shared" si="40"/>
        <v>0</v>
      </c>
      <c r="V161" s="134">
        <f t="shared" si="40"/>
        <v>0</v>
      </c>
      <c r="W161" s="134">
        <f t="shared" si="40"/>
        <v>0</v>
      </c>
      <c r="X161" s="134">
        <f t="shared" si="40"/>
        <v>0</v>
      </c>
      <c r="Y161" s="134">
        <f t="shared" si="40"/>
        <v>0</v>
      </c>
      <c r="Z161" s="134">
        <f t="shared" si="40"/>
        <v>0</v>
      </c>
      <c r="AA161" s="134">
        <f t="shared" si="40"/>
        <v>0</v>
      </c>
      <c r="AB161" s="134">
        <f t="shared" si="40"/>
        <v>0</v>
      </c>
      <c r="AC161" s="134">
        <f t="shared" si="40"/>
        <v>0</v>
      </c>
      <c r="AD161" s="134">
        <f t="shared" si="40"/>
        <v>0</v>
      </c>
      <c r="AE161" s="134">
        <f t="shared" si="40"/>
        <v>0</v>
      </c>
      <c r="AF161" s="134">
        <f t="shared" si="40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165</v>
      </c>
      <c r="B162" s="133">
        <v>0</v>
      </c>
      <c r="C162" s="134">
        <f t="shared" si="39"/>
        <v>0</v>
      </c>
      <c r="D162" s="134">
        <f t="shared" si="39"/>
        <v>0</v>
      </c>
      <c r="E162" s="134">
        <f t="shared" si="39"/>
        <v>0</v>
      </c>
      <c r="F162" s="134">
        <f t="shared" si="39"/>
        <v>0</v>
      </c>
      <c r="G162" s="134">
        <f t="shared" si="39"/>
        <v>0</v>
      </c>
      <c r="H162" s="134">
        <f t="shared" si="39"/>
        <v>0</v>
      </c>
      <c r="I162" s="134">
        <f t="shared" si="39"/>
        <v>0</v>
      </c>
      <c r="J162" s="134">
        <f t="shared" si="39"/>
        <v>0</v>
      </c>
      <c r="K162" s="134">
        <f t="shared" si="39"/>
        <v>0</v>
      </c>
      <c r="L162" s="134">
        <f t="shared" si="39"/>
        <v>0</v>
      </c>
      <c r="M162" s="134">
        <f t="shared" si="39"/>
        <v>0</v>
      </c>
      <c r="N162" s="134">
        <f t="shared" si="39"/>
        <v>0</v>
      </c>
      <c r="O162" s="134">
        <f t="shared" si="39"/>
        <v>0</v>
      </c>
      <c r="P162" s="134">
        <f t="shared" si="39"/>
        <v>0</v>
      </c>
      <c r="Q162" s="134">
        <f t="shared" si="39"/>
        <v>0</v>
      </c>
      <c r="R162" s="134">
        <f t="shared" si="40"/>
        <v>0</v>
      </c>
      <c r="S162" s="134">
        <f t="shared" si="40"/>
        <v>0</v>
      </c>
      <c r="T162" s="134">
        <f t="shared" si="40"/>
        <v>0</v>
      </c>
      <c r="U162" s="134">
        <f t="shared" si="40"/>
        <v>0</v>
      </c>
      <c r="V162" s="134">
        <f t="shared" si="40"/>
        <v>0</v>
      </c>
      <c r="W162" s="134">
        <f t="shared" si="40"/>
        <v>0</v>
      </c>
      <c r="X162" s="134">
        <f t="shared" si="40"/>
        <v>0</v>
      </c>
      <c r="Y162" s="134">
        <f t="shared" si="40"/>
        <v>0</v>
      </c>
      <c r="Z162" s="134">
        <f t="shared" si="40"/>
        <v>0</v>
      </c>
      <c r="AA162" s="134">
        <f t="shared" si="40"/>
        <v>0</v>
      </c>
      <c r="AB162" s="134">
        <f t="shared" si="40"/>
        <v>0</v>
      </c>
      <c r="AC162" s="134">
        <f t="shared" si="40"/>
        <v>0</v>
      </c>
      <c r="AD162" s="134">
        <f t="shared" si="40"/>
        <v>0</v>
      </c>
      <c r="AE162" s="134">
        <f t="shared" si="40"/>
        <v>0</v>
      </c>
      <c r="AF162" s="134">
        <f t="shared" si="40"/>
        <v>0</v>
      </c>
      <c r="AG162" s="136">
        <v>3</v>
      </c>
      <c r="AH162" s="55"/>
      <c r="AI162" s="56"/>
      <c r="AK162" s="57"/>
    </row>
    <row r="163" spans="1:37" x14ac:dyDescent="0.25">
      <c r="A163" s="121" t="s">
        <v>166</v>
      </c>
      <c r="B163" s="133">
        <v>0.8</v>
      </c>
      <c r="C163" s="134">
        <f t="shared" si="39"/>
        <v>0.8</v>
      </c>
      <c r="D163" s="134">
        <f t="shared" si="39"/>
        <v>0.8</v>
      </c>
      <c r="E163" s="134">
        <f t="shared" si="39"/>
        <v>0.8</v>
      </c>
      <c r="F163" s="134">
        <f t="shared" si="39"/>
        <v>0.8</v>
      </c>
      <c r="G163" s="134">
        <f t="shared" si="39"/>
        <v>0.8</v>
      </c>
      <c r="H163" s="134">
        <f t="shared" si="39"/>
        <v>0.8</v>
      </c>
      <c r="I163" s="134">
        <f t="shared" si="39"/>
        <v>0.8</v>
      </c>
      <c r="J163" s="134">
        <f t="shared" si="39"/>
        <v>0.8</v>
      </c>
      <c r="K163" s="134">
        <f t="shared" si="39"/>
        <v>0.8</v>
      </c>
      <c r="L163" s="134">
        <f t="shared" si="39"/>
        <v>0.8</v>
      </c>
      <c r="M163" s="134">
        <f t="shared" si="39"/>
        <v>0.8</v>
      </c>
      <c r="N163" s="134">
        <f t="shared" si="39"/>
        <v>0.8</v>
      </c>
      <c r="O163" s="134">
        <f t="shared" si="39"/>
        <v>0.8</v>
      </c>
      <c r="P163" s="134">
        <f t="shared" si="39"/>
        <v>0.8</v>
      </c>
      <c r="Q163" s="134">
        <f t="shared" si="39"/>
        <v>0.8</v>
      </c>
      <c r="R163" s="134">
        <f t="shared" si="40"/>
        <v>0.8</v>
      </c>
      <c r="S163" s="134">
        <f t="shared" si="40"/>
        <v>0.8</v>
      </c>
      <c r="T163" s="134">
        <f t="shared" si="40"/>
        <v>0.8</v>
      </c>
      <c r="U163" s="134">
        <f t="shared" si="40"/>
        <v>0.8</v>
      </c>
      <c r="V163" s="134">
        <f t="shared" si="40"/>
        <v>0.8</v>
      </c>
      <c r="W163" s="134">
        <f t="shared" si="40"/>
        <v>0.8</v>
      </c>
      <c r="X163" s="134">
        <f t="shared" si="40"/>
        <v>0.8</v>
      </c>
      <c r="Y163" s="134">
        <f t="shared" si="40"/>
        <v>0.8</v>
      </c>
      <c r="Z163" s="134">
        <f t="shared" si="40"/>
        <v>0.8</v>
      </c>
      <c r="AA163" s="134">
        <f t="shared" si="40"/>
        <v>0.8</v>
      </c>
      <c r="AB163" s="134">
        <f t="shared" si="40"/>
        <v>0.8</v>
      </c>
      <c r="AC163" s="134">
        <f t="shared" si="40"/>
        <v>0.8</v>
      </c>
      <c r="AD163" s="134">
        <f t="shared" si="40"/>
        <v>0.8</v>
      </c>
      <c r="AE163" s="134">
        <f t="shared" si="40"/>
        <v>0.8</v>
      </c>
      <c r="AF163" s="134">
        <f t="shared" si="40"/>
        <v>0.8</v>
      </c>
      <c r="AG163" s="136">
        <v>3</v>
      </c>
      <c r="AH163" s="55"/>
      <c r="AI163" s="56"/>
      <c r="AK163" s="57"/>
    </row>
    <row r="164" spans="1:37" x14ac:dyDescent="0.25">
      <c r="A164" s="121" t="s">
        <v>167</v>
      </c>
      <c r="B164" s="133">
        <v>1.5</v>
      </c>
      <c r="C164" s="134">
        <f t="shared" si="39"/>
        <v>1.5</v>
      </c>
      <c r="D164" s="134">
        <f t="shared" si="39"/>
        <v>1.5</v>
      </c>
      <c r="E164" s="134">
        <f t="shared" si="39"/>
        <v>1.5</v>
      </c>
      <c r="F164" s="134">
        <f t="shared" si="39"/>
        <v>1.5</v>
      </c>
      <c r="G164" s="134">
        <f t="shared" si="39"/>
        <v>1.5</v>
      </c>
      <c r="H164" s="134">
        <f t="shared" si="39"/>
        <v>1.5</v>
      </c>
      <c r="I164" s="134">
        <f t="shared" si="39"/>
        <v>1.5</v>
      </c>
      <c r="J164" s="134">
        <f t="shared" si="39"/>
        <v>1.5</v>
      </c>
      <c r="K164" s="134">
        <f t="shared" si="39"/>
        <v>1.5</v>
      </c>
      <c r="L164" s="134">
        <f t="shared" si="39"/>
        <v>1.5</v>
      </c>
      <c r="M164" s="134">
        <f t="shared" si="39"/>
        <v>1.5</v>
      </c>
      <c r="N164" s="134">
        <f t="shared" si="39"/>
        <v>1.5</v>
      </c>
      <c r="O164" s="134">
        <f t="shared" si="39"/>
        <v>1.5</v>
      </c>
      <c r="P164" s="134">
        <f t="shared" si="39"/>
        <v>1.5</v>
      </c>
      <c r="Q164" s="134">
        <f t="shared" si="39"/>
        <v>1.5</v>
      </c>
      <c r="R164" s="134">
        <f t="shared" si="40"/>
        <v>1.5</v>
      </c>
      <c r="S164" s="134">
        <f t="shared" si="40"/>
        <v>1.5</v>
      </c>
      <c r="T164" s="134">
        <f t="shared" si="40"/>
        <v>1.5</v>
      </c>
      <c r="U164" s="134">
        <f t="shared" si="40"/>
        <v>1.5</v>
      </c>
      <c r="V164" s="134">
        <f t="shared" si="40"/>
        <v>1.5</v>
      </c>
      <c r="W164" s="134">
        <f t="shared" si="40"/>
        <v>1.5</v>
      </c>
      <c r="X164" s="134">
        <f t="shared" si="40"/>
        <v>1.5</v>
      </c>
      <c r="Y164" s="134">
        <f t="shared" si="40"/>
        <v>1.5</v>
      </c>
      <c r="Z164" s="134">
        <f t="shared" si="40"/>
        <v>1.5</v>
      </c>
      <c r="AA164" s="134">
        <f t="shared" si="40"/>
        <v>1.5</v>
      </c>
      <c r="AB164" s="134">
        <f t="shared" si="40"/>
        <v>1.5</v>
      </c>
      <c r="AC164" s="134">
        <f t="shared" si="40"/>
        <v>1.5</v>
      </c>
      <c r="AD164" s="134">
        <f t="shared" si="40"/>
        <v>1.5</v>
      </c>
      <c r="AE164" s="134">
        <f t="shared" si="40"/>
        <v>1.5</v>
      </c>
      <c r="AF164" s="134">
        <f t="shared" si="40"/>
        <v>1.5</v>
      </c>
      <c r="AG164" s="136">
        <v>3</v>
      </c>
      <c r="AH164" s="55"/>
      <c r="AI164" s="56"/>
      <c r="AK164" s="57"/>
    </row>
    <row r="165" spans="1:37" x14ac:dyDescent="0.25">
      <c r="A165" s="121" t="s">
        <v>168</v>
      </c>
      <c r="B165" s="133">
        <v>1</v>
      </c>
      <c r="C165" s="134">
        <f t="shared" si="39"/>
        <v>1</v>
      </c>
      <c r="D165" s="134">
        <f t="shared" si="39"/>
        <v>1</v>
      </c>
      <c r="E165" s="134">
        <f t="shared" si="39"/>
        <v>1</v>
      </c>
      <c r="F165" s="134">
        <f t="shared" si="39"/>
        <v>1</v>
      </c>
      <c r="G165" s="134">
        <f t="shared" si="39"/>
        <v>1</v>
      </c>
      <c r="H165" s="134">
        <f t="shared" si="39"/>
        <v>1</v>
      </c>
      <c r="I165" s="134">
        <f t="shared" si="39"/>
        <v>1</v>
      </c>
      <c r="J165" s="134">
        <f t="shared" si="39"/>
        <v>1</v>
      </c>
      <c r="K165" s="134">
        <f t="shared" si="39"/>
        <v>1</v>
      </c>
      <c r="L165" s="134">
        <f t="shared" si="39"/>
        <v>1</v>
      </c>
      <c r="M165" s="134">
        <f t="shared" si="39"/>
        <v>1</v>
      </c>
      <c r="N165" s="134">
        <f t="shared" si="39"/>
        <v>1</v>
      </c>
      <c r="O165" s="134">
        <f t="shared" si="39"/>
        <v>1</v>
      </c>
      <c r="P165" s="134">
        <f t="shared" si="39"/>
        <v>1</v>
      </c>
      <c r="Q165" s="134">
        <f t="shared" si="39"/>
        <v>1</v>
      </c>
      <c r="R165" s="134">
        <f t="shared" si="40"/>
        <v>1</v>
      </c>
      <c r="S165" s="134">
        <f t="shared" si="40"/>
        <v>1</v>
      </c>
      <c r="T165" s="134">
        <f t="shared" si="40"/>
        <v>1</v>
      </c>
      <c r="U165" s="134">
        <f t="shared" si="40"/>
        <v>1</v>
      </c>
      <c r="V165" s="134">
        <f t="shared" si="40"/>
        <v>1</v>
      </c>
      <c r="W165" s="134">
        <f t="shared" si="40"/>
        <v>1</v>
      </c>
      <c r="X165" s="134">
        <f t="shared" si="40"/>
        <v>1</v>
      </c>
      <c r="Y165" s="134">
        <f t="shared" si="40"/>
        <v>1</v>
      </c>
      <c r="Z165" s="134">
        <f t="shared" si="40"/>
        <v>1</v>
      </c>
      <c r="AA165" s="134">
        <f t="shared" si="40"/>
        <v>1</v>
      </c>
      <c r="AB165" s="134">
        <f t="shared" si="40"/>
        <v>1</v>
      </c>
      <c r="AC165" s="134">
        <f t="shared" si="40"/>
        <v>1</v>
      </c>
      <c r="AD165" s="134">
        <f t="shared" si="40"/>
        <v>1</v>
      </c>
      <c r="AE165" s="134">
        <f t="shared" si="40"/>
        <v>1</v>
      </c>
      <c r="AF165" s="134">
        <f t="shared" si="40"/>
        <v>1</v>
      </c>
      <c r="AG165" s="136">
        <v>3</v>
      </c>
      <c r="AH165" s="55"/>
      <c r="AI165" s="56"/>
      <c r="AK165" s="57"/>
    </row>
    <row r="166" spans="1:37" x14ac:dyDescent="0.25">
      <c r="A166" s="121" t="s">
        <v>169</v>
      </c>
      <c r="B166" s="133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6">
        <v>2.83</v>
      </c>
      <c r="AH166" s="55"/>
      <c r="AI166" s="56"/>
      <c r="AK166" s="57"/>
    </row>
    <row r="167" spans="1:37" x14ac:dyDescent="0.25">
      <c r="A167" s="121" t="s">
        <v>170</v>
      </c>
      <c r="B167" s="133">
        <v>1</v>
      </c>
      <c r="C167" s="134">
        <f t="shared" ref="C167:R174" si="41">B167</f>
        <v>1</v>
      </c>
      <c r="D167" s="134">
        <f t="shared" si="41"/>
        <v>1</v>
      </c>
      <c r="E167" s="134">
        <f t="shared" si="41"/>
        <v>1</v>
      </c>
      <c r="F167" s="134">
        <f t="shared" si="41"/>
        <v>1</v>
      </c>
      <c r="G167" s="134">
        <f t="shared" si="41"/>
        <v>1</v>
      </c>
      <c r="H167" s="134">
        <f t="shared" si="41"/>
        <v>1</v>
      </c>
      <c r="I167" s="134">
        <f t="shared" si="41"/>
        <v>1</v>
      </c>
      <c r="J167" s="134">
        <f t="shared" si="41"/>
        <v>1</v>
      </c>
      <c r="K167" s="134">
        <f t="shared" si="41"/>
        <v>1</v>
      </c>
      <c r="L167" s="134">
        <f t="shared" si="41"/>
        <v>1</v>
      </c>
      <c r="M167" s="134">
        <f t="shared" si="41"/>
        <v>1</v>
      </c>
      <c r="N167" s="134">
        <f t="shared" si="41"/>
        <v>1</v>
      </c>
      <c r="O167" s="134">
        <f t="shared" si="41"/>
        <v>1</v>
      </c>
      <c r="P167" s="134">
        <f t="shared" si="41"/>
        <v>1</v>
      </c>
      <c r="Q167" s="134">
        <f t="shared" si="41"/>
        <v>1</v>
      </c>
      <c r="R167" s="134">
        <f t="shared" si="41"/>
        <v>1</v>
      </c>
      <c r="S167" s="134">
        <f t="shared" ref="R167:AF174" si="42">R167</f>
        <v>1</v>
      </c>
      <c r="T167" s="134">
        <f t="shared" si="42"/>
        <v>1</v>
      </c>
      <c r="U167" s="134">
        <f t="shared" si="42"/>
        <v>1</v>
      </c>
      <c r="V167" s="134">
        <f t="shared" si="42"/>
        <v>1</v>
      </c>
      <c r="W167" s="134">
        <f t="shared" si="42"/>
        <v>1</v>
      </c>
      <c r="X167" s="134">
        <f t="shared" si="42"/>
        <v>1</v>
      </c>
      <c r="Y167" s="134">
        <f t="shared" si="42"/>
        <v>1</v>
      </c>
      <c r="Z167" s="134">
        <f t="shared" si="42"/>
        <v>1</v>
      </c>
      <c r="AA167" s="134">
        <f t="shared" si="42"/>
        <v>1</v>
      </c>
      <c r="AB167" s="134">
        <f t="shared" si="42"/>
        <v>1</v>
      </c>
      <c r="AC167" s="134">
        <f t="shared" si="42"/>
        <v>1</v>
      </c>
      <c r="AD167" s="134">
        <f t="shared" si="42"/>
        <v>1</v>
      </c>
      <c r="AE167" s="134">
        <f t="shared" si="42"/>
        <v>1</v>
      </c>
      <c r="AF167" s="134">
        <f t="shared" si="42"/>
        <v>1</v>
      </c>
      <c r="AG167" s="136">
        <v>2.5</v>
      </c>
      <c r="AH167" s="55"/>
      <c r="AI167" s="56"/>
      <c r="AK167" s="57"/>
    </row>
    <row r="168" spans="1:37" x14ac:dyDescent="0.25">
      <c r="A168" s="121" t="s">
        <v>171</v>
      </c>
      <c r="B168" s="133">
        <v>0.42</v>
      </c>
      <c r="C168" s="134">
        <f t="shared" si="41"/>
        <v>0.42</v>
      </c>
      <c r="D168" s="134">
        <f t="shared" si="41"/>
        <v>0.42</v>
      </c>
      <c r="E168" s="134">
        <f t="shared" si="41"/>
        <v>0.42</v>
      </c>
      <c r="F168" s="134">
        <f t="shared" si="41"/>
        <v>0.42</v>
      </c>
      <c r="G168" s="134">
        <f t="shared" si="41"/>
        <v>0.42</v>
      </c>
      <c r="H168" s="134">
        <f t="shared" si="41"/>
        <v>0.42</v>
      </c>
      <c r="I168" s="134">
        <f t="shared" si="41"/>
        <v>0.42</v>
      </c>
      <c r="J168" s="134">
        <f t="shared" si="41"/>
        <v>0.42</v>
      </c>
      <c r="K168" s="134">
        <f t="shared" si="41"/>
        <v>0.42</v>
      </c>
      <c r="L168" s="134">
        <f t="shared" si="41"/>
        <v>0.42</v>
      </c>
      <c r="M168" s="134">
        <f t="shared" si="41"/>
        <v>0.42</v>
      </c>
      <c r="N168" s="134">
        <f t="shared" si="41"/>
        <v>0.42</v>
      </c>
      <c r="O168" s="134">
        <f t="shared" si="41"/>
        <v>0.42</v>
      </c>
      <c r="P168" s="134">
        <f t="shared" si="41"/>
        <v>0.42</v>
      </c>
      <c r="Q168" s="134">
        <f t="shared" si="41"/>
        <v>0.42</v>
      </c>
      <c r="R168" s="134">
        <f t="shared" si="42"/>
        <v>0.42</v>
      </c>
      <c r="S168" s="134">
        <f t="shared" si="42"/>
        <v>0.42</v>
      </c>
      <c r="T168" s="134">
        <f t="shared" si="42"/>
        <v>0.42</v>
      </c>
      <c r="U168" s="134">
        <f t="shared" si="42"/>
        <v>0.42</v>
      </c>
      <c r="V168" s="134">
        <f t="shared" si="42"/>
        <v>0.42</v>
      </c>
      <c r="W168" s="134">
        <f t="shared" si="42"/>
        <v>0.42</v>
      </c>
      <c r="X168" s="134">
        <f t="shared" si="42"/>
        <v>0.42</v>
      </c>
      <c r="Y168" s="134">
        <f t="shared" si="42"/>
        <v>0.42</v>
      </c>
      <c r="Z168" s="134">
        <f t="shared" si="42"/>
        <v>0.42</v>
      </c>
      <c r="AA168" s="134">
        <f t="shared" si="42"/>
        <v>0.42</v>
      </c>
      <c r="AB168" s="134">
        <f t="shared" si="42"/>
        <v>0.42</v>
      </c>
      <c r="AC168" s="134">
        <f t="shared" si="42"/>
        <v>0.42</v>
      </c>
      <c r="AD168" s="134">
        <f t="shared" si="42"/>
        <v>0.42</v>
      </c>
      <c r="AE168" s="134">
        <f t="shared" si="42"/>
        <v>0.42</v>
      </c>
      <c r="AF168" s="134">
        <f t="shared" si="42"/>
        <v>0.42</v>
      </c>
      <c r="AG168" s="136">
        <v>2.5</v>
      </c>
      <c r="AH168" s="55"/>
      <c r="AI168" s="56"/>
      <c r="AK168" s="57"/>
    </row>
    <row r="169" spans="1:37" x14ac:dyDescent="0.25">
      <c r="A169" s="121" t="s">
        <v>172</v>
      </c>
      <c r="B169" s="133">
        <v>0.46</v>
      </c>
      <c r="C169" s="134">
        <f t="shared" si="41"/>
        <v>0.46</v>
      </c>
      <c r="D169" s="134">
        <f t="shared" si="41"/>
        <v>0.46</v>
      </c>
      <c r="E169" s="134">
        <f t="shared" si="41"/>
        <v>0.46</v>
      </c>
      <c r="F169" s="134">
        <f t="shared" si="41"/>
        <v>0.46</v>
      </c>
      <c r="G169" s="134">
        <f t="shared" si="41"/>
        <v>0.46</v>
      </c>
      <c r="H169" s="134">
        <f t="shared" si="41"/>
        <v>0.46</v>
      </c>
      <c r="I169" s="134">
        <f t="shared" si="41"/>
        <v>0.46</v>
      </c>
      <c r="J169" s="134">
        <f t="shared" si="41"/>
        <v>0.46</v>
      </c>
      <c r="K169" s="134">
        <f t="shared" si="41"/>
        <v>0.46</v>
      </c>
      <c r="L169" s="134">
        <f t="shared" si="41"/>
        <v>0.46</v>
      </c>
      <c r="M169" s="134">
        <f t="shared" si="41"/>
        <v>0.46</v>
      </c>
      <c r="N169" s="134">
        <f t="shared" si="41"/>
        <v>0.46</v>
      </c>
      <c r="O169" s="134">
        <f t="shared" si="41"/>
        <v>0.46</v>
      </c>
      <c r="P169" s="134">
        <f t="shared" si="41"/>
        <v>0.46</v>
      </c>
      <c r="Q169" s="134">
        <f t="shared" si="41"/>
        <v>0.46</v>
      </c>
      <c r="R169" s="134">
        <f t="shared" si="42"/>
        <v>0.46</v>
      </c>
      <c r="S169" s="134">
        <f t="shared" si="42"/>
        <v>0.46</v>
      </c>
      <c r="T169" s="134">
        <f t="shared" si="42"/>
        <v>0.46</v>
      </c>
      <c r="U169" s="134">
        <f t="shared" si="42"/>
        <v>0.46</v>
      </c>
      <c r="V169" s="134">
        <f t="shared" si="42"/>
        <v>0.46</v>
      </c>
      <c r="W169" s="134">
        <f t="shared" si="42"/>
        <v>0.46</v>
      </c>
      <c r="X169" s="134">
        <f t="shared" si="42"/>
        <v>0.46</v>
      </c>
      <c r="Y169" s="134">
        <f t="shared" si="42"/>
        <v>0.46</v>
      </c>
      <c r="Z169" s="134">
        <f t="shared" si="42"/>
        <v>0.46</v>
      </c>
      <c r="AA169" s="134">
        <f t="shared" si="42"/>
        <v>0.46</v>
      </c>
      <c r="AB169" s="134">
        <f t="shared" si="42"/>
        <v>0.46</v>
      </c>
      <c r="AC169" s="134">
        <f t="shared" si="42"/>
        <v>0.46</v>
      </c>
      <c r="AD169" s="134">
        <f t="shared" si="42"/>
        <v>0.46</v>
      </c>
      <c r="AE169" s="134">
        <f t="shared" si="42"/>
        <v>0.46</v>
      </c>
      <c r="AF169" s="134">
        <f t="shared" si="42"/>
        <v>0.46</v>
      </c>
      <c r="AG169" s="136">
        <v>2.4</v>
      </c>
      <c r="AH169" s="55"/>
      <c r="AI169" s="56"/>
      <c r="AK169" s="57"/>
    </row>
    <row r="170" spans="1:37" x14ac:dyDescent="0.25">
      <c r="A170" s="121" t="s">
        <v>173</v>
      </c>
      <c r="B170" s="133">
        <v>0.85</v>
      </c>
      <c r="C170" s="134">
        <f t="shared" si="41"/>
        <v>0.85</v>
      </c>
      <c r="D170" s="134">
        <f t="shared" si="41"/>
        <v>0.85</v>
      </c>
      <c r="E170" s="134">
        <f t="shared" si="41"/>
        <v>0.85</v>
      </c>
      <c r="F170" s="134">
        <f t="shared" si="41"/>
        <v>0.85</v>
      </c>
      <c r="G170" s="134">
        <f t="shared" si="41"/>
        <v>0.85</v>
      </c>
      <c r="H170" s="134">
        <f t="shared" si="41"/>
        <v>0.85</v>
      </c>
      <c r="I170" s="134">
        <f t="shared" si="41"/>
        <v>0.85</v>
      </c>
      <c r="J170" s="134">
        <f t="shared" si="41"/>
        <v>0.85</v>
      </c>
      <c r="K170" s="134">
        <f t="shared" si="41"/>
        <v>0.85</v>
      </c>
      <c r="L170" s="134">
        <f t="shared" si="41"/>
        <v>0.85</v>
      </c>
      <c r="M170" s="134">
        <f t="shared" si="41"/>
        <v>0.85</v>
      </c>
      <c r="N170" s="134">
        <f t="shared" si="41"/>
        <v>0.85</v>
      </c>
      <c r="O170" s="134">
        <f t="shared" si="41"/>
        <v>0.85</v>
      </c>
      <c r="P170" s="134">
        <f t="shared" si="41"/>
        <v>0.85</v>
      </c>
      <c r="Q170" s="134">
        <f t="shared" si="41"/>
        <v>0.85</v>
      </c>
      <c r="R170" s="134">
        <f t="shared" si="42"/>
        <v>0.85</v>
      </c>
      <c r="S170" s="134">
        <f t="shared" si="42"/>
        <v>0.85</v>
      </c>
      <c r="T170" s="134">
        <f t="shared" si="42"/>
        <v>0.85</v>
      </c>
      <c r="U170" s="134">
        <f t="shared" si="42"/>
        <v>0.85</v>
      </c>
      <c r="V170" s="134">
        <f t="shared" si="42"/>
        <v>0.85</v>
      </c>
      <c r="W170" s="134">
        <f t="shared" si="42"/>
        <v>0.85</v>
      </c>
      <c r="X170" s="134">
        <f t="shared" si="42"/>
        <v>0.85</v>
      </c>
      <c r="Y170" s="134">
        <f t="shared" si="42"/>
        <v>0.85</v>
      </c>
      <c r="Z170" s="134">
        <f t="shared" si="42"/>
        <v>0.85</v>
      </c>
      <c r="AA170" s="134">
        <f t="shared" si="42"/>
        <v>0.85</v>
      </c>
      <c r="AB170" s="134">
        <f t="shared" si="42"/>
        <v>0.85</v>
      </c>
      <c r="AC170" s="134">
        <f t="shared" si="42"/>
        <v>0.85</v>
      </c>
      <c r="AD170" s="134">
        <f t="shared" si="42"/>
        <v>0.85</v>
      </c>
      <c r="AE170" s="134">
        <f t="shared" si="42"/>
        <v>0.85</v>
      </c>
      <c r="AF170" s="134">
        <f t="shared" si="42"/>
        <v>0.85</v>
      </c>
      <c r="AG170" s="136">
        <v>2.4</v>
      </c>
      <c r="AH170" s="55"/>
      <c r="AI170" s="56"/>
      <c r="AK170" s="57"/>
    </row>
    <row r="171" spans="1:37" x14ac:dyDescent="0.25">
      <c r="A171" s="121" t="s">
        <v>174</v>
      </c>
      <c r="B171" s="133">
        <v>0.9</v>
      </c>
      <c r="C171" s="134">
        <f t="shared" si="41"/>
        <v>0.9</v>
      </c>
      <c r="D171" s="134">
        <f t="shared" si="41"/>
        <v>0.9</v>
      </c>
      <c r="E171" s="134">
        <f t="shared" si="41"/>
        <v>0.9</v>
      </c>
      <c r="F171" s="134">
        <f t="shared" si="41"/>
        <v>0.9</v>
      </c>
      <c r="G171" s="134">
        <f t="shared" si="41"/>
        <v>0.9</v>
      </c>
      <c r="H171" s="134">
        <f t="shared" si="41"/>
        <v>0.9</v>
      </c>
      <c r="I171" s="134">
        <f t="shared" si="41"/>
        <v>0.9</v>
      </c>
      <c r="J171" s="134">
        <f t="shared" si="41"/>
        <v>0.9</v>
      </c>
      <c r="K171" s="134">
        <f t="shared" si="41"/>
        <v>0.9</v>
      </c>
      <c r="L171" s="134">
        <f t="shared" si="41"/>
        <v>0.9</v>
      </c>
      <c r="M171" s="134">
        <f t="shared" si="41"/>
        <v>0.9</v>
      </c>
      <c r="N171" s="134">
        <f t="shared" si="41"/>
        <v>0.9</v>
      </c>
      <c r="O171" s="134">
        <f t="shared" si="41"/>
        <v>0.9</v>
      </c>
      <c r="P171" s="134">
        <f t="shared" si="41"/>
        <v>0.9</v>
      </c>
      <c r="Q171" s="134">
        <f t="shared" si="41"/>
        <v>0.9</v>
      </c>
      <c r="R171" s="134">
        <f t="shared" si="42"/>
        <v>0.9</v>
      </c>
      <c r="S171" s="134">
        <f t="shared" si="42"/>
        <v>0.9</v>
      </c>
      <c r="T171" s="134">
        <f t="shared" si="42"/>
        <v>0.9</v>
      </c>
      <c r="U171" s="134">
        <f t="shared" si="42"/>
        <v>0.9</v>
      </c>
      <c r="V171" s="134">
        <f t="shared" si="42"/>
        <v>0.9</v>
      </c>
      <c r="W171" s="134">
        <f t="shared" si="42"/>
        <v>0.9</v>
      </c>
      <c r="X171" s="134">
        <f t="shared" si="42"/>
        <v>0.9</v>
      </c>
      <c r="Y171" s="134">
        <f t="shared" si="42"/>
        <v>0.9</v>
      </c>
      <c r="Z171" s="134">
        <f t="shared" si="42"/>
        <v>0.9</v>
      </c>
      <c r="AA171" s="134">
        <f t="shared" si="42"/>
        <v>0.9</v>
      </c>
      <c r="AB171" s="134">
        <f t="shared" si="42"/>
        <v>0.9</v>
      </c>
      <c r="AC171" s="134">
        <f t="shared" si="42"/>
        <v>0.9</v>
      </c>
      <c r="AD171" s="134">
        <f t="shared" si="42"/>
        <v>0.9</v>
      </c>
      <c r="AE171" s="134">
        <f t="shared" si="42"/>
        <v>0.9</v>
      </c>
      <c r="AF171" s="134">
        <f t="shared" si="42"/>
        <v>0.9</v>
      </c>
      <c r="AG171" s="136">
        <v>2.2000000000000002</v>
      </c>
      <c r="AH171" s="55"/>
      <c r="AI171" s="56"/>
      <c r="AK171" s="57"/>
    </row>
    <row r="172" spans="1:37" x14ac:dyDescent="0.25">
      <c r="A172" s="121" t="s">
        <v>175</v>
      </c>
      <c r="B172" s="133">
        <v>0.44</v>
      </c>
      <c r="C172" s="134">
        <f t="shared" si="41"/>
        <v>0.44</v>
      </c>
      <c r="D172" s="134">
        <f t="shared" si="41"/>
        <v>0.44</v>
      </c>
      <c r="E172" s="134">
        <f t="shared" si="41"/>
        <v>0.44</v>
      </c>
      <c r="F172" s="134">
        <f t="shared" si="41"/>
        <v>0.44</v>
      </c>
      <c r="G172" s="134">
        <f t="shared" si="41"/>
        <v>0.44</v>
      </c>
      <c r="H172" s="134">
        <f t="shared" si="41"/>
        <v>0.44</v>
      </c>
      <c r="I172" s="134">
        <f t="shared" si="41"/>
        <v>0.44</v>
      </c>
      <c r="J172" s="134">
        <f t="shared" si="41"/>
        <v>0.44</v>
      </c>
      <c r="K172" s="134">
        <f t="shared" si="41"/>
        <v>0.44</v>
      </c>
      <c r="L172" s="134">
        <f t="shared" si="41"/>
        <v>0.44</v>
      </c>
      <c r="M172" s="134">
        <f t="shared" si="41"/>
        <v>0.44</v>
      </c>
      <c r="N172" s="134">
        <f t="shared" si="41"/>
        <v>0.44</v>
      </c>
      <c r="O172" s="134">
        <f t="shared" si="41"/>
        <v>0.44</v>
      </c>
      <c r="P172" s="134">
        <f t="shared" si="41"/>
        <v>0.44</v>
      </c>
      <c r="Q172" s="134">
        <f t="shared" si="41"/>
        <v>0.44</v>
      </c>
      <c r="R172" s="134">
        <f t="shared" si="42"/>
        <v>0.44</v>
      </c>
      <c r="S172" s="134">
        <f t="shared" si="42"/>
        <v>0.44</v>
      </c>
      <c r="T172" s="134">
        <f t="shared" si="42"/>
        <v>0.44</v>
      </c>
      <c r="U172" s="134">
        <f t="shared" si="42"/>
        <v>0.44</v>
      </c>
      <c r="V172" s="134">
        <f t="shared" si="42"/>
        <v>0.44</v>
      </c>
      <c r="W172" s="134">
        <f t="shared" si="42"/>
        <v>0.44</v>
      </c>
      <c r="X172" s="134">
        <f t="shared" si="42"/>
        <v>0.44</v>
      </c>
      <c r="Y172" s="134">
        <f t="shared" si="42"/>
        <v>0.44</v>
      </c>
      <c r="Z172" s="134">
        <f t="shared" si="42"/>
        <v>0.44</v>
      </c>
      <c r="AA172" s="134">
        <f t="shared" si="42"/>
        <v>0.44</v>
      </c>
      <c r="AB172" s="134">
        <f t="shared" si="42"/>
        <v>0.44</v>
      </c>
      <c r="AC172" s="134">
        <f t="shared" si="42"/>
        <v>0.44</v>
      </c>
      <c r="AD172" s="134">
        <f t="shared" si="42"/>
        <v>0.44</v>
      </c>
      <c r="AE172" s="134">
        <f t="shared" si="42"/>
        <v>0.44</v>
      </c>
      <c r="AF172" s="134">
        <f t="shared" si="42"/>
        <v>0.44</v>
      </c>
      <c r="AG172" s="136">
        <v>2</v>
      </c>
      <c r="AH172" s="55"/>
      <c r="AI172" s="56"/>
      <c r="AK172" s="57"/>
    </row>
    <row r="173" spans="1:37" x14ac:dyDescent="0.25">
      <c r="A173" s="121" t="s">
        <v>176</v>
      </c>
      <c r="B173" s="133">
        <v>2.1</v>
      </c>
      <c r="C173" s="134">
        <f t="shared" si="41"/>
        <v>2.1</v>
      </c>
      <c r="D173" s="134">
        <f t="shared" si="41"/>
        <v>2.1</v>
      </c>
      <c r="E173" s="134">
        <f t="shared" si="41"/>
        <v>2.1</v>
      </c>
      <c r="F173" s="134">
        <f t="shared" si="41"/>
        <v>2.1</v>
      </c>
      <c r="G173" s="134">
        <f t="shared" si="41"/>
        <v>2.1</v>
      </c>
      <c r="H173" s="134">
        <f t="shared" si="41"/>
        <v>2.1</v>
      </c>
      <c r="I173" s="134">
        <f t="shared" si="41"/>
        <v>2.1</v>
      </c>
      <c r="J173" s="134">
        <f t="shared" si="41"/>
        <v>2.1</v>
      </c>
      <c r="K173" s="134">
        <f t="shared" si="41"/>
        <v>2.1</v>
      </c>
      <c r="L173" s="134">
        <f t="shared" si="41"/>
        <v>2.1</v>
      </c>
      <c r="M173" s="134">
        <f t="shared" si="41"/>
        <v>2.1</v>
      </c>
      <c r="N173" s="134">
        <f t="shared" si="41"/>
        <v>2.1</v>
      </c>
      <c r="O173" s="134">
        <f t="shared" si="41"/>
        <v>2.1</v>
      </c>
      <c r="P173" s="134">
        <f t="shared" si="41"/>
        <v>2.1</v>
      </c>
      <c r="Q173" s="134">
        <f t="shared" si="41"/>
        <v>2.1</v>
      </c>
      <c r="R173" s="134">
        <f t="shared" si="42"/>
        <v>2.1</v>
      </c>
      <c r="S173" s="134">
        <f t="shared" si="42"/>
        <v>2.1</v>
      </c>
      <c r="T173" s="134">
        <f t="shared" si="42"/>
        <v>2.1</v>
      </c>
      <c r="U173" s="134">
        <f t="shared" si="42"/>
        <v>2.1</v>
      </c>
      <c r="V173" s="134">
        <f t="shared" si="42"/>
        <v>2.1</v>
      </c>
      <c r="W173" s="134">
        <f t="shared" si="42"/>
        <v>2.1</v>
      </c>
      <c r="X173" s="134">
        <f t="shared" si="42"/>
        <v>2.1</v>
      </c>
      <c r="Y173" s="134">
        <f t="shared" si="42"/>
        <v>2.1</v>
      </c>
      <c r="Z173" s="134">
        <f t="shared" si="42"/>
        <v>2.1</v>
      </c>
      <c r="AA173" s="134">
        <f t="shared" si="42"/>
        <v>2.1</v>
      </c>
      <c r="AB173" s="134">
        <f t="shared" si="42"/>
        <v>2.1</v>
      </c>
      <c r="AC173" s="134">
        <f t="shared" si="42"/>
        <v>2.1</v>
      </c>
      <c r="AD173" s="134">
        <f t="shared" si="42"/>
        <v>2.1</v>
      </c>
      <c r="AE173" s="134">
        <f t="shared" si="42"/>
        <v>2.1</v>
      </c>
      <c r="AF173" s="134">
        <f t="shared" si="42"/>
        <v>2.1</v>
      </c>
      <c r="AG173" s="136">
        <v>2</v>
      </c>
      <c r="AH173" s="55"/>
      <c r="AI173" s="56"/>
      <c r="AK173" s="57"/>
    </row>
    <row r="174" spans="1:37" x14ac:dyDescent="0.25">
      <c r="A174" s="121" t="s">
        <v>177</v>
      </c>
      <c r="B174" s="133">
        <v>0.9</v>
      </c>
      <c r="C174" s="134">
        <f t="shared" si="41"/>
        <v>0.9</v>
      </c>
      <c r="D174" s="134">
        <f t="shared" si="41"/>
        <v>0.9</v>
      </c>
      <c r="E174" s="134">
        <f t="shared" si="41"/>
        <v>0.9</v>
      </c>
      <c r="F174" s="134">
        <f t="shared" si="41"/>
        <v>0.9</v>
      </c>
      <c r="G174" s="134">
        <f t="shared" si="41"/>
        <v>0.9</v>
      </c>
      <c r="H174" s="134">
        <f t="shared" si="41"/>
        <v>0.9</v>
      </c>
      <c r="I174" s="134">
        <f t="shared" si="41"/>
        <v>0.9</v>
      </c>
      <c r="J174" s="134">
        <f t="shared" si="41"/>
        <v>0.9</v>
      </c>
      <c r="K174" s="134">
        <f t="shared" si="41"/>
        <v>0.9</v>
      </c>
      <c r="L174" s="134">
        <f t="shared" si="41"/>
        <v>0.9</v>
      </c>
      <c r="M174" s="134">
        <f t="shared" si="41"/>
        <v>0.9</v>
      </c>
      <c r="N174" s="134">
        <f t="shared" si="41"/>
        <v>0.9</v>
      </c>
      <c r="O174" s="134">
        <f t="shared" si="41"/>
        <v>0.9</v>
      </c>
      <c r="P174" s="134">
        <f t="shared" si="41"/>
        <v>0.9</v>
      </c>
      <c r="Q174" s="134">
        <f t="shared" si="41"/>
        <v>0.9</v>
      </c>
      <c r="R174" s="134">
        <f t="shared" si="42"/>
        <v>0.9</v>
      </c>
      <c r="S174" s="134">
        <f t="shared" si="42"/>
        <v>0.9</v>
      </c>
      <c r="T174" s="134">
        <f t="shared" si="42"/>
        <v>0.9</v>
      </c>
      <c r="U174" s="134">
        <f t="shared" si="42"/>
        <v>0.9</v>
      </c>
      <c r="V174" s="134">
        <f t="shared" si="42"/>
        <v>0.9</v>
      </c>
      <c r="W174" s="134">
        <f t="shared" si="42"/>
        <v>0.9</v>
      </c>
      <c r="X174" s="134">
        <f t="shared" si="42"/>
        <v>0.9</v>
      </c>
      <c r="Y174" s="134">
        <f t="shared" si="42"/>
        <v>0.9</v>
      </c>
      <c r="Z174" s="134">
        <f t="shared" si="42"/>
        <v>0.9</v>
      </c>
      <c r="AA174" s="134">
        <f t="shared" si="42"/>
        <v>0.9</v>
      </c>
      <c r="AB174" s="134">
        <f t="shared" si="42"/>
        <v>0.9</v>
      </c>
      <c r="AC174" s="134">
        <f t="shared" si="42"/>
        <v>0.9</v>
      </c>
      <c r="AD174" s="134">
        <f t="shared" si="42"/>
        <v>0.9</v>
      </c>
      <c r="AE174" s="134">
        <f t="shared" si="42"/>
        <v>0.9</v>
      </c>
      <c r="AF174" s="134">
        <f t="shared" si="42"/>
        <v>0.9</v>
      </c>
      <c r="AG174" s="136">
        <v>2</v>
      </c>
      <c r="AH174" s="55"/>
      <c r="AI174" s="56"/>
      <c r="AK174" s="57"/>
    </row>
    <row r="175" spans="1:37" x14ac:dyDescent="0.25">
      <c r="A175" s="121" t="s">
        <v>178</v>
      </c>
      <c r="B175" s="13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6">
        <v>1.8</v>
      </c>
      <c r="AH175" s="55"/>
      <c r="AI175" s="56"/>
      <c r="AK175" s="57"/>
    </row>
    <row r="176" spans="1:37" x14ac:dyDescent="0.25">
      <c r="A176" s="121" t="s">
        <v>179</v>
      </c>
      <c r="B176" s="133">
        <v>0.57999999999999996</v>
      </c>
      <c r="C176" s="134">
        <f t="shared" ref="C176:R188" si="43">B176</f>
        <v>0.57999999999999996</v>
      </c>
      <c r="D176" s="134">
        <f t="shared" si="43"/>
        <v>0.57999999999999996</v>
      </c>
      <c r="E176" s="134">
        <f t="shared" si="43"/>
        <v>0.57999999999999996</v>
      </c>
      <c r="F176" s="134">
        <f t="shared" si="43"/>
        <v>0.57999999999999996</v>
      </c>
      <c r="G176" s="134">
        <f t="shared" si="43"/>
        <v>0.57999999999999996</v>
      </c>
      <c r="H176" s="134">
        <f t="shared" si="43"/>
        <v>0.57999999999999996</v>
      </c>
      <c r="I176" s="134">
        <f t="shared" si="43"/>
        <v>0.57999999999999996</v>
      </c>
      <c r="J176" s="134">
        <f t="shared" si="43"/>
        <v>0.57999999999999996</v>
      </c>
      <c r="K176" s="134">
        <f t="shared" si="43"/>
        <v>0.57999999999999996</v>
      </c>
      <c r="L176" s="134">
        <f t="shared" si="43"/>
        <v>0.57999999999999996</v>
      </c>
      <c r="M176" s="134">
        <f t="shared" si="43"/>
        <v>0.57999999999999996</v>
      </c>
      <c r="N176" s="134">
        <f t="shared" si="43"/>
        <v>0.57999999999999996</v>
      </c>
      <c r="O176" s="134">
        <f t="shared" si="43"/>
        <v>0.57999999999999996</v>
      </c>
      <c r="P176" s="134">
        <f t="shared" si="43"/>
        <v>0.57999999999999996</v>
      </c>
      <c r="Q176" s="134">
        <f t="shared" si="43"/>
        <v>0.57999999999999996</v>
      </c>
      <c r="R176" s="134">
        <f t="shared" si="43"/>
        <v>0.57999999999999996</v>
      </c>
      <c r="S176" s="134">
        <f t="shared" ref="R176:AF188" si="44">R176</f>
        <v>0.57999999999999996</v>
      </c>
      <c r="T176" s="134">
        <f t="shared" si="44"/>
        <v>0.57999999999999996</v>
      </c>
      <c r="U176" s="134">
        <f t="shared" si="44"/>
        <v>0.57999999999999996</v>
      </c>
      <c r="V176" s="134">
        <f t="shared" si="44"/>
        <v>0.57999999999999996</v>
      </c>
      <c r="W176" s="134">
        <f t="shared" si="44"/>
        <v>0.57999999999999996</v>
      </c>
      <c r="X176" s="134">
        <f t="shared" si="44"/>
        <v>0.57999999999999996</v>
      </c>
      <c r="Y176" s="134">
        <f t="shared" si="44"/>
        <v>0.57999999999999996</v>
      </c>
      <c r="Z176" s="134">
        <f t="shared" si="44"/>
        <v>0.57999999999999996</v>
      </c>
      <c r="AA176" s="134">
        <f t="shared" si="44"/>
        <v>0.57999999999999996</v>
      </c>
      <c r="AB176" s="134">
        <f t="shared" si="44"/>
        <v>0.57999999999999996</v>
      </c>
      <c r="AC176" s="134">
        <f t="shared" si="44"/>
        <v>0.57999999999999996</v>
      </c>
      <c r="AD176" s="134">
        <f t="shared" si="44"/>
        <v>0.57999999999999996</v>
      </c>
      <c r="AE176" s="134">
        <f t="shared" si="44"/>
        <v>0.57999999999999996</v>
      </c>
      <c r="AF176" s="134">
        <f t="shared" si="44"/>
        <v>0.57999999999999996</v>
      </c>
      <c r="AG176" s="136">
        <v>1.8</v>
      </c>
      <c r="AH176" s="55"/>
      <c r="AI176" s="56"/>
      <c r="AK176" s="57"/>
    </row>
    <row r="177" spans="1:37" x14ac:dyDescent="0.25">
      <c r="A177" s="121" t="s">
        <v>180</v>
      </c>
      <c r="B177" s="133">
        <v>0.8</v>
      </c>
      <c r="C177" s="134">
        <f t="shared" si="43"/>
        <v>0.8</v>
      </c>
      <c r="D177" s="134">
        <f t="shared" si="43"/>
        <v>0.8</v>
      </c>
      <c r="E177" s="134">
        <f t="shared" si="43"/>
        <v>0.8</v>
      </c>
      <c r="F177" s="134">
        <f t="shared" si="43"/>
        <v>0.8</v>
      </c>
      <c r="G177" s="134">
        <f t="shared" si="43"/>
        <v>0.8</v>
      </c>
      <c r="H177" s="134">
        <f t="shared" si="43"/>
        <v>0.8</v>
      </c>
      <c r="I177" s="134">
        <f t="shared" si="43"/>
        <v>0.8</v>
      </c>
      <c r="J177" s="134">
        <f t="shared" si="43"/>
        <v>0.8</v>
      </c>
      <c r="K177" s="134">
        <f t="shared" si="43"/>
        <v>0.8</v>
      </c>
      <c r="L177" s="134">
        <f t="shared" si="43"/>
        <v>0.8</v>
      </c>
      <c r="M177" s="134">
        <f t="shared" si="43"/>
        <v>0.8</v>
      </c>
      <c r="N177" s="134">
        <f t="shared" si="43"/>
        <v>0.8</v>
      </c>
      <c r="O177" s="134">
        <f t="shared" si="43"/>
        <v>0.8</v>
      </c>
      <c r="P177" s="134">
        <f t="shared" si="43"/>
        <v>0.8</v>
      </c>
      <c r="Q177" s="134">
        <f t="shared" si="43"/>
        <v>0.8</v>
      </c>
      <c r="R177" s="134">
        <f t="shared" si="43"/>
        <v>0.8</v>
      </c>
      <c r="S177" s="134">
        <f t="shared" si="44"/>
        <v>0.8</v>
      </c>
      <c r="T177" s="134">
        <f t="shared" si="44"/>
        <v>0.8</v>
      </c>
      <c r="U177" s="134">
        <f t="shared" si="44"/>
        <v>0.8</v>
      </c>
      <c r="V177" s="134">
        <f t="shared" si="44"/>
        <v>0.8</v>
      </c>
      <c r="W177" s="134">
        <f t="shared" si="44"/>
        <v>0.8</v>
      </c>
      <c r="X177" s="134">
        <f t="shared" si="44"/>
        <v>0.8</v>
      </c>
      <c r="Y177" s="134">
        <f t="shared" si="44"/>
        <v>0.8</v>
      </c>
      <c r="Z177" s="134">
        <f t="shared" si="44"/>
        <v>0.8</v>
      </c>
      <c r="AA177" s="134">
        <f t="shared" si="44"/>
        <v>0.8</v>
      </c>
      <c r="AB177" s="134">
        <f t="shared" si="44"/>
        <v>0.8</v>
      </c>
      <c r="AC177" s="134">
        <f t="shared" si="44"/>
        <v>0.8</v>
      </c>
      <c r="AD177" s="134">
        <f t="shared" si="44"/>
        <v>0.8</v>
      </c>
      <c r="AE177" s="134">
        <f t="shared" si="44"/>
        <v>0.8</v>
      </c>
      <c r="AF177" s="134">
        <f t="shared" si="44"/>
        <v>0.8</v>
      </c>
      <c r="AG177" s="136">
        <v>1.65</v>
      </c>
      <c r="AH177" s="55"/>
      <c r="AI177" s="56"/>
      <c r="AK177" s="57"/>
    </row>
    <row r="178" spans="1:37" x14ac:dyDescent="0.25">
      <c r="A178" s="121" t="s">
        <v>181</v>
      </c>
      <c r="B178" s="133">
        <v>0</v>
      </c>
      <c r="C178" s="134">
        <f t="shared" si="43"/>
        <v>0</v>
      </c>
      <c r="D178" s="134">
        <f t="shared" si="43"/>
        <v>0</v>
      </c>
      <c r="E178" s="134">
        <f t="shared" si="43"/>
        <v>0</v>
      </c>
      <c r="F178" s="134">
        <f t="shared" si="43"/>
        <v>0</v>
      </c>
      <c r="G178" s="134">
        <f t="shared" si="43"/>
        <v>0</v>
      </c>
      <c r="H178" s="134">
        <f t="shared" si="43"/>
        <v>0</v>
      </c>
      <c r="I178" s="134">
        <f t="shared" si="43"/>
        <v>0</v>
      </c>
      <c r="J178" s="134">
        <f t="shared" si="43"/>
        <v>0</v>
      </c>
      <c r="K178" s="134">
        <f t="shared" si="43"/>
        <v>0</v>
      </c>
      <c r="L178" s="134">
        <f t="shared" si="43"/>
        <v>0</v>
      </c>
      <c r="M178" s="134">
        <f t="shared" si="43"/>
        <v>0</v>
      </c>
      <c r="N178" s="134">
        <f t="shared" si="43"/>
        <v>0</v>
      </c>
      <c r="O178" s="134">
        <f t="shared" si="43"/>
        <v>0</v>
      </c>
      <c r="P178" s="134">
        <f t="shared" si="43"/>
        <v>0</v>
      </c>
      <c r="Q178" s="134">
        <f t="shared" si="43"/>
        <v>0</v>
      </c>
      <c r="R178" s="134">
        <f t="shared" si="43"/>
        <v>0</v>
      </c>
      <c r="S178" s="134">
        <f t="shared" si="44"/>
        <v>0</v>
      </c>
      <c r="T178" s="134">
        <f t="shared" si="44"/>
        <v>0</v>
      </c>
      <c r="U178" s="134">
        <f t="shared" si="44"/>
        <v>0</v>
      </c>
      <c r="V178" s="134">
        <f t="shared" si="44"/>
        <v>0</v>
      </c>
      <c r="W178" s="134">
        <f t="shared" si="44"/>
        <v>0</v>
      </c>
      <c r="X178" s="134">
        <f t="shared" si="44"/>
        <v>0</v>
      </c>
      <c r="Y178" s="134">
        <f t="shared" si="44"/>
        <v>0</v>
      </c>
      <c r="Z178" s="134">
        <f t="shared" si="44"/>
        <v>0</v>
      </c>
      <c r="AA178" s="134">
        <f t="shared" si="44"/>
        <v>0</v>
      </c>
      <c r="AB178" s="134">
        <f t="shared" si="44"/>
        <v>0</v>
      </c>
      <c r="AC178" s="134">
        <f t="shared" si="44"/>
        <v>0</v>
      </c>
      <c r="AD178" s="134">
        <f t="shared" si="44"/>
        <v>0</v>
      </c>
      <c r="AE178" s="134">
        <f t="shared" si="44"/>
        <v>0</v>
      </c>
      <c r="AF178" s="134">
        <f t="shared" si="44"/>
        <v>0</v>
      </c>
      <c r="AG178" s="136">
        <v>1.5</v>
      </c>
      <c r="AH178" s="55"/>
      <c r="AI178" s="56"/>
      <c r="AK178" s="57"/>
    </row>
    <row r="179" spans="1:37" x14ac:dyDescent="0.25">
      <c r="A179" s="121" t="s">
        <v>182</v>
      </c>
      <c r="B179" s="133">
        <v>0.6</v>
      </c>
      <c r="C179" s="134">
        <f t="shared" si="43"/>
        <v>0.6</v>
      </c>
      <c r="D179" s="134">
        <f t="shared" si="43"/>
        <v>0.6</v>
      </c>
      <c r="E179" s="134">
        <f t="shared" si="43"/>
        <v>0.6</v>
      </c>
      <c r="F179" s="134">
        <f t="shared" si="43"/>
        <v>0.6</v>
      </c>
      <c r="G179" s="134">
        <f t="shared" si="43"/>
        <v>0.6</v>
      </c>
      <c r="H179" s="134">
        <f t="shared" si="43"/>
        <v>0.6</v>
      </c>
      <c r="I179" s="134">
        <f t="shared" si="43"/>
        <v>0.6</v>
      </c>
      <c r="J179" s="134">
        <f t="shared" si="43"/>
        <v>0.6</v>
      </c>
      <c r="K179" s="134">
        <f t="shared" si="43"/>
        <v>0.6</v>
      </c>
      <c r="L179" s="134">
        <f t="shared" si="43"/>
        <v>0.6</v>
      </c>
      <c r="M179" s="134">
        <f t="shared" si="43"/>
        <v>0.6</v>
      </c>
      <c r="N179" s="134">
        <f t="shared" si="43"/>
        <v>0.6</v>
      </c>
      <c r="O179" s="134">
        <f t="shared" si="43"/>
        <v>0.6</v>
      </c>
      <c r="P179" s="134">
        <f t="shared" si="43"/>
        <v>0.6</v>
      </c>
      <c r="Q179" s="134">
        <f t="shared" si="43"/>
        <v>0.6</v>
      </c>
      <c r="R179" s="134">
        <f t="shared" si="43"/>
        <v>0.6</v>
      </c>
      <c r="S179" s="134">
        <f t="shared" si="44"/>
        <v>0.6</v>
      </c>
      <c r="T179" s="134">
        <f t="shared" si="44"/>
        <v>0.6</v>
      </c>
      <c r="U179" s="134">
        <f t="shared" si="44"/>
        <v>0.6</v>
      </c>
      <c r="V179" s="134">
        <f t="shared" si="44"/>
        <v>0.6</v>
      </c>
      <c r="W179" s="134">
        <f t="shared" si="44"/>
        <v>0.6</v>
      </c>
      <c r="X179" s="134">
        <f t="shared" si="44"/>
        <v>0.6</v>
      </c>
      <c r="Y179" s="134">
        <f t="shared" si="44"/>
        <v>0.6</v>
      </c>
      <c r="Z179" s="134">
        <f t="shared" si="44"/>
        <v>0.6</v>
      </c>
      <c r="AA179" s="134">
        <f t="shared" si="44"/>
        <v>0.6</v>
      </c>
      <c r="AB179" s="134">
        <f t="shared" si="44"/>
        <v>0.6</v>
      </c>
      <c r="AC179" s="134">
        <f t="shared" si="44"/>
        <v>0.6</v>
      </c>
      <c r="AD179" s="134">
        <f t="shared" si="44"/>
        <v>0.6</v>
      </c>
      <c r="AE179" s="134">
        <f t="shared" si="44"/>
        <v>0.6</v>
      </c>
      <c r="AF179" s="134">
        <f t="shared" si="44"/>
        <v>0.6</v>
      </c>
      <c r="AG179" s="136">
        <v>0.998</v>
      </c>
      <c r="AH179" s="55"/>
      <c r="AI179" s="56"/>
      <c r="AK179" s="57"/>
    </row>
    <row r="180" spans="1:37" x14ac:dyDescent="0.25">
      <c r="A180" s="121" t="s">
        <v>183</v>
      </c>
      <c r="B180" s="133">
        <v>0.6</v>
      </c>
      <c r="C180" s="134">
        <f t="shared" si="43"/>
        <v>0.6</v>
      </c>
      <c r="D180" s="134">
        <f t="shared" si="43"/>
        <v>0.6</v>
      </c>
      <c r="E180" s="134">
        <f t="shared" si="43"/>
        <v>0.6</v>
      </c>
      <c r="F180" s="134">
        <f t="shared" si="43"/>
        <v>0.6</v>
      </c>
      <c r="G180" s="134">
        <f t="shared" si="43"/>
        <v>0.6</v>
      </c>
      <c r="H180" s="134">
        <f t="shared" si="43"/>
        <v>0.6</v>
      </c>
      <c r="I180" s="134">
        <f t="shared" si="43"/>
        <v>0.6</v>
      </c>
      <c r="J180" s="134">
        <f t="shared" si="43"/>
        <v>0.6</v>
      </c>
      <c r="K180" s="134">
        <f t="shared" si="43"/>
        <v>0.6</v>
      </c>
      <c r="L180" s="134">
        <f t="shared" si="43"/>
        <v>0.6</v>
      </c>
      <c r="M180" s="134">
        <f t="shared" si="43"/>
        <v>0.6</v>
      </c>
      <c r="N180" s="134">
        <f t="shared" si="43"/>
        <v>0.6</v>
      </c>
      <c r="O180" s="134">
        <f t="shared" si="43"/>
        <v>0.6</v>
      </c>
      <c r="P180" s="134">
        <f t="shared" si="43"/>
        <v>0.6</v>
      </c>
      <c r="Q180" s="134">
        <f t="shared" si="43"/>
        <v>0.6</v>
      </c>
      <c r="R180" s="134">
        <f t="shared" si="43"/>
        <v>0.6</v>
      </c>
      <c r="S180" s="134">
        <f t="shared" si="44"/>
        <v>0.6</v>
      </c>
      <c r="T180" s="134">
        <f t="shared" si="44"/>
        <v>0.6</v>
      </c>
      <c r="U180" s="134">
        <f t="shared" si="44"/>
        <v>0.6</v>
      </c>
      <c r="V180" s="134">
        <f t="shared" si="44"/>
        <v>0.6</v>
      </c>
      <c r="W180" s="134">
        <f t="shared" si="44"/>
        <v>0.6</v>
      </c>
      <c r="X180" s="134">
        <f t="shared" si="44"/>
        <v>0.6</v>
      </c>
      <c r="Y180" s="134">
        <f t="shared" si="44"/>
        <v>0.6</v>
      </c>
      <c r="Z180" s="134">
        <f t="shared" si="44"/>
        <v>0.6</v>
      </c>
      <c r="AA180" s="134">
        <f t="shared" si="44"/>
        <v>0.6</v>
      </c>
      <c r="AB180" s="134">
        <f t="shared" si="44"/>
        <v>0.6</v>
      </c>
      <c r="AC180" s="134">
        <f t="shared" si="44"/>
        <v>0.6</v>
      </c>
      <c r="AD180" s="134">
        <f t="shared" si="44"/>
        <v>0.6</v>
      </c>
      <c r="AE180" s="134">
        <f t="shared" si="44"/>
        <v>0.6</v>
      </c>
      <c r="AF180" s="134">
        <f t="shared" si="44"/>
        <v>0.6</v>
      </c>
      <c r="AG180" s="136">
        <v>0.997</v>
      </c>
      <c r="AH180" s="55"/>
      <c r="AI180" s="56"/>
      <c r="AK180" s="57"/>
    </row>
    <row r="181" spans="1:37" x14ac:dyDescent="0.25">
      <c r="A181" s="121" t="s">
        <v>184</v>
      </c>
      <c r="B181" s="133">
        <v>0.35</v>
      </c>
      <c r="C181" s="134">
        <f t="shared" si="43"/>
        <v>0.35</v>
      </c>
      <c r="D181" s="134">
        <f t="shared" si="43"/>
        <v>0.35</v>
      </c>
      <c r="E181" s="134">
        <f t="shared" si="43"/>
        <v>0.35</v>
      </c>
      <c r="F181" s="134">
        <f t="shared" si="43"/>
        <v>0.35</v>
      </c>
      <c r="G181" s="134">
        <f t="shared" si="43"/>
        <v>0.35</v>
      </c>
      <c r="H181" s="134">
        <f t="shared" si="43"/>
        <v>0.35</v>
      </c>
      <c r="I181" s="134">
        <f t="shared" si="43"/>
        <v>0.35</v>
      </c>
      <c r="J181" s="134">
        <f t="shared" si="43"/>
        <v>0.35</v>
      </c>
      <c r="K181" s="134">
        <f t="shared" si="43"/>
        <v>0.35</v>
      </c>
      <c r="L181" s="134">
        <f t="shared" si="43"/>
        <v>0.35</v>
      </c>
      <c r="M181" s="134">
        <f t="shared" si="43"/>
        <v>0.35</v>
      </c>
      <c r="N181" s="134">
        <f t="shared" si="43"/>
        <v>0.35</v>
      </c>
      <c r="O181" s="134">
        <f t="shared" si="43"/>
        <v>0.35</v>
      </c>
      <c r="P181" s="134">
        <f t="shared" si="43"/>
        <v>0.35</v>
      </c>
      <c r="Q181" s="134">
        <f t="shared" si="43"/>
        <v>0.35</v>
      </c>
      <c r="R181" s="134">
        <f t="shared" si="43"/>
        <v>0.35</v>
      </c>
      <c r="S181" s="134">
        <f t="shared" si="44"/>
        <v>0.35</v>
      </c>
      <c r="T181" s="134">
        <f t="shared" si="44"/>
        <v>0.35</v>
      </c>
      <c r="U181" s="134">
        <f t="shared" si="44"/>
        <v>0.35</v>
      </c>
      <c r="V181" s="134">
        <f t="shared" si="44"/>
        <v>0.35</v>
      </c>
      <c r="W181" s="134">
        <f t="shared" si="44"/>
        <v>0.35</v>
      </c>
      <c r="X181" s="134">
        <f t="shared" si="44"/>
        <v>0.35</v>
      </c>
      <c r="Y181" s="134">
        <f t="shared" si="44"/>
        <v>0.35</v>
      </c>
      <c r="Z181" s="134">
        <f t="shared" si="44"/>
        <v>0.35</v>
      </c>
      <c r="AA181" s="134">
        <f t="shared" si="44"/>
        <v>0.35</v>
      </c>
      <c r="AB181" s="134">
        <f t="shared" si="44"/>
        <v>0.35</v>
      </c>
      <c r="AC181" s="134">
        <f t="shared" si="44"/>
        <v>0.35</v>
      </c>
      <c r="AD181" s="134">
        <f t="shared" si="44"/>
        <v>0.35</v>
      </c>
      <c r="AE181" s="134">
        <f t="shared" si="44"/>
        <v>0.35</v>
      </c>
      <c r="AF181" s="134">
        <f t="shared" si="44"/>
        <v>0.35</v>
      </c>
      <c r="AG181" s="136">
        <v>0.997</v>
      </c>
      <c r="AH181" s="55"/>
      <c r="AI181" s="56"/>
      <c r="AK181" s="57"/>
    </row>
    <row r="182" spans="1:37" x14ac:dyDescent="0.25">
      <c r="A182" s="121" t="s">
        <v>185</v>
      </c>
      <c r="B182" s="133">
        <v>0.28999999999999998</v>
      </c>
      <c r="C182" s="134">
        <f t="shared" si="43"/>
        <v>0.28999999999999998</v>
      </c>
      <c r="D182" s="134">
        <f t="shared" si="43"/>
        <v>0.28999999999999998</v>
      </c>
      <c r="E182" s="134">
        <f t="shared" si="43"/>
        <v>0.28999999999999998</v>
      </c>
      <c r="F182" s="134">
        <f t="shared" si="43"/>
        <v>0.28999999999999998</v>
      </c>
      <c r="G182" s="134">
        <f t="shared" si="43"/>
        <v>0.28999999999999998</v>
      </c>
      <c r="H182" s="134">
        <f t="shared" si="43"/>
        <v>0.28999999999999998</v>
      </c>
      <c r="I182" s="134">
        <f t="shared" si="43"/>
        <v>0.28999999999999998</v>
      </c>
      <c r="J182" s="134">
        <f t="shared" si="43"/>
        <v>0.28999999999999998</v>
      </c>
      <c r="K182" s="134">
        <f t="shared" si="43"/>
        <v>0.28999999999999998</v>
      </c>
      <c r="L182" s="134">
        <f t="shared" si="43"/>
        <v>0.28999999999999998</v>
      </c>
      <c r="M182" s="134">
        <f t="shared" si="43"/>
        <v>0.28999999999999998</v>
      </c>
      <c r="N182" s="134">
        <f t="shared" si="43"/>
        <v>0.28999999999999998</v>
      </c>
      <c r="O182" s="134">
        <f t="shared" si="43"/>
        <v>0.28999999999999998</v>
      </c>
      <c r="P182" s="134">
        <f t="shared" si="43"/>
        <v>0.28999999999999998</v>
      </c>
      <c r="Q182" s="134">
        <f t="shared" si="43"/>
        <v>0.28999999999999998</v>
      </c>
      <c r="R182" s="134">
        <f t="shared" si="43"/>
        <v>0.28999999999999998</v>
      </c>
      <c r="S182" s="134">
        <f t="shared" si="44"/>
        <v>0.28999999999999998</v>
      </c>
      <c r="T182" s="134">
        <f t="shared" si="44"/>
        <v>0.28999999999999998</v>
      </c>
      <c r="U182" s="134">
        <f t="shared" si="44"/>
        <v>0.28999999999999998</v>
      </c>
      <c r="V182" s="134">
        <f t="shared" si="44"/>
        <v>0.28999999999999998</v>
      </c>
      <c r="W182" s="134">
        <f t="shared" si="44"/>
        <v>0.28999999999999998</v>
      </c>
      <c r="X182" s="134">
        <f t="shared" si="44"/>
        <v>0.28999999999999998</v>
      </c>
      <c r="Y182" s="134">
        <f t="shared" si="44"/>
        <v>0.28999999999999998</v>
      </c>
      <c r="Z182" s="134">
        <f t="shared" si="44"/>
        <v>0.28999999999999998</v>
      </c>
      <c r="AA182" s="134">
        <f t="shared" si="44"/>
        <v>0.28999999999999998</v>
      </c>
      <c r="AB182" s="134">
        <f t="shared" si="44"/>
        <v>0.28999999999999998</v>
      </c>
      <c r="AC182" s="134">
        <f t="shared" si="44"/>
        <v>0.28999999999999998</v>
      </c>
      <c r="AD182" s="134">
        <f t="shared" si="44"/>
        <v>0.28999999999999998</v>
      </c>
      <c r="AE182" s="134">
        <f t="shared" si="44"/>
        <v>0.28999999999999998</v>
      </c>
      <c r="AF182" s="134">
        <f t="shared" si="44"/>
        <v>0.28999999999999998</v>
      </c>
      <c r="AG182" s="136">
        <v>0.996</v>
      </c>
      <c r="AH182" s="55"/>
      <c r="AI182" s="56"/>
      <c r="AK182" s="57"/>
    </row>
    <row r="183" spans="1:37" x14ac:dyDescent="0.25">
      <c r="A183" s="121" t="s">
        <v>186</v>
      </c>
      <c r="B183" s="133">
        <v>0.06</v>
      </c>
      <c r="C183" s="134">
        <f t="shared" si="43"/>
        <v>0.06</v>
      </c>
      <c r="D183" s="134">
        <f t="shared" si="43"/>
        <v>0.06</v>
      </c>
      <c r="E183" s="134">
        <f t="shared" si="43"/>
        <v>0.06</v>
      </c>
      <c r="F183" s="134">
        <f t="shared" si="43"/>
        <v>0.06</v>
      </c>
      <c r="G183" s="134">
        <f t="shared" si="43"/>
        <v>0.06</v>
      </c>
      <c r="H183" s="134">
        <f t="shared" si="43"/>
        <v>0.06</v>
      </c>
      <c r="I183" s="134">
        <f t="shared" si="43"/>
        <v>0.06</v>
      </c>
      <c r="J183" s="134">
        <f t="shared" si="43"/>
        <v>0.06</v>
      </c>
      <c r="K183" s="134">
        <f t="shared" si="43"/>
        <v>0.06</v>
      </c>
      <c r="L183" s="134">
        <f t="shared" si="43"/>
        <v>0.06</v>
      </c>
      <c r="M183" s="134">
        <f t="shared" si="43"/>
        <v>0.06</v>
      </c>
      <c r="N183" s="134">
        <f t="shared" si="43"/>
        <v>0.06</v>
      </c>
      <c r="O183" s="134">
        <f t="shared" si="43"/>
        <v>0.06</v>
      </c>
      <c r="P183" s="134">
        <f t="shared" si="43"/>
        <v>0.06</v>
      </c>
      <c r="Q183" s="134">
        <f t="shared" si="43"/>
        <v>0.06</v>
      </c>
      <c r="R183" s="134">
        <f t="shared" si="43"/>
        <v>0.06</v>
      </c>
      <c r="S183" s="134">
        <f t="shared" si="44"/>
        <v>0.06</v>
      </c>
      <c r="T183" s="134">
        <f t="shared" si="44"/>
        <v>0.06</v>
      </c>
      <c r="U183" s="134">
        <f t="shared" si="44"/>
        <v>0.06</v>
      </c>
      <c r="V183" s="134">
        <f t="shared" si="44"/>
        <v>0.06</v>
      </c>
      <c r="W183" s="134">
        <f t="shared" si="44"/>
        <v>0.06</v>
      </c>
      <c r="X183" s="134">
        <f t="shared" si="44"/>
        <v>0.06</v>
      </c>
      <c r="Y183" s="134">
        <f t="shared" si="44"/>
        <v>0.06</v>
      </c>
      <c r="Z183" s="134">
        <f t="shared" si="44"/>
        <v>0.06</v>
      </c>
      <c r="AA183" s="134">
        <f t="shared" si="44"/>
        <v>0.06</v>
      </c>
      <c r="AB183" s="134">
        <f t="shared" si="44"/>
        <v>0.06</v>
      </c>
      <c r="AC183" s="134">
        <f t="shared" si="44"/>
        <v>0.06</v>
      </c>
      <c r="AD183" s="134">
        <f t="shared" si="44"/>
        <v>0.06</v>
      </c>
      <c r="AE183" s="134">
        <f t="shared" si="44"/>
        <v>0.06</v>
      </c>
      <c r="AF183" s="134">
        <f t="shared" si="44"/>
        <v>0.06</v>
      </c>
      <c r="AG183" s="136">
        <v>0.996</v>
      </c>
      <c r="AH183" s="55"/>
      <c r="AI183" s="56"/>
      <c r="AK183" s="57"/>
    </row>
    <row r="184" spans="1:37" x14ac:dyDescent="0.25">
      <c r="A184" s="121" t="s">
        <v>187</v>
      </c>
      <c r="B184" s="133">
        <v>0.11</v>
      </c>
      <c r="C184" s="134">
        <f t="shared" si="43"/>
        <v>0.11</v>
      </c>
      <c r="D184" s="134">
        <f t="shared" si="43"/>
        <v>0.11</v>
      </c>
      <c r="E184" s="134">
        <f t="shared" si="43"/>
        <v>0.11</v>
      </c>
      <c r="F184" s="134">
        <f t="shared" si="43"/>
        <v>0.11</v>
      </c>
      <c r="G184" s="134">
        <f t="shared" si="43"/>
        <v>0.11</v>
      </c>
      <c r="H184" s="134">
        <f t="shared" si="43"/>
        <v>0.11</v>
      </c>
      <c r="I184" s="134">
        <f t="shared" si="43"/>
        <v>0.11</v>
      </c>
      <c r="J184" s="134">
        <f t="shared" si="43"/>
        <v>0.11</v>
      </c>
      <c r="K184" s="134">
        <f t="shared" si="43"/>
        <v>0.11</v>
      </c>
      <c r="L184" s="134">
        <f t="shared" si="43"/>
        <v>0.11</v>
      </c>
      <c r="M184" s="134">
        <f t="shared" si="43"/>
        <v>0.11</v>
      </c>
      <c r="N184" s="134">
        <f t="shared" si="43"/>
        <v>0.11</v>
      </c>
      <c r="O184" s="134">
        <f t="shared" si="43"/>
        <v>0.11</v>
      </c>
      <c r="P184" s="134">
        <f t="shared" si="43"/>
        <v>0.11</v>
      </c>
      <c r="Q184" s="134">
        <f t="shared" si="43"/>
        <v>0.11</v>
      </c>
      <c r="R184" s="134">
        <f t="shared" si="43"/>
        <v>0.11</v>
      </c>
      <c r="S184" s="134">
        <f t="shared" si="44"/>
        <v>0.11</v>
      </c>
      <c r="T184" s="134">
        <f t="shared" si="44"/>
        <v>0.11</v>
      </c>
      <c r="U184" s="134">
        <f t="shared" si="44"/>
        <v>0.11</v>
      </c>
      <c r="V184" s="134">
        <f t="shared" si="44"/>
        <v>0.11</v>
      </c>
      <c r="W184" s="134">
        <f t="shared" si="44"/>
        <v>0.11</v>
      </c>
      <c r="X184" s="134">
        <f t="shared" si="44"/>
        <v>0.11</v>
      </c>
      <c r="Y184" s="134">
        <f t="shared" si="44"/>
        <v>0.11</v>
      </c>
      <c r="Z184" s="134">
        <f t="shared" si="44"/>
        <v>0.11</v>
      </c>
      <c r="AA184" s="134">
        <f t="shared" si="44"/>
        <v>0.11</v>
      </c>
      <c r="AB184" s="134">
        <f t="shared" si="44"/>
        <v>0.11</v>
      </c>
      <c r="AC184" s="134">
        <f t="shared" si="44"/>
        <v>0.11</v>
      </c>
      <c r="AD184" s="134">
        <f t="shared" si="44"/>
        <v>0.11</v>
      </c>
      <c r="AE184" s="134">
        <f t="shared" si="44"/>
        <v>0.11</v>
      </c>
      <c r="AF184" s="134">
        <f t="shared" si="44"/>
        <v>0.11</v>
      </c>
      <c r="AG184" s="136">
        <v>0.996</v>
      </c>
      <c r="AH184" s="55"/>
      <c r="AI184" s="56"/>
      <c r="AK184" s="57"/>
    </row>
    <row r="185" spans="1:37" x14ac:dyDescent="0.25">
      <c r="A185" s="121" t="s">
        <v>188</v>
      </c>
      <c r="B185" s="133">
        <v>0.1</v>
      </c>
      <c r="C185" s="134">
        <f t="shared" si="43"/>
        <v>0.1</v>
      </c>
      <c r="D185" s="134">
        <f t="shared" si="43"/>
        <v>0.1</v>
      </c>
      <c r="E185" s="134">
        <f t="shared" si="43"/>
        <v>0.1</v>
      </c>
      <c r="F185" s="134">
        <f t="shared" si="43"/>
        <v>0.1</v>
      </c>
      <c r="G185" s="134">
        <f t="shared" si="43"/>
        <v>0.1</v>
      </c>
      <c r="H185" s="134">
        <f t="shared" si="43"/>
        <v>0.1</v>
      </c>
      <c r="I185" s="134">
        <f t="shared" si="43"/>
        <v>0.1</v>
      </c>
      <c r="J185" s="134">
        <f t="shared" si="43"/>
        <v>0.1</v>
      </c>
      <c r="K185" s="134">
        <f t="shared" si="43"/>
        <v>0.1</v>
      </c>
      <c r="L185" s="134">
        <f t="shared" si="43"/>
        <v>0.1</v>
      </c>
      <c r="M185" s="134">
        <f t="shared" si="43"/>
        <v>0.1</v>
      </c>
      <c r="N185" s="134">
        <f t="shared" si="43"/>
        <v>0.1</v>
      </c>
      <c r="O185" s="134">
        <f t="shared" si="43"/>
        <v>0.1</v>
      </c>
      <c r="P185" s="134">
        <f t="shared" si="43"/>
        <v>0.1</v>
      </c>
      <c r="Q185" s="134">
        <f t="shared" si="43"/>
        <v>0.1</v>
      </c>
      <c r="R185" s="134">
        <f t="shared" si="44"/>
        <v>0.1</v>
      </c>
      <c r="S185" s="134">
        <f t="shared" si="44"/>
        <v>0.1</v>
      </c>
      <c r="T185" s="134">
        <f t="shared" si="44"/>
        <v>0.1</v>
      </c>
      <c r="U185" s="134">
        <f t="shared" si="44"/>
        <v>0.1</v>
      </c>
      <c r="V185" s="134">
        <f t="shared" si="44"/>
        <v>0.1</v>
      </c>
      <c r="W185" s="134">
        <f t="shared" si="44"/>
        <v>0.1</v>
      </c>
      <c r="X185" s="134">
        <f t="shared" si="44"/>
        <v>0.1</v>
      </c>
      <c r="Y185" s="134">
        <f t="shared" si="44"/>
        <v>0.1</v>
      </c>
      <c r="Z185" s="134">
        <f t="shared" si="44"/>
        <v>0.1</v>
      </c>
      <c r="AA185" s="134">
        <f t="shared" si="44"/>
        <v>0.1</v>
      </c>
      <c r="AB185" s="134">
        <f t="shared" si="44"/>
        <v>0.1</v>
      </c>
      <c r="AC185" s="134">
        <f t="shared" si="44"/>
        <v>0.1</v>
      </c>
      <c r="AD185" s="134">
        <f t="shared" si="44"/>
        <v>0.1</v>
      </c>
      <c r="AE185" s="134">
        <f t="shared" si="44"/>
        <v>0.1</v>
      </c>
      <c r="AF185" s="134">
        <f t="shared" si="44"/>
        <v>0.1</v>
      </c>
      <c r="AG185" s="136">
        <v>0.995</v>
      </c>
      <c r="AH185" s="55"/>
      <c r="AI185" s="56"/>
      <c r="AK185" s="57"/>
    </row>
    <row r="186" spans="1:37" x14ac:dyDescent="0.25">
      <c r="A186" s="121" t="s">
        <v>189</v>
      </c>
      <c r="B186" s="133">
        <v>0.09</v>
      </c>
      <c r="C186" s="134">
        <f t="shared" si="43"/>
        <v>0.09</v>
      </c>
      <c r="D186" s="134">
        <f t="shared" si="43"/>
        <v>0.09</v>
      </c>
      <c r="E186" s="134">
        <f t="shared" si="43"/>
        <v>0.09</v>
      </c>
      <c r="F186" s="134">
        <f t="shared" si="43"/>
        <v>0.09</v>
      </c>
      <c r="G186" s="134">
        <f t="shared" si="43"/>
        <v>0.09</v>
      </c>
      <c r="H186" s="134">
        <f t="shared" si="43"/>
        <v>0.09</v>
      </c>
      <c r="I186" s="134">
        <f t="shared" si="43"/>
        <v>0.09</v>
      </c>
      <c r="J186" s="134">
        <f t="shared" si="43"/>
        <v>0.09</v>
      </c>
      <c r="K186" s="134">
        <f t="shared" si="43"/>
        <v>0.09</v>
      </c>
      <c r="L186" s="134">
        <f t="shared" si="43"/>
        <v>0.09</v>
      </c>
      <c r="M186" s="134">
        <f t="shared" si="43"/>
        <v>0.09</v>
      </c>
      <c r="N186" s="134">
        <f t="shared" si="43"/>
        <v>0.09</v>
      </c>
      <c r="O186" s="134">
        <f t="shared" si="43"/>
        <v>0.09</v>
      </c>
      <c r="P186" s="134">
        <f t="shared" si="43"/>
        <v>0.09</v>
      </c>
      <c r="Q186" s="134">
        <f t="shared" si="43"/>
        <v>0.09</v>
      </c>
      <c r="R186" s="134">
        <f t="shared" si="44"/>
        <v>0.09</v>
      </c>
      <c r="S186" s="134">
        <f t="shared" si="44"/>
        <v>0.09</v>
      </c>
      <c r="T186" s="134">
        <f t="shared" si="44"/>
        <v>0.09</v>
      </c>
      <c r="U186" s="134">
        <f t="shared" si="44"/>
        <v>0.09</v>
      </c>
      <c r="V186" s="134">
        <f t="shared" si="44"/>
        <v>0.09</v>
      </c>
      <c r="W186" s="134">
        <f t="shared" si="44"/>
        <v>0.09</v>
      </c>
      <c r="X186" s="134">
        <f t="shared" si="44"/>
        <v>0.09</v>
      </c>
      <c r="Y186" s="134">
        <f t="shared" si="44"/>
        <v>0.09</v>
      </c>
      <c r="Z186" s="134">
        <f t="shared" si="44"/>
        <v>0.09</v>
      </c>
      <c r="AA186" s="134">
        <f t="shared" si="44"/>
        <v>0.09</v>
      </c>
      <c r="AB186" s="134">
        <f t="shared" si="44"/>
        <v>0.09</v>
      </c>
      <c r="AC186" s="134">
        <f t="shared" si="44"/>
        <v>0.09</v>
      </c>
      <c r="AD186" s="134">
        <f t="shared" si="44"/>
        <v>0.09</v>
      </c>
      <c r="AE186" s="134">
        <f t="shared" si="44"/>
        <v>0.09</v>
      </c>
      <c r="AF186" s="134">
        <f t="shared" si="44"/>
        <v>0.09</v>
      </c>
      <c r="AG186" s="136">
        <v>0.99299999999999999</v>
      </c>
      <c r="AH186" s="55"/>
      <c r="AI186" s="56"/>
      <c r="AK186" s="57"/>
    </row>
    <row r="187" spans="1:37" x14ac:dyDescent="0.25">
      <c r="A187" s="121" t="s">
        <v>190</v>
      </c>
      <c r="B187" s="54">
        <v>0.04</v>
      </c>
      <c r="C187" s="134">
        <f t="shared" si="43"/>
        <v>0.04</v>
      </c>
      <c r="D187" s="134">
        <f t="shared" si="43"/>
        <v>0.04</v>
      </c>
      <c r="E187" s="134">
        <f t="shared" si="43"/>
        <v>0.04</v>
      </c>
      <c r="F187" s="134">
        <f t="shared" si="43"/>
        <v>0.04</v>
      </c>
      <c r="G187" s="134">
        <f t="shared" si="43"/>
        <v>0.04</v>
      </c>
      <c r="H187" s="134">
        <f t="shared" si="43"/>
        <v>0.04</v>
      </c>
      <c r="I187" s="134">
        <f t="shared" si="43"/>
        <v>0.04</v>
      </c>
      <c r="J187" s="134">
        <f t="shared" si="43"/>
        <v>0.04</v>
      </c>
      <c r="K187" s="134">
        <f t="shared" si="43"/>
        <v>0.04</v>
      </c>
      <c r="L187" s="134">
        <f t="shared" si="43"/>
        <v>0.04</v>
      </c>
      <c r="M187" s="134">
        <f t="shared" si="43"/>
        <v>0.04</v>
      </c>
      <c r="N187" s="134">
        <f t="shared" si="43"/>
        <v>0.04</v>
      </c>
      <c r="O187" s="134">
        <f t="shared" si="43"/>
        <v>0.04</v>
      </c>
      <c r="P187" s="134">
        <f t="shared" si="43"/>
        <v>0.04</v>
      </c>
      <c r="Q187" s="134">
        <f t="shared" si="43"/>
        <v>0.04</v>
      </c>
      <c r="R187" s="134">
        <f t="shared" si="44"/>
        <v>0.04</v>
      </c>
      <c r="S187" s="134">
        <f t="shared" si="44"/>
        <v>0.04</v>
      </c>
      <c r="T187" s="134">
        <f t="shared" si="44"/>
        <v>0.04</v>
      </c>
      <c r="U187" s="134">
        <f t="shared" si="44"/>
        <v>0.04</v>
      </c>
      <c r="V187" s="134">
        <f t="shared" si="44"/>
        <v>0.04</v>
      </c>
      <c r="W187" s="134">
        <f t="shared" si="44"/>
        <v>0.04</v>
      </c>
      <c r="X187" s="134">
        <f t="shared" si="44"/>
        <v>0.04</v>
      </c>
      <c r="Y187" s="134">
        <f t="shared" si="44"/>
        <v>0.04</v>
      </c>
      <c r="Z187" s="134">
        <f t="shared" si="44"/>
        <v>0.04</v>
      </c>
      <c r="AA187" s="134">
        <f t="shared" si="44"/>
        <v>0.04</v>
      </c>
      <c r="AB187" s="134">
        <f t="shared" si="44"/>
        <v>0.04</v>
      </c>
      <c r="AC187" s="134">
        <f t="shared" si="44"/>
        <v>0.04</v>
      </c>
      <c r="AD187" s="134">
        <f t="shared" si="44"/>
        <v>0.04</v>
      </c>
      <c r="AE187" s="134">
        <f t="shared" si="44"/>
        <v>0.04</v>
      </c>
      <c r="AF187" s="134">
        <f t="shared" si="44"/>
        <v>0.04</v>
      </c>
      <c r="AG187" s="136">
        <v>0.99</v>
      </c>
      <c r="AH187" s="55"/>
      <c r="AI187" s="56"/>
      <c r="AK187" s="57"/>
    </row>
    <row r="188" spans="1:37" x14ac:dyDescent="0.25">
      <c r="A188" s="121" t="s">
        <v>191</v>
      </c>
      <c r="B188" s="54">
        <v>2.3E-2</v>
      </c>
      <c r="C188" s="134">
        <f>B188</f>
        <v>2.3E-2</v>
      </c>
      <c r="D188" s="134">
        <f t="shared" si="43"/>
        <v>2.3E-2</v>
      </c>
      <c r="E188" s="134">
        <f t="shared" si="43"/>
        <v>2.3E-2</v>
      </c>
      <c r="F188" s="134">
        <f t="shared" si="43"/>
        <v>2.3E-2</v>
      </c>
      <c r="G188" s="134">
        <f t="shared" si="43"/>
        <v>2.3E-2</v>
      </c>
      <c r="H188" s="134">
        <f t="shared" si="43"/>
        <v>2.3E-2</v>
      </c>
      <c r="I188" s="134">
        <f t="shared" si="43"/>
        <v>2.3E-2</v>
      </c>
      <c r="J188" s="134">
        <f t="shared" si="43"/>
        <v>2.3E-2</v>
      </c>
      <c r="K188" s="134">
        <f t="shared" si="43"/>
        <v>2.3E-2</v>
      </c>
      <c r="L188" s="134">
        <f t="shared" si="43"/>
        <v>2.3E-2</v>
      </c>
      <c r="M188" s="134">
        <f t="shared" si="43"/>
        <v>2.3E-2</v>
      </c>
      <c r="N188" s="134">
        <f t="shared" si="43"/>
        <v>2.3E-2</v>
      </c>
      <c r="O188" s="134">
        <f t="shared" si="43"/>
        <v>2.3E-2</v>
      </c>
      <c r="P188" s="134">
        <f t="shared" si="43"/>
        <v>2.3E-2</v>
      </c>
      <c r="Q188" s="134">
        <f t="shared" si="43"/>
        <v>2.3E-2</v>
      </c>
      <c r="R188" s="134">
        <f t="shared" si="44"/>
        <v>2.3E-2</v>
      </c>
      <c r="S188" s="134">
        <f t="shared" si="44"/>
        <v>2.3E-2</v>
      </c>
      <c r="T188" s="134">
        <f t="shared" si="44"/>
        <v>2.3E-2</v>
      </c>
      <c r="U188" s="134">
        <f t="shared" si="44"/>
        <v>2.3E-2</v>
      </c>
      <c r="V188" s="134">
        <f t="shared" si="44"/>
        <v>2.3E-2</v>
      </c>
      <c r="W188" s="134">
        <f t="shared" si="44"/>
        <v>2.3E-2</v>
      </c>
      <c r="X188" s="134">
        <f t="shared" si="44"/>
        <v>2.3E-2</v>
      </c>
      <c r="Y188" s="134">
        <f t="shared" si="44"/>
        <v>2.3E-2</v>
      </c>
      <c r="Z188" s="134">
        <f t="shared" si="44"/>
        <v>2.3E-2</v>
      </c>
      <c r="AA188" s="134">
        <f t="shared" si="44"/>
        <v>2.3E-2</v>
      </c>
      <c r="AB188" s="134">
        <f t="shared" si="44"/>
        <v>2.3E-2</v>
      </c>
      <c r="AC188" s="134">
        <f t="shared" si="44"/>
        <v>2.3E-2</v>
      </c>
      <c r="AD188" s="134">
        <f t="shared" si="44"/>
        <v>2.3E-2</v>
      </c>
      <c r="AE188" s="134">
        <f t="shared" si="44"/>
        <v>2.3E-2</v>
      </c>
      <c r="AF188" s="134">
        <f t="shared" si="44"/>
        <v>2.3E-2</v>
      </c>
      <c r="AG188" s="136">
        <v>0.97899999999999998</v>
      </c>
      <c r="AH188" s="55"/>
      <c r="AI188" s="56"/>
      <c r="AK188" s="57"/>
    </row>
    <row r="189" spans="1:37" ht="15.75" thickBot="1" x14ac:dyDescent="0.3">
      <c r="A189" s="137" t="s">
        <v>192</v>
      </c>
      <c r="B189" s="138">
        <f t="shared" ref="B189:AG189" si="45">SUM(B99:B188)</f>
        <v>194.70600000000002</v>
      </c>
      <c r="C189" s="138">
        <f t="shared" si="45"/>
        <v>194.70600000000002</v>
      </c>
      <c r="D189" s="138">
        <f t="shared" si="45"/>
        <v>194.70600000000002</v>
      </c>
      <c r="E189" s="138">
        <f t="shared" si="45"/>
        <v>194.70600000000002</v>
      </c>
      <c r="F189" s="138">
        <f t="shared" si="45"/>
        <v>194.70600000000002</v>
      </c>
      <c r="G189" s="138">
        <f t="shared" si="45"/>
        <v>194.70600000000002</v>
      </c>
      <c r="H189" s="138">
        <f t="shared" si="45"/>
        <v>194.70600000000002</v>
      </c>
      <c r="I189" s="138">
        <f t="shared" si="45"/>
        <v>192.10600000000005</v>
      </c>
      <c r="J189" s="138">
        <f t="shared" si="45"/>
        <v>192.10600000000005</v>
      </c>
      <c r="K189" s="138">
        <f t="shared" si="45"/>
        <v>192.10600000000005</v>
      </c>
      <c r="L189" s="138">
        <f t="shared" si="45"/>
        <v>192.10600000000005</v>
      </c>
      <c r="M189" s="138">
        <f t="shared" si="45"/>
        <v>192.10600000000005</v>
      </c>
      <c r="N189" s="138">
        <f t="shared" si="45"/>
        <v>192.10600000000005</v>
      </c>
      <c r="O189" s="138">
        <f t="shared" si="45"/>
        <v>192.10600000000005</v>
      </c>
      <c r="P189" s="138">
        <f t="shared" si="45"/>
        <v>192.10600000000005</v>
      </c>
      <c r="Q189" s="138">
        <f t="shared" si="45"/>
        <v>192.10600000000005</v>
      </c>
      <c r="R189" s="138">
        <f t="shared" si="45"/>
        <v>192.10600000000005</v>
      </c>
      <c r="S189" s="138">
        <f t="shared" si="45"/>
        <v>192.10600000000005</v>
      </c>
      <c r="T189" s="138">
        <f t="shared" si="45"/>
        <v>192.10600000000005</v>
      </c>
      <c r="U189" s="138">
        <f t="shared" si="45"/>
        <v>192.10600000000005</v>
      </c>
      <c r="V189" s="138">
        <f t="shared" si="45"/>
        <v>192.10600000000005</v>
      </c>
      <c r="W189" s="138">
        <f t="shared" si="45"/>
        <v>192.10600000000005</v>
      </c>
      <c r="X189" s="138">
        <f t="shared" si="45"/>
        <v>192.10600000000005</v>
      </c>
      <c r="Y189" s="138">
        <f t="shared" si="45"/>
        <v>192.10600000000005</v>
      </c>
      <c r="Z189" s="138">
        <f t="shared" si="45"/>
        <v>192.10600000000005</v>
      </c>
      <c r="AA189" s="138">
        <f t="shared" si="45"/>
        <v>192.10600000000005</v>
      </c>
      <c r="AB189" s="138">
        <f t="shared" si="45"/>
        <v>192.10600000000005</v>
      </c>
      <c r="AC189" s="138">
        <f t="shared" si="45"/>
        <v>192.10600000000005</v>
      </c>
      <c r="AD189" s="138">
        <f t="shared" si="45"/>
        <v>192.10600000000005</v>
      </c>
      <c r="AE189" s="138">
        <f t="shared" si="45"/>
        <v>192.10600000000005</v>
      </c>
      <c r="AF189" s="138">
        <f t="shared" si="45"/>
        <v>192.10600000000005</v>
      </c>
      <c r="AG189" s="139">
        <f t="shared" si="45"/>
        <v>412.72299999999984</v>
      </c>
      <c r="AH189" s="55"/>
      <c r="AI189" s="56"/>
      <c r="AK189" s="57"/>
    </row>
    <row r="190" spans="1:37" ht="15.75" thickBot="1" x14ac:dyDescent="0.3">
      <c r="A190" s="28" t="s">
        <v>56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55"/>
      <c r="AI190" s="56"/>
      <c r="AK190" s="57"/>
    </row>
    <row r="191" spans="1:37" x14ac:dyDescent="0.25">
      <c r="A191" s="113" t="s">
        <v>193</v>
      </c>
      <c r="B191" s="140">
        <v>0.3</v>
      </c>
      <c r="C191" s="140">
        <f t="shared" ref="C191:R196" si="46">B191</f>
        <v>0.3</v>
      </c>
      <c r="D191" s="140">
        <f t="shared" si="46"/>
        <v>0.3</v>
      </c>
      <c r="E191" s="140">
        <f t="shared" si="46"/>
        <v>0.3</v>
      </c>
      <c r="F191" s="140">
        <f t="shared" si="46"/>
        <v>0.3</v>
      </c>
      <c r="G191" s="140">
        <f t="shared" si="46"/>
        <v>0.3</v>
      </c>
      <c r="H191" s="140">
        <f t="shared" si="46"/>
        <v>0.3</v>
      </c>
      <c r="I191" s="140">
        <f t="shared" si="46"/>
        <v>0.3</v>
      </c>
      <c r="J191" s="140">
        <f t="shared" si="46"/>
        <v>0.3</v>
      </c>
      <c r="K191" s="140">
        <f t="shared" si="46"/>
        <v>0.3</v>
      </c>
      <c r="L191" s="140">
        <f t="shared" si="46"/>
        <v>0.3</v>
      </c>
      <c r="M191" s="140">
        <f t="shared" si="46"/>
        <v>0.3</v>
      </c>
      <c r="N191" s="140">
        <f t="shared" si="46"/>
        <v>0.3</v>
      </c>
      <c r="O191" s="140">
        <f t="shared" si="46"/>
        <v>0.3</v>
      </c>
      <c r="P191" s="140">
        <f t="shared" si="46"/>
        <v>0.3</v>
      </c>
      <c r="Q191" s="140">
        <f t="shared" si="46"/>
        <v>0.3</v>
      </c>
      <c r="R191" s="140">
        <f t="shared" si="46"/>
        <v>0.3</v>
      </c>
      <c r="S191" s="140">
        <f t="shared" ref="S191:AF196" si="47">R191</f>
        <v>0.3</v>
      </c>
      <c r="T191" s="140">
        <f t="shared" si="47"/>
        <v>0.3</v>
      </c>
      <c r="U191" s="140">
        <f t="shared" si="47"/>
        <v>0.3</v>
      </c>
      <c r="V191" s="140">
        <f t="shared" si="47"/>
        <v>0.3</v>
      </c>
      <c r="W191" s="140">
        <f t="shared" si="47"/>
        <v>0.3</v>
      </c>
      <c r="X191" s="140">
        <f t="shared" si="47"/>
        <v>0.3</v>
      </c>
      <c r="Y191" s="140">
        <f t="shared" si="47"/>
        <v>0.3</v>
      </c>
      <c r="Z191" s="140">
        <f t="shared" si="47"/>
        <v>0.3</v>
      </c>
      <c r="AA191" s="140">
        <f t="shared" si="47"/>
        <v>0.3</v>
      </c>
      <c r="AB191" s="140">
        <f t="shared" si="47"/>
        <v>0.3</v>
      </c>
      <c r="AC191" s="140">
        <f t="shared" si="47"/>
        <v>0.3</v>
      </c>
      <c r="AD191" s="140">
        <f t="shared" si="47"/>
        <v>0.3</v>
      </c>
      <c r="AE191" s="140">
        <f t="shared" si="47"/>
        <v>0.3</v>
      </c>
      <c r="AF191" s="140">
        <f t="shared" si="47"/>
        <v>0.3</v>
      </c>
      <c r="AG191" s="141">
        <v>2.4</v>
      </c>
      <c r="AH191" s="55"/>
      <c r="AI191" s="56"/>
      <c r="AK191" s="57"/>
    </row>
    <row r="192" spans="1:37" x14ac:dyDescent="0.25">
      <c r="A192" s="119" t="s">
        <v>194</v>
      </c>
      <c r="B192" s="134">
        <v>0.4</v>
      </c>
      <c r="C192" s="134">
        <f t="shared" si="46"/>
        <v>0.4</v>
      </c>
      <c r="D192" s="134">
        <f t="shared" si="46"/>
        <v>0.4</v>
      </c>
      <c r="E192" s="134">
        <f t="shared" si="46"/>
        <v>0.4</v>
      </c>
      <c r="F192" s="134">
        <f t="shared" si="46"/>
        <v>0.4</v>
      </c>
      <c r="G192" s="134">
        <f t="shared" si="46"/>
        <v>0.4</v>
      </c>
      <c r="H192" s="134">
        <f t="shared" si="46"/>
        <v>0.4</v>
      </c>
      <c r="I192" s="134">
        <f t="shared" si="46"/>
        <v>0.4</v>
      </c>
      <c r="J192" s="134">
        <f t="shared" si="46"/>
        <v>0.4</v>
      </c>
      <c r="K192" s="134">
        <f t="shared" si="46"/>
        <v>0.4</v>
      </c>
      <c r="L192" s="134">
        <f t="shared" si="46"/>
        <v>0.4</v>
      </c>
      <c r="M192" s="134">
        <f t="shared" si="46"/>
        <v>0.4</v>
      </c>
      <c r="N192" s="134">
        <f t="shared" si="46"/>
        <v>0.4</v>
      </c>
      <c r="O192" s="134">
        <f t="shared" si="46"/>
        <v>0.4</v>
      </c>
      <c r="P192" s="134">
        <f t="shared" si="46"/>
        <v>0.4</v>
      </c>
      <c r="Q192" s="134">
        <f t="shared" si="46"/>
        <v>0.4</v>
      </c>
      <c r="R192" s="134">
        <f t="shared" si="46"/>
        <v>0.4</v>
      </c>
      <c r="S192" s="134">
        <f t="shared" si="47"/>
        <v>0.4</v>
      </c>
      <c r="T192" s="134">
        <f t="shared" si="47"/>
        <v>0.4</v>
      </c>
      <c r="U192" s="134">
        <f t="shared" si="47"/>
        <v>0.4</v>
      </c>
      <c r="V192" s="134">
        <f>U192</f>
        <v>0.4</v>
      </c>
      <c r="W192" s="134">
        <f>V192</f>
        <v>0.4</v>
      </c>
      <c r="X192" s="134">
        <f t="shared" si="47"/>
        <v>0.4</v>
      </c>
      <c r="Y192" s="134">
        <f t="shared" si="47"/>
        <v>0.4</v>
      </c>
      <c r="Z192" s="134">
        <f t="shared" si="47"/>
        <v>0.4</v>
      </c>
      <c r="AA192" s="134">
        <f t="shared" si="47"/>
        <v>0.4</v>
      </c>
      <c r="AB192" s="134">
        <f t="shared" si="47"/>
        <v>0.4</v>
      </c>
      <c r="AC192" s="134">
        <f t="shared" si="47"/>
        <v>0.4</v>
      </c>
      <c r="AD192" s="134">
        <f t="shared" si="47"/>
        <v>0.4</v>
      </c>
      <c r="AE192" s="134">
        <f t="shared" si="47"/>
        <v>0.4</v>
      </c>
      <c r="AF192" s="134">
        <f t="shared" si="47"/>
        <v>0.4</v>
      </c>
      <c r="AG192" s="142">
        <v>2</v>
      </c>
      <c r="AH192" s="55"/>
      <c r="AI192" s="56"/>
      <c r="AK192" s="57"/>
    </row>
    <row r="193" spans="1:37" x14ac:dyDescent="0.25">
      <c r="A193" s="119" t="s">
        <v>195</v>
      </c>
      <c r="B193" s="134">
        <v>1.5</v>
      </c>
      <c r="C193" s="134">
        <f t="shared" si="46"/>
        <v>1.5</v>
      </c>
      <c r="D193" s="134">
        <f t="shared" si="46"/>
        <v>1.5</v>
      </c>
      <c r="E193" s="134">
        <f t="shared" si="46"/>
        <v>1.5</v>
      </c>
      <c r="F193" s="134">
        <f t="shared" si="46"/>
        <v>1.5</v>
      </c>
      <c r="G193" s="134">
        <f t="shared" si="46"/>
        <v>1.5</v>
      </c>
      <c r="H193" s="134">
        <f t="shared" si="46"/>
        <v>1.5</v>
      </c>
      <c r="I193" s="134">
        <f t="shared" si="46"/>
        <v>1.5</v>
      </c>
      <c r="J193" s="134">
        <f t="shared" si="46"/>
        <v>1.5</v>
      </c>
      <c r="K193" s="134">
        <f t="shared" si="46"/>
        <v>1.5</v>
      </c>
      <c r="L193" s="134">
        <f t="shared" si="46"/>
        <v>1.5</v>
      </c>
      <c r="M193" s="134">
        <f t="shared" si="46"/>
        <v>1.5</v>
      </c>
      <c r="N193" s="134">
        <f t="shared" si="46"/>
        <v>1.5</v>
      </c>
      <c r="O193" s="134">
        <f t="shared" si="46"/>
        <v>1.5</v>
      </c>
      <c r="P193" s="134">
        <f t="shared" si="46"/>
        <v>1.5</v>
      </c>
      <c r="Q193" s="134">
        <f t="shared" si="46"/>
        <v>1.5</v>
      </c>
      <c r="R193" s="134">
        <f t="shared" si="46"/>
        <v>1.5</v>
      </c>
      <c r="S193" s="134">
        <f t="shared" si="47"/>
        <v>1.5</v>
      </c>
      <c r="T193" s="134">
        <f t="shared" si="47"/>
        <v>1.5</v>
      </c>
      <c r="U193" s="134">
        <f t="shared" si="47"/>
        <v>1.5</v>
      </c>
      <c r="V193" s="134">
        <f t="shared" si="47"/>
        <v>1.5</v>
      </c>
      <c r="W193" s="134">
        <f t="shared" si="47"/>
        <v>1.5</v>
      </c>
      <c r="X193" s="134">
        <f t="shared" si="47"/>
        <v>1.5</v>
      </c>
      <c r="Y193" s="134">
        <f t="shared" si="47"/>
        <v>1.5</v>
      </c>
      <c r="Z193" s="134">
        <f t="shared" si="47"/>
        <v>1.5</v>
      </c>
      <c r="AA193" s="134">
        <f t="shared" si="47"/>
        <v>1.5</v>
      </c>
      <c r="AB193" s="134">
        <f t="shared" si="47"/>
        <v>1.5</v>
      </c>
      <c r="AC193" s="134">
        <f t="shared" si="47"/>
        <v>1.5</v>
      </c>
      <c r="AD193" s="134">
        <f t="shared" si="47"/>
        <v>1.5</v>
      </c>
      <c r="AE193" s="134">
        <f t="shared" si="47"/>
        <v>1.5</v>
      </c>
      <c r="AF193" s="134">
        <f t="shared" si="47"/>
        <v>1.5</v>
      </c>
      <c r="AG193" s="142">
        <v>1.5</v>
      </c>
      <c r="AH193" s="55"/>
      <c r="AI193" s="56"/>
      <c r="AK193" s="57"/>
    </row>
    <row r="194" spans="1:37" x14ac:dyDescent="0.25">
      <c r="A194" s="119" t="s">
        <v>196</v>
      </c>
      <c r="B194" s="134">
        <v>0.3</v>
      </c>
      <c r="C194" s="134">
        <f t="shared" si="46"/>
        <v>0.3</v>
      </c>
      <c r="D194" s="134">
        <f t="shared" si="46"/>
        <v>0.3</v>
      </c>
      <c r="E194" s="134">
        <f t="shared" si="46"/>
        <v>0.3</v>
      </c>
      <c r="F194" s="134">
        <f t="shared" si="46"/>
        <v>0.3</v>
      </c>
      <c r="G194" s="134">
        <f t="shared" si="46"/>
        <v>0.3</v>
      </c>
      <c r="H194" s="134">
        <f t="shared" si="46"/>
        <v>0.3</v>
      </c>
      <c r="I194" s="134">
        <f t="shared" si="46"/>
        <v>0.3</v>
      </c>
      <c r="J194" s="134">
        <f t="shared" si="46"/>
        <v>0.3</v>
      </c>
      <c r="K194" s="134">
        <f t="shared" si="46"/>
        <v>0.3</v>
      </c>
      <c r="L194" s="134">
        <f t="shared" si="46"/>
        <v>0.3</v>
      </c>
      <c r="M194" s="134">
        <f t="shared" si="46"/>
        <v>0.3</v>
      </c>
      <c r="N194" s="134">
        <f t="shared" si="46"/>
        <v>0.3</v>
      </c>
      <c r="O194" s="134">
        <f t="shared" si="46"/>
        <v>0.3</v>
      </c>
      <c r="P194" s="134">
        <f t="shared" si="46"/>
        <v>0.3</v>
      </c>
      <c r="Q194" s="134">
        <f t="shared" si="46"/>
        <v>0.3</v>
      </c>
      <c r="R194" s="134">
        <f t="shared" si="46"/>
        <v>0.3</v>
      </c>
      <c r="S194" s="134">
        <f t="shared" si="47"/>
        <v>0.3</v>
      </c>
      <c r="T194" s="134">
        <f t="shared" si="47"/>
        <v>0.3</v>
      </c>
      <c r="U194" s="134">
        <f t="shared" si="47"/>
        <v>0.3</v>
      </c>
      <c r="V194" s="134">
        <f t="shared" si="47"/>
        <v>0.3</v>
      </c>
      <c r="W194" s="134">
        <f t="shared" si="47"/>
        <v>0.3</v>
      </c>
      <c r="X194" s="134">
        <f t="shared" si="47"/>
        <v>0.3</v>
      </c>
      <c r="Y194" s="134">
        <f t="shared" si="47"/>
        <v>0.3</v>
      </c>
      <c r="Z194" s="134">
        <f t="shared" si="47"/>
        <v>0.3</v>
      </c>
      <c r="AA194" s="134">
        <f t="shared" si="47"/>
        <v>0.3</v>
      </c>
      <c r="AB194" s="134">
        <f t="shared" si="47"/>
        <v>0.3</v>
      </c>
      <c r="AC194" s="134">
        <f t="shared" si="47"/>
        <v>0.3</v>
      </c>
      <c r="AD194" s="134">
        <f t="shared" si="47"/>
        <v>0.3</v>
      </c>
      <c r="AE194" s="134">
        <f t="shared" si="47"/>
        <v>0.3</v>
      </c>
      <c r="AF194" s="134">
        <f t="shared" si="47"/>
        <v>0.3</v>
      </c>
      <c r="AG194" s="142">
        <v>1</v>
      </c>
      <c r="AH194" s="55"/>
      <c r="AI194" s="56"/>
      <c r="AK194" s="57"/>
    </row>
    <row r="195" spans="1:37" x14ac:dyDescent="0.25">
      <c r="A195" s="119" t="s">
        <v>197</v>
      </c>
      <c r="B195" s="134">
        <v>0.4</v>
      </c>
      <c r="C195" s="134">
        <f t="shared" si="46"/>
        <v>0.4</v>
      </c>
      <c r="D195" s="134">
        <f t="shared" si="46"/>
        <v>0.4</v>
      </c>
      <c r="E195" s="134">
        <f t="shared" si="46"/>
        <v>0.4</v>
      </c>
      <c r="F195" s="134">
        <f t="shared" si="46"/>
        <v>0.4</v>
      </c>
      <c r="G195" s="134">
        <f t="shared" si="46"/>
        <v>0.4</v>
      </c>
      <c r="H195" s="134">
        <f t="shared" si="46"/>
        <v>0.4</v>
      </c>
      <c r="I195" s="134">
        <f t="shared" si="46"/>
        <v>0.4</v>
      </c>
      <c r="J195" s="134">
        <f t="shared" si="46"/>
        <v>0.4</v>
      </c>
      <c r="K195" s="134">
        <f t="shared" si="46"/>
        <v>0.4</v>
      </c>
      <c r="L195" s="134">
        <f t="shared" si="46"/>
        <v>0.4</v>
      </c>
      <c r="M195" s="134">
        <f t="shared" si="46"/>
        <v>0.4</v>
      </c>
      <c r="N195" s="134">
        <f t="shared" si="46"/>
        <v>0.4</v>
      </c>
      <c r="O195" s="134">
        <f t="shared" si="46"/>
        <v>0.4</v>
      </c>
      <c r="P195" s="134">
        <f t="shared" si="46"/>
        <v>0.4</v>
      </c>
      <c r="Q195" s="134">
        <f t="shared" si="46"/>
        <v>0.4</v>
      </c>
      <c r="R195" s="134">
        <f t="shared" si="46"/>
        <v>0.4</v>
      </c>
      <c r="S195" s="134">
        <f t="shared" si="47"/>
        <v>0.4</v>
      </c>
      <c r="T195" s="134">
        <f t="shared" si="47"/>
        <v>0.4</v>
      </c>
      <c r="U195" s="134">
        <f t="shared" si="47"/>
        <v>0.4</v>
      </c>
      <c r="V195" s="134">
        <f t="shared" si="47"/>
        <v>0.4</v>
      </c>
      <c r="W195" s="134">
        <f t="shared" si="47"/>
        <v>0.4</v>
      </c>
      <c r="X195" s="134">
        <f t="shared" si="47"/>
        <v>0.4</v>
      </c>
      <c r="Y195" s="134">
        <f t="shared" si="47"/>
        <v>0.4</v>
      </c>
      <c r="Z195" s="134">
        <f t="shared" si="47"/>
        <v>0.4</v>
      </c>
      <c r="AA195" s="134">
        <f t="shared" si="47"/>
        <v>0.4</v>
      </c>
      <c r="AB195" s="134">
        <f t="shared" si="47"/>
        <v>0.4</v>
      </c>
      <c r="AC195" s="134">
        <f t="shared" si="47"/>
        <v>0.4</v>
      </c>
      <c r="AD195" s="134">
        <f t="shared" si="47"/>
        <v>0.4</v>
      </c>
      <c r="AE195" s="134">
        <f t="shared" si="47"/>
        <v>0.4</v>
      </c>
      <c r="AF195" s="134">
        <f t="shared" si="47"/>
        <v>0.4</v>
      </c>
      <c r="AG195" s="142">
        <v>1</v>
      </c>
      <c r="AH195" s="55"/>
      <c r="AI195" s="56"/>
      <c r="AK195" s="57"/>
    </row>
    <row r="196" spans="1:37" ht="15.75" thickBot="1" x14ac:dyDescent="0.3">
      <c r="A196" s="121" t="s">
        <v>198</v>
      </c>
      <c r="B196" s="143">
        <v>0.64</v>
      </c>
      <c r="C196" s="143">
        <f t="shared" si="46"/>
        <v>0.64</v>
      </c>
      <c r="D196" s="143">
        <f t="shared" si="46"/>
        <v>0.64</v>
      </c>
      <c r="E196" s="143">
        <f t="shared" si="46"/>
        <v>0.64</v>
      </c>
      <c r="F196" s="143">
        <f t="shared" si="46"/>
        <v>0.64</v>
      </c>
      <c r="G196" s="143">
        <f t="shared" si="46"/>
        <v>0.64</v>
      </c>
      <c r="H196" s="143">
        <f t="shared" si="46"/>
        <v>0.64</v>
      </c>
      <c r="I196" s="143">
        <f t="shared" si="46"/>
        <v>0.64</v>
      </c>
      <c r="J196" s="143">
        <f t="shared" si="46"/>
        <v>0.64</v>
      </c>
      <c r="K196" s="143">
        <f t="shared" si="46"/>
        <v>0.64</v>
      </c>
      <c r="L196" s="143">
        <f t="shared" si="46"/>
        <v>0.64</v>
      </c>
      <c r="M196" s="143">
        <f t="shared" si="46"/>
        <v>0.64</v>
      </c>
      <c r="N196" s="143">
        <f t="shared" si="46"/>
        <v>0.64</v>
      </c>
      <c r="O196" s="143">
        <f t="shared" si="46"/>
        <v>0.64</v>
      </c>
      <c r="P196" s="143">
        <f t="shared" si="46"/>
        <v>0.64</v>
      </c>
      <c r="Q196" s="143">
        <f t="shared" si="46"/>
        <v>0.64</v>
      </c>
      <c r="R196" s="143">
        <f t="shared" si="46"/>
        <v>0.64</v>
      </c>
      <c r="S196" s="143">
        <f t="shared" si="47"/>
        <v>0.64</v>
      </c>
      <c r="T196" s="143">
        <f t="shared" si="47"/>
        <v>0.64</v>
      </c>
      <c r="U196" s="143">
        <f t="shared" si="47"/>
        <v>0.64</v>
      </c>
      <c r="V196" s="143">
        <f t="shared" si="47"/>
        <v>0.64</v>
      </c>
      <c r="W196" s="143">
        <f t="shared" si="47"/>
        <v>0.64</v>
      </c>
      <c r="X196" s="143">
        <f t="shared" si="47"/>
        <v>0.64</v>
      </c>
      <c r="Y196" s="143">
        <f t="shared" si="47"/>
        <v>0.64</v>
      </c>
      <c r="Z196" s="143">
        <f t="shared" si="47"/>
        <v>0.64</v>
      </c>
      <c r="AA196" s="143">
        <f t="shared" si="47"/>
        <v>0.64</v>
      </c>
      <c r="AB196" s="143">
        <f t="shared" si="47"/>
        <v>0.64</v>
      </c>
      <c r="AC196" s="143">
        <f t="shared" si="47"/>
        <v>0.64</v>
      </c>
      <c r="AD196" s="143">
        <f t="shared" si="47"/>
        <v>0.64</v>
      </c>
      <c r="AE196" s="143">
        <f t="shared" si="47"/>
        <v>0.64</v>
      </c>
      <c r="AF196" s="143">
        <f t="shared" si="47"/>
        <v>0.64</v>
      </c>
      <c r="AG196" s="144">
        <v>0.66</v>
      </c>
      <c r="AH196" s="55"/>
      <c r="AI196" s="56"/>
    </row>
    <row r="197" spans="1:37" ht="15.75" thickBot="1" x14ac:dyDescent="0.3">
      <c r="A197" s="145" t="s">
        <v>56</v>
      </c>
      <c r="B197" s="146">
        <f>SUM(B191:B196)</f>
        <v>3.54</v>
      </c>
      <c r="C197" s="146">
        <f t="shared" ref="C197:K197" si="48">SUM(C191:C196)</f>
        <v>3.54</v>
      </c>
      <c r="D197" s="146">
        <f t="shared" si="48"/>
        <v>3.54</v>
      </c>
      <c r="E197" s="146">
        <f t="shared" si="48"/>
        <v>3.54</v>
      </c>
      <c r="F197" s="146">
        <f t="shared" si="48"/>
        <v>3.54</v>
      </c>
      <c r="G197" s="146">
        <f t="shared" si="48"/>
        <v>3.54</v>
      </c>
      <c r="H197" s="146">
        <f t="shared" si="48"/>
        <v>3.54</v>
      </c>
      <c r="I197" s="146">
        <f t="shared" si="48"/>
        <v>3.54</v>
      </c>
      <c r="J197" s="146">
        <f t="shared" si="48"/>
        <v>3.54</v>
      </c>
      <c r="K197" s="146">
        <f t="shared" si="48"/>
        <v>3.54</v>
      </c>
      <c r="L197" s="146">
        <f>SUM(L191:L196)</f>
        <v>3.54</v>
      </c>
      <c r="M197" s="146">
        <f t="shared" ref="M197:R197" si="49">SUM(M191:M196)</f>
        <v>3.54</v>
      </c>
      <c r="N197" s="146">
        <f t="shared" si="49"/>
        <v>3.54</v>
      </c>
      <c r="O197" s="146">
        <f t="shared" si="49"/>
        <v>3.54</v>
      </c>
      <c r="P197" s="146">
        <f t="shared" si="49"/>
        <v>3.54</v>
      </c>
      <c r="Q197" s="146">
        <f t="shared" si="49"/>
        <v>3.54</v>
      </c>
      <c r="R197" s="146">
        <f t="shared" si="49"/>
        <v>3.54</v>
      </c>
      <c r="S197" s="146">
        <f>SUM(S191:S196)</f>
        <v>3.54</v>
      </c>
      <c r="T197" s="146">
        <f t="shared" ref="T197:AG197" si="50">SUM(T191:T196)</f>
        <v>3.54</v>
      </c>
      <c r="U197" s="146">
        <f t="shared" si="50"/>
        <v>3.54</v>
      </c>
      <c r="V197" s="146">
        <f t="shared" si="50"/>
        <v>3.54</v>
      </c>
      <c r="W197" s="146">
        <f t="shared" si="50"/>
        <v>3.54</v>
      </c>
      <c r="X197" s="146">
        <f t="shared" si="50"/>
        <v>3.54</v>
      </c>
      <c r="Y197" s="146">
        <f t="shared" si="50"/>
        <v>3.54</v>
      </c>
      <c r="Z197" s="146">
        <f t="shared" si="50"/>
        <v>3.54</v>
      </c>
      <c r="AA197" s="146">
        <f t="shared" si="50"/>
        <v>3.54</v>
      </c>
      <c r="AB197" s="146">
        <f t="shared" si="50"/>
        <v>3.54</v>
      </c>
      <c r="AC197" s="146">
        <f t="shared" si="50"/>
        <v>3.54</v>
      </c>
      <c r="AD197" s="146">
        <f t="shared" si="50"/>
        <v>3.54</v>
      </c>
      <c r="AE197" s="146">
        <f t="shared" si="50"/>
        <v>3.54</v>
      </c>
      <c r="AF197" s="146">
        <f t="shared" si="50"/>
        <v>3.54</v>
      </c>
      <c r="AG197" s="147">
        <f t="shared" si="50"/>
        <v>8.56</v>
      </c>
      <c r="AH197" s="55"/>
      <c r="AI197" s="56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09"/>
      <c r="AH198" s="47"/>
    </row>
    <row r="199" spans="1:37" x14ac:dyDescent="0.25">
      <c r="A199" s="92" t="s">
        <v>199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9"/>
      <c r="AG199" s="47"/>
      <c r="AH199" s="55"/>
      <c r="AI199" s="56"/>
    </row>
    <row r="200" spans="1:37" x14ac:dyDescent="0.25">
      <c r="A200" s="150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153"/>
      <c r="AH200" s="55"/>
      <c r="AI200" s="56"/>
    </row>
    <row r="201" spans="1:37" x14ac:dyDescent="0.25">
      <c r="A201" s="96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x14ac:dyDescent="0.25">
      <c r="A202" s="96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3"/>
      <c r="AH202" s="55"/>
      <c r="AI202" s="56"/>
    </row>
    <row r="203" spans="1:37" ht="15.75" thickBot="1" x14ac:dyDescent="0.3">
      <c r="A203" s="156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3"/>
      <c r="AH203" s="55"/>
      <c r="AI203" s="56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59" t="s">
        <v>204</v>
      </c>
      <c r="B206" s="160">
        <f>MAX(F73:M73)</f>
        <v>3.54</v>
      </c>
      <c r="C206" s="161">
        <f>INDEX(F9:M9,1,MATCH(MAX(F73:M73),F73:M73,0))</f>
        <v>0.20833333333333301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str">
        <f ca="1">MID(CELL("filename",C7),FIND("]",CELL("filename",C7))+1,600)</f>
        <v>new_sample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97" t="s">
        <v>205</v>
      </c>
      <c r="B208" s="197"/>
      <c r="C208" s="47"/>
      <c r="D208" s="162" t="e">
        <f ca="1">"Pie Chart of Daily Peak Demand(Inclusive of Export) of Nepal ("&amp;A4&amp;" "&amp;B4&amp;")"</f>
        <v>#VALUE!</v>
      </c>
      <c r="E208" s="47"/>
      <c r="F208" s="47"/>
      <c r="G208" s="16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2" t="e">
        <f ca="1">"Daily Load Curve(Excluding of Export) of Nepal ("&amp;A4&amp;" "&amp;B4&amp;")"</f>
        <v>#VALUE!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3" t="s">
        <v>7</v>
      </c>
      <c r="B209" s="164"/>
      <c r="C209" s="47"/>
      <c r="D209" s="16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3" t="s">
        <v>206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6" t="s">
        <v>207</v>
      </c>
      <c r="T210" s="167">
        <v>4.1666666666666664E-2</v>
      </c>
      <c r="U210" s="168">
        <v>8.3333333333333301E-2</v>
      </c>
      <c r="V210" s="168">
        <v>0.125</v>
      </c>
      <c r="W210" s="168">
        <v>0.16666666666666699</v>
      </c>
      <c r="X210" s="168">
        <v>0.20833333333333301</v>
      </c>
      <c r="Y210" s="168">
        <v>0.22916666666666666</v>
      </c>
      <c r="Z210" s="168">
        <v>0.25</v>
      </c>
      <c r="AA210" s="168">
        <v>0.27083333333333331</v>
      </c>
      <c r="AB210" s="168">
        <v>0.29166666666666669</v>
      </c>
      <c r="AC210" s="168">
        <v>0.3125</v>
      </c>
      <c r="AD210" s="169">
        <v>0.33333333333333331</v>
      </c>
      <c r="AE210" s="169">
        <v>0.375</v>
      </c>
      <c r="AF210" s="169">
        <v>0.41666666666666702</v>
      </c>
      <c r="AG210" s="169">
        <v>0.45833333333333298</v>
      </c>
      <c r="AH210" s="169">
        <v>0.5</v>
      </c>
      <c r="AI210" s="169">
        <v>0.54166666666666696</v>
      </c>
      <c r="AJ210" s="169">
        <v>0.58333333333333304</v>
      </c>
      <c r="AK210" s="169">
        <v>0.625</v>
      </c>
      <c r="AL210" s="169">
        <v>0.66666666666666696</v>
      </c>
      <c r="AM210" s="169">
        <v>0.70833333333333304</v>
      </c>
      <c r="AN210" s="169">
        <v>0.72916666666666663</v>
      </c>
      <c r="AO210" s="169">
        <v>0.75</v>
      </c>
      <c r="AP210" s="169">
        <v>0.77083333333333337</v>
      </c>
      <c r="AQ210" s="169">
        <v>0.79166666666666663</v>
      </c>
      <c r="AR210" s="169">
        <v>0.8125</v>
      </c>
      <c r="AS210" s="168">
        <v>0.83333333333333337</v>
      </c>
      <c r="AT210" s="168">
        <v>0.85416666666666663</v>
      </c>
      <c r="AU210" s="168">
        <v>0.875</v>
      </c>
      <c r="AV210" s="168">
        <v>0.91666666666666696</v>
      </c>
      <c r="AW210" s="168">
        <v>0.95833333333333304</v>
      </c>
      <c r="AX210" s="168">
        <v>1</v>
      </c>
    </row>
    <row r="211" spans="1:50" x14ac:dyDescent="0.25">
      <c r="A211" s="163" t="s">
        <v>208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209</v>
      </c>
      <c r="T211" s="170">
        <f t="shared" ref="T211:AX211" si="51">B73</f>
        <v>3.54</v>
      </c>
      <c r="U211" s="170">
        <f t="shared" si="51"/>
        <v>3.54</v>
      </c>
      <c r="V211" s="170">
        <f t="shared" si="51"/>
        <v>3.54</v>
      </c>
      <c r="W211" s="170">
        <f t="shared" si="51"/>
        <v>3.54</v>
      </c>
      <c r="X211" s="170">
        <f t="shared" si="51"/>
        <v>3.54</v>
      </c>
      <c r="Y211" s="170">
        <f t="shared" si="51"/>
        <v>3.54</v>
      </c>
      <c r="Z211" s="170">
        <f t="shared" si="51"/>
        <v>3.54</v>
      </c>
      <c r="AA211" s="170">
        <f t="shared" si="51"/>
        <v>3.54</v>
      </c>
      <c r="AB211" s="170">
        <f t="shared" si="51"/>
        <v>3.54</v>
      </c>
      <c r="AC211" s="170">
        <f t="shared" si="51"/>
        <v>3.54</v>
      </c>
      <c r="AD211" s="170">
        <f t="shared" si="51"/>
        <v>3.54</v>
      </c>
      <c r="AE211" s="170">
        <f t="shared" si="51"/>
        <v>3.54</v>
      </c>
      <c r="AF211" s="170">
        <f t="shared" si="51"/>
        <v>3.54</v>
      </c>
      <c r="AG211" s="170">
        <f t="shared" si="51"/>
        <v>3.54</v>
      </c>
      <c r="AH211" s="170">
        <f t="shared" si="51"/>
        <v>3.54</v>
      </c>
      <c r="AI211" s="170">
        <f t="shared" si="51"/>
        <v>3.54</v>
      </c>
      <c r="AJ211" s="170">
        <f t="shared" si="51"/>
        <v>3.54</v>
      </c>
      <c r="AK211" s="170">
        <f t="shared" si="51"/>
        <v>3.54</v>
      </c>
      <c r="AL211" s="170">
        <f t="shared" si="51"/>
        <v>3.54</v>
      </c>
      <c r="AM211" s="170">
        <f t="shared" si="51"/>
        <v>3.54</v>
      </c>
      <c r="AN211" s="170">
        <f t="shared" si="51"/>
        <v>3.54</v>
      </c>
      <c r="AO211" s="170">
        <f t="shared" si="51"/>
        <v>3.54</v>
      </c>
      <c r="AP211" s="170">
        <f t="shared" si="51"/>
        <v>3.54</v>
      </c>
      <c r="AQ211" s="170">
        <f t="shared" si="51"/>
        <v>3.54</v>
      </c>
      <c r="AR211" s="170">
        <f t="shared" si="51"/>
        <v>3.54</v>
      </c>
      <c r="AS211" s="170">
        <f t="shared" si="51"/>
        <v>3.54</v>
      </c>
      <c r="AT211" s="170">
        <f t="shared" si="51"/>
        <v>3.54</v>
      </c>
      <c r="AU211" s="170">
        <f t="shared" si="51"/>
        <v>3.54</v>
      </c>
      <c r="AV211" s="170">
        <f t="shared" si="51"/>
        <v>3.54</v>
      </c>
      <c r="AW211" s="170">
        <f t="shared" si="51"/>
        <v>3.54</v>
      </c>
      <c r="AX211" s="170">
        <f t="shared" si="51"/>
        <v>3.54</v>
      </c>
    </row>
    <row r="212" spans="1:50" x14ac:dyDescent="0.25">
      <c r="A212" s="163" t="s">
        <v>210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211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212</v>
      </c>
      <c r="B214" s="16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213</v>
      </c>
      <c r="B215" s="17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3" t="s">
        <v>214</v>
      </c>
      <c r="B216" s="16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2" t="s">
        <v>199</v>
      </c>
      <c r="B232" s="173">
        <f t="shared" ref="B232:AF232" si="52">B196</f>
        <v>0.64</v>
      </c>
      <c r="C232" s="173">
        <f t="shared" si="52"/>
        <v>0.64</v>
      </c>
      <c r="D232" s="173">
        <f t="shared" si="52"/>
        <v>0.64</v>
      </c>
      <c r="E232" s="173">
        <f t="shared" si="52"/>
        <v>0.64</v>
      </c>
      <c r="F232" s="173">
        <f t="shared" si="52"/>
        <v>0.64</v>
      </c>
      <c r="G232" s="173">
        <f t="shared" si="52"/>
        <v>0.64</v>
      </c>
      <c r="H232" s="173">
        <f t="shared" si="52"/>
        <v>0.64</v>
      </c>
      <c r="I232" s="173">
        <f t="shared" si="52"/>
        <v>0.64</v>
      </c>
      <c r="J232" s="173">
        <f t="shared" si="52"/>
        <v>0.64</v>
      </c>
      <c r="K232" s="173">
        <f t="shared" si="52"/>
        <v>0.64</v>
      </c>
      <c r="L232" s="173">
        <f t="shared" si="52"/>
        <v>0.64</v>
      </c>
      <c r="M232" s="173">
        <f t="shared" si="52"/>
        <v>0.64</v>
      </c>
      <c r="N232" s="173">
        <f t="shared" si="52"/>
        <v>0.64</v>
      </c>
      <c r="O232" s="173">
        <f t="shared" si="52"/>
        <v>0.64</v>
      </c>
      <c r="P232" s="173">
        <f t="shared" si="52"/>
        <v>0.64</v>
      </c>
      <c r="Q232" s="173">
        <f t="shared" si="52"/>
        <v>0.64</v>
      </c>
      <c r="R232" s="173">
        <f t="shared" si="52"/>
        <v>0.64</v>
      </c>
      <c r="S232" s="173">
        <f t="shared" si="52"/>
        <v>0.64</v>
      </c>
      <c r="T232" s="173">
        <f t="shared" si="52"/>
        <v>0.64</v>
      </c>
      <c r="U232" s="173">
        <f t="shared" si="52"/>
        <v>0.64</v>
      </c>
      <c r="V232" s="173">
        <f t="shared" si="52"/>
        <v>0.64</v>
      </c>
      <c r="W232" s="173">
        <f t="shared" si="52"/>
        <v>0.64</v>
      </c>
      <c r="X232" s="173">
        <f t="shared" si="52"/>
        <v>0.64</v>
      </c>
      <c r="Y232" s="173">
        <f t="shared" si="52"/>
        <v>0.64</v>
      </c>
      <c r="Z232" s="173">
        <f t="shared" si="52"/>
        <v>0.64</v>
      </c>
      <c r="AA232" s="173">
        <f t="shared" si="52"/>
        <v>0.64</v>
      </c>
      <c r="AB232" s="173">
        <f t="shared" si="52"/>
        <v>0.64</v>
      </c>
      <c r="AC232" s="173">
        <f t="shared" si="52"/>
        <v>0.64</v>
      </c>
      <c r="AD232" s="173">
        <f t="shared" si="52"/>
        <v>0.64</v>
      </c>
      <c r="AE232" s="173">
        <f t="shared" si="52"/>
        <v>0.64</v>
      </c>
      <c r="AF232" s="173">
        <f t="shared" si="52"/>
        <v>0.64</v>
      </c>
      <c r="AG232" s="47"/>
      <c r="AH232" s="47"/>
    </row>
    <row r="233" spans="1:34" x14ac:dyDescent="0.25">
      <c r="A233" s="117" t="str">
        <f>A200</f>
        <v>KGA</v>
      </c>
      <c r="B233" s="117" t="str">
        <f>IF(B200&lt;100,"",B200-520)</f>
        <v/>
      </c>
      <c r="C233" s="117" t="str">
        <f t="shared" ref="C233:AF233" si="53">IF(C200&lt;100,"",C200-520)</f>
        <v/>
      </c>
      <c r="D233" s="117" t="str">
        <f t="shared" si="53"/>
        <v/>
      </c>
      <c r="E233" s="117" t="str">
        <f t="shared" si="53"/>
        <v/>
      </c>
      <c r="F233" s="117" t="str">
        <f t="shared" si="53"/>
        <v/>
      </c>
      <c r="G233" s="117" t="str">
        <f t="shared" si="53"/>
        <v/>
      </c>
      <c r="H233" s="117" t="str">
        <f t="shared" si="53"/>
        <v/>
      </c>
      <c r="I233" s="117" t="str">
        <f t="shared" si="53"/>
        <v/>
      </c>
      <c r="J233" s="117" t="str">
        <f t="shared" si="53"/>
        <v/>
      </c>
      <c r="K233" s="117" t="str">
        <f t="shared" si="53"/>
        <v/>
      </c>
      <c r="L233" s="117" t="str">
        <f t="shared" si="53"/>
        <v/>
      </c>
      <c r="M233" s="117" t="str">
        <f t="shared" si="53"/>
        <v/>
      </c>
      <c r="N233" s="117" t="str">
        <f t="shared" si="53"/>
        <v/>
      </c>
      <c r="O233" s="117" t="str">
        <f t="shared" si="53"/>
        <v/>
      </c>
      <c r="P233" s="117" t="str">
        <f t="shared" si="53"/>
        <v/>
      </c>
      <c r="Q233" s="117" t="str">
        <f t="shared" si="53"/>
        <v/>
      </c>
      <c r="R233" s="117" t="str">
        <f t="shared" si="53"/>
        <v/>
      </c>
      <c r="S233" s="117" t="str">
        <f t="shared" si="53"/>
        <v/>
      </c>
      <c r="T233" s="117" t="str">
        <f t="shared" si="53"/>
        <v/>
      </c>
      <c r="U233" s="117" t="str">
        <f t="shared" si="53"/>
        <v/>
      </c>
      <c r="V233" s="117" t="str">
        <f t="shared" si="53"/>
        <v/>
      </c>
      <c r="W233" s="117" t="str">
        <f t="shared" si="53"/>
        <v/>
      </c>
      <c r="X233" s="117" t="str">
        <f t="shared" si="53"/>
        <v/>
      </c>
      <c r="Y233" s="117" t="str">
        <f t="shared" si="53"/>
        <v/>
      </c>
      <c r="Z233" s="117" t="str">
        <f t="shared" si="53"/>
        <v/>
      </c>
      <c r="AA233" s="117" t="str">
        <f t="shared" si="53"/>
        <v/>
      </c>
      <c r="AB233" s="117" t="str">
        <f t="shared" si="53"/>
        <v/>
      </c>
      <c r="AC233" s="117" t="str">
        <f t="shared" si="53"/>
        <v/>
      </c>
      <c r="AD233" s="117" t="str">
        <f t="shared" si="53"/>
        <v/>
      </c>
      <c r="AE233" s="117" t="str">
        <f t="shared" si="53"/>
        <v/>
      </c>
      <c r="AF233" s="117" t="str">
        <f t="shared" si="53"/>
        <v/>
      </c>
      <c r="AG233" s="47"/>
      <c r="AH233" s="47"/>
    </row>
    <row r="234" spans="1:34" x14ac:dyDescent="0.25">
      <c r="A234" s="117" t="str">
        <f>A201</f>
        <v>MMRS</v>
      </c>
      <c r="B234" s="117" t="str">
        <f t="shared" ref="B234:AF234" si="54">IF(B201&lt;100,"",B201-620)</f>
        <v/>
      </c>
      <c r="C234" s="117" t="str">
        <f t="shared" si="54"/>
        <v/>
      </c>
      <c r="D234" s="117" t="str">
        <f t="shared" si="54"/>
        <v/>
      </c>
      <c r="E234" s="117" t="str">
        <f t="shared" si="54"/>
        <v/>
      </c>
      <c r="F234" s="117" t="str">
        <f t="shared" si="54"/>
        <v/>
      </c>
      <c r="G234" s="117" t="str">
        <f t="shared" si="54"/>
        <v/>
      </c>
      <c r="H234" s="117" t="str">
        <f t="shared" si="54"/>
        <v/>
      </c>
      <c r="I234" s="117" t="str">
        <f t="shared" si="54"/>
        <v/>
      </c>
      <c r="J234" s="117" t="str">
        <f t="shared" si="54"/>
        <v/>
      </c>
      <c r="K234" s="117" t="str">
        <f t="shared" si="54"/>
        <v/>
      </c>
      <c r="L234" s="117" t="str">
        <f t="shared" si="54"/>
        <v/>
      </c>
      <c r="M234" s="117" t="str">
        <f t="shared" si="54"/>
        <v/>
      </c>
      <c r="N234" s="117" t="str">
        <f t="shared" si="54"/>
        <v/>
      </c>
      <c r="O234" s="117" t="str">
        <f t="shared" si="54"/>
        <v/>
      </c>
      <c r="P234" s="117" t="str">
        <f t="shared" si="54"/>
        <v/>
      </c>
      <c r="Q234" s="117" t="str">
        <f t="shared" si="54"/>
        <v/>
      </c>
      <c r="R234" s="117" t="str">
        <f t="shared" si="54"/>
        <v/>
      </c>
      <c r="S234" s="117" t="str">
        <f t="shared" si="54"/>
        <v/>
      </c>
      <c r="T234" s="117" t="str">
        <f t="shared" si="54"/>
        <v/>
      </c>
      <c r="U234" s="117" t="str">
        <f t="shared" si="54"/>
        <v/>
      </c>
      <c r="V234" s="117" t="str">
        <f t="shared" si="54"/>
        <v/>
      </c>
      <c r="W234" s="117" t="str">
        <f t="shared" si="54"/>
        <v/>
      </c>
      <c r="X234" s="117" t="str">
        <f t="shared" si="54"/>
        <v/>
      </c>
      <c r="Y234" s="117" t="str">
        <f t="shared" si="54"/>
        <v/>
      </c>
      <c r="Z234" s="117" t="str">
        <f t="shared" si="54"/>
        <v/>
      </c>
      <c r="AA234" s="117" t="str">
        <f t="shared" si="54"/>
        <v/>
      </c>
      <c r="AB234" s="117" t="str">
        <f t="shared" si="54"/>
        <v/>
      </c>
      <c r="AC234" s="117" t="str">
        <f t="shared" si="54"/>
        <v/>
      </c>
      <c r="AD234" s="117" t="str">
        <f t="shared" si="54"/>
        <v/>
      </c>
      <c r="AE234" s="117" t="str">
        <f t="shared" si="54"/>
        <v/>
      </c>
      <c r="AF234" s="117" t="str">
        <f t="shared" si="54"/>
        <v/>
      </c>
      <c r="AG234" s="47"/>
      <c r="AH234" s="47"/>
    </row>
    <row r="235" spans="1:34" x14ac:dyDescent="0.25">
      <c r="A235" s="117" t="str">
        <f>A202</f>
        <v>MRS</v>
      </c>
      <c r="B235" s="117" t="str">
        <f t="shared" ref="B235:AF235" si="55">IF(B202&lt;100,"",B202-330)</f>
        <v/>
      </c>
      <c r="C235" s="117" t="str">
        <f t="shared" si="55"/>
        <v/>
      </c>
      <c r="D235" s="117" t="str">
        <f t="shared" si="55"/>
        <v/>
      </c>
      <c r="E235" s="117" t="str">
        <f t="shared" si="55"/>
        <v/>
      </c>
      <c r="F235" s="117" t="str">
        <f t="shared" si="55"/>
        <v/>
      </c>
      <c r="G235" s="117" t="str">
        <f t="shared" si="55"/>
        <v/>
      </c>
      <c r="H235" s="117" t="str">
        <f t="shared" si="55"/>
        <v/>
      </c>
      <c r="I235" s="117" t="str">
        <f t="shared" si="55"/>
        <v/>
      </c>
      <c r="J235" s="117" t="str">
        <f t="shared" si="55"/>
        <v/>
      </c>
      <c r="K235" s="117" t="str">
        <f t="shared" si="55"/>
        <v/>
      </c>
      <c r="L235" s="117" t="str">
        <f t="shared" si="55"/>
        <v/>
      </c>
      <c r="M235" s="117" t="str">
        <f t="shared" si="55"/>
        <v/>
      </c>
      <c r="N235" s="117" t="str">
        <f t="shared" si="55"/>
        <v/>
      </c>
      <c r="O235" s="117" t="str">
        <f t="shared" si="55"/>
        <v/>
      </c>
      <c r="P235" s="117" t="str">
        <f t="shared" si="55"/>
        <v/>
      </c>
      <c r="Q235" s="117" t="str">
        <f t="shared" si="55"/>
        <v/>
      </c>
      <c r="R235" s="117" t="str">
        <f t="shared" si="55"/>
        <v/>
      </c>
      <c r="S235" s="117" t="str">
        <f t="shared" si="55"/>
        <v/>
      </c>
      <c r="T235" s="117" t="str">
        <f t="shared" si="55"/>
        <v/>
      </c>
      <c r="U235" s="117" t="str">
        <f t="shared" si="55"/>
        <v/>
      </c>
      <c r="V235" s="117" t="str">
        <f t="shared" si="55"/>
        <v/>
      </c>
      <c r="W235" s="117" t="str">
        <f t="shared" si="55"/>
        <v/>
      </c>
      <c r="X235" s="117" t="str">
        <f t="shared" si="55"/>
        <v/>
      </c>
      <c r="Y235" s="117" t="str">
        <f t="shared" si="55"/>
        <v/>
      </c>
      <c r="Z235" s="117" t="str">
        <f t="shared" si="55"/>
        <v/>
      </c>
      <c r="AA235" s="117" t="str">
        <f t="shared" si="55"/>
        <v/>
      </c>
      <c r="AB235" s="117" t="str">
        <f t="shared" si="55"/>
        <v/>
      </c>
      <c r="AC235" s="117" t="str">
        <f t="shared" si="55"/>
        <v/>
      </c>
      <c r="AD235" s="117" t="str">
        <f t="shared" si="55"/>
        <v/>
      </c>
      <c r="AE235" s="117" t="str">
        <f t="shared" si="55"/>
        <v/>
      </c>
      <c r="AF235" s="117" t="str">
        <f t="shared" si="55"/>
        <v/>
      </c>
      <c r="AG235" s="47"/>
      <c r="AH235" s="47"/>
    </row>
    <row r="236" spans="1:34" x14ac:dyDescent="0.25">
      <c r="A236" s="117" t="str">
        <f>A203</f>
        <v>KL 1</v>
      </c>
      <c r="B236" s="117" t="str">
        <f>IF(B203&lt;100,"",B203-1500)</f>
        <v/>
      </c>
      <c r="C236" s="117" t="str">
        <f t="shared" ref="C236:AF236" si="56">IF(C203&lt;100,"",C203-1500)</f>
        <v/>
      </c>
      <c r="D236" s="117" t="str">
        <f t="shared" si="56"/>
        <v/>
      </c>
      <c r="E236" s="117" t="str">
        <f t="shared" si="56"/>
        <v/>
      </c>
      <c r="F236" s="117" t="str">
        <f t="shared" si="56"/>
        <v/>
      </c>
      <c r="G236" s="117" t="str">
        <f t="shared" si="56"/>
        <v/>
      </c>
      <c r="H236" s="117" t="str">
        <f t="shared" si="56"/>
        <v/>
      </c>
      <c r="I236" s="117" t="str">
        <f t="shared" si="56"/>
        <v/>
      </c>
      <c r="J236" s="117" t="str">
        <f t="shared" si="56"/>
        <v/>
      </c>
      <c r="K236" s="117" t="str">
        <f t="shared" si="56"/>
        <v/>
      </c>
      <c r="L236" s="117" t="str">
        <f t="shared" si="56"/>
        <v/>
      </c>
      <c r="M236" s="117" t="str">
        <f t="shared" si="56"/>
        <v/>
      </c>
      <c r="N236" s="117" t="str">
        <f t="shared" si="56"/>
        <v/>
      </c>
      <c r="O236" s="117" t="str">
        <f t="shared" si="56"/>
        <v/>
      </c>
      <c r="P236" s="117" t="str">
        <f t="shared" si="56"/>
        <v/>
      </c>
      <c r="Q236" s="117" t="str">
        <f t="shared" si="56"/>
        <v/>
      </c>
      <c r="R236" s="117" t="str">
        <f t="shared" si="56"/>
        <v/>
      </c>
      <c r="S236" s="117" t="str">
        <f t="shared" si="56"/>
        <v/>
      </c>
      <c r="T236" s="117" t="str">
        <f t="shared" si="56"/>
        <v/>
      </c>
      <c r="U236" s="117" t="str">
        <f t="shared" si="56"/>
        <v/>
      </c>
      <c r="V236" s="117" t="str">
        <f t="shared" si="56"/>
        <v/>
      </c>
      <c r="W236" s="117" t="str">
        <f t="shared" si="56"/>
        <v/>
      </c>
      <c r="X236" s="117" t="str">
        <f t="shared" si="56"/>
        <v/>
      </c>
      <c r="Y236" s="117" t="str">
        <f t="shared" si="56"/>
        <v/>
      </c>
      <c r="Z236" s="117" t="str">
        <f t="shared" si="56"/>
        <v/>
      </c>
      <c r="AA236" s="117" t="str">
        <f t="shared" si="56"/>
        <v/>
      </c>
      <c r="AB236" s="117" t="str">
        <f t="shared" si="56"/>
        <v/>
      </c>
      <c r="AC236" s="117" t="str">
        <f t="shared" si="56"/>
        <v/>
      </c>
      <c r="AD236" s="117" t="str">
        <f t="shared" si="56"/>
        <v/>
      </c>
      <c r="AE236" s="117" t="str">
        <f t="shared" si="56"/>
        <v/>
      </c>
      <c r="AF236" s="117" t="str">
        <f t="shared" si="56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8" priority="270">
      <formula>S$9&gt;=20/24</formula>
    </cfRule>
    <cfRule type="expression" dxfId="527" priority="271">
      <formula>AND(S$9&gt;=14/24,S$9&lt;20/24)</formula>
    </cfRule>
    <cfRule type="expression" dxfId="526" priority="272">
      <formula>AND(S$9&gt;=8/24,S$9&lt;14/24)</formula>
    </cfRule>
    <cfRule type="expression" dxfId="525" priority="273">
      <formula>S$9&lt;8/24</formula>
    </cfRule>
  </conditionalFormatting>
  <conditionalFormatting sqref="B8:AF10 AA79:AF79 B79:Q79 B54:AF54 B80:AF80 C191:AF197 L35:Q35 AE55:AF58 B66:AF70 B55:K57 M60:M65 T210:AX210 B61:C65 B58:N58 O37:Q37 L37:N40 B59:M59 N59:N65 O38:P40 Q40 M43:Q46 O58:Q65 L12:Q13 L15:Q16 Q38:S39 L18:Q31 L11:Y11 L56:V57 Y12:Y13 L17:X17 R18:X29 T38:X40 W83:Z89 Y26:Z26 Z11:AD13 Y15:AD25 Y27:AD30 Y38:AD41 AA82:AF89 L51:AF53 B72:AF76 B78:AF78">
    <cfRule type="expression" dxfId="524" priority="266">
      <formula>B$9&gt;=20/24</formula>
    </cfRule>
    <cfRule type="expression" dxfId="523" priority="267">
      <formula>AND(B$9&gt;=14/24,B$9&lt;20/24)</formula>
    </cfRule>
    <cfRule type="expression" dxfId="522" priority="268">
      <formula>AND(B$9&gt;=8/24,B$9&lt;14/24)</formula>
    </cfRule>
    <cfRule type="expression" dxfId="521" priority="269">
      <formula>B$9&lt;8/24</formula>
    </cfRule>
  </conditionalFormatting>
  <conditionalFormatting sqref="B189:AF189">
    <cfRule type="expression" dxfId="520" priority="262">
      <formula>B$9&gt;=20/24</formula>
    </cfRule>
    <cfRule type="expression" dxfId="519" priority="263">
      <formula>AND(B$9&gt;=14/24,B$9&lt;20/24)</formula>
    </cfRule>
    <cfRule type="expression" dxfId="518" priority="264">
      <formula>AND(B$9&gt;=8/24,B$9&lt;14/24)</formula>
    </cfRule>
    <cfRule type="expression" dxfId="517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516" priority="257">
      <formula>L$9&gt;=20/24</formula>
    </cfRule>
    <cfRule type="expression" dxfId="515" priority="258">
      <formula>AND(L$9&gt;=14/24,L$9&lt;20/24)</formula>
    </cfRule>
    <cfRule type="expression" dxfId="514" priority="259">
      <formula>AND(L$9&gt;=8/24,L$9&lt;14/24)</formula>
    </cfRule>
    <cfRule type="expression" dxfId="513" priority="260">
      <formula>L$9&lt;8/24</formula>
    </cfRule>
  </conditionalFormatting>
  <conditionalFormatting sqref="L41:Q41">
    <cfRule type="expression" dxfId="512" priority="253">
      <formula>L$9&gt;=20/24</formula>
    </cfRule>
    <cfRule type="expression" dxfId="511" priority="254">
      <formula>AND(L$9&gt;=14/24,L$9&lt;20/24)</formula>
    </cfRule>
    <cfRule type="expression" dxfId="510" priority="255">
      <formula>AND(L$9&gt;=8/24,L$9&lt;14/24)</formula>
    </cfRule>
    <cfRule type="expression" dxfId="509" priority="256">
      <formula>L$9&lt;8/24</formula>
    </cfRule>
  </conditionalFormatting>
  <conditionalFormatting sqref="Y31:AD31">
    <cfRule type="expression" dxfId="508" priority="249">
      <formula>Y$9&gt;=20/24</formula>
    </cfRule>
    <cfRule type="expression" dxfId="507" priority="250">
      <formula>AND(Y$9&gt;=14/24,Y$9&lt;20/24)</formula>
    </cfRule>
    <cfRule type="expression" dxfId="506" priority="251">
      <formula>AND(Y$9&gt;=8/24,Y$9&lt;14/24)</formula>
    </cfRule>
    <cfRule type="expression" dxfId="505" priority="252">
      <formula>Y$9&lt;8/24</formula>
    </cfRule>
  </conditionalFormatting>
  <conditionalFormatting sqref="R37:AD37">
    <cfRule type="expression" dxfId="504" priority="245">
      <formula>R$9&gt;=20/24</formula>
    </cfRule>
    <cfRule type="expression" dxfId="503" priority="246">
      <formula>AND(R$9&gt;=14/24,R$9&lt;20/24)</formula>
    </cfRule>
    <cfRule type="expression" dxfId="502" priority="247">
      <formula>AND(R$9&gt;=8/24,R$9&lt;14/24)</formula>
    </cfRule>
    <cfRule type="expression" dxfId="501" priority="248">
      <formula>R$9&lt;8/24</formula>
    </cfRule>
  </conditionalFormatting>
  <conditionalFormatting sqref="R55:AD55">
    <cfRule type="expression" dxfId="500" priority="241">
      <formula>R$9&gt;=20/24</formula>
    </cfRule>
    <cfRule type="expression" dxfId="499" priority="242">
      <formula>AND(R$9&gt;=14/24,R$9&lt;20/24)</formula>
    </cfRule>
    <cfRule type="expression" dxfId="498" priority="243">
      <formula>AND(R$9&gt;=8/24,R$9&lt;14/24)</formula>
    </cfRule>
    <cfRule type="expression" dxfId="497" priority="244">
      <formula>R$9&lt;8/24</formula>
    </cfRule>
  </conditionalFormatting>
  <conditionalFormatting sqref="R79:Z79">
    <cfRule type="expression" dxfId="496" priority="237">
      <formula>R$9&gt;=20/24</formula>
    </cfRule>
    <cfRule type="expression" dxfId="495" priority="238">
      <formula>AND(R$9&gt;=14/24,R$9&lt;20/24)</formula>
    </cfRule>
    <cfRule type="expression" dxfId="494" priority="239">
      <formula>AND(R$9&gt;=8/24,R$9&lt;14/24)</formula>
    </cfRule>
    <cfRule type="expression" dxfId="493" priority="240">
      <formula>R$9&lt;8/24</formula>
    </cfRule>
  </conditionalFormatting>
  <conditionalFormatting sqref="T82:Z82">
    <cfRule type="expression" dxfId="492" priority="233">
      <formula>T$9&gt;=20/24</formula>
    </cfRule>
    <cfRule type="expression" dxfId="491" priority="234">
      <formula>AND(T$9&gt;=14/24,T$9&lt;20/24)</formula>
    </cfRule>
    <cfRule type="expression" dxfId="490" priority="235">
      <formula>AND(T$9&gt;=8/24,T$9&lt;14/24)</formula>
    </cfRule>
    <cfRule type="expression" dxfId="489" priority="236">
      <formula>T$9&lt;8/24</formula>
    </cfRule>
  </conditionalFormatting>
  <conditionalFormatting sqref="L33:Q33">
    <cfRule type="expression" dxfId="488" priority="229">
      <formula>L$9&gt;=20/24</formula>
    </cfRule>
    <cfRule type="expression" dxfId="487" priority="230">
      <formula>AND(L$9&gt;=14/24,L$9&lt;20/24)</formula>
    </cfRule>
    <cfRule type="expression" dxfId="486" priority="231">
      <formula>AND(L$9&gt;=8/24,L$9&lt;14/24)</formula>
    </cfRule>
    <cfRule type="expression" dxfId="485" priority="232">
      <formula>L$9&lt;8/24</formula>
    </cfRule>
  </conditionalFormatting>
  <conditionalFormatting sqref="L47:S47">
    <cfRule type="expression" dxfId="484" priority="225">
      <formula>L$9&gt;=20/24</formula>
    </cfRule>
    <cfRule type="expression" dxfId="483" priority="226">
      <formula>AND(L$9&gt;=14/24,L$9&lt;20/24)</formula>
    </cfRule>
    <cfRule type="expression" dxfId="482" priority="227">
      <formula>AND(L$9&gt;=8/24,L$9&lt;14/24)</formula>
    </cfRule>
    <cfRule type="expression" dxfId="481" priority="228">
      <formula>L$9&lt;8/24</formula>
    </cfRule>
  </conditionalFormatting>
  <conditionalFormatting sqref="L48:Q48">
    <cfRule type="expression" dxfId="480" priority="221">
      <formula>L$9&gt;=20/24</formula>
    </cfRule>
    <cfRule type="expression" dxfId="479" priority="222">
      <formula>AND(L$9&gt;=14/24,L$9&lt;20/24)</formula>
    </cfRule>
    <cfRule type="expression" dxfId="478" priority="223">
      <formula>AND(L$9&gt;=8/24,L$9&lt;14/24)</formula>
    </cfRule>
    <cfRule type="expression" dxfId="477" priority="224">
      <formula>L$9&lt;8/24</formula>
    </cfRule>
  </conditionalFormatting>
  <conditionalFormatting sqref="L43:Q46">
    <cfRule type="expression" dxfId="476" priority="217">
      <formula>L$9&gt;=20/24</formula>
    </cfRule>
    <cfRule type="expression" dxfId="475" priority="218">
      <formula>AND(L$9&gt;=14/24,L$9&lt;20/24)</formula>
    </cfRule>
    <cfRule type="expression" dxfId="474" priority="219">
      <formula>AND(L$9&gt;=8/24,L$9&lt;14/24)</formula>
    </cfRule>
    <cfRule type="expression" dxfId="473" priority="220">
      <formula>L$9&lt;8/24</formula>
    </cfRule>
  </conditionalFormatting>
  <conditionalFormatting sqref="R35:AD35">
    <cfRule type="expression" dxfId="472" priority="213">
      <formula>R$9&gt;=20/24</formula>
    </cfRule>
    <cfRule type="expression" dxfId="471" priority="214">
      <formula>AND(R$9&gt;=14/24,R$9&lt;20/24)</formula>
    </cfRule>
    <cfRule type="expression" dxfId="470" priority="215">
      <formula>AND(R$9&gt;=8/24,R$9&lt;14/24)</formula>
    </cfRule>
    <cfRule type="expression" dxfId="469" priority="216">
      <formula>R$9&lt;8/24</formula>
    </cfRule>
  </conditionalFormatting>
  <conditionalFormatting sqref="R30:X31 R33:AD33">
    <cfRule type="expression" dxfId="468" priority="209">
      <formula>R$9&gt;=20/24</formula>
    </cfRule>
    <cfRule type="expression" dxfId="467" priority="210">
      <formula>AND(R$9&gt;=14/24,R$9&lt;20/24)</formula>
    </cfRule>
    <cfRule type="expression" dxfId="466" priority="211">
      <formula>AND(R$9&gt;=8/24,R$9&lt;14/24)</formula>
    </cfRule>
    <cfRule type="expression" dxfId="465" priority="212">
      <formula>R$9&lt;8/24</formula>
    </cfRule>
  </conditionalFormatting>
  <conditionalFormatting sqref="R40:S41 T41:X41 R43:AD46">
    <cfRule type="expression" dxfId="464" priority="205">
      <formula>R$9&gt;=20/24</formula>
    </cfRule>
    <cfRule type="expression" dxfId="463" priority="206">
      <formula>AND(R$9&gt;=14/24,R$9&lt;20/24)</formula>
    </cfRule>
    <cfRule type="expression" dxfId="462" priority="207">
      <formula>AND(R$9&gt;=8/24,R$9&lt;14/24)</formula>
    </cfRule>
    <cfRule type="expression" dxfId="461" priority="208">
      <formula>R$9&lt;8/24</formula>
    </cfRule>
  </conditionalFormatting>
  <conditionalFormatting sqref="R47:AD47">
    <cfRule type="expression" dxfId="460" priority="201">
      <formula>R$9&gt;=20/24</formula>
    </cfRule>
    <cfRule type="expression" dxfId="459" priority="202">
      <formula>AND(R$9&gt;=14/24,R$9&lt;20/24)</formula>
    </cfRule>
    <cfRule type="expression" dxfId="458" priority="203">
      <formula>AND(R$9&gt;=8/24,R$9&lt;14/24)</formula>
    </cfRule>
    <cfRule type="expression" dxfId="457" priority="204">
      <formula>R$9&lt;8/24</formula>
    </cfRule>
  </conditionalFormatting>
  <conditionalFormatting sqref="R48:AD48">
    <cfRule type="expression" dxfId="456" priority="197">
      <formula>R$9&gt;=20/24</formula>
    </cfRule>
    <cfRule type="expression" dxfId="455" priority="198">
      <formula>AND(R$9&gt;=14/24,R$9&lt;20/24)</formula>
    </cfRule>
    <cfRule type="expression" dxfId="454" priority="199">
      <formula>AND(R$9&gt;=8/24,R$9&lt;14/24)</formula>
    </cfRule>
    <cfRule type="expression" dxfId="453" priority="200">
      <formula>R$9&lt;8/24</formula>
    </cfRule>
  </conditionalFormatting>
  <conditionalFormatting sqref="AE59:AF65 R58:S65 W58:AD65">
    <cfRule type="expression" dxfId="452" priority="193">
      <formula>R$9&gt;=20/24</formula>
    </cfRule>
    <cfRule type="expression" dxfId="451" priority="194">
      <formula>AND(R$9&gt;=14/24,R$9&lt;20/24)</formula>
    </cfRule>
    <cfRule type="expression" dxfId="450" priority="195">
      <formula>AND(R$9&gt;=8/24,R$9&lt;14/24)</formula>
    </cfRule>
    <cfRule type="expression" dxfId="449" priority="196">
      <formula>R$9&lt;8/24</formula>
    </cfRule>
  </conditionalFormatting>
  <conditionalFormatting sqref="AA92:AF95">
    <cfRule type="expression" dxfId="448" priority="189">
      <formula>AA$9&gt;=20/24</formula>
    </cfRule>
    <cfRule type="expression" dxfId="447" priority="190">
      <formula>AND(AA$9&gt;=14/24,AA$9&lt;20/24)</formula>
    </cfRule>
    <cfRule type="expression" dxfId="446" priority="191">
      <formula>AND(AA$9&gt;=8/24,AA$9&lt;14/24)</formula>
    </cfRule>
    <cfRule type="expression" dxfId="445" priority="192">
      <formula>AA$9&lt;8/24</formula>
    </cfRule>
  </conditionalFormatting>
  <conditionalFormatting sqref="B60:H60 H61:H65 I60:K65">
    <cfRule type="expression" dxfId="444" priority="185">
      <formula>B$9&gt;=20/24</formula>
    </cfRule>
    <cfRule type="expression" dxfId="443" priority="186">
      <formula>AND(B$9&gt;=14/24,B$9&lt;20/24)</formula>
    </cfRule>
    <cfRule type="expression" dxfId="442" priority="187">
      <formula>AND(B$9&gt;=8/24,B$9&lt;14/24)</formula>
    </cfRule>
    <cfRule type="expression" dxfId="441" priority="188">
      <formula>B$9&lt;8/24</formula>
    </cfRule>
  </conditionalFormatting>
  <conditionalFormatting sqref="T92:Z95">
    <cfRule type="expression" dxfId="440" priority="181">
      <formula>T$9&gt;=20/24</formula>
    </cfRule>
    <cfRule type="expression" dxfId="439" priority="182">
      <formula>AND(T$9&gt;=14/24,T$9&lt;20/24)</formula>
    </cfRule>
    <cfRule type="expression" dxfId="438" priority="183">
      <formula>AND(T$9&gt;=8/24,T$9&lt;14/24)</formula>
    </cfRule>
    <cfRule type="expression" dxfId="437" priority="184">
      <formula>T$9&lt;8/24</formula>
    </cfRule>
  </conditionalFormatting>
  <conditionalFormatting sqref="AG49 B12:Q13 B15:Q16 Y15:Y16 B17:Y31 B11:AF11 Z15:AF31 B33:AF41 Y12:AF13 B43:AF54">
    <cfRule type="expression" dxfId="436" priority="180">
      <formula>B11&gt;$AG11</formula>
    </cfRule>
  </conditionalFormatting>
  <conditionalFormatting sqref="A98:A154 A82:A95 A11:A13 A15:A31 A43:A70 A78:A80 A72:A76 A33:A41 A167:A198">
    <cfRule type="expression" dxfId="435" priority="179">
      <formula>$AH11=0</formula>
    </cfRule>
  </conditionalFormatting>
  <conditionalFormatting sqref="AA96:AF96">
    <cfRule type="expression" dxfId="434" priority="175">
      <formula>AA$9&gt;=20/24</formula>
    </cfRule>
    <cfRule type="expression" dxfId="433" priority="176">
      <formula>AND(AA$9&gt;=14/24,AA$9&lt;20/24)</formula>
    </cfRule>
    <cfRule type="expression" dxfId="432" priority="177">
      <formula>AND(AA$9&gt;=8/24,AA$9&lt;14/24)</formula>
    </cfRule>
    <cfRule type="expression" dxfId="431" priority="178">
      <formula>AA$9&lt;8/24</formula>
    </cfRule>
  </conditionalFormatting>
  <conditionalFormatting sqref="T96:Z96">
    <cfRule type="expression" dxfId="430" priority="171">
      <formula>T$9&gt;=20/24</formula>
    </cfRule>
    <cfRule type="expression" dxfId="429" priority="172">
      <formula>AND(T$9&gt;=14/24,T$9&lt;20/24)</formula>
    </cfRule>
    <cfRule type="expression" dxfId="428" priority="173">
      <formula>AND(T$9&gt;=8/24,T$9&lt;14/24)</formula>
    </cfRule>
    <cfRule type="expression" dxfId="427" priority="174">
      <formula>T$9&lt;8/24</formula>
    </cfRule>
  </conditionalFormatting>
  <conditionalFormatting sqref="A96">
    <cfRule type="expression" dxfId="426" priority="170">
      <formula>$AH96=0</formula>
    </cfRule>
  </conditionalFormatting>
  <conditionalFormatting sqref="C34:AF34">
    <cfRule type="expression" dxfId="425" priority="166">
      <formula>C$9&gt;=20/24</formula>
    </cfRule>
    <cfRule type="expression" dxfId="424" priority="167">
      <formula>AND(C$9&gt;=14/24,C$9&lt;20/24)</formula>
    </cfRule>
    <cfRule type="expression" dxfId="423" priority="168">
      <formula>AND(C$9&gt;=8/24,C$9&lt;14/24)</formula>
    </cfRule>
    <cfRule type="expression" dxfId="422" priority="169">
      <formula>C$9&lt;8/24</formula>
    </cfRule>
  </conditionalFormatting>
  <conditionalFormatting sqref="R34:AF34">
    <cfRule type="expression" dxfId="421" priority="162">
      <formula>R$9&gt;=20/24</formula>
    </cfRule>
    <cfRule type="expression" dxfId="420" priority="163">
      <formula>AND(R$9&gt;=14/24,R$9&lt;20/24)</formula>
    </cfRule>
    <cfRule type="expression" dxfId="419" priority="164">
      <formula>AND(R$9&gt;=8/24,R$9&lt;14/24)</formula>
    </cfRule>
    <cfRule type="expression" dxfId="418" priority="165">
      <formula>R$9&lt;8/24</formula>
    </cfRule>
  </conditionalFormatting>
  <conditionalFormatting sqref="B34">
    <cfRule type="expression" dxfId="417" priority="158">
      <formula>B$9&gt;=20/24</formula>
    </cfRule>
    <cfRule type="expression" dxfId="416" priority="159">
      <formula>AND(B$9&gt;=14/24,B$9&lt;20/24)</formula>
    </cfRule>
    <cfRule type="expression" dxfId="415" priority="160">
      <formula>AND(B$9&gt;=8/24,B$9&lt;14/24)</formula>
    </cfRule>
    <cfRule type="expression" dxfId="414" priority="161">
      <formula>B$9&lt;8/24</formula>
    </cfRule>
  </conditionalFormatting>
  <conditionalFormatting sqref="D61:G65">
    <cfRule type="expression" dxfId="413" priority="154">
      <formula>D$9&gt;=20/24</formula>
    </cfRule>
    <cfRule type="expression" dxfId="412" priority="155">
      <formula>AND(D$9&gt;=14/24,D$9&lt;20/24)</formula>
    </cfRule>
    <cfRule type="expression" dxfId="411" priority="156">
      <formula>AND(D$9&gt;=8/24,D$9&lt;14/24)</formula>
    </cfRule>
    <cfRule type="expression" dxfId="410" priority="157">
      <formula>D$9&lt;8/24</formula>
    </cfRule>
  </conditionalFormatting>
  <conditionalFormatting sqref="L60:L65">
    <cfRule type="expression" dxfId="409" priority="150">
      <formula>L$9&gt;=20/24</formula>
    </cfRule>
    <cfRule type="expression" dxfId="408" priority="151">
      <formula>AND(L$9&gt;=14/24,L$9&lt;20/24)</formula>
    </cfRule>
    <cfRule type="expression" dxfId="407" priority="152">
      <formula>AND(L$9&gt;=8/24,L$9&lt;14/24)</formula>
    </cfRule>
    <cfRule type="expression" dxfId="406" priority="153">
      <formula>L$9&lt;8/24</formula>
    </cfRule>
  </conditionalFormatting>
  <conditionalFormatting sqref="AL31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2:AD32">
    <cfRule type="expression" dxfId="405" priority="145">
      <formula>Y$9&gt;=20/24</formula>
    </cfRule>
    <cfRule type="expression" dxfId="404" priority="146">
      <formula>AND(Y$9&gt;=14/24,Y$9&lt;20/24)</formula>
    </cfRule>
    <cfRule type="expression" dxfId="403" priority="147">
      <formula>AND(Y$9&gt;=8/24,Y$9&lt;14/24)</formula>
    </cfRule>
    <cfRule type="expression" dxfId="402" priority="148">
      <formula>Y$9&lt;8/24</formula>
    </cfRule>
  </conditionalFormatting>
  <conditionalFormatting sqref="L32:Q32">
    <cfRule type="expression" dxfId="401" priority="141">
      <formula>L$9&gt;=20/24</formula>
    </cfRule>
    <cfRule type="expression" dxfId="400" priority="142">
      <formula>AND(L$9&gt;=14/24,L$9&lt;20/24)</formula>
    </cfRule>
    <cfRule type="expression" dxfId="399" priority="143">
      <formula>AND(L$9&gt;=8/24,L$9&lt;14/24)</formula>
    </cfRule>
    <cfRule type="expression" dxfId="398" priority="144">
      <formula>L$9&lt;8/24</formula>
    </cfRule>
  </conditionalFormatting>
  <conditionalFormatting sqref="R32:X32">
    <cfRule type="expression" dxfId="397" priority="137">
      <formula>R$9&gt;=20/24</formula>
    </cfRule>
    <cfRule type="expression" dxfId="396" priority="138">
      <formula>AND(R$9&gt;=14/24,R$9&lt;20/24)</formula>
    </cfRule>
    <cfRule type="expression" dxfId="395" priority="139">
      <formula>AND(R$9&gt;=8/24,R$9&lt;14/24)</formula>
    </cfRule>
    <cfRule type="expression" dxfId="394" priority="140">
      <formula>R$9&lt;8/24</formula>
    </cfRule>
  </conditionalFormatting>
  <conditionalFormatting sqref="B32:AF32">
    <cfRule type="expression" dxfId="393" priority="136">
      <formula>B32&gt;$AG32</formula>
    </cfRule>
  </conditionalFormatting>
  <conditionalFormatting sqref="A32">
    <cfRule type="expression" dxfId="392" priority="135">
      <formula>$AH32=0</formula>
    </cfRule>
  </conditionalFormatting>
  <conditionalFormatting sqref="B81:AF81">
    <cfRule type="expression" dxfId="391" priority="131">
      <formula>B$9&gt;=20/24</formula>
    </cfRule>
    <cfRule type="expression" dxfId="390" priority="132">
      <formula>AND(B$9&gt;=14/24,B$9&lt;20/24)</formula>
    </cfRule>
    <cfRule type="expression" dxfId="389" priority="133">
      <formula>AND(B$9&gt;=8/24,B$9&lt;14/24)</formula>
    </cfRule>
    <cfRule type="expression" dxfId="388" priority="134">
      <formula>B$9&lt;8/24</formula>
    </cfRule>
  </conditionalFormatting>
  <conditionalFormatting sqref="A81">
    <cfRule type="expression" dxfId="387" priority="130">
      <formula>$AH81=0</formula>
    </cfRule>
  </conditionalFormatting>
  <conditionalFormatting sqref="Y14:AD14">
    <cfRule type="expression" dxfId="386" priority="126">
      <formula>Y$9&gt;=20/24</formula>
    </cfRule>
    <cfRule type="expression" dxfId="385" priority="127">
      <formula>AND(Y$9&gt;=14/24,Y$9&lt;20/24)</formula>
    </cfRule>
    <cfRule type="expression" dxfId="384" priority="128">
      <formula>AND(Y$9&gt;=8/24,Y$9&lt;14/24)</formula>
    </cfRule>
    <cfRule type="expression" dxfId="383" priority="129">
      <formula>Y$9&lt;8/24</formula>
    </cfRule>
  </conditionalFormatting>
  <conditionalFormatting sqref="L14:Q14">
    <cfRule type="expression" dxfId="382" priority="122">
      <formula>L$9&gt;=20/24</formula>
    </cfRule>
    <cfRule type="expression" dxfId="381" priority="123">
      <formula>AND(L$9&gt;=14/24,L$9&lt;20/24)</formula>
    </cfRule>
    <cfRule type="expression" dxfId="380" priority="124">
      <formula>AND(L$9&gt;=8/24,L$9&lt;14/24)</formula>
    </cfRule>
    <cfRule type="expression" dxfId="379" priority="125">
      <formula>L$9&lt;8/24</formula>
    </cfRule>
  </conditionalFormatting>
  <conditionalFormatting sqref="B14:Q14 Y14:AF14">
    <cfRule type="expression" dxfId="378" priority="121">
      <formula>B14&gt;$AG14</formula>
    </cfRule>
  </conditionalFormatting>
  <conditionalFormatting sqref="A14">
    <cfRule type="expression" dxfId="377" priority="120">
      <formula>$AH14=0</formula>
    </cfRule>
  </conditionalFormatting>
  <conditionalFormatting sqref="A161:A166">
    <cfRule type="expression" dxfId="376" priority="119">
      <formula>$AH161=0</formula>
    </cfRule>
  </conditionalFormatting>
  <conditionalFormatting sqref="A155:A160">
    <cfRule type="expression" dxfId="375" priority="118">
      <formula>$AH155=0</formula>
    </cfRule>
  </conditionalFormatting>
  <conditionalFormatting sqref="Y42:AD42">
    <cfRule type="expression" dxfId="374" priority="114">
      <formula>Y$9&gt;=20/24</formula>
    </cfRule>
    <cfRule type="expression" dxfId="373" priority="115">
      <formula>AND(Y$9&gt;=14/24,Y$9&lt;20/24)</formula>
    </cfRule>
    <cfRule type="expression" dxfId="372" priority="116">
      <formula>AND(Y$9&gt;=8/24,Y$9&lt;14/24)</formula>
    </cfRule>
    <cfRule type="expression" dxfId="371" priority="117">
      <formula>Y$9&lt;8/24</formula>
    </cfRule>
  </conditionalFormatting>
  <conditionalFormatting sqref="L42:Q42">
    <cfRule type="expression" dxfId="370" priority="110">
      <formula>L$9&gt;=20/24</formula>
    </cfRule>
    <cfRule type="expression" dxfId="369" priority="111">
      <formula>AND(L$9&gt;=14/24,L$9&lt;20/24)</formula>
    </cfRule>
    <cfRule type="expression" dxfId="368" priority="112">
      <formula>AND(L$9&gt;=8/24,L$9&lt;14/24)</formula>
    </cfRule>
    <cfRule type="expression" dxfId="367" priority="113">
      <formula>L$9&lt;8/24</formula>
    </cfRule>
  </conditionalFormatting>
  <conditionalFormatting sqref="R42:X42">
    <cfRule type="expression" dxfId="366" priority="106">
      <formula>R$9&gt;=20/24</formula>
    </cfRule>
    <cfRule type="expression" dxfId="365" priority="107">
      <formula>AND(R$9&gt;=14/24,R$9&lt;20/24)</formula>
    </cfRule>
    <cfRule type="expression" dxfId="364" priority="108">
      <formula>AND(R$9&gt;=8/24,R$9&lt;14/24)</formula>
    </cfRule>
    <cfRule type="expression" dxfId="363" priority="109">
      <formula>R$9&lt;8/24</formula>
    </cfRule>
  </conditionalFormatting>
  <conditionalFormatting sqref="B42:AF42">
    <cfRule type="expression" dxfId="362" priority="105">
      <formula>B42&gt;$AG42</formula>
    </cfRule>
  </conditionalFormatting>
  <conditionalFormatting sqref="A42">
    <cfRule type="expression" dxfId="361" priority="104">
      <formula>$AH42=0</formula>
    </cfRule>
  </conditionalFormatting>
  <conditionalFormatting sqref="B77:AF77">
    <cfRule type="expression" dxfId="360" priority="100">
      <formula>B$9&gt;=20/24</formula>
    </cfRule>
    <cfRule type="expression" dxfId="359" priority="101">
      <formula>AND(B$9&gt;=14/24,B$9&lt;20/24)</formula>
    </cfRule>
    <cfRule type="expression" dxfId="358" priority="102">
      <formula>AND(B$9&gt;=8/24,B$9&lt;14/24)</formula>
    </cfRule>
    <cfRule type="expression" dxfId="357" priority="103">
      <formula>B$9&lt;8/24</formula>
    </cfRule>
  </conditionalFormatting>
  <conditionalFormatting sqref="A77">
    <cfRule type="expression" dxfId="356" priority="99">
      <formula>$AH77=0</formula>
    </cfRule>
  </conditionalFormatting>
  <conditionalFormatting sqref="B71:AG71">
    <cfRule type="expression" dxfId="355" priority="95">
      <formula>B$9&gt;=20/24</formula>
    </cfRule>
    <cfRule type="expression" dxfId="354" priority="96">
      <formula>AND(B$9&gt;=14/24,B$9&lt;20/24)</formula>
    </cfRule>
    <cfRule type="expression" dxfId="353" priority="97">
      <formula>AND(B$9&gt;=8/24,B$9&lt;14/24)</formula>
    </cfRule>
    <cfRule type="expression" dxfId="352" priority="98">
      <formula>B$9&lt;8/24</formula>
    </cfRule>
  </conditionalFormatting>
  <conditionalFormatting sqref="A71">
    <cfRule type="expression" dxfId="351" priority="94">
      <formula>$AH71=0</formula>
    </cfRule>
  </conditionalFormatting>
  <conditionalFormatting sqref="AL32:AL33 AL7:AL30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350" priority="90">
      <formula>T$9&gt;=20/24</formula>
    </cfRule>
    <cfRule type="expression" dxfId="349" priority="91">
      <formula>AND(T$9&gt;=14/24,T$9&lt;20/24)</formula>
    </cfRule>
    <cfRule type="expression" dxfId="348" priority="92">
      <formula>AND(T$9&gt;=8/24,T$9&lt;14/24)</formula>
    </cfRule>
    <cfRule type="expression" dxfId="347" priority="93">
      <formula>T$9&lt;8/24</formula>
    </cfRule>
  </conditionalFormatting>
  <conditionalFormatting sqref="T83:V89">
    <cfRule type="expression" dxfId="346" priority="86">
      <formula>T$9&gt;=20/24</formula>
    </cfRule>
    <cfRule type="expression" dxfId="345" priority="87">
      <formula>AND(T$9&gt;=14/24,T$9&lt;20/24)</formula>
    </cfRule>
    <cfRule type="expression" dxfId="344" priority="88">
      <formula>AND(T$9&gt;=8/24,T$9&lt;14/24)</formula>
    </cfRule>
    <cfRule type="expression" dxfId="343" priority="89">
      <formula>T$9&lt;8/24</formula>
    </cfRule>
  </conditionalFormatting>
  <conditionalFormatting sqref="B82:Q89 R83:S89">
    <cfRule type="expression" dxfId="342" priority="82">
      <formula>B$9&gt;=20/24</formula>
    </cfRule>
    <cfRule type="expression" dxfId="341" priority="83">
      <formula>AND(B$9&gt;=14/24,B$9&lt;20/24)</formula>
    </cfRule>
    <cfRule type="expression" dxfId="340" priority="84">
      <formula>AND(B$9&gt;=8/24,B$9&lt;14/24)</formula>
    </cfRule>
    <cfRule type="expression" dxfId="339" priority="85">
      <formula>B$9&lt;8/24</formula>
    </cfRule>
  </conditionalFormatting>
  <conditionalFormatting sqref="R82:S82">
    <cfRule type="expression" dxfId="338" priority="78">
      <formula>R$9&gt;=20/24</formula>
    </cfRule>
    <cfRule type="expression" dxfId="337" priority="79">
      <formula>AND(R$9&gt;=14/24,R$9&lt;20/24)</formula>
    </cfRule>
    <cfRule type="expression" dxfId="336" priority="80">
      <formula>AND(R$9&gt;=8/24,R$9&lt;14/24)</formula>
    </cfRule>
    <cfRule type="expression" dxfId="335" priority="81">
      <formula>R$9&lt;8/24</formula>
    </cfRule>
  </conditionalFormatting>
  <conditionalFormatting sqref="B93:L95 B92:E92">
    <cfRule type="expression" dxfId="334" priority="74">
      <formula>B$9&gt;=20/24</formula>
    </cfRule>
    <cfRule type="expression" dxfId="333" priority="75">
      <formula>AND(B$9&gt;=14/24,B$9&lt;20/24)</formula>
    </cfRule>
    <cfRule type="expression" dxfId="332" priority="76">
      <formula>AND(B$9&gt;=8/24,B$9&lt;14/24)</formula>
    </cfRule>
    <cfRule type="expression" dxfId="331" priority="77">
      <formula>B$9&lt;8/24</formula>
    </cfRule>
  </conditionalFormatting>
  <conditionalFormatting sqref="M93:Q95 N92:Q92">
    <cfRule type="expression" dxfId="330" priority="70">
      <formula>M$9&gt;=20/24</formula>
    </cfRule>
    <cfRule type="expression" dxfId="329" priority="71">
      <formula>AND(M$9&gt;=14/24,M$9&lt;20/24)</formula>
    </cfRule>
    <cfRule type="expression" dxfId="328" priority="72">
      <formula>AND(M$9&gt;=8/24,M$9&lt;14/24)</formula>
    </cfRule>
    <cfRule type="expression" dxfId="327" priority="73">
      <formula>M$9&lt;8/24</formula>
    </cfRule>
  </conditionalFormatting>
  <conditionalFormatting sqref="R92:S95">
    <cfRule type="expression" dxfId="326" priority="66">
      <formula>R$9&gt;=20/24</formula>
    </cfRule>
    <cfRule type="expression" dxfId="325" priority="67">
      <formula>AND(R$9&gt;=14/24,R$9&lt;20/24)</formula>
    </cfRule>
    <cfRule type="expression" dxfId="324" priority="68">
      <formula>AND(R$9&gt;=8/24,R$9&lt;14/24)</formula>
    </cfRule>
    <cfRule type="expression" dxfId="323" priority="69">
      <formula>R$9&lt;8/24</formula>
    </cfRule>
  </conditionalFormatting>
  <conditionalFormatting sqref="B96:L96">
    <cfRule type="expression" dxfId="322" priority="62">
      <formula>B$9&gt;=20/24</formula>
    </cfRule>
    <cfRule type="expression" dxfId="321" priority="63">
      <formula>AND(B$9&gt;=14/24,B$9&lt;20/24)</formula>
    </cfRule>
    <cfRule type="expression" dxfId="320" priority="64">
      <formula>AND(B$9&gt;=8/24,B$9&lt;14/24)</formula>
    </cfRule>
    <cfRule type="expression" dxfId="319" priority="65">
      <formula>B$9&lt;8/24</formula>
    </cfRule>
  </conditionalFormatting>
  <conditionalFormatting sqref="M96:Q96">
    <cfRule type="expression" dxfId="318" priority="58">
      <formula>M$9&gt;=20/24</formula>
    </cfRule>
    <cfRule type="expression" dxfId="317" priority="59">
      <formula>AND(M$9&gt;=14/24,M$9&lt;20/24)</formula>
    </cfRule>
    <cfRule type="expression" dxfId="316" priority="60">
      <formula>AND(M$9&gt;=8/24,M$9&lt;14/24)</formula>
    </cfRule>
    <cfRule type="expression" dxfId="315" priority="61">
      <formula>M$9&lt;8/24</formula>
    </cfRule>
  </conditionalFormatting>
  <conditionalFormatting sqref="R96:S96">
    <cfRule type="expression" dxfId="314" priority="54">
      <formula>R$9&gt;=20/24</formula>
    </cfRule>
    <cfRule type="expression" dxfId="313" priority="55">
      <formula>AND(R$9&gt;=14/24,R$9&lt;20/24)</formula>
    </cfRule>
    <cfRule type="expression" dxfId="312" priority="56">
      <formula>AND(R$9&gt;=8/24,R$9&lt;14/24)</formula>
    </cfRule>
    <cfRule type="expression" dxfId="311" priority="57">
      <formula>R$9&lt;8/24</formula>
    </cfRule>
  </conditionalFormatting>
  <conditionalFormatting sqref="L92:M92">
    <cfRule type="expression" dxfId="310" priority="50">
      <formula>L$9&gt;=20/24</formula>
    </cfRule>
    <cfRule type="expression" dxfId="309" priority="51">
      <formula>AND(L$9&gt;=14/24,L$9&lt;20/24)</formula>
    </cfRule>
    <cfRule type="expression" dxfId="308" priority="52">
      <formula>AND(L$9&gt;=8/24,L$9&lt;14/24)</formula>
    </cfRule>
    <cfRule type="expression" dxfId="307" priority="53">
      <formula>L$9&lt;8/24</formula>
    </cfRule>
  </conditionalFormatting>
  <conditionalFormatting sqref="F92:K92">
    <cfRule type="expression" dxfId="306" priority="46">
      <formula>F$9&gt;=20/24</formula>
    </cfRule>
    <cfRule type="expression" dxfId="305" priority="47">
      <formula>AND(F$9&gt;=14/24,F$9&lt;20/24)</formula>
    </cfRule>
    <cfRule type="expression" dxfId="304" priority="48">
      <formula>AND(F$9&gt;=8/24,F$9&lt;14/24)</formula>
    </cfRule>
    <cfRule type="expression" dxfId="303" priority="49">
      <formula>F$9&lt;8/24</formula>
    </cfRule>
  </conditionalFormatting>
  <conditionalFormatting sqref="T92:V92">
    <cfRule type="expression" dxfId="302" priority="42">
      <formula>T$9&gt;=20/24</formula>
    </cfRule>
    <cfRule type="expression" dxfId="301" priority="43">
      <formula>AND(T$9&gt;=14/24,T$9&lt;20/24)</formula>
    </cfRule>
    <cfRule type="expression" dxfId="300" priority="44">
      <formula>AND(T$9&gt;=8/24,T$9&lt;14/24)</formula>
    </cfRule>
    <cfRule type="expression" dxfId="299" priority="45">
      <formula>T$9&lt;8/24</formula>
    </cfRule>
  </conditionalFormatting>
  <conditionalFormatting sqref="M92:S92">
    <cfRule type="expression" dxfId="298" priority="38">
      <formula>M$9&gt;=20/24</formula>
    </cfRule>
    <cfRule type="expression" dxfId="297" priority="39">
      <formula>AND(M$9&gt;=14/24,M$9&lt;20/24)</formula>
    </cfRule>
    <cfRule type="expression" dxfId="296" priority="40">
      <formula>AND(M$9&gt;=8/24,M$9&lt;14/24)</formula>
    </cfRule>
    <cfRule type="expression" dxfId="295" priority="41">
      <formula>M$9&lt;8/24</formula>
    </cfRule>
  </conditionalFormatting>
  <conditionalFormatting sqref="AA97:AF97">
    <cfRule type="expression" dxfId="294" priority="34">
      <formula>AA$9&gt;=20/24</formula>
    </cfRule>
    <cfRule type="expression" dxfId="293" priority="35">
      <formula>AND(AA$9&gt;=14/24,AA$9&lt;20/24)</formula>
    </cfRule>
    <cfRule type="expression" dxfId="292" priority="36">
      <formula>AND(AA$9&gt;=8/24,AA$9&lt;14/24)</formula>
    </cfRule>
    <cfRule type="expression" dxfId="291" priority="37">
      <formula>AA$9&lt;8/24</formula>
    </cfRule>
  </conditionalFormatting>
  <conditionalFormatting sqref="T97:Z97">
    <cfRule type="expression" dxfId="290" priority="30">
      <formula>T$9&gt;=20/24</formula>
    </cfRule>
    <cfRule type="expression" dxfId="289" priority="31">
      <formula>AND(T$9&gt;=14/24,T$9&lt;20/24)</formula>
    </cfRule>
    <cfRule type="expression" dxfId="288" priority="32">
      <formula>AND(T$9&gt;=8/24,T$9&lt;14/24)</formula>
    </cfRule>
    <cfRule type="expression" dxfId="287" priority="33">
      <formula>T$9&lt;8/24</formula>
    </cfRule>
  </conditionalFormatting>
  <conditionalFormatting sqref="A97">
    <cfRule type="expression" dxfId="286" priority="29">
      <formula>$AH97=0</formula>
    </cfRule>
  </conditionalFormatting>
  <conditionalFormatting sqref="B97:L97">
    <cfRule type="expression" dxfId="285" priority="25">
      <formula>B$9&gt;=20/24</formula>
    </cfRule>
    <cfRule type="expression" dxfId="284" priority="26">
      <formula>AND(B$9&gt;=14/24,B$9&lt;20/24)</formula>
    </cfRule>
    <cfRule type="expression" dxfId="283" priority="27">
      <formula>AND(B$9&gt;=8/24,B$9&lt;14/24)</formula>
    </cfRule>
    <cfRule type="expression" dxfId="282" priority="28">
      <formula>B$9&lt;8/24</formula>
    </cfRule>
  </conditionalFormatting>
  <conditionalFormatting sqref="M97:Q97">
    <cfRule type="expression" dxfId="281" priority="21">
      <formula>M$9&gt;=20/24</formula>
    </cfRule>
    <cfRule type="expression" dxfId="280" priority="22">
      <formula>AND(M$9&gt;=14/24,M$9&lt;20/24)</formula>
    </cfRule>
    <cfRule type="expression" dxfId="279" priority="23">
      <formula>AND(M$9&gt;=8/24,M$9&lt;14/24)</formula>
    </cfRule>
    <cfRule type="expression" dxfId="278" priority="24">
      <formula>M$9&lt;8/24</formula>
    </cfRule>
  </conditionalFormatting>
  <conditionalFormatting sqref="R97:S97">
    <cfRule type="expression" dxfId="277" priority="17">
      <formula>R$9&gt;=20/24</formula>
    </cfRule>
    <cfRule type="expression" dxfId="276" priority="18">
      <formula>AND(R$9&gt;=14/24,R$9&lt;20/24)</formula>
    </cfRule>
    <cfRule type="expression" dxfId="275" priority="19">
      <formula>AND(R$9&gt;=8/24,R$9&lt;14/24)</formula>
    </cfRule>
    <cfRule type="expression" dxfId="274" priority="20">
      <formula>R$9&lt;8/24</formula>
    </cfRule>
  </conditionalFormatting>
  <conditionalFormatting sqref="R12:X15">
    <cfRule type="expression" dxfId="273" priority="13">
      <formula>R$9&gt;=20/24</formula>
    </cfRule>
    <cfRule type="expression" dxfId="272" priority="14">
      <formula>AND(R$9&gt;=14/24,R$9&lt;20/24)</formula>
    </cfRule>
    <cfRule type="expression" dxfId="271" priority="15">
      <formula>AND(R$9&gt;=8/24,R$9&lt;14/24)</formula>
    </cfRule>
    <cfRule type="expression" dxfId="270" priority="16">
      <formula>R$9&lt;8/24</formula>
    </cfRule>
  </conditionalFormatting>
  <conditionalFormatting sqref="R16:X16">
    <cfRule type="expression" dxfId="269" priority="9">
      <formula>R$9&gt;=20/24</formula>
    </cfRule>
    <cfRule type="expression" dxfId="268" priority="10">
      <formula>AND(R$9&gt;=14/24,R$9&lt;20/24)</formula>
    </cfRule>
    <cfRule type="expression" dxfId="267" priority="11">
      <formula>AND(R$9&gt;=8/24,R$9&lt;14/24)</formula>
    </cfRule>
    <cfRule type="expression" dxfId="266" priority="12">
      <formula>R$9&lt;8/24</formula>
    </cfRule>
  </conditionalFormatting>
  <conditionalFormatting sqref="R12:X12">
    <cfRule type="expression" dxfId="265" priority="5">
      <formula>R$9&gt;=20/24</formula>
    </cfRule>
    <cfRule type="expression" dxfId="264" priority="6">
      <formula>AND(R$9&gt;=14/24,R$9&lt;20/24)</formula>
    </cfRule>
    <cfRule type="expression" dxfId="263" priority="7">
      <formula>AND(R$9&gt;=8/24,R$9&lt;14/24)</formula>
    </cfRule>
    <cfRule type="expression" dxfId="262" priority="8">
      <formula>R$9&lt;8/24</formula>
    </cfRule>
  </conditionalFormatting>
  <conditionalFormatting sqref="AA56:AD57">
    <cfRule type="expression" dxfId="261" priority="1">
      <formula>AA$9&gt;=20/24</formula>
    </cfRule>
    <cfRule type="expression" dxfId="260" priority="2">
      <formula>AND(AA$9&gt;=14/24,AA$9&lt;20/24)</formula>
    </cfRule>
    <cfRule type="expression" dxfId="259" priority="3">
      <formula>AND(AA$9&gt;=8/24,AA$9&lt;14/24)</formula>
    </cfRule>
    <cfRule type="expression" dxfId="258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H24" sqref="AH24:AI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11" t="e">
        <f ca="1">"2078/"&amp;"04/"&amp;INT(MID(CELL("filename",D6),FIND("]",CELL("filename",D6))+1,200))</f>
        <v>#VALUE!</v>
      </c>
      <c r="C4" s="211"/>
      <c r="D4" s="211"/>
      <c r="E4" s="212" t="str">
        <f ca="1">IFERROR([1]!DateBStoAD(B4),"")</f>
        <v/>
      </c>
      <c r="F4" s="213"/>
      <c r="G4" s="213"/>
      <c r="H4" s="213" t="str">
        <f ca="1">TEXT(E4,"dddd")</f>
        <v/>
      </c>
      <c r="I4" s="213"/>
      <c r="J4" s="28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0</v>
      </c>
      <c r="C5" s="32">
        <f t="shared" ref="C5:AF5" si="0">C66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224MW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2032.74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Load=224</v>
      </c>
      <c r="B7" s="37">
        <f t="shared" ref="B7:AF7" si="1">B73</f>
        <v>223.54</v>
      </c>
      <c r="C7" s="37">
        <f t="shared" si="1"/>
        <v>223.54</v>
      </c>
      <c r="D7" s="37">
        <f t="shared" si="1"/>
        <v>223.54</v>
      </c>
      <c r="E7" s="37">
        <f t="shared" si="1"/>
        <v>223.54</v>
      </c>
      <c r="F7" s="37">
        <f t="shared" si="1"/>
        <v>223.54</v>
      </c>
      <c r="G7" s="37">
        <f t="shared" si="1"/>
        <v>223.54</v>
      </c>
      <c r="H7" s="37">
        <f t="shared" si="1"/>
        <v>223.54</v>
      </c>
      <c r="I7" s="37">
        <f t="shared" si="1"/>
        <v>223.54</v>
      </c>
      <c r="J7" s="37">
        <f t="shared" si="1"/>
        <v>223.54</v>
      </c>
      <c r="K7" s="37">
        <f t="shared" si="1"/>
        <v>223.54</v>
      </c>
      <c r="L7" s="37">
        <f>L73</f>
        <v>223.54</v>
      </c>
      <c r="M7" s="37">
        <f t="shared" si="1"/>
        <v>223.54</v>
      </c>
      <c r="N7" s="37">
        <f t="shared" si="1"/>
        <v>223.54</v>
      </c>
      <c r="O7" s="37">
        <f t="shared" si="1"/>
        <v>223.54</v>
      </c>
      <c r="P7" s="37">
        <f t="shared" si="1"/>
        <v>223.54</v>
      </c>
      <c r="Q7" s="37">
        <f t="shared" si="1"/>
        <v>223.54</v>
      </c>
      <c r="R7" s="37">
        <f t="shared" si="1"/>
        <v>223.54</v>
      </c>
      <c r="S7" s="37">
        <f t="shared" si="1"/>
        <v>223.54</v>
      </c>
      <c r="T7" s="37">
        <f t="shared" si="1"/>
        <v>223.54</v>
      </c>
      <c r="U7" s="37">
        <f t="shared" si="1"/>
        <v>223.54</v>
      </c>
      <c r="V7" s="37">
        <f t="shared" si="1"/>
        <v>223.54</v>
      </c>
      <c r="W7" s="37">
        <f t="shared" si="1"/>
        <v>223.54</v>
      </c>
      <c r="X7" s="37">
        <f t="shared" si="1"/>
        <v>223.54</v>
      </c>
      <c r="Y7" s="37">
        <f t="shared" si="1"/>
        <v>223.54</v>
      </c>
      <c r="Z7" s="37">
        <f t="shared" si="1"/>
        <v>223.54</v>
      </c>
      <c r="AA7" s="37">
        <f t="shared" si="1"/>
        <v>223.54</v>
      </c>
      <c r="AB7" s="37">
        <f t="shared" si="1"/>
        <v>223.54</v>
      </c>
      <c r="AC7" s="37">
        <f t="shared" si="1"/>
        <v>223.54</v>
      </c>
      <c r="AD7" s="37">
        <f t="shared" si="1"/>
        <v>223.54</v>
      </c>
      <c r="AE7" s="37">
        <f t="shared" si="1"/>
        <v>223.54</v>
      </c>
      <c r="AF7" s="37">
        <f t="shared" si="1"/>
        <v>223.54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14" t="s">
        <v>14</v>
      </c>
      <c r="C8" s="215"/>
      <c r="D8" s="215"/>
      <c r="E8" s="215"/>
      <c r="F8" s="215"/>
      <c r="G8" s="215"/>
      <c r="H8" s="215"/>
      <c r="I8" s="215"/>
      <c r="J8" s="215"/>
      <c r="K8" s="216"/>
      <c r="L8" s="209" t="s">
        <v>15</v>
      </c>
      <c r="M8" s="210"/>
      <c r="N8" s="210"/>
      <c r="O8" s="210"/>
      <c r="P8" s="210"/>
      <c r="Q8" s="210"/>
      <c r="R8" s="209" t="s">
        <v>16</v>
      </c>
      <c r="S8" s="210"/>
      <c r="T8" s="210"/>
      <c r="U8" s="210"/>
      <c r="V8" s="210"/>
      <c r="W8" s="210"/>
      <c r="X8" s="210"/>
      <c r="Y8" s="210"/>
      <c r="Z8" s="210"/>
      <c r="AA8" s="204" t="s">
        <v>17</v>
      </c>
      <c r="AB8" s="205"/>
      <c r="AC8" s="205"/>
      <c r="AD8" s="205"/>
      <c r="AE8" s="205"/>
      <c r="AF8" s="20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18</v>
      </c>
      <c r="B9" s="198">
        <v>4.1666666666666664E-2</v>
      </c>
      <c r="C9" s="198">
        <v>8.3333333333333301E-2</v>
      </c>
      <c r="D9" s="198">
        <v>0.125</v>
      </c>
      <c r="E9" s="198">
        <v>0.16666666666666699</v>
      </c>
      <c r="F9" s="198">
        <v>0.20833333333333301</v>
      </c>
      <c r="G9" s="198">
        <v>0.22916666666666666</v>
      </c>
      <c r="H9" s="198">
        <v>0.25</v>
      </c>
      <c r="I9" s="198">
        <v>0.27083333333333331</v>
      </c>
      <c r="J9" s="198">
        <v>0.29166666666666669</v>
      </c>
      <c r="K9" s="198">
        <v>0.3125</v>
      </c>
      <c r="L9" s="200">
        <v>0.33333333333333331</v>
      </c>
      <c r="M9" s="200">
        <v>0.375</v>
      </c>
      <c r="N9" s="200">
        <v>0.41666666666666702</v>
      </c>
      <c r="O9" s="200">
        <v>0.45833333333333298</v>
      </c>
      <c r="P9" s="200">
        <v>0.5</v>
      </c>
      <c r="Q9" s="200">
        <v>0.54166666666666696</v>
      </c>
      <c r="R9" s="200">
        <v>0.58333333333333304</v>
      </c>
      <c r="S9" s="200">
        <v>0.625</v>
      </c>
      <c r="T9" s="200">
        <v>0.66666666666666696</v>
      </c>
      <c r="U9" s="200">
        <v>0.70833333333333304</v>
      </c>
      <c r="V9" s="200">
        <v>0.72916666666666663</v>
      </c>
      <c r="W9" s="200">
        <v>0.75</v>
      </c>
      <c r="X9" s="200">
        <v>0.77083333333333337</v>
      </c>
      <c r="Y9" s="200">
        <v>0.79166666666666663</v>
      </c>
      <c r="Z9" s="200">
        <v>0.8125</v>
      </c>
      <c r="AA9" s="198">
        <v>0.83333333333333337</v>
      </c>
      <c r="AB9" s="198">
        <v>0.85416666666666663</v>
      </c>
      <c r="AC9" s="198">
        <v>0.875</v>
      </c>
      <c r="AD9" s="198">
        <v>0.91666666666666696</v>
      </c>
      <c r="AE9" s="198">
        <v>0.95833333333333304</v>
      </c>
      <c r="AF9" s="198">
        <v>1</v>
      </c>
      <c r="AG9" s="202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1"/>
      <c r="S10" s="201"/>
      <c r="T10" s="201"/>
      <c r="U10" s="201"/>
      <c r="V10" s="201"/>
      <c r="W10" s="201"/>
      <c r="X10" s="201"/>
      <c r="Y10" s="201"/>
      <c r="Z10" s="201"/>
      <c r="AA10" s="199"/>
      <c r="AB10" s="199"/>
      <c r="AC10" s="199"/>
      <c r="AD10" s="199"/>
      <c r="AE10" s="199"/>
      <c r="AF10" s="199"/>
      <c r="AG10" s="203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  <c r="M11" s="50"/>
      <c r="N11" s="50"/>
      <c r="O11" s="50"/>
      <c r="P11" s="50"/>
      <c r="Q11" s="50"/>
      <c r="R11" s="115"/>
      <c r="S11" s="115"/>
      <c r="T11" s="115"/>
      <c r="U11" s="115"/>
      <c r="V11" s="115"/>
      <c r="W11" s="115"/>
      <c r="X11" s="115"/>
      <c r="Y11" s="115"/>
      <c r="Z11" s="115"/>
      <c r="AA11" s="49"/>
      <c r="AB11" s="49"/>
      <c r="AC11" s="49"/>
      <c r="AD11" s="49"/>
      <c r="AE11" s="49"/>
      <c r="AF11" s="49"/>
      <c r="AG11" s="54">
        <v>456</v>
      </c>
      <c r="AH11" s="55">
        <f>MAX(B11:AF11)</f>
        <v>0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49"/>
      <c r="AB12" s="49"/>
      <c r="AC12" s="49"/>
      <c r="AD12" s="49"/>
      <c r="AE12" s="49"/>
      <c r="AF12" s="49"/>
      <c r="AG12" s="60">
        <v>60</v>
      </c>
      <c r="AH12" s="55">
        <f t="shared" ref="AH12:AH76" si="2">MAX(B12:AF12)</f>
        <v>0</v>
      </c>
      <c r="AI12" s="56">
        <f t="shared" ref="AI12:AI76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49"/>
      <c r="AB13" s="49"/>
      <c r="AC13" s="49"/>
      <c r="AD13" s="49"/>
      <c r="AE13" s="49"/>
      <c r="AF13" s="49"/>
      <c r="AG13" s="60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62"/>
      <c r="AB14" s="62"/>
      <c r="AC14" s="62"/>
      <c r="AD14" s="62"/>
      <c r="AE14" s="62"/>
      <c r="AF14" s="62"/>
      <c r="AG14" s="63">
        <v>50</v>
      </c>
      <c r="AH14" s="55">
        <f t="shared" si="2"/>
        <v>0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49"/>
      <c r="AB15" s="49"/>
      <c r="AC15" s="49"/>
      <c r="AD15" s="49"/>
      <c r="AE15" s="49"/>
      <c r="AF15" s="49"/>
      <c r="AG15" s="60">
        <v>45</v>
      </c>
      <c r="AH15" s="55">
        <f t="shared" si="2"/>
        <v>0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49"/>
      <c r="AB16" s="49"/>
      <c r="AC16" s="49"/>
      <c r="AD16" s="49"/>
      <c r="AE16" s="49"/>
      <c r="AF16" s="49"/>
      <c r="AG16" s="60">
        <v>42</v>
      </c>
      <c r="AH16" s="55">
        <f t="shared" si="2"/>
        <v>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49"/>
      <c r="AB17" s="49"/>
      <c r="AC17" s="49"/>
      <c r="AD17" s="49"/>
      <c r="AE17" s="49"/>
      <c r="AF17" s="49"/>
      <c r="AG17" s="60">
        <v>36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49"/>
      <c r="AB18" s="49"/>
      <c r="AC18" s="49"/>
      <c r="AD18" s="49"/>
      <c r="AE18" s="49"/>
      <c r="AF18" s="49"/>
      <c r="AG18" s="60">
        <v>30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49"/>
      <c r="AB19" s="49"/>
      <c r="AC19" s="49"/>
      <c r="AD19" s="49"/>
      <c r="AE19" s="49"/>
      <c r="AF19" s="49"/>
      <c r="AG19" s="60">
        <v>27</v>
      </c>
      <c r="AH19" s="55">
        <f t="shared" si="2"/>
        <v>0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49"/>
      <c r="AB20" s="49"/>
      <c r="AC20" s="49"/>
      <c r="AD20" s="49"/>
      <c r="AE20" s="49"/>
      <c r="AF20" s="49"/>
      <c r="AG20" s="60">
        <v>25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49"/>
      <c r="AB21" s="49"/>
      <c r="AC21" s="49"/>
      <c r="AD21" s="49"/>
      <c r="AE21" s="49"/>
      <c r="AF21" s="49"/>
      <c r="AG21" s="60">
        <v>25</v>
      </c>
      <c r="AH21" s="55">
        <f t="shared" si="2"/>
        <v>0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49"/>
      <c r="AB22" s="49"/>
      <c r="AC22" s="49"/>
      <c r="AD22" s="49"/>
      <c r="AE22" s="49"/>
      <c r="AF22" s="49"/>
      <c r="AG22" s="60">
        <v>25</v>
      </c>
      <c r="AH22" s="55">
        <f t="shared" si="2"/>
        <v>0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49"/>
      <c r="AB23" s="49"/>
      <c r="AC23" s="49"/>
      <c r="AD23" s="49"/>
      <c r="AE23" s="49"/>
      <c r="AF23" s="49"/>
      <c r="AG23" s="60">
        <v>25</v>
      </c>
      <c r="AH23" s="55">
        <f t="shared" si="2"/>
        <v>0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49"/>
      <c r="AB24" s="49"/>
      <c r="AC24" s="49"/>
      <c r="AD24" s="49"/>
      <c r="AE24" s="49"/>
      <c r="AF24" s="49"/>
      <c r="AG24" s="60">
        <v>24.2</v>
      </c>
      <c r="AH24" s="55">
        <f t="shared" si="2"/>
        <v>0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223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49"/>
      <c r="AB25" s="49"/>
      <c r="AC25" s="49"/>
      <c r="AD25" s="49"/>
      <c r="AE25" s="49"/>
      <c r="AF25" s="49"/>
      <c r="AG25" s="60">
        <v>20</v>
      </c>
      <c r="AH25" s="55">
        <f>MAX(B25:AF25)</f>
        <v>0</v>
      </c>
      <c r="AI25" s="56">
        <f>MIN(B25:AF25)</f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49"/>
      <c r="AB26" s="49"/>
      <c r="AC26" s="49"/>
      <c r="AD26" s="49"/>
      <c r="AE26" s="49"/>
      <c r="AF26" s="49"/>
      <c r="AG26" s="60">
        <v>23.5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49"/>
      <c r="AB27" s="49"/>
      <c r="AC27" s="49"/>
      <c r="AD27" s="49"/>
      <c r="AE27" s="49"/>
      <c r="AF27" s="49"/>
      <c r="AG27" s="60">
        <v>22.2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49"/>
      <c r="AB28" s="49"/>
      <c r="AC28" s="49"/>
      <c r="AD28" s="49"/>
      <c r="AE28" s="49"/>
      <c r="AF28" s="49"/>
      <c r="AG28" s="60">
        <v>22.1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49"/>
      <c r="AB29" s="49"/>
      <c r="AC29" s="49"/>
      <c r="AD29" s="49"/>
      <c r="AE29" s="49"/>
      <c r="AF29" s="49"/>
      <c r="AG29" s="60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8" t="s">
        <v>37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62"/>
      <c r="AB30" s="62"/>
      <c r="AC30" s="62"/>
      <c r="AD30" s="62"/>
      <c r="AE30" s="62"/>
      <c r="AF30" s="62"/>
      <c r="AG30" s="63">
        <v>22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64"/>
      <c r="AR30" s="6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6" t="s">
        <v>38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62"/>
      <c r="AB31" s="62"/>
      <c r="AC31" s="62"/>
      <c r="AD31" s="62"/>
      <c r="AE31" s="62"/>
      <c r="AF31" s="62"/>
      <c r="AG31" s="67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6" t="s">
        <v>39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62"/>
      <c r="AB32" s="62"/>
      <c r="AC32" s="62"/>
      <c r="AD32" s="62"/>
      <c r="AE32" s="62"/>
      <c r="AF32" s="62"/>
      <c r="AG32" s="67">
        <v>20</v>
      </c>
      <c r="AH32" s="55">
        <f t="shared" si="2"/>
        <v>0</v>
      </c>
      <c r="AI32" s="56">
        <f t="shared" si="3"/>
        <v>0</v>
      </c>
      <c r="AK32" s="57"/>
      <c r="AL32" s="30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6" t="s">
        <v>40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62"/>
      <c r="AB33" s="62"/>
      <c r="AC33" s="62"/>
      <c r="AD33" s="62"/>
      <c r="AE33" s="62"/>
      <c r="AF33" s="62"/>
      <c r="AG33" s="67">
        <v>15.33</v>
      </c>
      <c r="AH33" s="55">
        <f t="shared" si="2"/>
        <v>0</v>
      </c>
      <c r="AI33" s="56">
        <f t="shared" si="3"/>
        <v>0</v>
      </c>
      <c r="AK33" s="57"/>
      <c r="AL33" s="30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2">
        <v>220</v>
      </c>
      <c r="C34" s="62">
        <v>220</v>
      </c>
      <c r="D34" s="62">
        <v>220</v>
      </c>
      <c r="E34" s="62">
        <v>220</v>
      </c>
      <c r="F34" s="62">
        <v>220</v>
      </c>
      <c r="G34" s="62">
        <v>220</v>
      </c>
      <c r="H34" s="62">
        <v>220</v>
      </c>
      <c r="I34" s="62">
        <v>220</v>
      </c>
      <c r="J34" s="62">
        <v>220</v>
      </c>
      <c r="K34" s="62">
        <v>220</v>
      </c>
      <c r="L34" s="62">
        <v>220</v>
      </c>
      <c r="M34" s="62">
        <v>220</v>
      </c>
      <c r="N34" s="62">
        <v>220</v>
      </c>
      <c r="O34" s="62">
        <v>220</v>
      </c>
      <c r="P34" s="62">
        <v>220</v>
      </c>
      <c r="Q34" s="62">
        <v>220</v>
      </c>
      <c r="R34" s="62">
        <v>220</v>
      </c>
      <c r="S34" s="62">
        <v>220</v>
      </c>
      <c r="T34" s="62">
        <v>220</v>
      </c>
      <c r="U34" s="62">
        <v>220</v>
      </c>
      <c r="V34" s="62">
        <v>220</v>
      </c>
      <c r="W34" s="62">
        <v>220</v>
      </c>
      <c r="X34" s="62">
        <v>220</v>
      </c>
      <c r="Y34" s="62">
        <v>220</v>
      </c>
      <c r="Z34" s="62">
        <v>220</v>
      </c>
      <c r="AA34" s="62">
        <v>220</v>
      </c>
      <c r="AB34" s="62">
        <v>220</v>
      </c>
      <c r="AC34" s="62">
        <v>220</v>
      </c>
      <c r="AD34" s="62">
        <v>220</v>
      </c>
      <c r="AE34" s="62">
        <v>220</v>
      </c>
      <c r="AF34" s="62">
        <v>220</v>
      </c>
      <c r="AG34" s="67">
        <v>85</v>
      </c>
      <c r="AH34" s="55">
        <f t="shared" si="2"/>
        <v>220</v>
      </c>
      <c r="AI34" s="56">
        <f t="shared" si="3"/>
        <v>220</v>
      </c>
      <c r="AK34" s="57"/>
    </row>
    <row r="35" spans="1:88" ht="15.75" thickBot="1" x14ac:dyDescent="0.3">
      <c r="A35" s="69" t="s">
        <v>42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62"/>
      <c r="AF35" s="62"/>
      <c r="AG35" s="67">
        <v>240</v>
      </c>
      <c r="AH35" s="55">
        <f t="shared" si="2"/>
        <v>0</v>
      </c>
      <c r="AI35" s="56">
        <f t="shared" si="3"/>
        <v>0</v>
      </c>
      <c r="AK35" s="57"/>
    </row>
    <row r="36" spans="1:88" ht="15.75" thickBot="1" x14ac:dyDescent="0.3">
      <c r="A36" s="71" t="s">
        <v>43</v>
      </c>
      <c r="B36" s="72">
        <f t="shared" ref="B36:AF36" si="4">SUM(B11:B34)</f>
        <v>220</v>
      </c>
      <c r="C36" s="72">
        <f t="shared" si="4"/>
        <v>220</v>
      </c>
      <c r="D36" s="72">
        <f t="shared" si="4"/>
        <v>220</v>
      </c>
      <c r="E36" s="72">
        <f t="shared" si="4"/>
        <v>220</v>
      </c>
      <c r="F36" s="72">
        <f t="shared" si="4"/>
        <v>220</v>
      </c>
      <c r="G36" s="72">
        <f t="shared" si="4"/>
        <v>220</v>
      </c>
      <c r="H36" s="72">
        <f t="shared" si="4"/>
        <v>220</v>
      </c>
      <c r="I36" s="72">
        <f t="shared" si="4"/>
        <v>220</v>
      </c>
      <c r="J36" s="72">
        <f t="shared" si="4"/>
        <v>220</v>
      </c>
      <c r="K36" s="72">
        <f t="shared" si="4"/>
        <v>220</v>
      </c>
      <c r="L36" s="72">
        <f t="shared" si="4"/>
        <v>220</v>
      </c>
      <c r="M36" s="72">
        <f t="shared" si="4"/>
        <v>220</v>
      </c>
      <c r="N36" s="72">
        <f t="shared" si="4"/>
        <v>220</v>
      </c>
      <c r="O36" s="72">
        <f t="shared" si="4"/>
        <v>220</v>
      </c>
      <c r="P36" s="72">
        <f t="shared" si="4"/>
        <v>220</v>
      </c>
      <c r="Q36" s="72">
        <f t="shared" si="4"/>
        <v>220</v>
      </c>
      <c r="R36" s="72">
        <f t="shared" si="4"/>
        <v>220</v>
      </c>
      <c r="S36" s="72">
        <f t="shared" si="4"/>
        <v>220</v>
      </c>
      <c r="T36" s="72">
        <f t="shared" si="4"/>
        <v>220</v>
      </c>
      <c r="U36" s="72">
        <f t="shared" si="4"/>
        <v>220</v>
      </c>
      <c r="V36" s="72">
        <f t="shared" si="4"/>
        <v>220</v>
      </c>
      <c r="W36" s="72">
        <f t="shared" si="4"/>
        <v>220</v>
      </c>
      <c r="X36" s="72">
        <f t="shared" si="4"/>
        <v>220</v>
      </c>
      <c r="Y36" s="72">
        <f t="shared" si="4"/>
        <v>220</v>
      </c>
      <c r="Z36" s="72">
        <f t="shared" si="4"/>
        <v>220</v>
      </c>
      <c r="AA36" s="72">
        <f t="shared" si="4"/>
        <v>220</v>
      </c>
      <c r="AB36" s="72">
        <f t="shared" si="4"/>
        <v>220</v>
      </c>
      <c r="AC36" s="72">
        <f t="shared" si="4"/>
        <v>220</v>
      </c>
      <c r="AD36" s="72">
        <f t="shared" si="4"/>
        <v>220</v>
      </c>
      <c r="AE36" s="72">
        <f t="shared" si="4"/>
        <v>220</v>
      </c>
      <c r="AF36" s="72">
        <f t="shared" si="4"/>
        <v>220</v>
      </c>
      <c r="AG36" s="67">
        <f>SUM(AG11:AG35)</f>
        <v>1436.83</v>
      </c>
      <c r="AH36" s="55">
        <f t="shared" si="2"/>
        <v>220</v>
      </c>
      <c r="AI36" s="56">
        <f t="shared" si="3"/>
        <v>220</v>
      </c>
      <c r="AK36" s="57"/>
    </row>
    <row r="37" spans="1:88" x14ac:dyDescent="0.25">
      <c r="A37" s="58" t="s">
        <v>44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49"/>
      <c r="AB37" s="49"/>
      <c r="AC37" s="49"/>
      <c r="AD37" s="49"/>
      <c r="AE37" s="49"/>
      <c r="AF37" s="49"/>
      <c r="AG37" s="63">
        <v>144</v>
      </c>
      <c r="AH37" s="55">
        <f t="shared" si="2"/>
        <v>0</v>
      </c>
      <c r="AI37" s="56">
        <f t="shared" si="3"/>
        <v>0</v>
      </c>
      <c r="AK37" s="57"/>
    </row>
    <row r="38" spans="1:88" x14ac:dyDescent="0.25">
      <c r="A38" s="66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62"/>
      <c r="AB38" s="62"/>
      <c r="AC38" s="62"/>
      <c r="AD38" s="62"/>
      <c r="AE38" s="62"/>
      <c r="AF38" s="62"/>
      <c r="AG38" s="67">
        <v>70</v>
      </c>
      <c r="AH38" s="55">
        <f t="shared" si="2"/>
        <v>0</v>
      </c>
      <c r="AI38" s="56">
        <f t="shared" si="3"/>
        <v>0</v>
      </c>
      <c r="AK38" s="57"/>
    </row>
    <row r="39" spans="1:88" x14ac:dyDescent="0.25">
      <c r="A39" s="66" t="s">
        <v>46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62"/>
      <c r="AB39" s="62"/>
      <c r="AC39" s="62"/>
      <c r="AD39" s="62"/>
      <c r="AE39" s="62"/>
      <c r="AF39" s="62"/>
      <c r="AG39" s="67">
        <v>69</v>
      </c>
      <c r="AH39" s="55">
        <f t="shared" si="2"/>
        <v>0</v>
      </c>
      <c r="AI39" s="56">
        <f t="shared" si="3"/>
        <v>0</v>
      </c>
      <c r="AK39" s="57"/>
    </row>
    <row r="40" spans="1:88" x14ac:dyDescent="0.25">
      <c r="A40" s="66" t="s">
        <v>47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62"/>
      <c r="AB40" s="62"/>
      <c r="AC40" s="62"/>
      <c r="AD40" s="62"/>
      <c r="AE40" s="62"/>
      <c r="AF40" s="62"/>
      <c r="AG40" s="67">
        <v>60</v>
      </c>
      <c r="AH40" s="55">
        <f t="shared" si="2"/>
        <v>0</v>
      </c>
      <c r="AI40" s="56">
        <f t="shared" si="3"/>
        <v>0</v>
      </c>
      <c r="AK40" s="57"/>
    </row>
    <row r="41" spans="1:88" x14ac:dyDescent="0.25">
      <c r="A41" s="66" t="s">
        <v>48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2"/>
      <c r="Z41" s="52"/>
      <c r="AA41" s="62"/>
      <c r="AB41" s="62"/>
      <c r="AC41" s="62"/>
      <c r="AD41" s="62"/>
      <c r="AE41" s="62"/>
      <c r="AF41" s="62"/>
      <c r="AG41" s="67">
        <v>30</v>
      </c>
      <c r="AH41" s="55">
        <f t="shared" si="2"/>
        <v>0</v>
      </c>
      <c r="AI41" s="56">
        <f t="shared" si="3"/>
        <v>0</v>
      </c>
      <c r="AK41" s="57"/>
    </row>
    <row r="42" spans="1:88" x14ac:dyDescent="0.25">
      <c r="A42" s="66" t="s">
        <v>49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62"/>
      <c r="AB42" s="62"/>
      <c r="AC42" s="62"/>
      <c r="AD42" s="62"/>
      <c r="AE42" s="62"/>
      <c r="AF42" s="62"/>
      <c r="AG42" s="67">
        <v>25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6" t="s">
        <v>50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62"/>
      <c r="AB43" s="62"/>
      <c r="AC43" s="62"/>
      <c r="AD43" s="62"/>
      <c r="AE43" s="62"/>
      <c r="AF43" s="62"/>
      <c r="AG43" s="67">
        <v>24</v>
      </c>
      <c r="AH43" s="55">
        <f t="shared" si="2"/>
        <v>0</v>
      </c>
      <c r="AI43" s="56">
        <f t="shared" si="3"/>
        <v>0</v>
      </c>
      <c r="AK43" s="57"/>
    </row>
    <row r="44" spans="1:88" x14ac:dyDescent="0.25">
      <c r="A44" s="66" t="s">
        <v>51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62"/>
      <c r="AB44" s="62"/>
      <c r="AC44" s="62"/>
      <c r="AD44" s="62"/>
      <c r="AE44" s="62"/>
      <c r="AF44" s="62"/>
      <c r="AG44" s="67">
        <v>15</v>
      </c>
      <c r="AH44" s="55">
        <f t="shared" si="2"/>
        <v>0</v>
      </c>
      <c r="AI44" s="56">
        <f t="shared" si="3"/>
        <v>0</v>
      </c>
      <c r="AK44" s="57"/>
      <c r="AL44" s="74"/>
      <c r="AO44" s="74"/>
    </row>
    <row r="45" spans="1:88" s="74" customFormat="1" x14ac:dyDescent="0.25">
      <c r="A45" s="66" t="s">
        <v>52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62"/>
      <c r="AB45" s="62"/>
      <c r="AC45" s="62"/>
      <c r="AD45" s="62"/>
      <c r="AE45" s="62"/>
      <c r="AF45" s="62"/>
      <c r="AG45" s="67">
        <v>14.1</v>
      </c>
      <c r="AH45" s="55">
        <f t="shared" si="2"/>
        <v>0</v>
      </c>
      <c r="AI45" s="56">
        <f t="shared" si="3"/>
        <v>0</v>
      </c>
      <c r="AJ45" s="1"/>
      <c r="AK45" s="57"/>
      <c r="AL45"/>
      <c r="AM45"/>
      <c r="AN45"/>
      <c r="AO45"/>
    </row>
    <row r="46" spans="1:88" x14ac:dyDescent="0.25">
      <c r="A46" s="75" t="s">
        <v>53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62"/>
      <c r="AB46" s="62"/>
      <c r="AC46" s="62"/>
      <c r="AD46" s="62"/>
      <c r="AE46" s="62"/>
      <c r="AF46" s="62"/>
      <c r="AG46" s="67">
        <v>14</v>
      </c>
      <c r="AH46" s="55">
        <f t="shared" si="2"/>
        <v>0</v>
      </c>
      <c r="AI46" s="56">
        <f t="shared" si="3"/>
        <v>0</v>
      </c>
      <c r="AK46" s="57"/>
    </row>
    <row r="47" spans="1:88" x14ac:dyDescent="0.25">
      <c r="A47" s="66" t="s">
        <v>54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62"/>
      <c r="AB47" s="62"/>
      <c r="AC47" s="62"/>
      <c r="AD47" s="62"/>
      <c r="AE47" s="62"/>
      <c r="AF47" s="62"/>
      <c r="AG47" s="67">
        <v>10.050000000000001</v>
      </c>
      <c r="AH47" s="55">
        <f t="shared" si="2"/>
        <v>0</v>
      </c>
      <c r="AI47" s="56">
        <f t="shared" si="3"/>
        <v>0</v>
      </c>
      <c r="AK47" s="57"/>
    </row>
    <row r="48" spans="1:88" x14ac:dyDescent="0.25">
      <c r="A48" s="66" t="s">
        <v>55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62"/>
      <c r="AB48" s="62"/>
      <c r="AC48" s="62"/>
      <c r="AD48" s="62"/>
      <c r="AE48" s="62"/>
      <c r="AF48" s="62"/>
      <c r="AG48" s="67">
        <v>6.2</v>
      </c>
      <c r="AH48" s="55">
        <f t="shared" si="2"/>
        <v>0</v>
      </c>
      <c r="AI48" s="56">
        <f t="shared" si="3"/>
        <v>0</v>
      </c>
      <c r="AK48" s="57"/>
    </row>
    <row r="49" spans="1:37" ht="15.75" thickBot="1" x14ac:dyDescent="0.3">
      <c r="A49" s="68" t="s">
        <v>56</v>
      </c>
      <c r="B49" s="76">
        <v>3.54</v>
      </c>
      <c r="C49" s="76">
        <v>3.54</v>
      </c>
      <c r="D49" s="76">
        <v>3.54</v>
      </c>
      <c r="E49" s="76">
        <v>3.54</v>
      </c>
      <c r="F49" s="76">
        <v>3.54</v>
      </c>
      <c r="G49" s="76">
        <v>3.54</v>
      </c>
      <c r="H49" s="76">
        <v>3.54</v>
      </c>
      <c r="I49" s="76">
        <v>3.54</v>
      </c>
      <c r="J49" s="76">
        <v>3.54</v>
      </c>
      <c r="K49" s="76">
        <v>3.54</v>
      </c>
      <c r="L49" s="76">
        <v>3.54</v>
      </c>
      <c r="M49" s="76">
        <v>3.54</v>
      </c>
      <c r="N49" s="76">
        <v>3.54</v>
      </c>
      <c r="O49" s="76">
        <v>3.54</v>
      </c>
      <c r="P49" s="76">
        <v>3.54</v>
      </c>
      <c r="Q49" s="76">
        <v>3.54</v>
      </c>
      <c r="R49" s="76">
        <v>3.54</v>
      </c>
      <c r="S49" s="76">
        <v>3.54</v>
      </c>
      <c r="T49" s="76">
        <f t="shared" ref="T49:AG49" si="5">T196</f>
        <v>3.54</v>
      </c>
      <c r="U49" s="76">
        <f t="shared" si="5"/>
        <v>3.54</v>
      </c>
      <c r="V49" s="76">
        <f t="shared" si="5"/>
        <v>3.54</v>
      </c>
      <c r="W49" s="76">
        <f t="shared" si="5"/>
        <v>3.54</v>
      </c>
      <c r="X49" s="76">
        <f t="shared" si="5"/>
        <v>3.54</v>
      </c>
      <c r="Y49" s="76">
        <f t="shared" si="5"/>
        <v>3.54</v>
      </c>
      <c r="Z49" s="76">
        <f t="shared" si="5"/>
        <v>3.54</v>
      </c>
      <c r="AA49" s="76">
        <f t="shared" si="5"/>
        <v>3.54</v>
      </c>
      <c r="AB49" s="76">
        <f t="shared" si="5"/>
        <v>3.54</v>
      </c>
      <c r="AC49" s="76">
        <f t="shared" si="5"/>
        <v>3.54</v>
      </c>
      <c r="AD49" s="76">
        <f t="shared" si="5"/>
        <v>3.54</v>
      </c>
      <c r="AE49" s="76">
        <f t="shared" si="5"/>
        <v>3.54</v>
      </c>
      <c r="AF49" s="76">
        <f t="shared" si="5"/>
        <v>3.54</v>
      </c>
      <c r="AG49" s="76">
        <f t="shared" si="5"/>
        <v>8.56</v>
      </c>
      <c r="AH49" s="55">
        <f t="shared" si="2"/>
        <v>3.54</v>
      </c>
      <c r="AI49" s="56">
        <f t="shared" si="3"/>
        <v>3.54</v>
      </c>
      <c r="AK49" s="57"/>
    </row>
    <row r="50" spans="1:37" ht="15.75" thickBot="1" x14ac:dyDescent="0.3">
      <c r="A50" s="71" t="s">
        <v>57</v>
      </c>
      <c r="B50" s="72">
        <f t="shared" ref="B50:AF50" si="6">SUM(B37:B49)</f>
        <v>3.54</v>
      </c>
      <c r="C50" s="72">
        <f t="shared" si="6"/>
        <v>3.54</v>
      </c>
      <c r="D50" s="72">
        <f t="shared" si="6"/>
        <v>3.54</v>
      </c>
      <c r="E50" s="72">
        <f t="shared" si="6"/>
        <v>3.54</v>
      </c>
      <c r="F50" s="72">
        <f t="shared" si="6"/>
        <v>3.54</v>
      </c>
      <c r="G50" s="72">
        <f t="shared" si="6"/>
        <v>3.54</v>
      </c>
      <c r="H50" s="72">
        <f t="shared" si="6"/>
        <v>3.54</v>
      </c>
      <c r="I50" s="72">
        <f t="shared" si="6"/>
        <v>3.54</v>
      </c>
      <c r="J50" s="72">
        <f t="shared" si="6"/>
        <v>3.54</v>
      </c>
      <c r="K50" s="72">
        <f t="shared" si="6"/>
        <v>3.54</v>
      </c>
      <c r="L50" s="72">
        <f t="shared" si="6"/>
        <v>3.54</v>
      </c>
      <c r="M50" s="72">
        <f t="shared" si="6"/>
        <v>3.54</v>
      </c>
      <c r="N50" s="72">
        <f t="shared" si="6"/>
        <v>3.54</v>
      </c>
      <c r="O50" s="72">
        <f t="shared" si="6"/>
        <v>3.54</v>
      </c>
      <c r="P50" s="72">
        <f t="shared" si="6"/>
        <v>3.54</v>
      </c>
      <c r="Q50" s="72">
        <f t="shared" si="6"/>
        <v>3.54</v>
      </c>
      <c r="R50" s="72">
        <f t="shared" si="6"/>
        <v>3.54</v>
      </c>
      <c r="S50" s="72">
        <f t="shared" si="6"/>
        <v>3.54</v>
      </c>
      <c r="T50" s="72">
        <f t="shared" si="6"/>
        <v>3.54</v>
      </c>
      <c r="U50" s="72">
        <f t="shared" si="6"/>
        <v>3.54</v>
      </c>
      <c r="V50" s="72">
        <f t="shared" si="6"/>
        <v>3.54</v>
      </c>
      <c r="W50" s="72">
        <f t="shared" si="6"/>
        <v>3.54</v>
      </c>
      <c r="X50" s="72">
        <f t="shared" si="6"/>
        <v>3.54</v>
      </c>
      <c r="Y50" s="72">
        <f t="shared" si="6"/>
        <v>3.54</v>
      </c>
      <c r="Z50" s="72">
        <f t="shared" si="6"/>
        <v>3.54</v>
      </c>
      <c r="AA50" s="72">
        <f t="shared" si="6"/>
        <v>3.54</v>
      </c>
      <c r="AB50" s="72">
        <f t="shared" si="6"/>
        <v>3.54</v>
      </c>
      <c r="AC50" s="72">
        <f t="shared" si="6"/>
        <v>3.54</v>
      </c>
      <c r="AD50" s="72">
        <f t="shared" si="6"/>
        <v>3.54</v>
      </c>
      <c r="AE50" s="72">
        <f t="shared" si="6"/>
        <v>3.54</v>
      </c>
      <c r="AF50" s="72">
        <f t="shared" si="6"/>
        <v>3.54</v>
      </c>
      <c r="AG50" s="77">
        <f>SUM(AG37:AG49)</f>
        <v>489.91</v>
      </c>
      <c r="AH50" s="55">
        <f t="shared" si="2"/>
        <v>3.54</v>
      </c>
      <c r="AI50" s="56">
        <f t="shared" si="3"/>
        <v>3.54</v>
      </c>
      <c r="AK50" s="57"/>
    </row>
    <row r="51" spans="1:37" x14ac:dyDescent="0.25">
      <c r="A51" s="58" t="s">
        <v>58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174"/>
      <c r="M51" s="174"/>
      <c r="N51" s="174"/>
      <c r="O51" s="174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63">
        <v>60</v>
      </c>
      <c r="AH51" s="55">
        <f t="shared" si="2"/>
        <v>0</v>
      </c>
      <c r="AI51" s="56">
        <f t="shared" si="3"/>
        <v>0</v>
      </c>
      <c r="AK51" s="57"/>
    </row>
    <row r="52" spans="1:37" x14ac:dyDescent="0.25">
      <c r="A52" s="66" t="s">
        <v>59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174"/>
      <c r="M52" s="174"/>
      <c r="N52" s="174"/>
      <c r="O52" s="174"/>
      <c r="P52" s="52"/>
      <c r="Q52" s="52"/>
      <c r="R52" s="50"/>
      <c r="S52" s="50"/>
      <c r="T52" s="50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67">
        <v>32</v>
      </c>
      <c r="AH52" s="55">
        <f t="shared" si="2"/>
        <v>0</v>
      </c>
      <c r="AI52" s="56">
        <f t="shared" si="3"/>
        <v>0</v>
      </c>
      <c r="AK52" s="57"/>
    </row>
    <row r="53" spans="1:37" ht="15.75" thickBot="1" x14ac:dyDescent="0.3">
      <c r="A53" s="75" t="s">
        <v>60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175"/>
      <c r="M53" s="175"/>
      <c r="N53" s="175"/>
      <c r="O53" s="175"/>
      <c r="P53" s="78"/>
      <c r="Q53" s="78"/>
      <c r="R53" s="50"/>
      <c r="S53" s="50"/>
      <c r="T53" s="50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9">
        <v>14</v>
      </c>
      <c r="AH53" s="55">
        <f t="shared" si="2"/>
        <v>0</v>
      </c>
      <c r="AI53" s="56">
        <f t="shared" si="3"/>
        <v>0</v>
      </c>
      <c r="AK53" s="57"/>
    </row>
    <row r="54" spans="1:37" ht="15.75" thickBot="1" x14ac:dyDescent="0.3">
      <c r="A54" s="71" t="s">
        <v>61</v>
      </c>
      <c r="B54" s="72">
        <f>SUM(B51:B53)</f>
        <v>0</v>
      </c>
      <c r="C54" s="72">
        <f t="shared" ref="C54:AF54" si="7">SUM(C51:C53)</f>
        <v>0</v>
      </c>
      <c r="D54" s="72">
        <f t="shared" si="7"/>
        <v>0</v>
      </c>
      <c r="E54" s="72">
        <f t="shared" si="7"/>
        <v>0</v>
      </c>
      <c r="F54" s="72">
        <f t="shared" si="7"/>
        <v>0</v>
      </c>
      <c r="G54" s="72">
        <f t="shared" si="7"/>
        <v>0</v>
      </c>
      <c r="H54" s="72">
        <f t="shared" si="7"/>
        <v>0</v>
      </c>
      <c r="I54" s="72">
        <f t="shared" si="7"/>
        <v>0</v>
      </c>
      <c r="J54" s="72">
        <f t="shared" si="7"/>
        <v>0</v>
      </c>
      <c r="K54" s="72">
        <f t="shared" si="7"/>
        <v>0</v>
      </c>
      <c r="L54" s="72">
        <f t="shared" si="7"/>
        <v>0</v>
      </c>
      <c r="M54" s="72">
        <f t="shared" si="7"/>
        <v>0</v>
      </c>
      <c r="N54" s="72">
        <f t="shared" si="7"/>
        <v>0</v>
      </c>
      <c r="O54" s="72">
        <f t="shared" si="7"/>
        <v>0</v>
      </c>
      <c r="P54" s="72">
        <f t="shared" si="7"/>
        <v>0</v>
      </c>
      <c r="Q54" s="72">
        <f t="shared" si="7"/>
        <v>0</v>
      </c>
      <c r="R54" s="72">
        <f t="shared" si="7"/>
        <v>0</v>
      </c>
      <c r="S54" s="72">
        <f t="shared" si="7"/>
        <v>0</v>
      </c>
      <c r="T54" s="72">
        <f t="shared" si="7"/>
        <v>0</v>
      </c>
      <c r="U54" s="72">
        <f t="shared" si="7"/>
        <v>0</v>
      </c>
      <c r="V54" s="72">
        <f t="shared" si="7"/>
        <v>0</v>
      </c>
      <c r="W54" s="72">
        <f t="shared" si="7"/>
        <v>0</v>
      </c>
      <c r="X54" s="72">
        <f t="shared" si="7"/>
        <v>0</v>
      </c>
      <c r="Y54" s="72">
        <f t="shared" si="7"/>
        <v>0</v>
      </c>
      <c r="Z54" s="72">
        <f t="shared" si="7"/>
        <v>0</v>
      </c>
      <c r="AA54" s="72">
        <f t="shared" si="7"/>
        <v>0</v>
      </c>
      <c r="AB54" s="72">
        <f t="shared" si="7"/>
        <v>0</v>
      </c>
      <c r="AC54" s="72">
        <f t="shared" si="7"/>
        <v>0</v>
      </c>
      <c r="AD54" s="72">
        <f t="shared" si="7"/>
        <v>0</v>
      </c>
      <c r="AE54" s="72">
        <f t="shared" si="7"/>
        <v>0</v>
      </c>
      <c r="AF54" s="72">
        <f t="shared" si="7"/>
        <v>0</v>
      </c>
      <c r="AG54" s="77">
        <f>SUM(AG51:AG53)</f>
        <v>106</v>
      </c>
      <c r="AH54" s="55">
        <f t="shared" si="2"/>
        <v>0</v>
      </c>
      <c r="AI54" s="56">
        <f t="shared" si="3"/>
        <v>0</v>
      </c>
      <c r="AK54" s="57"/>
    </row>
    <row r="55" spans="1:37" x14ac:dyDescent="0.25">
      <c r="A55" s="58" t="s">
        <v>62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63"/>
      <c r="AH55" s="55">
        <f t="shared" si="2"/>
        <v>0</v>
      </c>
      <c r="AI55" s="56">
        <f t="shared" si="3"/>
        <v>0</v>
      </c>
      <c r="AK55" s="57"/>
    </row>
    <row r="56" spans="1:37" x14ac:dyDescent="0.25">
      <c r="A56" s="66" t="s">
        <v>63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0"/>
      <c r="M56" s="50"/>
      <c r="N56" s="50"/>
      <c r="O56" s="50"/>
      <c r="P56" s="50"/>
      <c r="Q56" s="50"/>
      <c r="R56" s="50"/>
      <c r="S56" s="50"/>
      <c r="T56" s="50"/>
      <c r="U56" s="80"/>
      <c r="V56" s="80"/>
      <c r="W56" s="80"/>
      <c r="X56" s="80"/>
      <c r="Y56" s="80"/>
      <c r="Z56" s="80"/>
      <c r="AA56" s="52"/>
      <c r="AB56" s="52"/>
      <c r="AC56" s="52"/>
      <c r="AD56" s="52"/>
      <c r="AE56" s="52"/>
      <c r="AF56" s="52"/>
      <c r="AG56" s="67"/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66" t="s">
        <v>64</v>
      </c>
      <c r="B57" s="52"/>
      <c r="C57" s="52"/>
      <c r="D57" s="52"/>
      <c r="E57" s="52"/>
      <c r="F57" s="52"/>
      <c r="G57" s="50"/>
      <c r="H57" s="50"/>
      <c r="I57" s="50"/>
      <c r="J57" s="50"/>
      <c r="K57" s="50"/>
      <c r="L57" s="52"/>
      <c r="M57" s="52"/>
      <c r="N57" s="52"/>
      <c r="O57" s="52"/>
      <c r="P57" s="52"/>
      <c r="Q57" s="52"/>
      <c r="R57" s="52"/>
      <c r="S57" s="52"/>
      <c r="T57" s="52"/>
      <c r="U57" s="81"/>
      <c r="V57" s="81"/>
      <c r="W57" s="81"/>
      <c r="X57" s="81"/>
      <c r="Y57" s="81"/>
      <c r="Z57" s="81"/>
      <c r="AA57" s="52"/>
      <c r="AB57" s="52"/>
      <c r="AC57" s="52"/>
      <c r="AD57" s="52"/>
      <c r="AE57" s="52"/>
      <c r="AF57" s="52"/>
      <c r="AG57" s="82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6" t="s">
        <v>65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9"/>
      <c r="AB58" s="59"/>
      <c r="AC58" s="59"/>
      <c r="AD58" s="59"/>
      <c r="AE58" s="59"/>
      <c r="AF58" s="59"/>
      <c r="AG58" s="82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6" t="s">
        <v>66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82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6" t="s">
        <v>67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82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6" t="s">
        <v>68</v>
      </c>
      <c r="B61" s="59"/>
      <c r="C61" s="59"/>
      <c r="D61" s="59"/>
      <c r="E61" s="59"/>
      <c r="F61" s="59"/>
      <c r="G61" s="59"/>
      <c r="H61" s="50"/>
      <c r="I61" s="50"/>
      <c r="J61" s="50"/>
      <c r="K61" s="50"/>
      <c r="L61" s="50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82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6" t="s">
        <v>69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82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6" t="s">
        <v>70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82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83" t="s">
        <v>71</v>
      </c>
      <c r="B64" s="59"/>
      <c r="C64" s="59"/>
      <c r="D64" s="59"/>
      <c r="E64" s="59"/>
      <c r="F64" s="59"/>
      <c r="G64" s="59"/>
      <c r="H64" s="52"/>
      <c r="I64" s="52"/>
      <c r="J64" s="52"/>
      <c r="K64" s="52"/>
      <c r="L64" s="52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5"/>
      <c r="AH64" s="55">
        <f t="shared" si="2"/>
        <v>0</v>
      </c>
      <c r="AI64" s="56">
        <f t="shared" si="3"/>
        <v>0</v>
      </c>
      <c r="AK64" s="57"/>
    </row>
    <row r="65" spans="1:88" ht="15.75" thickBot="1" x14ac:dyDescent="0.3">
      <c r="A65" s="83" t="s">
        <v>72</v>
      </c>
      <c r="B65" s="59"/>
      <c r="C65" s="59"/>
      <c r="D65" s="59"/>
      <c r="E65" s="59"/>
      <c r="F65" s="59"/>
      <c r="G65" s="59"/>
      <c r="H65" s="50"/>
      <c r="I65" s="50"/>
      <c r="J65" s="50"/>
      <c r="K65" s="50"/>
      <c r="L65" s="50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5"/>
      <c r="AH65" s="55">
        <f t="shared" si="2"/>
        <v>0</v>
      </c>
      <c r="AI65" s="56">
        <f t="shared" si="3"/>
        <v>0</v>
      </c>
      <c r="AK65" s="57"/>
    </row>
    <row r="66" spans="1:88" ht="15.75" thickBot="1" x14ac:dyDescent="0.3">
      <c r="A66" s="71" t="s">
        <v>73</v>
      </c>
      <c r="B66" s="72">
        <f>SUM(B55:B65)</f>
        <v>0</v>
      </c>
      <c r="C66" s="72">
        <f t="shared" ref="C66:AF66" si="8">SUM(C55:C65)</f>
        <v>0</v>
      </c>
      <c r="D66" s="72">
        <f t="shared" si="8"/>
        <v>0</v>
      </c>
      <c r="E66" s="72">
        <f t="shared" si="8"/>
        <v>0</v>
      </c>
      <c r="F66" s="72">
        <f t="shared" si="8"/>
        <v>0</v>
      </c>
      <c r="G66" s="72">
        <f t="shared" si="8"/>
        <v>0</v>
      </c>
      <c r="H66" s="72">
        <f t="shared" si="8"/>
        <v>0</v>
      </c>
      <c r="I66" s="72">
        <f t="shared" si="8"/>
        <v>0</v>
      </c>
      <c r="J66" s="72">
        <f t="shared" si="8"/>
        <v>0</v>
      </c>
      <c r="K66" s="72">
        <f t="shared" si="8"/>
        <v>0</v>
      </c>
      <c r="L66" s="72">
        <f t="shared" si="8"/>
        <v>0</v>
      </c>
      <c r="M66" s="72">
        <f t="shared" si="8"/>
        <v>0</v>
      </c>
      <c r="N66" s="72">
        <f t="shared" si="8"/>
        <v>0</v>
      </c>
      <c r="O66" s="72">
        <f t="shared" si="8"/>
        <v>0</v>
      </c>
      <c r="P66" s="72">
        <f t="shared" si="8"/>
        <v>0</v>
      </c>
      <c r="Q66" s="72">
        <f t="shared" si="8"/>
        <v>0</v>
      </c>
      <c r="R66" s="72">
        <f t="shared" si="8"/>
        <v>0</v>
      </c>
      <c r="S66" s="72">
        <f t="shared" si="8"/>
        <v>0</v>
      </c>
      <c r="T66" s="72">
        <f t="shared" si="8"/>
        <v>0</v>
      </c>
      <c r="U66" s="72">
        <f t="shared" si="8"/>
        <v>0</v>
      </c>
      <c r="V66" s="72">
        <f t="shared" si="8"/>
        <v>0</v>
      </c>
      <c r="W66" s="72">
        <f t="shared" si="8"/>
        <v>0</v>
      </c>
      <c r="X66" s="72">
        <f t="shared" si="8"/>
        <v>0</v>
      </c>
      <c r="Y66" s="72">
        <f t="shared" si="8"/>
        <v>0</v>
      </c>
      <c r="Z66" s="72">
        <f t="shared" si="8"/>
        <v>0</v>
      </c>
      <c r="AA66" s="72">
        <f t="shared" si="8"/>
        <v>0</v>
      </c>
      <c r="AB66" s="72">
        <f t="shared" si="8"/>
        <v>0</v>
      </c>
      <c r="AC66" s="72">
        <f t="shared" si="8"/>
        <v>0</v>
      </c>
      <c r="AD66" s="72">
        <f t="shared" si="8"/>
        <v>0</v>
      </c>
      <c r="AE66" s="72">
        <f t="shared" si="8"/>
        <v>0</v>
      </c>
      <c r="AF66" s="72">
        <f t="shared" si="8"/>
        <v>0</v>
      </c>
      <c r="AG66" s="77">
        <f>SUM(AG55:AG65)</f>
        <v>0</v>
      </c>
      <c r="AH66" s="55">
        <f t="shared" si="2"/>
        <v>0</v>
      </c>
      <c r="AI66" s="56">
        <f t="shared" si="3"/>
        <v>0</v>
      </c>
      <c r="AK66" s="57"/>
    </row>
    <row r="67" spans="1:88" x14ac:dyDescent="0.25">
      <c r="A67" s="58" t="s">
        <v>74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>
        <v>39</v>
      </c>
      <c r="AH67" s="55">
        <f t="shared" si="2"/>
        <v>0</v>
      </c>
      <c r="AI67" s="56">
        <f t="shared" si="3"/>
        <v>0</v>
      </c>
      <c r="AK67" s="57"/>
    </row>
    <row r="68" spans="1:88" x14ac:dyDescent="0.25">
      <c r="A68" s="66" t="s">
        <v>75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82">
        <v>14.4</v>
      </c>
      <c r="AH68" s="55">
        <f t="shared" si="2"/>
        <v>0</v>
      </c>
      <c r="AI68" s="56">
        <f t="shared" si="3"/>
        <v>0</v>
      </c>
      <c r="AK68" s="57"/>
    </row>
    <row r="69" spans="1:88" ht="15.75" thickBot="1" x14ac:dyDescent="0.3">
      <c r="A69" s="83" t="s">
        <v>76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59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5">
        <v>2</v>
      </c>
      <c r="AH69" s="55">
        <f t="shared" si="2"/>
        <v>0</v>
      </c>
      <c r="AI69" s="56">
        <f t="shared" si="3"/>
        <v>0</v>
      </c>
    </row>
    <row r="70" spans="1:88" s="1" customFormat="1" ht="15.75" thickBot="1" x14ac:dyDescent="0.3">
      <c r="A70" s="71" t="s">
        <v>77</v>
      </c>
      <c r="B70" s="72">
        <f>SUM(B67:B69)</f>
        <v>0</v>
      </c>
      <c r="C70" s="72">
        <f t="shared" ref="C70:AF70" si="9">SUM(C67:C69)</f>
        <v>0</v>
      </c>
      <c r="D70" s="72">
        <f t="shared" si="9"/>
        <v>0</v>
      </c>
      <c r="E70" s="72">
        <f t="shared" si="9"/>
        <v>0</v>
      </c>
      <c r="F70" s="72">
        <f t="shared" si="9"/>
        <v>0</v>
      </c>
      <c r="G70" s="72">
        <f t="shared" si="9"/>
        <v>0</v>
      </c>
      <c r="H70" s="72">
        <f t="shared" si="9"/>
        <v>0</v>
      </c>
      <c r="I70" s="72">
        <f t="shared" si="9"/>
        <v>0</v>
      </c>
      <c r="J70" s="72">
        <f t="shared" si="9"/>
        <v>0</v>
      </c>
      <c r="K70" s="72">
        <f t="shared" si="9"/>
        <v>0</v>
      </c>
      <c r="L70" s="72">
        <f t="shared" si="9"/>
        <v>0</v>
      </c>
      <c r="M70" s="72">
        <f t="shared" si="9"/>
        <v>0</v>
      </c>
      <c r="N70" s="72">
        <f t="shared" si="9"/>
        <v>0</v>
      </c>
      <c r="O70" s="72">
        <f t="shared" si="9"/>
        <v>0</v>
      </c>
      <c r="P70" s="72">
        <f t="shared" si="9"/>
        <v>0</v>
      </c>
      <c r="Q70" s="72">
        <f t="shared" si="9"/>
        <v>0</v>
      </c>
      <c r="R70" s="72">
        <f t="shared" si="9"/>
        <v>0</v>
      </c>
      <c r="S70" s="72">
        <f t="shared" si="9"/>
        <v>0</v>
      </c>
      <c r="T70" s="72">
        <f t="shared" si="9"/>
        <v>0</v>
      </c>
      <c r="U70" s="72">
        <f t="shared" si="9"/>
        <v>0</v>
      </c>
      <c r="V70" s="72">
        <f t="shared" si="9"/>
        <v>0</v>
      </c>
      <c r="W70" s="72">
        <f t="shared" si="9"/>
        <v>0</v>
      </c>
      <c r="X70" s="72">
        <f t="shared" si="9"/>
        <v>0</v>
      </c>
      <c r="Y70" s="72">
        <f t="shared" si="9"/>
        <v>0</v>
      </c>
      <c r="Z70" s="72">
        <f t="shared" si="9"/>
        <v>0</v>
      </c>
      <c r="AA70" s="72">
        <f t="shared" si="9"/>
        <v>0</v>
      </c>
      <c r="AB70" s="72">
        <f t="shared" si="9"/>
        <v>0</v>
      </c>
      <c r="AC70" s="72">
        <f t="shared" si="9"/>
        <v>0</v>
      </c>
      <c r="AD70" s="72">
        <f t="shared" si="9"/>
        <v>0</v>
      </c>
      <c r="AE70" s="72">
        <f t="shared" si="9"/>
        <v>0</v>
      </c>
      <c r="AF70" s="72">
        <f t="shared" si="9"/>
        <v>0</v>
      </c>
      <c r="AG70" s="77">
        <f>SUM(AG67:AG69)</f>
        <v>55.4</v>
      </c>
      <c r="AH70" s="55">
        <f t="shared" si="2"/>
        <v>0</v>
      </c>
      <c r="AI70" s="56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1" t="s">
        <v>78</v>
      </c>
      <c r="B71" s="87">
        <f>B66+B54+B50+B36+B70</f>
        <v>223.54</v>
      </c>
      <c r="C71" s="87">
        <f t="shared" ref="C71:AG71" si="10">C66+C54+C50+C36+C70</f>
        <v>223.54</v>
      </c>
      <c r="D71" s="87">
        <f t="shared" si="10"/>
        <v>223.54</v>
      </c>
      <c r="E71" s="87">
        <f t="shared" si="10"/>
        <v>223.54</v>
      </c>
      <c r="F71" s="87">
        <f t="shared" si="10"/>
        <v>223.54</v>
      </c>
      <c r="G71" s="87">
        <f t="shared" si="10"/>
        <v>223.54</v>
      </c>
      <c r="H71" s="87">
        <f t="shared" si="10"/>
        <v>223.54</v>
      </c>
      <c r="I71" s="87">
        <f t="shared" si="10"/>
        <v>223.54</v>
      </c>
      <c r="J71" s="87">
        <f t="shared" si="10"/>
        <v>223.54</v>
      </c>
      <c r="K71" s="87">
        <f t="shared" si="10"/>
        <v>223.54</v>
      </c>
      <c r="L71" s="87">
        <f t="shared" si="10"/>
        <v>223.54</v>
      </c>
      <c r="M71" s="87">
        <f t="shared" si="10"/>
        <v>223.54</v>
      </c>
      <c r="N71" s="87">
        <f t="shared" si="10"/>
        <v>223.54</v>
      </c>
      <c r="O71" s="87">
        <f t="shared" si="10"/>
        <v>223.54</v>
      </c>
      <c r="P71" s="87">
        <f t="shared" si="10"/>
        <v>223.54</v>
      </c>
      <c r="Q71" s="87">
        <f t="shared" si="10"/>
        <v>223.54</v>
      </c>
      <c r="R71" s="87">
        <f t="shared" si="10"/>
        <v>223.54</v>
      </c>
      <c r="S71" s="87">
        <f t="shared" si="10"/>
        <v>223.54</v>
      </c>
      <c r="T71" s="87">
        <f t="shared" si="10"/>
        <v>223.54</v>
      </c>
      <c r="U71" s="87">
        <f t="shared" si="10"/>
        <v>223.54</v>
      </c>
      <c r="V71" s="87">
        <f t="shared" si="10"/>
        <v>223.54</v>
      </c>
      <c r="W71" s="87">
        <f t="shared" si="10"/>
        <v>223.54</v>
      </c>
      <c r="X71" s="87">
        <f t="shared" si="10"/>
        <v>223.54</v>
      </c>
      <c r="Y71" s="87">
        <f t="shared" si="10"/>
        <v>223.54</v>
      </c>
      <c r="Z71" s="87">
        <f t="shared" si="10"/>
        <v>223.54</v>
      </c>
      <c r="AA71" s="87">
        <f t="shared" si="10"/>
        <v>223.54</v>
      </c>
      <c r="AB71" s="87">
        <f t="shared" si="10"/>
        <v>223.54</v>
      </c>
      <c r="AC71" s="87">
        <f t="shared" si="10"/>
        <v>223.54</v>
      </c>
      <c r="AD71" s="87">
        <f t="shared" si="10"/>
        <v>223.54</v>
      </c>
      <c r="AE71" s="87">
        <f t="shared" si="10"/>
        <v>223.54</v>
      </c>
      <c r="AF71" s="87">
        <f t="shared" si="10"/>
        <v>223.54</v>
      </c>
      <c r="AG71" s="87">
        <f t="shared" si="10"/>
        <v>2088.14</v>
      </c>
      <c r="AH71" s="55">
        <f t="shared" si="2"/>
        <v>223.54</v>
      </c>
      <c r="AI71" s="56">
        <f t="shared" si="3"/>
        <v>223.54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88" t="s">
        <v>79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77"/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80</v>
      </c>
      <c r="B73" s="87">
        <f>B71+B72</f>
        <v>223.54</v>
      </c>
      <c r="C73" s="87">
        <f t="shared" ref="C73:AF73" si="11">C70+C66+C54+C50+C36+C72</f>
        <v>223.54</v>
      </c>
      <c r="D73" s="87">
        <f t="shared" si="11"/>
        <v>223.54</v>
      </c>
      <c r="E73" s="87">
        <f t="shared" si="11"/>
        <v>223.54</v>
      </c>
      <c r="F73" s="87">
        <f t="shared" si="11"/>
        <v>223.54</v>
      </c>
      <c r="G73" s="87">
        <f t="shared" si="11"/>
        <v>223.54</v>
      </c>
      <c r="H73" s="87">
        <f t="shared" si="11"/>
        <v>223.54</v>
      </c>
      <c r="I73" s="87">
        <f t="shared" si="11"/>
        <v>223.54</v>
      </c>
      <c r="J73" s="87">
        <f t="shared" si="11"/>
        <v>223.54</v>
      </c>
      <c r="K73" s="87">
        <f t="shared" si="11"/>
        <v>223.54</v>
      </c>
      <c r="L73" s="87">
        <f t="shared" si="11"/>
        <v>223.54</v>
      </c>
      <c r="M73" s="87">
        <f t="shared" si="11"/>
        <v>223.54</v>
      </c>
      <c r="N73" s="87">
        <f t="shared" si="11"/>
        <v>223.54</v>
      </c>
      <c r="O73" s="87">
        <f t="shared" si="11"/>
        <v>223.54</v>
      </c>
      <c r="P73" s="87">
        <f t="shared" si="11"/>
        <v>223.54</v>
      </c>
      <c r="Q73" s="87">
        <f t="shared" si="11"/>
        <v>223.54</v>
      </c>
      <c r="R73" s="87">
        <f t="shared" si="11"/>
        <v>223.54</v>
      </c>
      <c r="S73" s="87">
        <f t="shared" si="11"/>
        <v>223.54</v>
      </c>
      <c r="T73" s="87">
        <f t="shared" si="11"/>
        <v>223.54</v>
      </c>
      <c r="U73" s="87">
        <f t="shared" si="11"/>
        <v>223.54</v>
      </c>
      <c r="V73" s="87">
        <f t="shared" si="11"/>
        <v>223.54</v>
      </c>
      <c r="W73" s="87">
        <f t="shared" si="11"/>
        <v>223.54</v>
      </c>
      <c r="X73" s="87">
        <f t="shared" si="11"/>
        <v>223.54</v>
      </c>
      <c r="Y73" s="87">
        <f t="shared" si="11"/>
        <v>223.54</v>
      </c>
      <c r="Z73" s="87">
        <f t="shared" si="11"/>
        <v>223.54</v>
      </c>
      <c r="AA73" s="87">
        <f t="shared" si="11"/>
        <v>223.54</v>
      </c>
      <c r="AB73" s="87">
        <f t="shared" si="11"/>
        <v>223.54</v>
      </c>
      <c r="AC73" s="87">
        <f t="shared" si="11"/>
        <v>223.54</v>
      </c>
      <c r="AD73" s="87">
        <f t="shared" si="11"/>
        <v>223.54</v>
      </c>
      <c r="AE73" s="87">
        <f t="shared" si="11"/>
        <v>223.54</v>
      </c>
      <c r="AF73" s="87">
        <f t="shared" si="11"/>
        <v>223.54</v>
      </c>
      <c r="AG73" s="77">
        <f>AG70+AG66+AG54+AG50+AG36+AG72</f>
        <v>2088.14</v>
      </c>
      <c r="AH73" s="55">
        <f t="shared" si="2"/>
        <v>223.54</v>
      </c>
      <c r="AI73" s="56">
        <f t="shared" si="3"/>
        <v>223.54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8" t="s">
        <v>65</v>
      </c>
      <c r="B74" s="59">
        <f t="shared" ref="B74:Q74" si="12">IF(B58&lt;0,B58*-1,0)</f>
        <v>0</v>
      </c>
      <c r="C74" s="59">
        <f t="shared" si="12"/>
        <v>0</v>
      </c>
      <c r="D74" s="59">
        <f t="shared" si="12"/>
        <v>0</v>
      </c>
      <c r="E74" s="59">
        <f t="shared" si="12"/>
        <v>0</v>
      </c>
      <c r="F74" s="59">
        <f t="shared" si="12"/>
        <v>0</v>
      </c>
      <c r="G74" s="59">
        <f t="shared" si="12"/>
        <v>0</v>
      </c>
      <c r="H74" s="59">
        <f t="shared" si="12"/>
        <v>0</v>
      </c>
      <c r="I74" s="59">
        <f t="shared" si="12"/>
        <v>0</v>
      </c>
      <c r="J74" s="59">
        <f t="shared" si="12"/>
        <v>0</v>
      </c>
      <c r="K74" s="59">
        <f t="shared" si="12"/>
        <v>0</v>
      </c>
      <c r="L74" s="59">
        <f t="shared" si="12"/>
        <v>0</v>
      </c>
      <c r="M74" s="59">
        <f t="shared" si="12"/>
        <v>0</v>
      </c>
      <c r="N74" s="59">
        <f t="shared" si="12"/>
        <v>0</v>
      </c>
      <c r="O74" s="59">
        <f t="shared" si="12"/>
        <v>0</v>
      </c>
      <c r="P74" s="59">
        <f t="shared" si="12"/>
        <v>0</v>
      </c>
      <c r="Q74" s="59">
        <f t="shared" si="12"/>
        <v>0</v>
      </c>
      <c r="R74" s="59">
        <f>IF(R58&lt;0,R58*-1,0)</f>
        <v>0</v>
      </c>
      <c r="S74" s="59">
        <f t="shared" ref="S74:AF74" si="13">IF(S58&lt;0,S58*-1,0)</f>
        <v>0</v>
      </c>
      <c r="T74" s="59">
        <f t="shared" si="13"/>
        <v>0</v>
      </c>
      <c r="U74" s="59">
        <f t="shared" si="13"/>
        <v>0</v>
      </c>
      <c r="V74" s="59">
        <f t="shared" si="13"/>
        <v>0</v>
      </c>
      <c r="W74" s="59">
        <f t="shared" si="13"/>
        <v>0</v>
      </c>
      <c r="X74" s="59">
        <f t="shared" si="13"/>
        <v>0</v>
      </c>
      <c r="Y74" s="59">
        <f t="shared" si="13"/>
        <v>0</v>
      </c>
      <c r="Z74" s="59">
        <f t="shared" si="13"/>
        <v>0</v>
      </c>
      <c r="AA74" s="59">
        <f t="shared" si="13"/>
        <v>0</v>
      </c>
      <c r="AB74" s="59">
        <f t="shared" si="13"/>
        <v>0</v>
      </c>
      <c r="AC74" s="59">
        <f t="shared" si="13"/>
        <v>0</v>
      </c>
      <c r="AD74" s="59">
        <f t="shared" si="13"/>
        <v>0</v>
      </c>
      <c r="AE74" s="59">
        <f t="shared" si="13"/>
        <v>0</v>
      </c>
      <c r="AF74" s="59">
        <f t="shared" si="13"/>
        <v>0</v>
      </c>
      <c r="AG74" s="63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6" t="s">
        <v>63</v>
      </c>
      <c r="B75" s="59">
        <f>IF(B59&lt;0,B59*-1,0)</f>
        <v>0</v>
      </c>
      <c r="C75" s="59">
        <f t="shared" ref="C75:Q75" si="14">IF(C56&lt;0,C56*-1,0)</f>
        <v>0</v>
      </c>
      <c r="D75" s="59">
        <f t="shared" si="14"/>
        <v>0</v>
      </c>
      <c r="E75" s="59">
        <f t="shared" si="14"/>
        <v>0</v>
      </c>
      <c r="F75" s="59">
        <f t="shared" si="14"/>
        <v>0</v>
      </c>
      <c r="G75" s="59">
        <f t="shared" si="14"/>
        <v>0</v>
      </c>
      <c r="H75" s="59">
        <f t="shared" si="14"/>
        <v>0</v>
      </c>
      <c r="I75" s="59">
        <f t="shared" si="14"/>
        <v>0</v>
      </c>
      <c r="J75" s="59">
        <f t="shared" si="14"/>
        <v>0</v>
      </c>
      <c r="K75" s="59">
        <f t="shared" si="14"/>
        <v>0</v>
      </c>
      <c r="L75" s="59">
        <f t="shared" si="14"/>
        <v>0</v>
      </c>
      <c r="M75" s="59">
        <f t="shared" si="14"/>
        <v>0</v>
      </c>
      <c r="N75" s="59">
        <f t="shared" si="14"/>
        <v>0</v>
      </c>
      <c r="O75" s="59">
        <f t="shared" si="14"/>
        <v>0</v>
      </c>
      <c r="P75" s="59">
        <f t="shared" si="14"/>
        <v>0</v>
      </c>
      <c r="Q75" s="59">
        <f t="shared" si="14"/>
        <v>0</v>
      </c>
      <c r="R75" s="59">
        <f>IF(R56&lt;0,R56*-1,0)</f>
        <v>0</v>
      </c>
      <c r="S75" s="59">
        <f t="shared" ref="S75:AF75" si="15">IF(S56&lt;0,S56*-1,0)</f>
        <v>0</v>
      </c>
      <c r="T75" s="59">
        <f t="shared" si="15"/>
        <v>0</v>
      </c>
      <c r="U75" s="59">
        <f t="shared" si="15"/>
        <v>0</v>
      </c>
      <c r="V75" s="59">
        <f t="shared" si="15"/>
        <v>0</v>
      </c>
      <c r="W75" s="59">
        <f t="shared" si="15"/>
        <v>0</v>
      </c>
      <c r="X75" s="59">
        <f t="shared" si="15"/>
        <v>0</v>
      </c>
      <c r="Y75" s="59">
        <f t="shared" si="15"/>
        <v>0</v>
      </c>
      <c r="Z75" s="59">
        <f t="shared" si="15"/>
        <v>0</v>
      </c>
      <c r="AA75" s="59">
        <f t="shared" si="15"/>
        <v>0</v>
      </c>
      <c r="AB75" s="59">
        <f t="shared" si="15"/>
        <v>0</v>
      </c>
      <c r="AC75" s="59">
        <f t="shared" si="15"/>
        <v>0</v>
      </c>
      <c r="AD75" s="59">
        <f t="shared" si="15"/>
        <v>0</v>
      </c>
      <c r="AE75" s="59">
        <f t="shared" si="15"/>
        <v>0</v>
      </c>
      <c r="AF75" s="59">
        <f t="shared" si="15"/>
        <v>0</v>
      </c>
      <c r="AG75" s="67"/>
      <c r="AH75" s="55">
        <f t="shared" si="2"/>
        <v>0</v>
      </c>
      <c r="AI75" s="56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3" t="s">
        <v>81</v>
      </c>
      <c r="B76" s="59">
        <f>IF(B60&lt;0,B60*-1,0)</f>
        <v>0</v>
      </c>
      <c r="C76" s="59">
        <f t="shared" ref="C76:Q76" si="16">IF(C59&lt;0,C59*-1,0)</f>
        <v>0</v>
      </c>
      <c r="D76" s="59">
        <f t="shared" si="16"/>
        <v>0</v>
      </c>
      <c r="E76" s="59">
        <f t="shared" si="16"/>
        <v>0</v>
      </c>
      <c r="F76" s="59">
        <f t="shared" si="16"/>
        <v>0</v>
      </c>
      <c r="G76" s="59">
        <f t="shared" si="16"/>
        <v>0</v>
      </c>
      <c r="H76" s="59">
        <f t="shared" si="16"/>
        <v>0</v>
      </c>
      <c r="I76" s="59">
        <f t="shared" si="16"/>
        <v>0</v>
      </c>
      <c r="J76" s="59">
        <f t="shared" si="16"/>
        <v>0</v>
      </c>
      <c r="K76" s="59">
        <f t="shared" si="16"/>
        <v>0</v>
      </c>
      <c r="L76" s="59">
        <f t="shared" si="16"/>
        <v>0</v>
      </c>
      <c r="M76" s="59">
        <f t="shared" si="16"/>
        <v>0</v>
      </c>
      <c r="N76" s="59">
        <f t="shared" si="16"/>
        <v>0</v>
      </c>
      <c r="O76" s="59">
        <f t="shared" si="16"/>
        <v>0</v>
      </c>
      <c r="P76" s="59">
        <f t="shared" si="16"/>
        <v>0</v>
      </c>
      <c r="Q76" s="59">
        <f t="shared" si="16"/>
        <v>0</v>
      </c>
      <c r="R76" s="59">
        <f>IF(R59&lt;0,R59*-1,0)</f>
        <v>0</v>
      </c>
      <c r="S76" s="59">
        <f t="shared" ref="S76:AF76" si="17">IF(S59&lt;0,S59*-1,0)</f>
        <v>0</v>
      </c>
      <c r="T76" s="59">
        <f t="shared" si="17"/>
        <v>0</v>
      </c>
      <c r="U76" s="59">
        <f t="shared" si="17"/>
        <v>0</v>
      </c>
      <c r="V76" s="59">
        <f t="shared" si="17"/>
        <v>0</v>
      </c>
      <c r="W76" s="59">
        <f t="shared" si="17"/>
        <v>0</v>
      </c>
      <c r="X76" s="59">
        <f t="shared" si="17"/>
        <v>0</v>
      </c>
      <c r="Y76" s="59">
        <f t="shared" si="17"/>
        <v>0</v>
      </c>
      <c r="Z76" s="59">
        <f t="shared" si="17"/>
        <v>0</v>
      </c>
      <c r="AA76" s="59">
        <f t="shared" si="17"/>
        <v>0</v>
      </c>
      <c r="AB76" s="59">
        <f t="shared" si="17"/>
        <v>0</v>
      </c>
      <c r="AC76" s="59">
        <f t="shared" si="17"/>
        <v>0</v>
      </c>
      <c r="AD76" s="59">
        <f t="shared" si="17"/>
        <v>0</v>
      </c>
      <c r="AE76" s="59">
        <f t="shared" si="17"/>
        <v>0</v>
      </c>
      <c r="AF76" s="59">
        <f t="shared" si="17"/>
        <v>0</v>
      </c>
      <c r="AG76" s="90"/>
      <c r="AH76" s="55">
        <f t="shared" si="2"/>
        <v>0</v>
      </c>
      <c r="AI76" s="56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3" t="s">
        <v>82</v>
      </c>
      <c r="B77" s="59">
        <f>IF(B61&lt;0,B61*-1,0)</f>
        <v>0</v>
      </c>
      <c r="C77" s="59">
        <f t="shared" ref="C77:AF77" si="18">IF(C57&lt;0,C57*-1,0)</f>
        <v>0</v>
      </c>
      <c r="D77" s="59">
        <f t="shared" si="18"/>
        <v>0</v>
      </c>
      <c r="E77" s="59">
        <f t="shared" si="18"/>
        <v>0</v>
      </c>
      <c r="F77" s="59">
        <f t="shared" si="18"/>
        <v>0</v>
      </c>
      <c r="G77" s="59">
        <f t="shared" si="18"/>
        <v>0</v>
      </c>
      <c r="H77" s="59">
        <f t="shared" si="18"/>
        <v>0</v>
      </c>
      <c r="I77" s="59">
        <f t="shared" si="18"/>
        <v>0</v>
      </c>
      <c r="J77" s="59">
        <f t="shared" si="18"/>
        <v>0</v>
      </c>
      <c r="K77" s="59">
        <f t="shared" si="18"/>
        <v>0</v>
      </c>
      <c r="L77" s="59">
        <f t="shared" si="18"/>
        <v>0</v>
      </c>
      <c r="M77" s="59">
        <f t="shared" si="18"/>
        <v>0</v>
      </c>
      <c r="N77" s="59">
        <f t="shared" si="18"/>
        <v>0</v>
      </c>
      <c r="O77" s="59">
        <f t="shared" si="18"/>
        <v>0</v>
      </c>
      <c r="P77" s="59">
        <f t="shared" si="18"/>
        <v>0</v>
      </c>
      <c r="Q77" s="59">
        <f t="shared" si="18"/>
        <v>0</v>
      </c>
      <c r="R77" s="59">
        <f t="shared" si="18"/>
        <v>0</v>
      </c>
      <c r="S77" s="59">
        <f t="shared" si="18"/>
        <v>0</v>
      </c>
      <c r="T77" s="59">
        <f t="shared" si="18"/>
        <v>0</v>
      </c>
      <c r="U77" s="59">
        <f t="shared" si="18"/>
        <v>0</v>
      </c>
      <c r="V77" s="59">
        <f t="shared" si="18"/>
        <v>0</v>
      </c>
      <c r="W77" s="59">
        <f t="shared" si="18"/>
        <v>0</v>
      </c>
      <c r="X77" s="59">
        <f t="shared" si="18"/>
        <v>0</v>
      </c>
      <c r="Y77" s="59">
        <f t="shared" si="18"/>
        <v>0</v>
      </c>
      <c r="Z77" s="59">
        <f t="shared" si="18"/>
        <v>0</v>
      </c>
      <c r="AA77" s="59">
        <f t="shared" si="18"/>
        <v>0</v>
      </c>
      <c r="AB77" s="59">
        <f t="shared" si="18"/>
        <v>0</v>
      </c>
      <c r="AC77" s="59">
        <f t="shared" si="18"/>
        <v>0</v>
      </c>
      <c r="AD77" s="59">
        <f t="shared" si="18"/>
        <v>0</v>
      </c>
      <c r="AE77" s="59">
        <f t="shared" si="18"/>
        <v>0</v>
      </c>
      <c r="AF77" s="59">
        <f t="shared" si="18"/>
        <v>0</v>
      </c>
      <c r="AG77" s="90"/>
      <c r="AH77" s="55">
        <f t="shared" ref="AH77:AH89" si="19">MAX(B77:AF77)</f>
        <v>0</v>
      </c>
      <c r="AI77" s="56">
        <f t="shared" ref="AI77:AI89" si="20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3" t="s">
        <v>62</v>
      </c>
      <c r="B78" s="59">
        <f>IF(B62&lt;0,B62*-1,0)</f>
        <v>0</v>
      </c>
      <c r="C78" s="59">
        <f t="shared" ref="C78:AF78" si="21">IF(C55&lt;0,C55*-1,0)</f>
        <v>0</v>
      </c>
      <c r="D78" s="59">
        <f t="shared" si="21"/>
        <v>0</v>
      </c>
      <c r="E78" s="59">
        <f t="shared" si="21"/>
        <v>0</v>
      </c>
      <c r="F78" s="59">
        <f t="shared" si="21"/>
        <v>0</v>
      </c>
      <c r="G78" s="59">
        <f t="shared" si="21"/>
        <v>0</v>
      </c>
      <c r="H78" s="59">
        <f t="shared" si="21"/>
        <v>0</v>
      </c>
      <c r="I78" s="59">
        <f t="shared" si="21"/>
        <v>0</v>
      </c>
      <c r="J78" s="59">
        <f t="shared" si="21"/>
        <v>0</v>
      </c>
      <c r="K78" s="59">
        <f t="shared" si="21"/>
        <v>0</v>
      </c>
      <c r="L78" s="59">
        <f t="shared" si="21"/>
        <v>0</v>
      </c>
      <c r="M78" s="59">
        <f t="shared" si="21"/>
        <v>0</v>
      </c>
      <c r="N78" s="59">
        <f t="shared" si="21"/>
        <v>0</v>
      </c>
      <c r="O78" s="59">
        <f t="shared" si="21"/>
        <v>0</v>
      </c>
      <c r="P78" s="59">
        <f t="shared" si="21"/>
        <v>0</v>
      </c>
      <c r="Q78" s="59">
        <f t="shared" si="21"/>
        <v>0</v>
      </c>
      <c r="R78" s="59">
        <f t="shared" si="21"/>
        <v>0</v>
      </c>
      <c r="S78" s="59">
        <f t="shared" si="21"/>
        <v>0</v>
      </c>
      <c r="T78" s="59">
        <f t="shared" si="21"/>
        <v>0</v>
      </c>
      <c r="U78" s="59">
        <f t="shared" si="21"/>
        <v>0</v>
      </c>
      <c r="V78" s="59">
        <f t="shared" si="21"/>
        <v>0</v>
      </c>
      <c r="W78" s="59">
        <f t="shared" si="21"/>
        <v>0</v>
      </c>
      <c r="X78" s="59">
        <f t="shared" si="21"/>
        <v>0</v>
      </c>
      <c r="Y78" s="59">
        <f t="shared" si="21"/>
        <v>0</v>
      </c>
      <c r="Z78" s="59">
        <f t="shared" si="21"/>
        <v>0</v>
      </c>
      <c r="AA78" s="59">
        <f t="shared" si="21"/>
        <v>0</v>
      </c>
      <c r="AB78" s="59">
        <f t="shared" si="21"/>
        <v>0</v>
      </c>
      <c r="AC78" s="59">
        <f t="shared" si="21"/>
        <v>0</v>
      </c>
      <c r="AD78" s="59">
        <f t="shared" si="21"/>
        <v>0</v>
      </c>
      <c r="AE78" s="59">
        <f t="shared" si="21"/>
        <v>0</v>
      </c>
      <c r="AF78" s="59">
        <f t="shared" si="21"/>
        <v>0</v>
      </c>
      <c r="AG78" s="90"/>
      <c r="AH78" s="55">
        <f t="shared" si="19"/>
        <v>0</v>
      </c>
      <c r="AI78" s="56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3" t="s">
        <v>83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50"/>
      <c r="S79" s="50"/>
      <c r="T79" s="50"/>
      <c r="U79" s="50"/>
      <c r="V79" s="50"/>
      <c r="W79" s="50"/>
      <c r="X79" s="50"/>
      <c r="Y79" s="50"/>
      <c r="Z79" s="50"/>
      <c r="AA79" s="84"/>
      <c r="AB79" s="84"/>
      <c r="AC79" s="84"/>
      <c r="AD79" s="84"/>
      <c r="AE79" s="84"/>
      <c r="AF79" s="84"/>
      <c r="AG79" s="85"/>
      <c r="AH79" s="55">
        <f t="shared" si="19"/>
        <v>0</v>
      </c>
      <c r="AI79" s="56">
        <f t="shared" si="20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1" t="s">
        <v>84</v>
      </c>
      <c r="B80" s="72">
        <f t="shared" ref="B80:AG80" si="22">SUM(B74:B79)</f>
        <v>0</v>
      </c>
      <c r="C80" s="72">
        <f t="shared" si="22"/>
        <v>0</v>
      </c>
      <c r="D80" s="72">
        <f t="shared" si="22"/>
        <v>0</v>
      </c>
      <c r="E80" s="72">
        <f t="shared" si="22"/>
        <v>0</v>
      </c>
      <c r="F80" s="72">
        <f t="shared" si="22"/>
        <v>0</v>
      </c>
      <c r="G80" s="72">
        <f t="shared" si="22"/>
        <v>0</v>
      </c>
      <c r="H80" s="72">
        <f t="shared" si="22"/>
        <v>0</v>
      </c>
      <c r="I80" s="72">
        <f t="shared" si="22"/>
        <v>0</v>
      </c>
      <c r="J80" s="72">
        <f t="shared" si="22"/>
        <v>0</v>
      </c>
      <c r="K80" s="72">
        <f t="shared" si="22"/>
        <v>0</v>
      </c>
      <c r="L80" s="72">
        <f t="shared" si="22"/>
        <v>0</v>
      </c>
      <c r="M80" s="72">
        <f t="shared" si="22"/>
        <v>0</v>
      </c>
      <c r="N80" s="72">
        <f t="shared" si="22"/>
        <v>0</v>
      </c>
      <c r="O80" s="72">
        <f t="shared" si="22"/>
        <v>0</v>
      </c>
      <c r="P80" s="72">
        <f t="shared" si="22"/>
        <v>0</v>
      </c>
      <c r="Q80" s="72">
        <f t="shared" si="22"/>
        <v>0</v>
      </c>
      <c r="R80" s="72">
        <f t="shared" si="22"/>
        <v>0</v>
      </c>
      <c r="S80" s="72">
        <f t="shared" si="22"/>
        <v>0</v>
      </c>
      <c r="T80" s="72">
        <f t="shared" si="22"/>
        <v>0</v>
      </c>
      <c r="U80" s="72">
        <f t="shared" si="22"/>
        <v>0</v>
      </c>
      <c r="V80" s="72">
        <f t="shared" si="22"/>
        <v>0</v>
      </c>
      <c r="W80" s="72">
        <f t="shared" si="22"/>
        <v>0</v>
      </c>
      <c r="X80" s="72">
        <f t="shared" si="22"/>
        <v>0</v>
      </c>
      <c r="Y80" s="72">
        <f t="shared" si="22"/>
        <v>0</v>
      </c>
      <c r="Z80" s="72">
        <f t="shared" si="22"/>
        <v>0</v>
      </c>
      <c r="AA80" s="72">
        <f t="shared" si="22"/>
        <v>0</v>
      </c>
      <c r="AB80" s="72">
        <f t="shared" si="22"/>
        <v>0</v>
      </c>
      <c r="AC80" s="72">
        <f t="shared" si="22"/>
        <v>0</v>
      </c>
      <c r="AD80" s="72">
        <f t="shared" si="22"/>
        <v>0</v>
      </c>
      <c r="AE80" s="72">
        <f t="shared" si="22"/>
        <v>0</v>
      </c>
      <c r="AF80" s="72">
        <f t="shared" si="22"/>
        <v>0</v>
      </c>
      <c r="AG80" s="77">
        <f t="shared" si="22"/>
        <v>0</v>
      </c>
      <c r="AH80" s="55">
        <f t="shared" si="19"/>
        <v>0</v>
      </c>
      <c r="AI80" s="56">
        <f t="shared" si="20"/>
        <v>0</v>
      </c>
      <c r="AK80" s="57"/>
    </row>
    <row r="81" spans="1:88" s="1" customFormat="1" ht="15.75" thickBot="1" x14ac:dyDescent="0.3">
      <c r="A81" s="71" t="s">
        <v>85</v>
      </c>
      <c r="B81" s="72">
        <f t="shared" ref="B81:AG81" si="23">SUM(B68:B80)</f>
        <v>447.08</v>
      </c>
      <c r="C81" s="72">
        <f t="shared" si="23"/>
        <v>447.08</v>
      </c>
      <c r="D81" s="72">
        <f t="shared" si="23"/>
        <v>447.08</v>
      </c>
      <c r="E81" s="72">
        <f t="shared" si="23"/>
        <v>447.08</v>
      </c>
      <c r="F81" s="72">
        <f t="shared" si="23"/>
        <v>447.08</v>
      </c>
      <c r="G81" s="72">
        <f t="shared" si="23"/>
        <v>447.08</v>
      </c>
      <c r="H81" s="72">
        <f t="shared" si="23"/>
        <v>447.08</v>
      </c>
      <c r="I81" s="72">
        <f t="shared" si="23"/>
        <v>447.08</v>
      </c>
      <c r="J81" s="72">
        <f t="shared" si="23"/>
        <v>447.08</v>
      </c>
      <c r="K81" s="72">
        <f t="shared" si="23"/>
        <v>447.08</v>
      </c>
      <c r="L81" s="72">
        <f t="shared" si="23"/>
        <v>447.08</v>
      </c>
      <c r="M81" s="72">
        <f t="shared" si="23"/>
        <v>447.08</v>
      </c>
      <c r="N81" s="72">
        <f t="shared" si="23"/>
        <v>447.08</v>
      </c>
      <c r="O81" s="72">
        <f t="shared" si="23"/>
        <v>447.08</v>
      </c>
      <c r="P81" s="72">
        <f t="shared" si="23"/>
        <v>447.08</v>
      </c>
      <c r="Q81" s="72">
        <f t="shared" si="23"/>
        <v>447.08</v>
      </c>
      <c r="R81" s="72">
        <f t="shared" si="23"/>
        <v>447.08</v>
      </c>
      <c r="S81" s="72">
        <f t="shared" si="23"/>
        <v>447.08</v>
      </c>
      <c r="T81" s="72">
        <f t="shared" si="23"/>
        <v>447.08</v>
      </c>
      <c r="U81" s="72">
        <f t="shared" si="23"/>
        <v>447.08</v>
      </c>
      <c r="V81" s="72">
        <f t="shared" si="23"/>
        <v>447.08</v>
      </c>
      <c r="W81" s="72">
        <f t="shared" si="23"/>
        <v>447.08</v>
      </c>
      <c r="X81" s="72">
        <f t="shared" si="23"/>
        <v>447.08</v>
      </c>
      <c r="Y81" s="72">
        <f t="shared" si="23"/>
        <v>447.08</v>
      </c>
      <c r="Z81" s="72">
        <f t="shared" si="23"/>
        <v>447.08</v>
      </c>
      <c r="AA81" s="72">
        <f t="shared" si="23"/>
        <v>447.08</v>
      </c>
      <c r="AB81" s="72">
        <f t="shared" si="23"/>
        <v>447.08</v>
      </c>
      <c r="AC81" s="72">
        <f t="shared" si="23"/>
        <v>447.08</v>
      </c>
      <c r="AD81" s="72">
        <f t="shared" si="23"/>
        <v>447.08</v>
      </c>
      <c r="AE81" s="72">
        <f t="shared" si="23"/>
        <v>447.08</v>
      </c>
      <c r="AF81" s="72">
        <f t="shared" si="23"/>
        <v>447.08</v>
      </c>
      <c r="AG81" s="77">
        <f t="shared" si="23"/>
        <v>4248.08</v>
      </c>
      <c r="AH81" s="55">
        <f t="shared" si="19"/>
        <v>447.08</v>
      </c>
      <c r="AI81" s="56">
        <f t="shared" si="20"/>
        <v>447.08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2" t="s">
        <v>86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4"/>
      <c r="AG82" s="95"/>
      <c r="AH82" s="55">
        <f t="shared" si="19"/>
        <v>0</v>
      </c>
      <c r="AI82" s="56">
        <f t="shared" si="20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6" t="s">
        <v>87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97"/>
      <c r="T83" s="97"/>
      <c r="U83" s="97"/>
      <c r="V83" s="97"/>
      <c r="W83" s="97"/>
      <c r="X83" s="97"/>
      <c r="Y83" s="97"/>
      <c r="Z83" s="97"/>
      <c r="AA83" s="52"/>
      <c r="AB83" s="52"/>
      <c r="AC83" s="52"/>
      <c r="AD83" s="52"/>
      <c r="AE83" s="52"/>
      <c r="AF83" s="98"/>
      <c r="AG83" s="99"/>
      <c r="AH83" s="55">
        <f t="shared" si="19"/>
        <v>0</v>
      </c>
      <c r="AI83" s="56">
        <f t="shared" si="20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6" t="s">
        <v>88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97"/>
      <c r="T84" s="97"/>
      <c r="U84" s="97"/>
      <c r="V84" s="97"/>
      <c r="W84" s="97"/>
      <c r="X84" s="97"/>
      <c r="Y84" s="97"/>
      <c r="Z84" s="97"/>
      <c r="AA84" s="52"/>
      <c r="AB84" s="52"/>
      <c r="AC84" s="52"/>
      <c r="AD84" s="52"/>
      <c r="AE84" s="52"/>
      <c r="AF84" s="98"/>
      <c r="AG84" s="99"/>
      <c r="AH84" s="55">
        <f t="shared" si="19"/>
        <v>0</v>
      </c>
      <c r="AI84" s="56">
        <f t="shared" si="20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6" t="s">
        <v>89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97"/>
      <c r="X85" s="97"/>
      <c r="Y85" s="97"/>
      <c r="Z85" s="97"/>
      <c r="AA85" s="52"/>
      <c r="AB85" s="52"/>
      <c r="AC85" s="52"/>
      <c r="AD85" s="52"/>
      <c r="AE85" s="52"/>
      <c r="AF85" s="98"/>
      <c r="AG85" s="99"/>
      <c r="AH85" s="55">
        <f t="shared" si="19"/>
        <v>0</v>
      </c>
      <c r="AI85" s="56">
        <f t="shared" si="20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0" t="s">
        <v>90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97"/>
      <c r="X86" s="97"/>
      <c r="Y86" s="97"/>
      <c r="Z86" s="97"/>
      <c r="AA86" s="52"/>
      <c r="AB86" s="52"/>
      <c r="AC86" s="52"/>
      <c r="AD86" s="52"/>
      <c r="AE86" s="52"/>
      <c r="AF86" s="98"/>
      <c r="AG86" s="99"/>
      <c r="AH86" s="55">
        <f t="shared" si="19"/>
        <v>0</v>
      </c>
      <c r="AI86" s="56">
        <f t="shared" si="20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0" t="s">
        <v>91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97"/>
      <c r="X87" s="97"/>
      <c r="Y87" s="97"/>
      <c r="Z87" s="97"/>
      <c r="AA87" s="101"/>
      <c r="AB87" s="101"/>
      <c r="AC87" s="101"/>
      <c r="AD87" s="101"/>
      <c r="AE87" s="101"/>
      <c r="AF87" s="102"/>
      <c r="AG87" s="103"/>
      <c r="AH87" s="55">
        <f t="shared" si="19"/>
        <v>0</v>
      </c>
      <c r="AI87" s="56">
        <f t="shared" si="20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6" t="s">
        <v>92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97"/>
      <c r="X88" s="97"/>
      <c r="Y88" s="97"/>
      <c r="Z88" s="97"/>
      <c r="AA88" s="52"/>
      <c r="AB88" s="52"/>
      <c r="AC88" s="52"/>
      <c r="AD88" s="52"/>
      <c r="AE88" s="52"/>
      <c r="AF88" s="98"/>
      <c r="AG88" s="99"/>
      <c r="AH88" s="55">
        <f t="shared" si="19"/>
        <v>0</v>
      </c>
      <c r="AI88" s="56">
        <f t="shared" si="20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6" t="s">
        <v>93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5"/>
      <c r="AG89" s="106"/>
      <c r="AH89" s="55">
        <f t="shared" si="19"/>
        <v>0</v>
      </c>
      <c r="AI89" s="56">
        <f t="shared" si="20"/>
        <v>0</v>
      </c>
    </row>
    <row r="90" spans="1:88" ht="15.75" thickBo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9"/>
      <c r="AH90" s="55"/>
      <c r="AI90" s="56"/>
    </row>
    <row r="91" spans="1:88" ht="15.75" thickBot="1" x14ac:dyDescent="0.3">
      <c r="A91" s="110" t="s">
        <v>94</v>
      </c>
      <c r="B91" s="111">
        <f>SUM(B14,B17,B20:B21,B40,B42:B43,B45,B47,B92:B95,B99,B105,B111,B120,B122,B134,B141,B144:B145,B152,B154,B156,B160:B162,B164:B166,B171,B177:B178,B180:B182,B190,B195)</f>
        <v>34.840000000000003</v>
      </c>
      <c r="C91" s="111">
        <f t="shared" ref="C91:AF91" si="24">SUM(C14,C17,C20:C21,C40,C42:C43,C45,C47,C92:C95,C99,C105,C111,C120,C122,C134,C141,C144:C145,C152,C154,C156,C160:C162,C164:C166,C171,C177:C178,C180:C182,C190,C195)</f>
        <v>34.840000000000003</v>
      </c>
      <c r="D91" s="111">
        <f t="shared" si="24"/>
        <v>34.840000000000003</v>
      </c>
      <c r="E91" s="111">
        <f t="shared" si="24"/>
        <v>34.840000000000003</v>
      </c>
      <c r="F91" s="111">
        <f t="shared" si="24"/>
        <v>34.840000000000003</v>
      </c>
      <c r="G91" s="111">
        <f t="shared" si="24"/>
        <v>34.840000000000003</v>
      </c>
      <c r="H91" s="111">
        <f t="shared" si="24"/>
        <v>34.840000000000003</v>
      </c>
      <c r="I91" s="111">
        <f t="shared" si="24"/>
        <v>34.840000000000003</v>
      </c>
      <c r="J91" s="111">
        <f t="shared" si="24"/>
        <v>34.840000000000003</v>
      </c>
      <c r="K91" s="111">
        <f t="shared" si="24"/>
        <v>34.840000000000003</v>
      </c>
      <c r="L91" s="111">
        <f t="shared" si="24"/>
        <v>34.840000000000003</v>
      </c>
      <c r="M91" s="111">
        <f t="shared" si="24"/>
        <v>34.840000000000003</v>
      </c>
      <c r="N91" s="111">
        <f t="shared" si="24"/>
        <v>34.840000000000003</v>
      </c>
      <c r="O91" s="111">
        <f t="shared" si="24"/>
        <v>34.840000000000003</v>
      </c>
      <c r="P91" s="111">
        <f t="shared" si="24"/>
        <v>34.840000000000003</v>
      </c>
      <c r="Q91" s="111">
        <f t="shared" si="24"/>
        <v>34.840000000000003</v>
      </c>
      <c r="R91" s="111">
        <f t="shared" si="24"/>
        <v>34.840000000000003</v>
      </c>
      <c r="S91" s="111">
        <f t="shared" si="24"/>
        <v>34.840000000000003</v>
      </c>
      <c r="T91" s="111">
        <f t="shared" si="24"/>
        <v>34.840000000000003</v>
      </c>
      <c r="U91" s="111">
        <f t="shared" si="24"/>
        <v>34.840000000000003</v>
      </c>
      <c r="V91" s="111">
        <f t="shared" si="24"/>
        <v>34.840000000000003</v>
      </c>
      <c r="W91" s="111">
        <f t="shared" si="24"/>
        <v>34.840000000000003</v>
      </c>
      <c r="X91" s="111">
        <f t="shared" si="24"/>
        <v>34.840000000000003</v>
      </c>
      <c r="Y91" s="111">
        <f t="shared" si="24"/>
        <v>34.840000000000003</v>
      </c>
      <c r="Z91" s="111">
        <f t="shared" si="24"/>
        <v>34.840000000000003</v>
      </c>
      <c r="AA91" s="111">
        <f t="shared" si="24"/>
        <v>34.840000000000003</v>
      </c>
      <c r="AB91" s="111">
        <f t="shared" si="24"/>
        <v>34.840000000000003</v>
      </c>
      <c r="AC91" s="111">
        <f t="shared" si="24"/>
        <v>34.840000000000003</v>
      </c>
      <c r="AD91" s="111">
        <f t="shared" si="24"/>
        <v>34.840000000000003</v>
      </c>
      <c r="AE91" s="111">
        <f t="shared" si="24"/>
        <v>34.840000000000003</v>
      </c>
      <c r="AF91" s="111">
        <f t="shared" si="24"/>
        <v>34.840000000000003</v>
      </c>
      <c r="AG91" s="112"/>
      <c r="AH91" s="55">
        <f>MAX(B91:AF91)</f>
        <v>34.840000000000003</v>
      </c>
      <c r="AI91" s="56">
        <f>MIN(B91:AF91)</f>
        <v>34.840000000000003</v>
      </c>
    </row>
    <row r="92" spans="1:88" x14ac:dyDescent="0.25">
      <c r="A92" s="113" t="s">
        <v>95</v>
      </c>
      <c r="B92" s="59"/>
      <c r="C92" s="59"/>
      <c r="D92" s="59"/>
      <c r="E92" s="59"/>
      <c r="F92" s="114"/>
      <c r="G92" s="114"/>
      <c r="H92" s="114"/>
      <c r="I92" s="114"/>
      <c r="J92" s="114"/>
      <c r="K92" s="114"/>
      <c r="L92" s="115"/>
      <c r="M92" s="114"/>
      <c r="N92" s="114"/>
      <c r="O92" s="114"/>
      <c r="P92" s="114"/>
      <c r="Q92" s="114"/>
      <c r="R92" s="114"/>
      <c r="S92" s="115"/>
      <c r="T92" s="115"/>
      <c r="U92" s="114"/>
      <c r="V92" s="114"/>
      <c r="W92" s="114"/>
      <c r="X92" s="114"/>
      <c r="Y92" s="114"/>
      <c r="Z92" s="114"/>
      <c r="AA92" s="115"/>
      <c r="AB92" s="115"/>
      <c r="AC92" s="115"/>
      <c r="AD92" s="115"/>
      <c r="AE92" s="115"/>
      <c r="AF92" s="116"/>
      <c r="AG92" s="117">
        <v>75</v>
      </c>
      <c r="AH92" s="55">
        <f>IF(ABS(MAX(B92:AF92))&gt;ABS(MIN(B92:AF92)),MAX(B92:AF92),MIN(B92:AF92))</f>
        <v>0</v>
      </c>
      <c r="AI92" s="118" t="e">
        <f>INDEX($B$9:$AF$9,1,MATCH(AH92,B92:AF92,0))</f>
        <v>#N/A</v>
      </c>
    </row>
    <row r="93" spans="1:88" x14ac:dyDescent="0.25">
      <c r="A93" s="119" t="s">
        <v>96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52"/>
      <c r="AB93" s="52"/>
      <c r="AC93" s="52"/>
      <c r="AD93" s="52"/>
      <c r="AE93" s="52"/>
      <c r="AF93" s="120"/>
      <c r="AG93" s="117">
        <v>240</v>
      </c>
      <c r="AH93" s="55">
        <f>IF(ABS(MAX(B93:AF93))&gt;ABS(MIN(B93:AF93)),MAX(B93:AF93),MIN(B93:AF93))</f>
        <v>0</v>
      </c>
      <c r="AI93" s="118" t="e">
        <f>INDEX($B$9:$AF$9,1,MATCH(AH93,B93:AF93,0))</f>
        <v>#N/A</v>
      </c>
    </row>
    <row r="94" spans="1:88" x14ac:dyDescent="0.25">
      <c r="A94" s="119" t="s">
        <v>97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52"/>
      <c r="AB94" s="52"/>
      <c r="AC94" s="52"/>
      <c r="AD94" s="52"/>
      <c r="AE94" s="52"/>
      <c r="AF94" s="120"/>
      <c r="AG94" s="117">
        <v>60</v>
      </c>
      <c r="AH94" s="55">
        <f>IF(ABS(MAX(B94:AF94))&gt;ABS(MIN(B94:AF94)),MAX(B94:AF94),MIN(B94:AF94))</f>
        <v>0</v>
      </c>
      <c r="AI94" s="118" t="e">
        <f>INDEX($B$9:$AF$9,1,MATCH(AH94,B94:AF94,0))</f>
        <v>#N/A</v>
      </c>
    </row>
    <row r="95" spans="1:88" x14ac:dyDescent="0.25">
      <c r="A95" s="121" t="s">
        <v>98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122"/>
      <c r="AB95" s="122"/>
      <c r="AC95" s="122"/>
      <c r="AD95" s="122"/>
      <c r="AE95" s="122"/>
      <c r="AF95" s="123"/>
      <c r="AG95" s="124">
        <v>120</v>
      </c>
      <c r="AH95" s="55">
        <f>IF(ABS(MAX(B95:AF95))&gt;ABS(MIN(B95:AF95)),MAX(B95:AF95),MIN(B95:AF95))</f>
        <v>0</v>
      </c>
      <c r="AI95" s="118" t="e">
        <f>INDEX($B$9:$AF$9,1,MATCH(AH95,B95:AF95,0))</f>
        <v>#N/A</v>
      </c>
    </row>
    <row r="96" spans="1:88" ht="15.75" thickBot="1" x14ac:dyDescent="0.3">
      <c r="A96" s="121" t="s">
        <v>99</v>
      </c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122"/>
      <c r="AB96" s="122"/>
      <c r="AC96" s="122"/>
      <c r="AD96" s="122"/>
      <c r="AE96" s="122"/>
      <c r="AF96" s="123"/>
      <c r="AG96" s="124"/>
      <c r="AH96" s="55">
        <f>IF(ABS(MAX(B96:AF96))&gt;ABS(MIN(B96:AF96)),MAX(B96:AF96),MIN(B96:AF96))</f>
        <v>0</v>
      </c>
      <c r="AI96" s="118" t="e">
        <f>INDEX($B$9:$AF$9,1,MATCH(AH96,B96:AF96,0))</f>
        <v>#N/A</v>
      </c>
    </row>
    <row r="97" spans="1:37" ht="15.75" thickBot="1" x14ac:dyDescent="0.3">
      <c r="A97" s="126" t="s">
        <v>101</v>
      </c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8"/>
      <c r="AH97" s="129"/>
      <c r="AI97" s="56"/>
      <c r="AK97" s="57"/>
    </row>
    <row r="98" spans="1:37" x14ac:dyDescent="0.25">
      <c r="A98" s="130" t="s">
        <v>102</v>
      </c>
      <c r="B98" s="54">
        <v>9.9</v>
      </c>
      <c r="C98" s="131">
        <f t="shared" ref="C98:R103" si="25">B98</f>
        <v>9.9</v>
      </c>
      <c r="D98" s="131">
        <f t="shared" si="25"/>
        <v>9.9</v>
      </c>
      <c r="E98" s="131">
        <f t="shared" si="25"/>
        <v>9.9</v>
      </c>
      <c r="F98" s="131">
        <f t="shared" si="25"/>
        <v>9.9</v>
      </c>
      <c r="G98" s="131">
        <f t="shared" si="25"/>
        <v>9.9</v>
      </c>
      <c r="H98" s="131">
        <f t="shared" si="25"/>
        <v>9.9</v>
      </c>
      <c r="I98" s="131">
        <f t="shared" si="25"/>
        <v>9.9</v>
      </c>
      <c r="J98" s="131">
        <f t="shared" si="25"/>
        <v>9.9</v>
      </c>
      <c r="K98" s="131">
        <f t="shared" si="25"/>
        <v>9.9</v>
      </c>
      <c r="L98" s="131">
        <f t="shared" si="25"/>
        <v>9.9</v>
      </c>
      <c r="M98" s="131">
        <f t="shared" si="25"/>
        <v>9.9</v>
      </c>
      <c r="N98" s="131">
        <f t="shared" si="25"/>
        <v>9.9</v>
      </c>
      <c r="O98" s="131">
        <f t="shared" si="25"/>
        <v>9.9</v>
      </c>
      <c r="P98" s="131">
        <f t="shared" si="25"/>
        <v>9.9</v>
      </c>
      <c r="Q98" s="131">
        <f t="shared" si="25"/>
        <v>9.9</v>
      </c>
      <c r="R98" s="131">
        <f t="shared" si="25"/>
        <v>9.9</v>
      </c>
      <c r="S98" s="131">
        <f t="shared" ref="S98:AF103" si="26">R98</f>
        <v>9.9</v>
      </c>
      <c r="T98" s="131">
        <f t="shared" si="26"/>
        <v>9.9</v>
      </c>
      <c r="U98" s="131">
        <f t="shared" si="26"/>
        <v>9.9</v>
      </c>
      <c r="V98" s="131">
        <f t="shared" si="26"/>
        <v>9.9</v>
      </c>
      <c r="W98" s="131">
        <f t="shared" si="26"/>
        <v>9.9</v>
      </c>
      <c r="X98" s="131">
        <f t="shared" si="26"/>
        <v>9.9</v>
      </c>
      <c r="Y98" s="131">
        <f t="shared" si="26"/>
        <v>9.9</v>
      </c>
      <c r="Z98" s="131">
        <f t="shared" si="26"/>
        <v>9.9</v>
      </c>
      <c r="AA98" s="131">
        <f t="shared" si="26"/>
        <v>9.9</v>
      </c>
      <c r="AB98" s="131">
        <f t="shared" si="26"/>
        <v>9.9</v>
      </c>
      <c r="AC98" s="131">
        <f t="shared" si="26"/>
        <v>9.9</v>
      </c>
      <c r="AD98" s="131">
        <f t="shared" si="26"/>
        <v>9.9</v>
      </c>
      <c r="AE98" s="131">
        <f t="shared" si="26"/>
        <v>9.9</v>
      </c>
      <c r="AF98" s="131">
        <f t="shared" si="26"/>
        <v>9.9</v>
      </c>
      <c r="AG98" s="132">
        <v>9.94</v>
      </c>
      <c r="AH98" s="55"/>
      <c r="AI98" s="56"/>
      <c r="AK98" s="57"/>
    </row>
    <row r="99" spans="1:37" x14ac:dyDescent="0.25">
      <c r="A99" s="119" t="s">
        <v>103</v>
      </c>
      <c r="B99" s="133">
        <v>9.6</v>
      </c>
      <c r="C99" s="134">
        <f t="shared" si="25"/>
        <v>9.6</v>
      </c>
      <c r="D99" s="134">
        <f t="shared" si="25"/>
        <v>9.6</v>
      </c>
      <c r="E99" s="134">
        <f t="shared" si="25"/>
        <v>9.6</v>
      </c>
      <c r="F99" s="134">
        <f t="shared" si="25"/>
        <v>9.6</v>
      </c>
      <c r="G99" s="134">
        <f t="shared" si="25"/>
        <v>9.6</v>
      </c>
      <c r="H99" s="134">
        <f t="shared" si="25"/>
        <v>9.6</v>
      </c>
      <c r="I99" s="134">
        <f t="shared" si="25"/>
        <v>9.6</v>
      </c>
      <c r="J99" s="134">
        <f t="shared" si="25"/>
        <v>9.6</v>
      </c>
      <c r="K99" s="134">
        <f t="shared" si="25"/>
        <v>9.6</v>
      </c>
      <c r="L99" s="134">
        <f t="shared" si="25"/>
        <v>9.6</v>
      </c>
      <c r="M99" s="134">
        <f t="shared" si="25"/>
        <v>9.6</v>
      </c>
      <c r="N99" s="134">
        <f t="shared" si="25"/>
        <v>9.6</v>
      </c>
      <c r="O99" s="134">
        <f t="shared" si="25"/>
        <v>9.6</v>
      </c>
      <c r="P99" s="134">
        <f t="shared" si="25"/>
        <v>9.6</v>
      </c>
      <c r="Q99" s="134">
        <f t="shared" si="25"/>
        <v>9.6</v>
      </c>
      <c r="R99" s="134">
        <f t="shared" si="25"/>
        <v>9.6</v>
      </c>
      <c r="S99" s="134">
        <f t="shared" si="26"/>
        <v>9.6</v>
      </c>
      <c r="T99" s="134">
        <f t="shared" si="26"/>
        <v>9.6</v>
      </c>
      <c r="U99" s="134">
        <f t="shared" si="26"/>
        <v>9.6</v>
      </c>
      <c r="V99" s="134">
        <f t="shared" si="26"/>
        <v>9.6</v>
      </c>
      <c r="W99" s="134">
        <f t="shared" si="26"/>
        <v>9.6</v>
      </c>
      <c r="X99" s="134">
        <f t="shared" si="26"/>
        <v>9.6</v>
      </c>
      <c r="Y99" s="134">
        <f t="shared" si="26"/>
        <v>9.6</v>
      </c>
      <c r="Z99" s="134">
        <f t="shared" si="26"/>
        <v>9.6</v>
      </c>
      <c r="AA99" s="134">
        <f t="shared" si="26"/>
        <v>9.6</v>
      </c>
      <c r="AB99" s="134">
        <f t="shared" si="26"/>
        <v>9.6</v>
      </c>
      <c r="AC99" s="134">
        <f t="shared" si="26"/>
        <v>9.6</v>
      </c>
      <c r="AD99" s="134">
        <f t="shared" si="26"/>
        <v>9.6</v>
      </c>
      <c r="AE99" s="134">
        <f t="shared" si="26"/>
        <v>9.6</v>
      </c>
      <c r="AF99" s="134">
        <f t="shared" si="26"/>
        <v>9.6</v>
      </c>
      <c r="AG99" s="135">
        <v>9.9</v>
      </c>
      <c r="AH99" s="55"/>
      <c r="AI99" s="56"/>
      <c r="AK99" s="57"/>
    </row>
    <row r="100" spans="1:37" x14ac:dyDescent="0.25">
      <c r="A100" s="121" t="s">
        <v>104</v>
      </c>
      <c r="B100" s="133">
        <v>9.98</v>
      </c>
      <c r="C100" s="134">
        <f t="shared" si="25"/>
        <v>9.98</v>
      </c>
      <c r="D100" s="134">
        <f t="shared" si="25"/>
        <v>9.98</v>
      </c>
      <c r="E100" s="134">
        <f t="shared" si="25"/>
        <v>9.98</v>
      </c>
      <c r="F100" s="134">
        <f t="shared" si="25"/>
        <v>9.98</v>
      </c>
      <c r="G100" s="134">
        <f t="shared" si="25"/>
        <v>9.98</v>
      </c>
      <c r="H100" s="134">
        <f t="shared" si="25"/>
        <v>9.98</v>
      </c>
      <c r="I100" s="134">
        <f t="shared" si="25"/>
        <v>9.98</v>
      </c>
      <c r="J100" s="134">
        <f t="shared" si="25"/>
        <v>9.98</v>
      </c>
      <c r="K100" s="134">
        <f t="shared" si="25"/>
        <v>9.98</v>
      </c>
      <c r="L100" s="134">
        <f t="shared" si="25"/>
        <v>9.98</v>
      </c>
      <c r="M100" s="134">
        <f t="shared" si="25"/>
        <v>9.98</v>
      </c>
      <c r="N100" s="134">
        <f t="shared" si="25"/>
        <v>9.98</v>
      </c>
      <c r="O100" s="134">
        <f t="shared" si="25"/>
        <v>9.98</v>
      </c>
      <c r="P100" s="134">
        <f t="shared" si="25"/>
        <v>9.98</v>
      </c>
      <c r="Q100" s="134">
        <f t="shared" si="25"/>
        <v>9.98</v>
      </c>
      <c r="R100" s="134">
        <f t="shared" si="25"/>
        <v>9.98</v>
      </c>
      <c r="S100" s="134">
        <f t="shared" si="26"/>
        <v>9.98</v>
      </c>
      <c r="T100" s="134">
        <f t="shared" si="26"/>
        <v>9.98</v>
      </c>
      <c r="U100" s="134">
        <f t="shared" si="26"/>
        <v>9.98</v>
      </c>
      <c r="V100" s="134">
        <f t="shared" si="26"/>
        <v>9.98</v>
      </c>
      <c r="W100" s="134">
        <f t="shared" si="26"/>
        <v>9.98</v>
      </c>
      <c r="X100" s="134">
        <f t="shared" si="26"/>
        <v>9.98</v>
      </c>
      <c r="Y100" s="134">
        <f t="shared" si="26"/>
        <v>9.98</v>
      </c>
      <c r="Z100" s="134">
        <f t="shared" si="26"/>
        <v>9.98</v>
      </c>
      <c r="AA100" s="134">
        <f t="shared" si="26"/>
        <v>9.98</v>
      </c>
      <c r="AB100" s="134">
        <f t="shared" si="26"/>
        <v>9.98</v>
      </c>
      <c r="AC100" s="134">
        <f t="shared" si="26"/>
        <v>9.98</v>
      </c>
      <c r="AD100" s="134">
        <f t="shared" si="26"/>
        <v>9.98</v>
      </c>
      <c r="AE100" s="134">
        <f t="shared" si="26"/>
        <v>9.98</v>
      </c>
      <c r="AF100" s="134">
        <f t="shared" si="26"/>
        <v>9.98</v>
      </c>
      <c r="AG100" s="136">
        <v>9.6579999999999995</v>
      </c>
      <c r="AH100" s="55"/>
      <c r="AI100" s="56"/>
      <c r="AK100" s="57"/>
    </row>
    <row r="101" spans="1:37" x14ac:dyDescent="0.25">
      <c r="A101" s="121" t="s">
        <v>105</v>
      </c>
      <c r="B101" s="133">
        <v>9.1</v>
      </c>
      <c r="C101" s="134">
        <f t="shared" si="25"/>
        <v>9.1</v>
      </c>
      <c r="D101" s="134">
        <f t="shared" si="25"/>
        <v>9.1</v>
      </c>
      <c r="E101" s="134">
        <f t="shared" si="25"/>
        <v>9.1</v>
      </c>
      <c r="F101" s="134">
        <f t="shared" si="25"/>
        <v>9.1</v>
      </c>
      <c r="G101" s="134">
        <f t="shared" si="25"/>
        <v>9.1</v>
      </c>
      <c r="H101" s="134">
        <f t="shared" si="25"/>
        <v>9.1</v>
      </c>
      <c r="I101" s="134">
        <f t="shared" si="25"/>
        <v>9.1</v>
      </c>
      <c r="J101" s="134">
        <f t="shared" si="25"/>
        <v>9.1</v>
      </c>
      <c r="K101" s="134">
        <f t="shared" si="25"/>
        <v>9.1</v>
      </c>
      <c r="L101" s="134">
        <f t="shared" si="25"/>
        <v>9.1</v>
      </c>
      <c r="M101" s="134">
        <f t="shared" si="25"/>
        <v>9.1</v>
      </c>
      <c r="N101" s="134">
        <f t="shared" si="25"/>
        <v>9.1</v>
      </c>
      <c r="O101" s="134">
        <f t="shared" si="25"/>
        <v>9.1</v>
      </c>
      <c r="P101" s="134">
        <f t="shared" si="25"/>
        <v>9.1</v>
      </c>
      <c r="Q101" s="134">
        <f t="shared" si="25"/>
        <v>9.1</v>
      </c>
      <c r="R101" s="134">
        <f t="shared" si="25"/>
        <v>9.1</v>
      </c>
      <c r="S101" s="134">
        <f t="shared" si="26"/>
        <v>9.1</v>
      </c>
      <c r="T101" s="134">
        <f t="shared" si="26"/>
        <v>9.1</v>
      </c>
      <c r="U101" s="134">
        <f t="shared" si="26"/>
        <v>9.1</v>
      </c>
      <c r="V101" s="134">
        <f t="shared" si="26"/>
        <v>9.1</v>
      </c>
      <c r="W101" s="134">
        <f t="shared" si="26"/>
        <v>9.1</v>
      </c>
      <c r="X101" s="134">
        <f t="shared" si="26"/>
        <v>9.1</v>
      </c>
      <c r="Y101" s="134">
        <f t="shared" si="26"/>
        <v>9.1</v>
      </c>
      <c r="Z101" s="134">
        <f t="shared" si="26"/>
        <v>9.1</v>
      </c>
      <c r="AA101" s="134">
        <f t="shared" si="26"/>
        <v>9.1</v>
      </c>
      <c r="AB101" s="134">
        <f t="shared" si="26"/>
        <v>9.1</v>
      </c>
      <c r="AC101" s="134">
        <f t="shared" si="26"/>
        <v>9.1</v>
      </c>
      <c r="AD101" s="134">
        <f t="shared" si="26"/>
        <v>9.1</v>
      </c>
      <c r="AE101" s="134">
        <f t="shared" si="26"/>
        <v>9.1</v>
      </c>
      <c r="AF101" s="134">
        <f t="shared" si="26"/>
        <v>9.1</v>
      </c>
      <c r="AG101" s="136">
        <v>9.6</v>
      </c>
      <c r="AH101" s="55"/>
      <c r="AI101" s="56"/>
      <c r="AK101" s="57"/>
    </row>
    <row r="102" spans="1:37" x14ac:dyDescent="0.25">
      <c r="A102" s="121" t="s">
        <v>106</v>
      </c>
      <c r="B102" s="133">
        <v>9.18</v>
      </c>
      <c r="C102" s="134">
        <f t="shared" si="25"/>
        <v>9.18</v>
      </c>
      <c r="D102" s="134">
        <f t="shared" si="25"/>
        <v>9.18</v>
      </c>
      <c r="E102" s="134">
        <f t="shared" si="25"/>
        <v>9.18</v>
      </c>
      <c r="F102" s="134">
        <f t="shared" si="25"/>
        <v>9.18</v>
      </c>
      <c r="G102" s="134">
        <f t="shared" si="25"/>
        <v>9.18</v>
      </c>
      <c r="H102" s="134">
        <f t="shared" si="25"/>
        <v>9.18</v>
      </c>
      <c r="I102" s="134">
        <f t="shared" si="25"/>
        <v>9.18</v>
      </c>
      <c r="J102" s="134">
        <f t="shared" si="25"/>
        <v>9.18</v>
      </c>
      <c r="K102" s="134">
        <f t="shared" si="25"/>
        <v>9.18</v>
      </c>
      <c r="L102" s="134">
        <f t="shared" si="25"/>
        <v>9.18</v>
      </c>
      <c r="M102" s="134">
        <f t="shared" si="25"/>
        <v>9.18</v>
      </c>
      <c r="N102" s="134">
        <f t="shared" si="25"/>
        <v>9.18</v>
      </c>
      <c r="O102" s="134">
        <f t="shared" si="25"/>
        <v>9.18</v>
      </c>
      <c r="P102" s="134">
        <f t="shared" si="25"/>
        <v>9.18</v>
      </c>
      <c r="Q102" s="134">
        <f t="shared" si="25"/>
        <v>9.18</v>
      </c>
      <c r="R102" s="134">
        <f t="shared" si="25"/>
        <v>9.18</v>
      </c>
      <c r="S102" s="134">
        <f t="shared" si="26"/>
        <v>9.18</v>
      </c>
      <c r="T102" s="134">
        <f t="shared" si="26"/>
        <v>9.18</v>
      </c>
      <c r="U102" s="134">
        <f t="shared" si="26"/>
        <v>9.18</v>
      </c>
      <c r="V102" s="134">
        <f t="shared" si="26"/>
        <v>9.18</v>
      </c>
      <c r="W102" s="134">
        <f t="shared" si="26"/>
        <v>9.18</v>
      </c>
      <c r="X102" s="134">
        <f t="shared" si="26"/>
        <v>9.18</v>
      </c>
      <c r="Y102" s="134">
        <f t="shared" si="26"/>
        <v>9.18</v>
      </c>
      <c r="Z102" s="134">
        <f t="shared" si="26"/>
        <v>9.18</v>
      </c>
      <c r="AA102" s="134">
        <f t="shared" si="26"/>
        <v>9.18</v>
      </c>
      <c r="AB102" s="134">
        <f t="shared" si="26"/>
        <v>9.18</v>
      </c>
      <c r="AC102" s="134">
        <f t="shared" si="26"/>
        <v>9.18</v>
      </c>
      <c r="AD102" s="134">
        <f t="shared" si="26"/>
        <v>9.18</v>
      </c>
      <c r="AE102" s="134">
        <f t="shared" si="26"/>
        <v>9.18</v>
      </c>
      <c r="AF102" s="134">
        <f t="shared" si="26"/>
        <v>9.18</v>
      </c>
      <c r="AG102" s="136">
        <v>9.51</v>
      </c>
      <c r="AH102" s="55"/>
      <c r="AI102" s="56"/>
      <c r="AK102" s="57"/>
    </row>
    <row r="103" spans="1:37" x14ac:dyDescent="0.25">
      <c r="A103" s="121" t="s">
        <v>107</v>
      </c>
      <c r="B103" s="133">
        <v>7</v>
      </c>
      <c r="C103" s="134">
        <f t="shared" si="25"/>
        <v>7</v>
      </c>
      <c r="D103" s="134">
        <f t="shared" si="25"/>
        <v>7</v>
      </c>
      <c r="E103" s="134">
        <f t="shared" si="25"/>
        <v>7</v>
      </c>
      <c r="F103" s="134">
        <f t="shared" si="25"/>
        <v>7</v>
      </c>
      <c r="G103" s="134">
        <f t="shared" si="25"/>
        <v>7</v>
      </c>
      <c r="H103" s="134">
        <f t="shared" si="25"/>
        <v>7</v>
      </c>
      <c r="I103" s="134">
        <f t="shared" si="25"/>
        <v>7</v>
      </c>
      <c r="J103" s="134">
        <f t="shared" si="25"/>
        <v>7</v>
      </c>
      <c r="K103" s="134">
        <f t="shared" si="25"/>
        <v>7</v>
      </c>
      <c r="L103" s="134">
        <f t="shared" si="25"/>
        <v>7</v>
      </c>
      <c r="M103" s="134">
        <f t="shared" si="25"/>
        <v>7</v>
      </c>
      <c r="N103" s="134">
        <f t="shared" si="25"/>
        <v>7</v>
      </c>
      <c r="O103" s="134">
        <f t="shared" si="25"/>
        <v>7</v>
      </c>
      <c r="P103" s="134">
        <f t="shared" si="25"/>
        <v>7</v>
      </c>
      <c r="Q103" s="134">
        <f t="shared" si="25"/>
        <v>7</v>
      </c>
      <c r="R103" s="134">
        <f t="shared" si="25"/>
        <v>7</v>
      </c>
      <c r="S103" s="134">
        <f t="shared" si="26"/>
        <v>7</v>
      </c>
      <c r="T103" s="134">
        <f t="shared" si="26"/>
        <v>7</v>
      </c>
      <c r="U103" s="134">
        <f t="shared" si="26"/>
        <v>7</v>
      </c>
      <c r="V103" s="134">
        <f t="shared" si="26"/>
        <v>7</v>
      </c>
      <c r="W103" s="134">
        <f t="shared" si="26"/>
        <v>7</v>
      </c>
      <c r="X103" s="134">
        <f t="shared" si="26"/>
        <v>7</v>
      </c>
      <c r="Y103" s="134">
        <f t="shared" si="26"/>
        <v>7</v>
      </c>
      <c r="Z103" s="134">
        <f t="shared" si="26"/>
        <v>7</v>
      </c>
      <c r="AA103" s="134">
        <f t="shared" si="26"/>
        <v>7</v>
      </c>
      <c r="AB103" s="134">
        <f t="shared" si="26"/>
        <v>7</v>
      </c>
      <c r="AC103" s="134">
        <f t="shared" si="26"/>
        <v>7</v>
      </c>
      <c r="AD103" s="134">
        <f t="shared" si="26"/>
        <v>7</v>
      </c>
      <c r="AE103" s="134">
        <f t="shared" si="26"/>
        <v>7</v>
      </c>
      <c r="AF103" s="134">
        <f t="shared" si="26"/>
        <v>7</v>
      </c>
      <c r="AG103" s="136">
        <v>9.4</v>
      </c>
      <c r="AH103" s="55"/>
      <c r="AI103" s="56"/>
      <c r="AK103" s="57"/>
    </row>
    <row r="104" spans="1:37" x14ac:dyDescent="0.25">
      <c r="A104" s="121" t="s">
        <v>108</v>
      </c>
      <c r="B104" s="133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6">
        <v>8.8000000000000007</v>
      </c>
      <c r="AH104" s="55"/>
      <c r="AI104" s="56"/>
      <c r="AK104" s="57"/>
    </row>
    <row r="105" spans="1:37" x14ac:dyDescent="0.25">
      <c r="A105" s="121" t="s">
        <v>109</v>
      </c>
      <c r="B105" s="133">
        <v>2.25</v>
      </c>
      <c r="C105" s="134">
        <f t="shared" ref="C105:R106" si="27">B105</f>
        <v>2.25</v>
      </c>
      <c r="D105" s="134">
        <f t="shared" si="27"/>
        <v>2.25</v>
      </c>
      <c r="E105" s="134">
        <f t="shared" si="27"/>
        <v>2.25</v>
      </c>
      <c r="F105" s="134">
        <f t="shared" si="27"/>
        <v>2.25</v>
      </c>
      <c r="G105" s="134">
        <f t="shared" si="27"/>
        <v>2.25</v>
      </c>
      <c r="H105" s="134">
        <f t="shared" si="27"/>
        <v>2.25</v>
      </c>
      <c r="I105" s="134">
        <f t="shared" si="27"/>
        <v>2.25</v>
      </c>
      <c r="J105" s="134">
        <f t="shared" si="27"/>
        <v>2.25</v>
      </c>
      <c r="K105" s="134">
        <f t="shared" si="27"/>
        <v>2.25</v>
      </c>
      <c r="L105" s="134">
        <f t="shared" si="27"/>
        <v>2.25</v>
      </c>
      <c r="M105" s="134">
        <f t="shared" si="27"/>
        <v>2.25</v>
      </c>
      <c r="N105" s="134">
        <f t="shared" si="27"/>
        <v>2.25</v>
      </c>
      <c r="O105" s="134">
        <f t="shared" si="27"/>
        <v>2.25</v>
      </c>
      <c r="P105" s="134">
        <f t="shared" si="27"/>
        <v>2.25</v>
      </c>
      <c r="Q105" s="134">
        <f t="shared" si="27"/>
        <v>2.25</v>
      </c>
      <c r="R105" s="134">
        <f t="shared" si="27"/>
        <v>2.25</v>
      </c>
      <c r="S105" s="134">
        <f t="shared" ref="S105:AF106" si="28">R105</f>
        <v>2.25</v>
      </c>
      <c r="T105" s="134">
        <f t="shared" si="28"/>
        <v>2.25</v>
      </c>
      <c r="U105" s="134">
        <f t="shared" si="28"/>
        <v>2.25</v>
      </c>
      <c r="V105" s="134">
        <f t="shared" si="28"/>
        <v>2.25</v>
      </c>
      <c r="W105" s="134">
        <f t="shared" si="28"/>
        <v>2.25</v>
      </c>
      <c r="X105" s="134">
        <f t="shared" si="28"/>
        <v>2.25</v>
      </c>
      <c r="Y105" s="134">
        <f t="shared" si="28"/>
        <v>2.25</v>
      </c>
      <c r="Z105" s="134">
        <f t="shared" si="28"/>
        <v>2.25</v>
      </c>
      <c r="AA105" s="134">
        <f t="shared" si="28"/>
        <v>2.25</v>
      </c>
      <c r="AB105" s="134">
        <f t="shared" si="28"/>
        <v>2.25</v>
      </c>
      <c r="AC105" s="134">
        <f t="shared" si="28"/>
        <v>2.25</v>
      </c>
      <c r="AD105" s="134">
        <f t="shared" si="28"/>
        <v>2.25</v>
      </c>
      <c r="AE105" s="134">
        <f t="shared" si="28"/>
        <v>2.25</v>
      </c>
      <c r="AF105" s="134">
        <f t="shared" si="28"/>
        <v>2.25</v>
      </c>
      <c r="AG105" s="136">
        <v>8.5</v>
      </c>
      <c r="AH105" s="55"/>
      <c r="AI105" s="56"/>
      <c r="AK105" s="57"/>
    </row>
    <row r="106" spans="1:37" x14ac:dyDescent="0.25">
      <c r="A106" s="121" t="s">
        <v>110</v>
      </c>
      <c r="B106" s="133">
        <v>1.64</v>
      </c>
      <c r="C106" s="134">
        <f t="shared" si="27"/>
        <v>1.64</v>
      </c>
      <c r="D106" s="134">
        <f t="shared" si="27"/>
        <v>1.64</v>
      </c>
      <c r="E106" s="134">
        <f t="shared" si="27"/>
        <v>1.64</v>
      </c>
      <c r="F106" s="134">
        <f t="shared" si="27"/>
        <v>1.64</v>
      </c>
      <c r="G106" s="134">
        <f t="shared" si="27"/>
        <v>1.64</v>
      </c>
      <c r="H106" s="134">
        <f t="shared" si="27"/>
        <v>1.64</v>
      </c>
      <c r="I106" s="134">
        <f t="shared" si="27"/>
        <v>1.64</v>
      </c>
      <c r="J106" s="134">
        <f t="shared" si="27"/>
        <v>1.64</v>
      </c>
      <c r="K106" s="134">
        <f t="shared" si="27"/>
        <v>1.64</v>
      </c>
      <c r="L106" s="134">
        <f t="shared" si="27"/>
        <v>1.64</v>
      </c>
      <c r="M106" s="134">
        <f t="shared" si="27"/>
        <v>1.64</v>
      </c>
      <c r="N106" s="134">
        <f t="shared" si="27"/>
        <v>1.64</v>
      </c>
      <c r="O106" s="134">
        <f t="shared" si="27"/>
        <v>1.64</v>
      </c>
      <c r="P106" s="134">
        <f t="shared" si="27"/>
        <v>1.64</v>
      </c>
      <c r="Q106" s="134">
        <f t="shared" si="27"/>
        <v>1.64</v>
      </c>
      <c r="R106" s="134">
        <f t="shared" si="27"/>
        <v>1.64</v>
      </c>
      <c r="S106" s="134">
        <f t="shared" si="28"/>
        <v>1.64</v>
      </c>
      <c r="T106" s="134">
        <f t="shared" si="28"/>
        <v>1.64</v>
      </c>
      <c r="U106" s="134">
        <f t="shared" si="28"/>
        <v>1.64</v>
      </c>
      <c r="V106" s="134">
        <f t="shared" si="28"/>
        <v>1.64</v>
      </c>
      <c r="W106" s="134">
        <f t="shared" si="28"/>
        <v>1.64</v>
      </c>
      <c r="X106" s="134">
        <f t="shared" si="28"/>
        <v>1.64</v>
      </c>
      <c r="Y106" s="134">
        <f t="shared" si="28"/>
        <v>1.64</v>
      </c>
      <c r="Z106" s="134">
        <f t="shared" si="28"/>
        <v>1.64</v>
      </c>
      <c r="AA106" s="134">
        <f t="shared" si="28"/>
        <v>1.64</v>
      </c>
      <c r="AB106" s="134">
        <f t="shared" si="28"/>
        <v>1.64</v>
      </c>
      <c r="AC106" s="134">
        <f t="shared" si="28"/>
        <v>1.64</v>
      </c>
      <c r="AD106" s="134">
        <f t="shared" si="28"/>
        <v>1.64</v>
      </c>
      <c r="AE106" s="134">
        <f t="shared" si="28"/>
        <v>1.64</v>
      </c>
      <c r="AF106" s="134">
        <f t="shared" si="28"/>
        <v>1.64</v>
      </c>
      <c r="AG106" s="136">
        <v>8.5</v>
      </c>
      <c r="AH106" s="55"/>
      <c r="AI106" s="56"/>
      <c r="AK106" s="57"/>
    </row>
    <row r="107" spans="1:37" x14ac:dyDescent="0.25">
      <c r="A107" s="121" t="s">
        <v>111</v>
      </c>
      <c r="B107" s="133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6">
        <v>8.4</v>
      </c>
      <c r="AH107" s="55"/>
      <c r="AI107" s="56"/>
      <c r="AK107" s="57"/>
    </row>
    <row r="108" spans="1:37" x14ac:dyDescent="0.25">
      <c r="A108" s="121" t="s">
        <v>112</v>
      </c>
      <c r="B108" s="133">
        <v>1.62</v>
      </c>
      <c r="C108" s="134">
        <f t="shared" ref="C108:R115" si="29">B108</f>
        <v>1.62</v>
      </c>
      <c r="D108" s="134">
        <f t="shared" si="29"/>
        <v>1.62</v>
      </c>
      <c r="E108" s="134">
        <f t="shared" si="29"/>
        <v>1.62</v>
      </c>
      <c r="F108" s="134">
        <f t="shared" si="29"/>
        <v>1.62</v>
      </c>
      <c r="G108" s="134">
        <f t="shared" si="29"/>
        <v>1.62</v>
      </c>
      <c r="H108" s="134">
        <f t="shared" si="29"/>
        <v>1.62</v>
      </c>
      <c r="I108" s="134">
        <f t="shared" si="29"/>
        <v>1.62</v>
      </c>
      <c r="J108" s="134">
        <f t="shared" si="29"/>
        <v>1.62</v>
      </c>
      <c r="K108" s="134">
        <f t="shared" si="29"/>
        <v>1.62</v>
      </c>
      <c r="L108" s="134">
        <f t="shared" si="29"/>
        <v>1.62</v>
      </c>
      <c r="M108" s="134">
        <f t="shared" si="29"/>
        <v>1.62</v>
      </c>
      <c r="N108" s="134">
        <f t="shared" si="29"/>
        <v>1.62</v>
      </c>
      <c r="O108" s="134">
        <f t="shared" si="29"/>
        <v>1.62</v>
      </c>
      <c r="P108" s="134">
        <f t="shared" si="29"/>
        <v>1.62</v>
      </c>
      <c r="Q108" s="134">
        <f t="shared" si="29"/>
        <v>1.62</v>
      </c>
      <c r="R108" s="134">
        <f t="shared" si="29"/>
        <v>1.62</v>
      </c>
      <c r="S108" s="134">
        <f t="shared" ref="S108:AF123" si="30">R108</f>
        <v>1.62</v>
      </c>
      <c r="T108" s="134">
        <f t="shared" si="30"/>
        <v>1.62</v>
      </c>
      <c r="U108" s="134">
        <f t="shared" si="30"/>
        <v>1.62</v>
      </c>
      <c r="V108" s="134">
        <f t="shared" si="30"/>
        <v>1.62</v>
      </c>
      <c r="W108" s="134">
        <f t="shared" si="30"/>
        <v>1.62</v>
      </c>
      <c r="X108" s="134">
        <f t="shared" si="30"/>
        <v>1.62</v>
      </c>
      <c r="Y108" s="134">
        <f t="shared" si="30"/>
        <v>1.62</v>
      </c>
      <c r="Z108" s="134">
        <f t="shared" si="30"/>
        <v>1.62</v>
      </c>
      <c r="AA108" s="134">
        <f t="shared" si="30"/>
        <v>1.62</v>
      </c>
      <c r="AB108" s="134">
        <f t="shared" si="30"/>
        <v>1.62</v>
      </c>
      <c r="AC108" s="134">
        <f t="shared" si="30"/>
        <v>1.62</v>
      </c>
      <c r="AD108" s="134">
        <f t="shared" si="30"/>
        <v>1.62</v>
      </c>
      <c r="AE108" s="134">
        <f t="shared" si="30"/>
        <v>1.62</v>
      </c>
      <c r="AF108" s="134">
        <f t="shared" si="30"/>
        <v>1.62</v>
      </c>
      <c r="AG108" s="136">
        <v>8</v>
      </c>
      <c r="AH108" s="55"/>
      <c r="AI108" s="56"/>
      <c r="AK108" s="57"/>
    </row>
    <row r="109" spans="1:37" x14ac:dyDescent="0.25">
      <c r="A109" s="121" t="s">
        <v>113</v>
      </c>
      <c r="B109" s="133">
        <v>8.36</v>
      </c>
      <c r="C109" s="134">
        <f t="shared" si="29"/>
        <v>8.36</v>
      </c>
      <c r="D109" s="134">
        <f t="shared" si="29"/>
        <v>8.36</v>
      </c>
      <c r="E109" s="134">
        <f t="shared" si="29"/>
        <v>8.36</v>
      </c>
      <c r="F109" s="134">
        <f t="shared" si="29"/>
        <v>8.36</v>
      </c>
      <c r="G109" s="134">
        <f t="shared" si="29"/>
        <v>8.36</v>
      </c>
      <c r="H109" s="134">
        <f t="shared" si="29"/>
        <v>8.36</v>
      </c>
      <c r="I109" s="134">
        <f t="shared" si="29"/>
        <v>8.36</v>
      </c>
      <c r="J109" s="134">
        <f t="shared" si="29"/>
        <v>8.36</v>
      </c>
      <c r="K109" s="134">
        <f t="shared" si="29"/>
        <v>8.36</v>
      </c>
      <c r="L109" s="134">
        <f t="shared" si="29"/>
        <v>8.36</v>
      </c>
      <c r="M109" s="134">
        <f t="shared" si="29"/>
        <v>8.36</v>
      </c>
      <c r="N109" s="134">
        <f t="shared" si="29"/>
        <v>8.36</v>
      </c>
      <c r="O109" s="134">
        <f t="shared" si="29"/>
        <v>8.36</v>
      </c>
      <c r="P109" s="134">
        <f t="shared" si="29"/>
        <v>8.36</v>
      </c>
      <c r="Q109" s="134">
        <f t="shared" si="29"/>
        <v>8.36</v>
      </c>
      <c r="R109" s="134">
        <f t="shared" si="29"/>
        <v>8.36</v>
      </c>
      <c r="S109" s="134">
        <f t="shared" si="30"/>
        <v>8.36</v>
      </c>
      <c r="T109" s="134">
        <f t="shared" si="30"/>
        <v>8.36</v>
      </c>
      <c r="U109" s="134">
        <f t="shared" si="30"/>
        <v>8.36</v>
      </c>
      <c r="V109" s="134">
        <f t="shared" si="30"/>
        <v>8.36</v>
      </c>
      <c r="W109" s="134">
        <f t="shared" si="30"/>
        <v>8.36</v>
      </c>
      <c r="X109" s="134">
        <f t="shared" si="30"/>
        <v>8.36</v>
      </c>
      <c r="Y109" s="134">
        <f t="shared" si="30"/>
        <v>8.36</v>
      </c>
      <c r="Z109" s="134">
        <f t="shared" si="30"/>
        <v>8.36</v>
      </c>
      <c r="AA109" s="134">
        <f t="shared" si="30"/>
        <v>8.36</v>
      </c>
      <c r="AB109" s="134">
        <f t="shared" si="30"/>
        <v>8.36</v>
      </c>
      <c r="AC109" s="134">
        <f t="shared" si="30"/>
        <v>8.36</v>
      </c>
      <c r="AD109" s="134">
        <f t="shared" si="30"/>
        <v>8.36</v>
      </c>
      <c r="AE109" s="134">
        <f t="shared" si="30"/>
        <v>8.36</v>
      </c>
      <c r="AF109" s="134">
        <f t="shared" si="30"/>
        <v>8.36</v>
      </c>
      <c r="AG109" s="136">
        <v>8</v>
      </c>
      <c r="AH109" s="55"/>
      <c r="AI109" s="56"/>
      <c r="AK109" s="57"/>
    </row>
    <row r="110" spans="1:37" x14ac:dyDescent="0.25">
      <c r="A110" s="121" t="s">
        <v>114</v>
      </c>
      <c r="B110" s="133">
        <v>8</v>
      </c>
      <c r="C110" s="134">
        <f t="shared" si="29"/>
        <v>8</v>
      </c>
      <c r="D110" s="134">
        <f t="shared" si="29"/>
        <v>8</v>
      </c>
      <c r="E110" s="134">
        <f t="shared" si="29"/>
        <v>8</v>
      </c>
      <c r="F110" s="134">
        <f t="shared" si="29"/>
        <v>8</v>
      </c>
      <c r="G110" s="134">
        <f t="shared" si="29"/>
        <v>8</v>
      </c>
      <c r="H110" s="134">
        <f t="shared" si="29"/>
        <v>8</v>
      </c>
      <c r="I110" s="134">
        <v>5.4</v>
      </c>
      <c r="J110" s="134">
        <f t="shared" si="29"/>
        <v>5.4</v>
      </c>
      <c r="K110" s="134">
        <f t="shared" si="29"/>
        <v>5.4</v>
      </c>
      <c r="L110" s="134">
        <f t="shared" si="29"/>
        <v>5.4</v>
      </c>
      <c r="M110" s="134">
        <f t="shared" si="29"/>
        <v>5.4</v>
      </c>
      <c r="N110" s="134">
        <f t="shared" si="29"/>
        <v>5.4</v>
      </c>
      <c r="O110" s="134">
        <f t="shared" si="29"/>
        <v>5.4</v>
      </c>
      <c r="P110" s="134">
        <f t="shared" si="29"/>
        <v>5.4</v>
      </c>
      <c r="Q110" s="134">
        <f t="shared" si="29"/>
        <v>5.4</v>
      </c>
      <c r="R110" s="134">
        <f t="shared" si="29"/>
        <v>5.4</v>
      </c>
      <c r="S110" s="134">
        <f t="shared" si="30"/>
        <v>5.4</v>
      </c>
      <c r="T110" s="134">
        <f t="shared" si="30"/>
        <v>5.4</v>
      </c>
      <c r="U110" s="134">
        <f t="shared" si="30"/>
        <v>5.4</v>
      </c>
      <c r="V110" s="134">
        <f t="shared" si="30"/>
        <v>5.4</v>
      </c>
      <c r="W110" s="134">
        <f t="shared" si="30"/>
        <v>5.4</v>
      </c>
      <c r="X110" s="134">
        <f t="shared" si="30"/>
        <v>5.4</v>
      </c>
      <c r="Y110" s="134">
        <f t="shared" si="30"/>
        <v>5.4</v>
      </c>
      <c r="Z110" s="134">
        <f t="shared" si="30"/>
        <v>5.4</v>
      </c>
      <c r="AA110" s="134">
        <f t="shared" si="30"/>
        <v>5.4</v>
      </c>
      <c r="AB110" s="134">
        <f t="shared" si="30"/>
        <v>5.4</v>
      </c>
      <c r="AC110" s="134">
        <f t="shared" si="30"/>
        <v>5.4</v>
      </c>
      <c r="AD110" s="134">
        <f t="shared" si="30"/>
        <v>5.4</v>
      </c>
      <c r="AE110" s="134">
        <f t="shared" si="30"/>
        <v>5.4</v>
      </c>
      <c r="AF110" s="134">
        <f t="shared" si="30"/>
        <v>5.4</v>
      </c>
      <c r="AG110" s="136">
        <v>8</v>
      </c>
      <c r="AH110" s="55"/>
      <c r="AI110" s="56"/>
      <c r="AK110" s="57"/>
    </row>
    <row r="111" spans="1:37" x14ac:dyDescent="0.25">
      <c r="A111" s="121" t="s">
        <v>115</v>
      </c>
      <c r="B111" s="133">
        <v>6.57</v>
      </c>
      <c r="C111" s="134">
        <f t="shared" si="29"/>
        <v>6.57</v>
      </c>
      <c r="D111" s="134">
        <f t="shared" si="29"/>
        <v>6.57</v>
      </c>
      <c r="E111" s="134">
        <f t="shared" si="29"/>
        <v>6.57</v>
      </c>
      <c r="F111" s="134">
        <f t="shared" si="29"/>
        <v>6.57</v>
      </c>
      <c r="G111" s="134">
        <f t="shared" si="29"/>
        <v>6.57</v>
      </c>
      <c r="H111" s="134">
        <f t="shared" si="29"/>
        <v>6.57</v>
      </c>
      <c r="I111" s="134">
        <f t="shared" si="29"/>
        <v>6.57</v>
      </c>
      <c r="J111" s="134">
        <f t="shared" si="29"/>
        <v>6.57</v>
      </c>
      <c r="K111" s="134">
        <f t="shared" si="29"/>
        <v>6.57</v>
      </c>
      <c r="L111" s="134">
        <f t="shared" si="29"/>
        <v>6.57</v>
      </c>
      <c r="M111" s="134">
        <f t="shared" si="29"/>
        <v>6.57</v>
      </c>
      <c r="N111" s="134">
        <f t="shared" si="29"/>
        <v>6.57</v>
      </c>
      <c r="O111" s="134">
        <f t="shared" si="29"/>
        <v>6.57</v>
      </c>
      <c r="P111" s="134">
        <f t="shared" si="29"/>
        <v>6.57</v>
      </c>
      <c r="Q111" s="134">
        <f t="shared" si="29"/>
        <v>6.57</v>
      </c>
      <c r="R111" s="134">
        <f t="shared" si="29"/>
        <v>6.57</v>
      </c>
      <c r="S111" s="134">
        <f t="shared" si="30"/>
        <v>6.57</v>
      </c>
      <c r="T111" s="134">
        <f t="shared" si="30"/>
        <v>6.57</v>
      </c>
      <c r="U111" s="134">
        <f t="shared" si="30"/>
        <v>6.57</v>
      </c>
      <c r="V111" s="134">
        <f t="shared" si="30"/>
        <v>6.57</v>
      </c>
      <c r="W111" s="134">
        <f t="shared" si="30"/>
        <v>6.57</v>
      </c>
      <c r="X111" s="134">
        <f t="shared" si="30"/>
        <v>6.57</v>
      </c>
      <c r="Y111" s="134">
        <f t="shared" si="30"/>
        <v>6.57</v>
      </c>
      <c r="Z111" s="134">
        <f t="shared" si="30"/>
        <v>6.57</v>
      </c>
      <c r="AA111" s="134">
        <f t="shared" si="30"/>
        <v>6.57</v>
      </c>
      <c r="AB111" s="134">
        <f t="shared" si="30"/>
        <v>6.57</v>
      </c>
      <c r="AC111" s="134">
        <f t="shared" si="30"/>
        <v>6.57</v>
      </c>
      <c r="AD111" s="134">
        <f t="shared" si="30"/>
        <v>6.57</v>
      </c>
      <c r="AE111" s="134">
        <f t="shared" si="30"/>
        <v>6.57</v>
      </c>
      <c r="AF111" s="134">
        <f t="shared" si="30"/>
        <v>6.57</v>
      </c>
      <c r="AG111" s="136">
        <v>7.8</v>
      </c>
      <c r="AH111" s="55"/>
      <c r="AI111" s="56"/>
      <c r="AK111" s="57"/>
    </row>
    <row r="112" spans="1:37" x14ac:dyDescent="0.25">
      <c r="A112" s="121" t="s">
        <v>116</v>
      </c>
      <c r="B112" s="133">
        <v>3.43</v>
      </c>
      <c r="C112" s="134">
        <f t="shared" si="29"/>
        <v>3.43</v>
      </c>
      <c r="D112" s="134">
        <f t="shared" si="29"/>
        <v>3.43</v>
      </c>
      <c r="E112" s="134">
        <f t="shared" si="29"/>
        <v>3.43</v>
      </c>
      <c r="F112" s="134">
        <f t="shared" si="29"/>
        <v>3.43</v>
      </c>
      <c r="G112" s="134">
        <f t="shared" si="29"/>
        <v>3.43</v>
      </c>
      <c r="H112" s="134">
        <f t="shared" si="29"/>
        <v>3.43</v>
      </c>
      <c r="I112" s="134">
        <f t="shared" si="29"/>
        <v>3.43</v>
      </c>
      <c r="J112" s="134">
        <f t="shared" si="29"/>
        <v>3.43</v>
      </c>
      <c r="K112" s="134">
        <f t="shared" si="29"/>
        <v>3.43</v>
      </c>
      <c r="L112" s="134">
        <f t="shared" si="29"/>
        <v>3.43</v>
      </c>
      <c r="M112" s="134">
        <f t="shared" si="29"/>
        <v>3.43</v>
      </c>
      <c r="N112" s="134">
        <f t="shared" si="29"/>
        <v>3.43</v>
      </c>
      <c r="O112" s="134">
        <f t="shared" si="29"/>
        <v>3.43</v>
      </c>
      <c r="P112" s="134">
        <f t="shared" si="29"/>
        <v>3.43</v>
      </c>
      <c r="Q112" s="134">
        <f t="shared" si="29"/>
        <v>3.43</v>
      </c>
      <c r="R112" s="134">
        <f t="shared" si="29"/>
        <v>3.43</v>
      </c>
      <c r="S112" s="134">
        <f t="shared" si="30"/>
        <v>3.43</v>
      </c>
      <c r="T112" s="134">
        <f t="shared" si="30"/>
        <v>3.43</v>
      </c>
      <c r="U112" s="134">
        <f t="shared" si="30"/>
        <v>3.43</v>
      </c>
      <c r="V112" s="134">
        <f t="shared" si="30"/>
        <v>3.43</v>
      </c>
      <c r="W112" s="134">
        <f t="shared" si="30"/>
        <v>3.43</v>
      </c>
      <c r="X112" s="134">
        <f t="shared" si="30"/>
        <v>3.43</v>
      </c>
      <c r="Y112" s="134">
        <f t="shared" si="30"/>
        <v>3.43</v>
      </c>
      <c r="Z112" s="134">
        <f t="shared" si="30"/>
        <v>3.43</v>
      </c>
      <c r="AA112" s="134">
        <f t="shared" si="30"/>
        <v>3.43</v>
      </c>
      <c r="AB112" s="134">
        <f t="shared" si="30"/>
        <v>3.43</v>
      </c>
      <c r="AC112" s="134">
        <f t="shared" si="30"/>
        <v>3.43</v>
      </c>
      <c r="AD112" s="134">
        <f t="shared" si="30"/>
        <v>3.43</v>
      </c>
      <c r="AE112" s="134">
        <f t="shared" si="30"/>
        <v>3.43</v>
      </c>
      <c r="AF112" s="134">
        <f t="shared" si="30"/>
        <v>3.43</v>
      </c>
      <c r="AG112" s="136">
        <v>7.6</v>
      </c>
      <c r="AH112" s="55"/>
      <c r="AI112" s="56"/>
      <c r="AK112" s="57"/>
    </row>
    <row r="113" spans="1:37" x14ac:dyDescent="0.25">
      <c r="A113" s="121" t="s">
        <v>117</v>
      </c>
      <c r="B113" s="133">
        <v>2.96</v>
      </c>
      <c r="C113" s="134">
        <f t="shared" si="29"/>
        <v>2.96</v>
      </c>
      <c r="D113" s="134">
        <f t="shared" si="29"/>
        <v>2.96</v>
      </c>
      <c r="E113" s="134">
        <f t="shared" si="29"/>
        <v>2.96</v>
      </c>
      <c r="F113" s="134">
        <f t="shared" si="29"/>
        <v>2.96</v>
      </c>
      <c r="G113" s="134">
        <f t="shared" si="29"/>
        <v>2.96</v>
      </c>
      <c r="H113" s="134">
        <f t="shared" si="29"/>
        <v>2.96</v>
      </c>
      <c r="I113" s="134">
        <f t="shared" si="29"/>
        <v>2.96</v>
      </c>
      <c r="J113" s="134">
        <f t="shared" si="29"/>
        <v>2.96</v>
      </c>
      <c r="K113" s="134">
        <f t="shared" si="29"/>
        <v>2.96</v>
      </c>
      <c r="L113" s="134">
        <f t="shared" si="29"/>
        <v>2.96</v>
      </c>
      <c r="M113" s="134">
        <f t="shared" si="29"/>
        <v>2.96</v>
      </c>
      <c r="N113" s="134">
        <f t="shared" si="29"/>
        <v>2.96</v>
      </c>
      <c r="O113" s="134">
        <f t="shared" si="29"/>
        <v>2.96</v>
      </c>
      <c r="P113" s="134">
        <f t="shared" si="29"/>
        <v>2.96</v>
      </c>
      <c r="Q113" s="134">
        <f t="shared" si="29"/>
        <v>2.96</v>
      </c>
      <c r="R113" s="134">
        <f t="shared" si="29"/>
        <v>2.96</v>
      </c>
      <c r="S113" s="134">
        <f t="shared" si="30"/>
        <v>2.96</v>
      </c>
      <c r="T113" s="134">
        <f t="shared" si="30"/>
        <v>2.96</v>
      </c>
      <c r="U113" s="134">
        <f t="shared" si="30"/>
        <v>2.96</v>
      </c>
      <c r="V113" s="134">
        <f t="shared" si="30"/>
        <v>2.96</v>
      </c>
      <c r="W113" s="134">
        <f t="shared" si="30"/>
        <v>2.96</v>
      </c>
      <c r="X113" s="134">
        <f t="shared" si="30"/>
        <v>2.96</v>
      </c>
      <c r="Y113" s="134">
        <f t="shared" si="30"/>
        <v>2.96</v>
      </c>
      <c r="Z113" s="134">
        <f t="shared" si="30"/>
        <v>2.96</v>
      </c>
      <c r="AA113" s="134">
        <f t="shared" si="30"/>
        <v>2.96</v>
      </c>
      <c r="AB113" s="134">
        <f t="shared" si="30"/>
        <v>2.96</v>
      </c>
      <c r="AC113" s="134">
        <f t="shared" si="30"/>
        <v>2.96</v>
      </c>
      <c r="AD113" s="134">
        <f t="shared" si="30"/>
        <v>2.96</v>
      </c>
      <c r="AE113" s="134">
        <f t="shared" si="30"/>
        <v>2.96</v>
      </c>
      <c r="AF113" s="134">
        <f t="shared" si="30"/>
        <v>2.96</v>
      </c>
      <c r="AG113" s="136">
        <v>7.5</v>
      </c>
      <c r="AH113" s="55"/>
      <c r="AI113" s="56"/>
      <c r="AK113" s="57"/>
    </row>
    <row r="114" spans="1:37" x14ac:dyDescent="0.25">
      <c r="A114" s="121" t="s">
        <v>118</v>
      </c>
      <c r="B114" s="133">
        <v>8</v>
      </c>
      <c r="C114" s="134">
        <f t="shared" si="29"/>
        <v>8</v>
      </c>
      <c r="D114" s="134">
        <f t="shared" si="29"/>
        <v>8</v>
      </c>
      <c r="E114" s="134">
        <f t="shared" si="29"/>
        <v>8</v>
      </c>
      <c r="F114" s="134">
        <f t="shared" si="29"/>
        <v>8</v>
      </c>
      <c r="G114" s="134">
        <f t="shared" si="29"/>
        <v>8</v>
      </c>
      <c r="H114" s="134">
        <f t="shared" si="29"/>
        <v>8</v>
      </c>
      <c r="I114" s="134">
        <f t="shared" si="29"/>
        <v>8</v>
      </c>
      <c r="J114" s="134">
        <f t="shared" si="29"/>
        <v>8</v>
      </c>
      <c r="K114" s="134">
        <f t="shared" si="29"/>
        <v>8</v>
      </c>
      <c r="L114" s="134">
        <f t="shared" si="29"/>
        <v>8</v>
      </c>
      <c r="M114" s="134">
        <f t="shared" si="29"/>
        <v>8</v>
      </c>
      <c r="N114" s="134">
        <f t="shared" si="29"/>
        <v>8</v>
      </c>
      <c r="O114" s="134">
        <f t="shared" si="29"/>
        <v>8</v>
      </c>
      <c r="P114" s="134">
        <f t="shared" si="29"/>
        <v>8</v>
      </c>
      <c r="Q114" s="134">
        <f t="shared" si="29"/>
        <v>8</v>
      </c>
      <c r="R114" s="134">
        <f t="shared" si="29"/>
        <v>8</v>
      </c>
      <c r="S114" s="134">
        <f t="shared" si="30"/>
        <v>8</v>
      </c>
      <c r="T114" s="134">
        <f t="shared" si="30"/>
        <v>8</v>
      </c>
      <c r="U114" s="134">
        <f t="shared" si="30"/>
        <v>8</v>
      </c>
      <c r="V114" s="134">
        <f t="shared" si="30"/>
        <v>8</v>
      </c>
      <c r="W114" s="134">
        <f t="shared" si="30"/>
        <v>8</v>
      </c>
      <c r="X114" s="134">
        <f t="shared" si="30"/>
        <v>8</v>
      </c>
      <c r="Y114" s="134">
        <f t="shared" si="30"/>
        <v>8</v>
      </c>
      <c r="Z114" s="134">
        <f t="shared" si="30"/>
        <v>8</v>
      </c>
      <c r="AA114" s="134">
        <f t="shared" si="30"/>
        <v>8</v>
      </c>
      <c r="AB114" s="134">
        <f t="shared" si="30"/>
        <v>8</v>
      </c>
      <c r="AC114" s="134">
        <f t="shared" si="30"/>
        <v>8</v>
      </c>
      <c r="AD114" s="134">
        <f t="shared" si="30"/>
        <v>8</v>
      </c>
      <c r="AE114" s="134">
        <f t="shared" si="30"/>
        <v>8</v>
      </c>
      <c r="AF114" s="134">
        <f t="shared" si="30"/>
        <v>8</v>
      </c>
      <c r="AG114" s="136">
        <v>7.5</v>
      </c>
      <c r="AH114" s="55"/>
      <c r="AI114" s="56"/>
      <c r="AK114" s="57"/>
    </row>
    <row r="115" spans="1:37" x14ac:dyDescent="0.25">
      <c r="A115" s="121" t="s">
        <v>119</v>
      </c>
      <c r="B115" s="133">
        <v>7</v>
      </c>
      <c r="C115" s="134">
        <f>B115</f>
        <v>7</v>
      </c>
      <c r="D115" s="134">
        <f t="shared" si="29"/>
        <v>7</v>
      </c>
      <c r="E115" s="134">
        <f t="shared" si="29"/>
        <v>7</v>
      </c>
      <c r="F115" s="134">
        <f t="shared" si="29"/>
        <v>7</v>
      </c>
      <c r="G115" s="134">
        <f t="shared" si="29"/>
        <v>7</v>
      </c>
      <c r="H115" s="134">
        <f t="shared" si="29"/>
        <v>7</v>
      </c>
      <c r="I115" s="134">
        <f t="shared" si="29"/>
        <v>7</v>
      </c>
      <c r="J115" s="134">
        <f t="shared" si="29"/>
        <v>7</v>
      </c>
      <c r="K115" s="134">
        <f t="shared" si="29"/>
        <v>7</v>
      </c>
      <c r="L115" s="134">
        <f t="shared" si="29"/>
        <v>7</v>
      </c>
      <c r="M115" s="134">
        <f t="shared" si="29"/>
        <v>7</v>
      </c>
      <c r="N115" s="134">
        <f t="shared" si="29"/>
        <v>7</v>
      </c>
      <c r="O115" s="134">
        <f t="shared" si="29"/>
        <v>7</v>
      </c>
      <c r="P115" s="134">
        <f t="shared" si="29"/>
        <v>7</v>
      </c>
      <c r="Q115" s="134">
        <f t="shared" si="29"/>
        <v>7</v>
      </c>
      <c r="R115" s="134">
        <f t="shared" si="29"/>
        <v>7</v>
      </c>
      <c r="S115" s="134">
        <f t="shared" si="30"/>
        <v>7</v>
      </c>
      <c r="T115" s="134">
        <f t="shared" si="30"/>
        <v>7</v>
      </c>
      <c r="U115" s="134">
        <f t="shared" si="30"/>
        <v>7</v>
      </c>
      <c r="V115" s="134">
        <f t="shared" si="30"/>
        <v>7</v>
      </c>
      <c r="W115" s="134">
        <f t="shared" si="30"/>
        <v>7</v>
      </c>
      <c r="X115" s="134">
        <f t="shared" si="30"/>
        <v>7</v>
      </c>
      <c r="Y115" s="134">
        <f t="shared" si="30"/>
        <v>7</v>
      </c>
      <c r="Z115" s="134">
        <f t="shared" si="30"/>
        <v>7</v>
      </c>
      <c r="AA115" s="134">
        <f t="shared" si="30"/>
        <v>7</v>
      </c>
      <c r="AB115" s="134">
        <f t="shared" si="30"/>
        <v>7</v>
      </c>
      <c r="AC115" s="134">
        <f t="shared" si="30"/>
        <v>7</v>
      </c>
      <c r="AD115" s="134">
        <f t="shared" si="30"/>
        <v>7</v>
      </c>
      <c r="AE115" s="134">
        <f t="shared" si="30"/>
        <v>7</v>
      </c>
      <c r="AF115" s="134">
        <f t="shared" si="30"/>
        <v>7</v>
      </c>
      <c r="AG115" s="136">
        <v>7</v>
      </c>
      <c r="AH115" s="55"/>
      <c r="AI115" s="56"/>
      <c r="AK115" s="57"/>
    </row>
    <row r="116" spans="1:37" x14ac:dyDescent="0.25">
      <c r="A116" s="121" t="s">
        <v>120</v>
      </c>
      <c r="B116" s="133">
        <v>3.47</v>
      </c>
      <c r="C116" s="134">
        <f t="shared" ref="C116:R125" si="31">B116</f>
        <v>3.47</v>
      </c>
      <c r="D116" s="134">
        <f t="shared" si="31"/>
        <v>3.47</v>
      </c>
      <c r="E116" s="134">
        <f t="shared" si="31"/>
        <v>3.47</v>
      </c>
      <c r="F116" s="134">
        <f t="shared" si="31"/>
        <v>3.47</v>
      </c>
      <c r="G116" s="134">
        <f t="shared" si="31"/>
        <v>3.47</v>
      </c>
      <c r="H116" s="134">
        <f t="shared" si="31"/>
        <v>3.47</v>
      </c>
      <c r="I116" s="134">
        <f t="shared" si="31"/>
        <v>3.47</v>
      </c>
      <c r="J116" s="134">
        <f t="shared" si="31"/>
        <v>3.47</v>
      </c>
      <c r="K116" s="134">
        <f t="shared" si="31"/>
        <v>3.47</v>
      </c>
      <c r="L116" s="134">
        <f t="shared" si="31"/>
        <v>3.47</v>
      </c>
      <c r="M116" s="134">
        <f t="shared" si="31"/>
        <v>3.47</v>
      </c>
      <c r="N116" s="134">
        <f t="shared" si="31"/>
        <v>3.47</v>
      </c>
      <c r="O116" s="134">
        <f t="shared" si="31"/>
        <v>3.47</v>
      </c>
      <c r="P116" s="134">
        <f t="shared" si="31"/>
        <v>3.47</v>
      </c>
      <c r="Q116" s="134">
        <f t="shared" si="31"/>
        <v>3.47</v>
      </c>
      <c r="R116" s="134">
        <f t="shared" si="31"/>
        <v>3.47</v>
      </c>
      <c r="S116" s="134">
        <f t="shared" si="30"/>
        <v>3.47</v>
      </c>
      <c r="T116" s="134">
        <f t="shared" si="30"/>
        <v>3.47</v>
      </c>
      <c r="U116" s="134">
        <f t="shared" si="30"/>
        <v>3.47</v>
      </c>
      <c r="V116" s="134">
        <f t="shared" si="30"/>
        <v>3.47</v>
      </c>
      <c r="W116" s="134">
        <f t="shared" si="30"/>
        <v>3.47</v>
      </c>
      <c r="X116" s="134">
        <f t="shared" si="30"/>
        <v>3.47</v>
      </c>
      <c r="Y116" s="134">
        <f t="shared" si="30"/>
        <v>3.47</v>
      </c>
      <c r="Z116" s="134">
        <f t="shared" si="30"/>
        <v>3.47</v>
      </c>
      <c r="AA116" s="134">
        <f t="shared" si="30"/>
        <v>3.47</v>
      </c>
      <c r="AB116" s="134">
        <f t="shared" si="30"/>
        <v>3.47</v>
      </c>
      <c r="AC116" s="134">
        <f t="shared" si="30"/>
        <v>3.47</v>
      </c>
      <c r="AD116" s="134">
        <f t="shared" si="30"/>
        <v>3.47</v>
      </c>
      <c r="AE116" s="134">
        <f t="shared" si="30"/>
        <v>3.47</v>
      </c>
      <c r="AF116" s="134">
        <f t="shared" si="30"/>
        <v>3.47</v>
      </c>
      <c r="AG116" s="136">
        <v>7</v>
      </c>
      <c r="AH116" s="55"/>
      <c r="AI116" s="56"/>
      <c r="AK116" s="57"/>
    </row>
    <row r="117" spans="1:37" x14ac:dyDescent="0.25">
      <c r="A117" s="121" t="s">
        <v>121</v>
      </c>
      <c r="B117" s="133">
        <v>2.1</v>
      </c>
      <c r="C117" s="134">
        <f t="shared" si="31"/>
        <v>2.1</v>
      </c>
      <c r="D117" s="134">
        <f t="shared" si="31"/>
        <v>2.1</v>
      </c>
      <c r="E117" s="134">
        <f t="shared" si="31"/>
        <v>2.1</v>
      </c>
      <c r="F117" s="134">
        <f t="shared" si="31"/>
        <v>2.1</v>
      </c>
      <c r="G117" s="134">
        <f t="shared" si="31"/>
        <v>2.1</v>
      </c>
      <c r="H117" s="134">
        <f t="shared" si="31"/>
        <v>2.1</v>
      </c>
      <c r="I117" s="134">
        <f t="shared" si="31"/>
        <v>2.1</v>
      </c>
      <c r="J117" s="134">
        <f t="shared" si="31"/>
        <v>2.1</v>
      </c>
      <c r="K117" s="134">
        <f t="shared" si="31"/>
        <v>2.1</v>
      </c>
      <c r="L117" s="134">
        <f t="shared" si="31"/>
        <v>2.1</v>
      </c>
      <c r="M117" s="134">
        <f t="shared" si="31"/>
        <v>2.1</v>
      </c>
      <c r="N117" s="134">
        <f t="shared" si="31"/>
        <v>2.1</v>
      </c>
      <c r="O117" s="134">
        <f t="shared" si="31"/>
        <v>2.1</v>
      </c>
      <c r="P117" s="134">
        <f t="shared" si="31"/>
        <v>2.1</v>
      </c>
      <c r="Q117" s="134">
        <f t="shared" si="31"/>
        <v>2.1</v>
      </c>
      <c r="R117" s="134">
        <f t="shared" si="31"/>
        <v>2.1</v>
      </c>
      <c r="S117" s="134">
        <f t="shared" si="30"/>
        <v>2.1</v>
      </c>
      <c r="T117" s="134">
        <f t="shared" si="30"/>
        <v>2.1</v>
      </c>
      <c r="U117" s="134">
        <f t="shared" si="30"/>
        <v>2.1</v>
      </c>
      <c r="V117" s="134">
        <f t="shared" si="30"/>
        <v>2.1</v>
      </c>
      <c r="W117" s="134">
        <f t="shared" si="30"/>
        <v>2.1</v>
      </c>
      <c r="X117" s="134">
        <f t="shared" si="30"/>
        <v>2.1</v>
      </c>
      <c r="Y117" s="134">
        <f t="shared" si="30"/>
        <v>2.1</v>
      </c>
      <c r="Z117" s="134">
        <f t="shared" si="30"/>
        <v>2.1</v>
      </c>
      <c r="AA117" s="134">
        <f t="shared" si="30"/>
        <v>2.1</v>
      </c>
      <c r="AB117" s="134">
        <f t="shared" si="30"/>
        <v>2.1</v>
      </c>
      <c r="AC117" s="134">
        <f t="shared" si="30"/>
        <v>2.1</v>
      </c>
      <c r="AD117" s="134">
        <f t="shared" si="30"/>
        <v>2.1</v>
      </c>
      <c r="AE117" s="134">
        <f t="shared" si="30"/>
        <v>2.1</v>
      </c>
      <c r="AF117" s="134">
        <f t="shared" si="30"/>
        <v>2.1</v>
      </c>
      <c r="AG117" s="136">
        <v>7</v>
      </c>
      <c r="AH117" s="55"/>
      <c r="AI117" s="56"/>
      <c r="AK117" s="57"/>
    </row>
    <row r="118" spans="1:37" x14ac:dyDescent="0.25">
      <c r="A118" s="121" t="s">
        <v>122</v>
      </c>
      <c r="B118" s="133">
        <v>9.3000000000000007</v>
      </c>
      <c r="C118" s="134">
        <f t="shared" si="31"/>
        <v>9.3000000000000007</v>
      </c>
      <c r="D118" s="134">
        <f t="shared" si="31"/>
        <v>9.3000000000000007</v>
      </c>
      <c r="E118" s="134">
        <f t="shared" si="31"/>
        <v>9.3000000000000007</v>
      </c>
      <c r="F118" s="134">
        <f t="shared" si="31"/>
        <v>9.3000000000000007</v>
      </c>
      <c r="G118" s="134">
        <f t="shared" si="31"/>
        <v>9.3000000000000007</v>
      </c>
      <c r="H118" s="134">
        <f t="shared" si="31"/>
        <v>9.3000000000000007</v>
      </c>
      <c r="I118" s="134">
        <f t="shared" si="31"/>
        <v>9.3000000000000007</v>
      </c>
      <c r="J118" s="134">
        <f t="shared" si="31"/>
        <v>9.3000000000000007</v>
      </c>
      <c r="K118" s="134">
        <f t="shared" si="31"/>
        <v>9.3000000000000007</v>
      </c>
      <c r="L118" s="134">
        <f t="shared" si="31"/>
        <v>9.3000000000000007</v>
      </c>
      <c r="M118" s="134">
        <f t="shared" si="31"/>
        <v>9.3000000000000007</v>
      </c>
      <c r="N118" s="134">
        <f t="shared" si="31"/>
        <v>9.3000000000000007</v>
      </c>
      <c r="O118" s="134">
        <f t="shared" si="31"/>
        <v>9.3000000000000007</v>
      </c>
      <c r="P118" s="134">
        <f t="shared" si="31"/>
        <v>9.3000000000000007</v>
      </c>
      <c r="Q118" s="134">
        <f t="shared" si="31"/>
        <v>9.3000000000000007</v>
      </c>
      <c r="R118" s="134">
        <f t="shared" si="31"/>
        <v>9.3000000000000007</v>
      </c>
      <c r="S118" s="134">
        <f t="shared" si="30"/>
        <v>9.3000000000000007</v>
      </c>
      <c r="T118" s="134">
        <f t="shared" si="30"/>
        <v>9.3000000000000007</v>
      </c>
      <c r="U118" s="134">
        <f t="shared" si="30"/>
        <v>9.3000000000000007</v>
      </c>
      <c r="V118" s="134">
        <f t="shared" si="30"/>
        <v>9.3000000000000007</v>
      </c>
      <c r="W118" s="134">
        <f t="shared" si="30"/>
        <v>9.3000000000000007</v>
      </c>
      <c r="X118" s="134">
        <f t="shared" si="30"/>
        <v>9.3000000000000007</v>
      </c>
      <c r="Y118" s="134">
        <f t="shared" si="30"/>
        <v>9.3000000000000007</v>
      </c>
      <c r="Z118" s="134">
        <f t="shared" si="30"/>
        <v>9.3000000000000007</v>
      </c>
      <c r="AA118" s="134">
        <f t="shared" si="30"/>
        <v>9.3000000000000007</v>
      </c>
      <c r="AB118" s="134">
        <f t="shared" si="30"/>
        <v>9.3000000000000007</v>
      </c>
      <c r="AC118" s="134">
        <f t="shared" si="30"/>
        <v>9.3000000000000007</v>
      </c>
      <c r="AD118" s="134">
        <f t="shared" si="30"/>
        <v>9.3000000000000007</v>
      </c>
      <c r="AE118" s="134">
        <f t="shared" si="30"/>
        <v>9.3000000000000007</v>
      </c>
      <c r="AF118" s="134">
        <f t="shared" si="30"/>
        <v>9.3000000000000007</v>
      </c>
      <c r="AG118" s="136">
        <v>7</v>
      </c>
      <c r="AH118" s="55"/>
      <c r="AI118" s="56"/>
      <c r="AK118" s="57"/>
    </row>
    <row r="119" spans="1:37" x14ac:dyDescent="0.25">
      <c r="A119" s="121" t="s">
        <v>123</v>
      </c>
      <c r="B119" s="133">
        <v>0</v>
      </c>
      <c r="C119" s="134">
        <f t="shared" si="31"/>
        <v>0</v>
      </c>
      <c r="D119" s="134">
        <f t="shared" si="31"/>
        <v>0</v>
      </c>
      <c r="E119" s="134">
        <f t="shared" si="31"/>
        <v>0</v>
      </c>
      <c r="F119" s="134">
        <f t="shared" si="31"/>
        <v>0</v>
      </c>
      <c r="G119" s="134">
        <f t="shared" si="31"/>
        <v>0</v>
      </c>
      <c r="H119" s="134">
        <f t="shared" si="31"/>
        <v>0</v>
      </c>
      <c r="I119" s="134">
        <f t="shared" si="31"/>
        <v>0</v>
      </c>
      <c r="J119" s="134">
        <f t="shared" si="31"/>
        <v>0</v>
      </c>
      <c r="K119" s="134">
        <f t="shared" si="31"/>
        <v>0</v>
      </c>
      <c r="L119" s="134">
        <f t="shared" si="31"/>
        <v>0</v>
      </c>
      <c r="M119" s="134">
        <f t="shared" si="31"/>
        <v>0</v>
      </c>
      <c r="N119" s="134">
        <f t="shared" si="31"/>
        <v>0</v>
      </c>
      <c r="O119" s="134">
        <f t="shared" si="31"/>
        <v>0</v>
      </c>
      <c r="P119" s="134">
        <f t="shared" si="31"/>
        <v>0</v>
      </c>
      <c r="Q119" s="134">
        <f t="shared" si="31"/>
        <v>0</v>
      </c>
      <c r="R119" s="134">
        <f t="shared" si="31"/>
        <v>0</v>
      </c>
      <c r="S119" s="134">
        <f t="shared" si="30"/>
        <v>0</v>
      </c>
      <c r="T119" s="134">
        <f t="shared" si="30"/>
        <v>0</v>
      </c>
      <c r="U119" s="134">
        <f t="shared" si="30"/>
        <v>0</v>
      </c>
      <c r="V119" s="134">
        <f t="shared" si="30"/>
        <v>0</v>
      </c>
      <c r="W119" s="134">
        <f t="shared" si="30"/>
        <v>0</v>
      </c>
      <c r="X119" s="134">
        <f t="shared" si="30"/>
        <v>0</v>
      </c>
      <c r="Y119" s="134">
        <f t="shared" si="30"/>
        <v>0</v>
      </c>
      <c r="Z119" s="134">
        <f t="shared" si="30"/>
        <v>0</v>
      </c>
      <c r="AA119" s="134">
        <f t="shared" si="30"/>
        <v>0</v>
      </c>
      <c r="AB119" s="134">
        <f t="shared" si="30"/>
        <v>0</v>
      </c>
      <c r="AC119" s="134">
        <f t="shared" si="30"/>
        <v>0</v>
      </c>
      <c r="AD119" s="134">
        <f t="shared" si="30"/>
        <v>0</v>
      </c>
      <c r="AE119" s="134">
        <f t="shared" si="30"/>
        <v>0</v>
      </c>
      <c r="AF119" s="134">
        <f t="shared" si="30"/>
        <v>0</v>
      </c>
      <c r="AG119" s="136">
        <v>6.6</v>
      </c>
      <c r="AH119" s="55"/>
      <c r="AI119" s="56"/>
      <c r="AK119" s="57"/>
    </row>
    <row r="120" spans="1:37" x14ac:dyDescent="0.25">
      <c r="A120" s="121" t="s">
        <v>124</v>
      </c>
      <c r="B120" s="133">
        <v>0</v>
      </c>
      <c r="C120" s="134">
        <f t="shared" si="31"/>
        <v>0</v>
      </c>
      <c r="D120" s="134">
        <f t="shared" si="31"/>
        <v>0</v>
      </c>
      <c r="E120" s="134">
        <f t="shared" si="31"/>
        <v>0</v>
      </c>
      <c r="F120" s="134">
        <f t="shared" si="31"/>
        <v>0</v>
      </c>
      <c r="G120" s="134">
        <f t="shared" si="31"/>
        <v>0</v>
      </c>
      <c r="H120" s="134">
        <f t="shared" si="31"/>
        <v>0</v>
      </c>
      <c r="I120" s="134">
        <f t="shared" si="31"/>
        <v>0</v>
      </c>
      <c r="J120" s="134">
        <f t="shared" si="31"/>
        <v>0</v>
      </c>
      <c r="K120" s="134">
        <f t="shared" si="31"/>
        <v>0</v>
      </c>
      <c r="L120" s="134">
        <f t="shared" si="31"/>
        <v>0</v>
      </c>
      <c r="M120" s="134">
        <f t="shared" si="31"/>
        <v>0</v>
      </c>
      <c r="N120" s="134">
        <f t="shared" si="31"/>
        <v>0</v>
      </c>
      <c r="O120" s="134">
        <f t="shared" si="31"/>
        <v>0</v>
      </c>
      <c r="P120" s="134">
        <f t="shared" si="31"/>
        <v>0</v>
      </c>
      <c r="Q120" s="134">
        <f t="shared" si="31"/>
        <v>0</v>
      </c>
      <c r="R120" s="134">
        <f t="shared" si="31"/>
        <v>0</v>
      </c>
      <c r="S120" s="134">
        <f t="shared" si="30"/>
        <v>0</v>
      </c>
      <c r="T120" s="134">
        <f t="shared" si="30"/>
        <v>0</v>
      </c>
      <c r="U120" s="134">
        <f t="shared" si="30"/>
        <v>0</v>
      </c>
      <c r="V120" s="134">
        <f t="shared" si="30"/>
        <v>0</v>
      </c>
      <c r="W120" s="134">
        <f t="shared" si="30"/>
        <v>0</v>
      </c>
      <c r="X120" s="134">
        <f t="shared" si="30"/>
        <v>0</v>
      </c>
      <c r="Y120" s="134">
        <f t="shared" si="30"/>
        <v>0</v>
      </c>
      <c r="Z120" s="134">
        <f t="shared" si="30"/>
        <v>0</v>
      </c>
      <c r="AA120" s="134">
        <f t="shared" si="30"/>
        <v>0</v>
      </c>
      <c r="AB120" s="134">
        <f t="shared" si="30"/>
        <v>0</v>
      </c>
      <c r="AC120" s="134">
        <f t="shared" si="30"/>
        <v>0</v>
      </c>
      <c r="AD120" s="134">
        <f t="shared" si="30"/>
        <v>0</v>
      </c>
      <c r="AE120" s="134">
        <f t="shared" si="30"/>
        <v>0</v>
      </c>
      <c r="AF120" s="134">
        <f t="shared" si="30"/>
        <v>0</v>
      </c>
      <c r="AG120" s="136">
        <v>6.6</v>
      </c>
      <c r="AH120" s="55"/>
      <c r="AI120" s="56"/>
      <c r="AK120" s="57"/>
    </row>
    <row r="121" spans="1:37" x14ac:dyDescent="0.25">
      <c r="A121" s="121" t="s">
        <v>125</v>
      </c>
      <c r="B121" s="133">
        <v>5</v>
      </c>
      <c r="C121" s="134">
        <f t="shared" si="31"/>
        <v>5</v>
      </c>
      <c r="D121" s="134">
        <f t="shared" si="31"/>
        <v>5</v>
      </c>
      <c r="E121" s="134">
        <f t="shared" si="31"/>
        <v>5</v>
      </c>
      <c r="F121" s="134">
        <f t="shared" si="31"/>
        <v>5</v>
      </c>
      <c r="G121" s="134">
        <f t="shared" si="31"/>
        <v>5</v>
      </c>
      <c r="H121" s="134">
        <f t="shared" si="31"/>
        <v>5</v>
      </c>
      <c r="I121" s="134">
        <f t="shared" si="31"/>
        <v>5</v>
      </c>
      <c r="J121" s="134">
        <f t="shared" si="31"/>
        <v>5</v>
      </c>
      <c r="K121" s="134">
        <f t="shared" si="31"/>
        <v>5</v>
      </c>
      <c r="L121" s="134">
        <f t="shared" si="31"/>
        <v>5</v>
      </c>
      <c r="M121" s="134">
        <f t="shared" si="31"/>
        <v>5</v>
      </c>
      <c r="N121" s="134">
        <f t="shared" si="31"/>
        <v>5</v>
      </c>
      <c r="O121" s="134">
        <f t="shared" si="31"/>
        <v>5</v>
      </c>
      <c r="P121" s="134">
        <f t="shared" si="31"/>
        <v>5</v>
      </c>
      <c r="Q121" s="134">
        <f t="shared" si="31"/>
        <v>5</v>
      </c>
      <c r="R121" s="134">
        <f t="shared" si="31"/>
        <v>5</v>
      </c>
      <c r="S121" s="134">
        <f t="shared" si="30"/>
        <v>5</v>
      </c>
      <c r="T121" s="134">
        <f t="shared" si="30"/>
        <v>5</v>
      </c>
      <c r="U121" s="134">
        <f t="shared" si="30"/>
        <v>5</v>
      </c>
      <c r="V121" s="134">
        <f t="shared" si="30"/>
        <v>5</v>
      </c>
      <c r="W121" s="134">
        <f t="shared" si="30"/>
        <v>5</v>
      </c>
      <c r="X121" s="134">
        <f t="shared" si="30"/>
        <v>5</v>
      </c>
      <c r="Y121" s="134">
        <f t="shared" si="30"/>
        <v>5</v>
      </c>
      <c r="Z121" s="134">
        <f t="shared" si="30"/>
        <v>5</v>
      </c>
      <c r="AA121" s="134">
        <f t="shared" si="30"/>
        <v>5</v>
      </c>
      <c r="AB121" s="134">
        <f t="shared" si="30"/>
        <v>5</v>
      </c>
      <c r="AC121" s="134">
        <f t="shared" si="30"/>
        <v>5</v>
      </c>
      <c r="AD121" s="134">
        <f t="shared" si="30"/>
        <v>5</v>
      </c>
      <c r="AE121" s="134">
        <f t="shared" si="30"/>
        <v>5</v>
      </c>
      <c r="AF121" s="134">
        <f t="shared" si="30"/>
        <v>5</v>
      </c>
      <c r="AG121" s="136">
        <v>6.4</v>
      </c>
      <c r="AH121" s="55"/>
      <c r="AI121" s="56"/>
      <c r="AK121" s="57"/>
    </row>
    <row r="122" spans="1:37" x14ac:dyDescent="0.25">
      <c r="A122" s="121" t="s">
        <v>126</v>
      </c>
      <c r="B122" s="133">
        <v>1</v>
      </c>
      <c r="C122" s="134">
        <f t="shared" si="31"/>
        <v>1</v>
      </c>
      <c r="D122" s="134">
        <f t="shared" si="31"/>
        <v>1</v>
      </c>
      <c r="E122" s="134">
        <f t="shared" si="31"/>
        <v>1</v>
      </c>
      <c r="F122" s="134">
        <f t="shared" si="31"/>
        <v>1</v>
      </c>
      <c r="G122" s="134">
        <f t="shared" si="31"/>
        <v>1</v>
      </c>
      <c r="H122" s="134">
        <f t="shared" si="31"/>
        <v>1</v>
      </c>
      <c r="I122" s="134">
        <f t="shared" si="31"/>
        <v>1</v>
      </c>
      <c r="J122" s="134">
        <f t="shared" si="31"/>
        <v>1</v>
      </c>
      <c r="K122" s="134">
        <f t="shared" si="31"/>
        <v>1</v>
      </c>
      <c r="L122" s="134">
        <f t="shared" si="31"/>
        <v>1</v>
      </c>
      <c r="M122" s="134">
        <f t="shared" si="31"/>
        <v>1</v>
      </c>
      <c r="N122" s="134">
        <f t="shared" si="31"/>
        <v>1</v>
      </c>
      <c r="O122" s="134">
        <f t="shared" si="31"/>
        <v>1</v>
      </c>
      <c r="P122" s="134">
        <f t="shared" si="31"/>
        <v>1</v>
      </c>
      <c r="Q122" s="134">
        <f t="shared" si="31"/>
        <v>1</v>
      </c>
      <c r="R122" s="134">
        <f t="shared" si="31"/>
        <v>1</v>
      </c>
      <c r="S122" s="134">
        <f t="shared" si="30"/>
        <v>1</v>
      </c>
      <c r="T122" s="134">
        <f t="shared" si="30"/>
        <v>1</v>
      </c>
      <c r="U122" s="134">
        <f t="shared" si="30"/>
        <v>1</v>
      </c>
      <c r="V122" s="134">
        <f t="shared" si="30"/>
        <v>1</v>
      </c>
      <c r="W122" s="134">
        <f t="shared" si="30"/>
        <v>1</v>
      </c>
      <c r="X122" s="134">
        <f t="shared" si="30"/>
        <v>1</v>
      </c>
      <c r="Y122" s="134">
        <f t="shared" si="30"/>
        <v>1</v>
      </c>
      <c r="Z122" s="134">
        <f t="shared" si="30"/>
        <v>1</v>
      </c>
      <c r="AA122" s="134">
        <f t="shared" si="30"/>
        <v>1</v>
      </c>
      <c r="AB122" s="134">
        <f t="shared" si="30"/>
        <v>1</v>
      </c>
      <c r="AC122" s="134">
        <f t="shared" si="30"/>
        <v>1</v>
      </c>
      <c r="AD122" s="134">
        <f t="shared" si="30"/>
        <v>1</v>
      </c>
      <c r="AE122" s="134">
        <f t="shared" si="30"/>
        <v>1</v>
      </c>
      <c r="AF122" s="134">
        <f t="shared" si="30"/>
        <v>1</v>
      </c>
      <c r="AG122" s="136">
        <v>6</v>
      </c>
      <c r="AH122" s="55"/>
      <c r="AI122" s="56"/>
      <c r="AK122" s="57"/>
    </row>
    <row r="123" spans="1:37" x14ac:dyDescent="0.25">
      <c r="A123" s="121" t="s">
        <v>127</v>
      </c>
      <c r="B123" s="133">
        <v>1.58</v>
      </c>
      <c r="C123" s="134">
        <f t="shared" si="31"/>
        <v>1.58</v>
      </c>
      <c r="D123" s="134">
        <f t="shared" si="31"/>
        <v>1.58</v>
      </c>
      <c r="E123" s="134">
        <f t="shared" si="31"/>
        <v>1.58</v>
      </c>
      <c r="F123" s="134">
        <f t="shared" si="31"/>
        <v>1.58</v>
      </c>
      <c r="G123" s="134">
        <f t="shared" si="31"/>
        <v>1.58</v>
      </c>
      <c r="H123" s="134">
        <f t="shared" si="31"/>
        <v>1.58</v>
      </c>
      <c r="I123" s="134">
        <f t="shared" si="31"/>
        <v>1.58</v>
      </c>
      <c r="J123" s="134">
        <f t="shared" si="31"/>
        <v>1.58</v>
      </c>
      <c r="K123" s="134">
        <f t="shared" si="31"/>
        <v>1.58</v>
      </c>
      <c r="L123" s="134">
        <f t="shared" si="31"/>
        <v>1.58</v>
      </c>
      <c r="M123" s="134">
        <f t="shared" si="31"/>
        <v>1.58</v>
      </c>
      <c r="N123" s="134">
        <f t="shared" si="31"/>
        <v>1.58</v>
      </c>
      <c r="O123" s="134">
        <f t="shared" si="31"/>
        <v>1.58</v>
      </c>
      <c r="P123" s="134">
        <f t="shared" si="31"/>
        <v>1.58</v>
      </c>
      <c r="Q123" s="134">
        <f t="shared" si="31"/>
        <v>1.58</v>
      </c>
      <c r="R123" s="134">
        <f t="shared" si="31"/>
        <v>1.58</v>
      </c>
      <c r="S123" s="134">
        <f t="shared" si="30"/>
        <v>1.58</v>
      </c>
      <c r="T123" s="134">
        <f t="shared" si="30"/>
        <v>1.58</v>
      </c>
      <c r="U123" s="134">
        <f t="shared" si="30"/>
        <v>1.58</v>
      </c>
      <c r="V123" s="134">
        <f t="shared" si="30"/>
        <v>1.58</v>
      </c>
      <c r="W123" s="134">
        <f t="shared" si="30"/>
        <v>1.58</v>
      </c>
      <c r="X123" s="134">
        <f t="shared" si="30"/>
        <v>1.58</v>
      </c>
      <c r="Y123" s="134">
        <f t="shared" si="30"/>
        <v>1.58</v>
      </c>
      <c r="Z123" s="134">
        <f t="shared" si="30"/>
        <v>1.58</v>
      </c>
      <c r="AA123" s="134">
        <f t="shared" si="30"/>
        <v>1.58</v>
      </c>
      <c r="AB123" s="134">
        <f t="shared" si="30"/>
        <v>1.58</v>
      </c>
      <c r="AC123" s="134">
        <f t="shared" si="30"/>
        <v>1.58</v>
      </c>
      <c r="AD123" s="134">
        <f t="shared" si="30"/>
        <v>1.58</v>
      </c>
      <c r="AE123" s="134">
        <f t="shared" si="30"/>
        <v>1.58</v>
      </c>
      <c r="AF123" s="134">
        <f t="shared" si="30"/>
        <v>1.58</v>
      </c>
      <c r="AG123" s="136">
        <v>5.0999999999999996</v>
      </c>
      <c r="AH123" s="55"/>
      <c r="AI123" s="56"/>
      <c r="AK123" s="57"/>
    </row>
    <row r="124" spans="1:37" x14ac:dyDescent="0.25">
      <c r="A124" s="121" t="s">
        <v>128</v>
      </c>
      <c r="B124" s="133">
        <v>1.46</v>
      </c>
      <c r="C124" s="134">
        <f t="shared" si="31"/>
        <v>1.46</v>
      </c>
      <c r="D124" s="134">
        <f t="shared" si="31"/>
        <v>1.46</v>
      </c>
      <c r="E124" s="134">
        <f t="shared" si="31"/>
        <v>1.46</v>
      </c>
      <c r="F124" s="134">
        <f t="shared" si="31"/>
        <v>1.46</v>
      </c>
      <c r="G124" s="134">
        <f t="shared" si="31"/>
        <v>1.46</v>
      </c>
      <c r="H124" s="134">
        <f t="shared" si="31"/>
        <v>1.46</v>
      </c>
      <c r="I124" s="134">
        <f t="shared" si="31"/>
        <v>1.46</v>
      </c>
      <c r="J124" s="134">
        <f t="shared" si="31"/>
        <v>1.46</v>
      </c>
      <c r="K124" s="134">
        <f t="shared" si="31"/>
        <v>1.46</v>
      </c>
      <c r="L124" s="134">
        <f t="shared" si="31"/>
        <v>1.46</v>
      </c>
      <c r="M124" s="134">
        <f t="shared" si="31"/>
        <v>1.46</v>
      </c>
      <c r="N124" s="134">
        <f t="shared" si="31"/>
        <v>1.46</v>
      </c>
      <c r="O124" s="134">
        <f t="shared" si="31"/>
        <v>1.46</v>
      </c>
      <c r="P124" s="134">
        <f t="shared" si="31"/>
        <v>1.46</v>
      </c>
      <c r="Q124" s="134">
        <f t="shared" si="31"/>
        <v>1.46</v>
      </c>
      <c r="R124" s="134">
        <f t="shared" si="31"/>
        <v>1.46</v>
      </c>
      <c r="S124" s="134">
        <f t="shared" ref="S124:AF125" si="32">R124</f>
        <v>1.46</v>
      </c>
      <c r="T124" s="134">
        <f t="shared" si="32"/>
        <v>1.46</v>
      </c>
      <c r="U124" s="134">
        <f t="shared" si="32"/>
        <v>1.46</v>
      </c>
      <c r="V124" s="134">
        <f t="shared" si="32"/>
        <v>1.46</v>
      </c>
      <c r="W124" s="134">
        <f t="shared" si="32"/>
        <v>1.46</v>
      </c>
      <c r="X124" s="134">
        <f t="shared" si="32"/>
        <v>1.46</v>
      </c>
      <c r="Y124" s="134">
        <f t="shared" si="32"/>
        <v>1.46</v>
      </c>
      <c r="Z124" s="134">
        <f t="shared" si="32"/>
        <v>1.46</v>
      </c>
      <c r="AA124" s="134">
        <f t="shared" si="32"/>
        <v>1.46</v>
      </c>
      <c r="AB124" s="134">
        <f t="shared" si="32"/>
        <v>1.46</v>
      </c>
      <c r="AC124" s="134">
        <f t="shared" si="32"/>
        <v>1.46</v>
      </c>
      <c r="AD124" s="134">
        <f t="shared" si="32"/>
        <v>1.46</v>
      </c>
      <c r="AE124" s="134">
        <f t="shared" si="32"/>
        <v>1.46</v>
      </c>
      <c r="AF124" s="134">
        <f t="shared" si="32"/>
        <v>1.46</v>
      </c>
      <c r="AG124" s="136">
        <v>5</v>
      </c>
      <c r="AH124" s="55"/>
      <c r="AI124" s="56"/>
      <c r="AK124" s="57"/>
    </row>
    <row r="125" spans="1:37" x14ac:dyDescent="0.25">
      <c r="A125" s="119" t="s">
        <v>129</v>
      </c>
      <c r="B125" s="133">
        <v>1.48</v>
      </c>
      <c r="C125" s="134">
        <f t="shared" si="31"/>
        <v>1.48</v>
      </c>
      <c r="D125" s="134">
        <f t="shared" si="31"/>
        <v>1.48</v>
      </c>
      <c r="E125" s="134">
        <f t="shared" si="31"/>
        <v>1.48</v>
      </c>
      <c r="F125" s="134">
        <f t="shared" si="31"/>
        <v>1.48</v>
      </c>
      <c r="G125" s="134">
        <f t="shared" si="31"/>
        <v>1.48</v>
      </c>
      <c r="H125" s="134">
        <f t="shared" si="31"/>
        <v>1.48</v>
      </c>
      <c r="I125" s="134">
        <f t="shared" si="31"/>
        <v>1.48</v>
      </c>
      <c r="J125" s="134">
        <f t="shared" si="31"/>
        <v>1.48</v>
      </c>
      <c r="K125" s="134">
        <f t="shared" si="31"/>
        <v>1.48</v>
      </c>
      <c r="L125" s="134">
        <f t="shared" si="31"/>
        <v>1.48</v>
      </c>
      <c r="M125" s="134">
        <f t="shared" si="31"/>
        <v>1.48</v>
      </c>
      <c r="N125" s="134">
        <f t="shared" si="31"/>
        <v>1.48</v>
      </c>
      <c r="O125" s="134">
        <f t="shared" si="31"/>
        <v>1.48</v>
      </c>
      <c r="P125" s="134">
        <f t="shared" si="31"/>
        <v>1.48</v>
      </c>
      <c r="Q125" s="134">
        <f t="shared" si="31"/>
        <v>1.48</v>
      </c>
      <c r="R125" s="134">
        <f t="shared" si="31"/>
        <v>1.48</v>
      </c>
      <c r="S125" s="134">
        <f t="shared" si="32"/>
        <v>1.48</v>
      </c>
      <c r="T125" s="134">
        <f t="shared" si="32"/>
        <v>1.48</v>
      </c>
      <c r="U125" s="134">
        <f t="shared" si="32"/>
        <v>1.48</v>
      </c>
      <c r="V125" s="134">
        <f t="shared" si="32"/>
        <v>1.48</v>
      </c>
      <c r="W125" s="134">
        <f t="shared" si="32"/>
        <v>1.48</v>
      </c>
      <c r="X125" s="134">
        <f t="shared" si="32"/>
        <v>1.48</v>
      </c>
      <c r="Y125" s="134">
        <f t="shared" si="32"/>
        <v>1.48</v>
      </c>
      <c r="Z125" s="134">
        <f t="shared" si="32"/>
        <v>1.48</v>
      </c>
      <c r="AA125" s="134">
        <f t="shared" si="32"/>
        <v>1.48</v>
      </c>
      <c r="AB125" s="134">
        <f t="shared" si="32"/>
        <v>1.48</v>
      </c>
      <c r="AC125" s="134">
        <f t="shared" si="32"/>
        <v>1.48</v>
      </c>
      <c r="AD125" s="134">
        <f t="shared" si="32"/>
        <v>1.48</v>
      </c>
      <c r="AE125" s="134">
        <f t="shared" si="32"/>
        <v>1.48</v>
      </c>
      <c r="AF125" s="134">
        <f t="shared" si="32"/>
        <v>1.48</v>
      </c>
      <c r="AG125" s="135">
        <v>5</v>
      </c>
      <c r="AH125" s="55"/>
      <c r="AI125" s="56"/>
      <c r="AK125" s="57"/>
    </row>
    <row r="126" spans="1:37" x14ac:dyDescent="0.25">
      <c r="A126" s="121" t="s">
        <v>130</v>
      </c>
      <c r="B126" s="133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6">
        <v>5</v>
      </c>
      <c r="AH126" s="55"/>
      <c r="AI126" s="56"/>
      <c r="AK126" s="57"/>
    </row>
    <row r="127" spans="1:37" x14ac:dyDescent="0.25">
      <c r="A127" s="121" t="s">
        <v>131</v>
      </c>
      <c r="B127" s="133">
        <v>2.2000000000000002</v>
      </c>
      <c r="C127" s="134">
        <f t="shared" ref="C127:R134" si="33">B127</f>
        <v>2.2000000000000002</v>
      </c>
      <c r="D127" s="134">
        <f t="shared" si="33"/>
        <v>2.2000000000000002</v>
      </c>
      <c r="E127" s="134">
        <f t="shared" si="33"/>
        <v>2.2000000000000002</v>
      </c>
      <c r="F127" s="134">
        <f t="shared" si="33"/>
        <v>2.2000000000000002</v>
      </c>
      <c r="G127" s="134">
        <f t="shared" si="33"/>
        <v>2.2000000000000002</v>
      </c>
      <c r="H127" s="134">
        <f t="shared" si="33"/>
        <v>2.2000000000000002</v>
      </c>
      <c r="I127" s="134">
        <f t="shared" si="33"/>
        <v>2.2000000000000002</v>
      </c>
      <c r="J127" s="134">
        <f t="shared" si="33"/>
        <v>2.2000000000000002</v>
      </c>
      <c r="K127" s="134">
        <f t="shared" si="33"/>
        <v>2.2000000000000002</v>
      </c>
      <c r="L127" s="134">
        <f t="shared" si="33"/>
        <v>2.2000000000000002</v>
      </c>
      <c r="M127" s="134">
        <f t="shared" si="33"/>
        <v>2.2000000000000002</v>
      </c>
      <c r="N127" s="134">
        <f t="shared" si="33"/>
        <v>2.2000000000000002</v>
      </c>
      <c r="O127" s="134">
        <f t="shared" si="33"/>
        <v>2.2000000000000002</v>
      </c>
      <c r="P127" s="134">
        <f t="shared" si="33"/>
        <v>2.2000000000000002</v>
      </c>
      <c r="Q127" s="134">
        <f t="shared" si="33"/>
        <v>2.2000000000000002</v>
      </c>
      <c r="R127" s="134">
        <f t="shared" si="33"/>
        <v>2.2000000000000002</v>
      </c>
      <c r="S127" s="134">
        <f t="shared" ref="S127:AF134" si="34">R127</f>
        <v>2.2000000000000002</v>
      </c>
      <c r="T127" s="134">
        <f t="shared" si="34"/>
        <v>2.2000000000000002</v>
      </c>
      <c r="U127" s="134">
        <f t="shared" si="34"/>
        <v>2.2000000000000002</v>
      </c>
      <c r="V127" s="134">
        <f t="shared" si="34"/>
        <v>2.2000000000000002</v>
      </c>
      <c r="W127" s="134">
        <f t="shared" si="34"/>
        <v>2.2000000000000002</v>
      </c>
      <c r="X127" s="134">
        <f t="shared" si="34"/>
        <v>2.2000000000000002</v>
      </c>
      <c r="Y127" s="134">
        <f t="shared" si="34"/>
        <v>2.2000000000000002</v>
      </c>
      <c r="Z127" s="134">
        <f t="shared" si="34"/>
        <v>2.2000000000000002</v>
      </c>
      <c r="AA127" s="134">
        <f t="shared" si="34"/>
        <v>2.2000000000000002</v>
      </c>
      <c r="AB127" s="134">
        <f t="shared" si="34"/>
        <v>2.2000000000000002</v>
      </c>
      <c r="AC127" s="134">
        <f t="shared" si="34"/>
        <v>2.2000000000000002</v>
      </c>
      <c r="AD127" s="134">
        <f t="shared" si="34"/>
        <v>2.2000000000000002</v>
      </c>
      <c r="AE127" s="134">
        <f t="shared" si="34"/>
        <v>2.2000000000000002</v>
      </c>
      <c r="AF127" s="134">
        <f t="shared" si="34"/>
        <v>2.2000000000000002</v>
      </c>
      <c r="AG127" s="136">
        <v>5</v>
      </c>
      <c r="AH127" s="55"/>
      <c r="AI127" s="56"/>
      <c r="AK127" s="57"/>
    </row>
    <row r="128" spans="1:37" x14ac:dyDescent="0.25">
      <c r="A128" s="121" t="s">
        <v>132</v>
      </c>
      <c r="B128" s="133">
        <v>2</v>
      </c>
      <c r="C128" s="134">
        <f t="shared" si="33"/>
        <v>2</v>
      </c>
      <c r="D128" s="134">
        <f t="shared" si="33"/>
        <v>2</v>
      </c>
      <c r="E128" s="134">
        <f t="shared" si="33"/>
        <v>2</v>
      </c>
      <c r="F128" s="134">
        <f t="shared" si="33"/>
        <v>2</v>
      </c>
      <c r="G128" s="134">
        <f t="shared" si="33"/>
        <v>2</v>
      </c>
      <c r="H128" s="134">
        <f t="shared" si="33"/>
        <v>2</v>
      </c>
      <c r="I128" s="134">
        <f t="shared" si="33"/>
        <v>2</v>
      </c>
      <c r="J128" s="134">
        <f t="shared" si="33"/>
        <v>2</v>
      </c>
      <c r="K128" s="134">
        <f t="shared" si="33"/>
        <v>2</v>
      </c>
      <c r="L128" s="134">
        <f t="shared" si="33"/>
        <v>2</v>
      </c>
      <c r="M128" s="134">
        <f t="shared" si="33"/>
        <v>2</v>
      </c>
      <c r="N128" s="134">
        <f t="shared" si="33"/>
        <v>2</v>
      </c>
      <c r="O128" s="134">
        <f t="shared" si="33"/>
        <v>2</v>
      </c>
      <c r="P128" s="134">
        <f t="shared" si="33"/>
        <v>2</v>
      </c>
      <c r="Q128" s="134">
        <f t="shared" si="33"/>
        <v>2</v>
      </c>
      <c r="R128" s="134">
        <f t="shared" si="33"/>
        <v>2</v>
      </c>
      <c r="S128" s="134">
        <f t="shared" si="34"/>
        <v>2</v>
      </c>
      <c r="T128" s="134">
        <f t="shared" si="34"/>
        <v>2</v>
      </c>
      <c r="U128" s="134">
        <f t="shared" si="34"/>
        <v>2</v>
      </c>
      <c r="V128" s="134">
        <f t="shared" si="34"/>
        <v>2</v>
      </c>
      <c r="W128" s="134">
        <f t="shared" si="34"/>
        <v>2</v>
      </c>
      <c r="X128" s="134">
        <f t="shared" si="34"/>
        <v>2</v>
      </c>
      <c r="Y128" s="134">
        <f t="shared" si="34"/>
        <v>2</v>
      </c>
      <c r="Z128" s="134">
        <f t="shared" si="34"/>
        <v>2</v>
      </c>
      <c r="AA128" s="134">
        <f t="shared" si="34"/>
        <v>2</v>
      </c>
      <c r="AB128" s="134">
        <f t="shared" si="34"/>
        <v>2</v>
      </c>
      <c r="AC128" s="134">
        <f t="shared" si="34"/>
        <v>2</v>
      </c>
      <c r="AD128" s="134">
        <f t="shared" si="34"/>
        <v>2</v>
      </c>
      <c r="AE128" s="134">
        <f t="shared" si="34"/>
        <v>2</v>
      </c>
      <c r="AF128" s="134">
        <f t="shared" si="34"/>
        <v>2</v>
      </c>
      <c r="AG128" s="136">
        <v>5</v>
      </c>
      <c r="AH128" s="55"/>
      <c r="AI128" s="56"/>
      <c r="AK128" s="57"/>
    </row>
    <row r="129" spans="1:37" x14ac:dyDescent="0.25">
      <c r="A129" s="121" t="s">
        <v>133</v>
      </c>
      <c r="B129" s="133">
        <v>1.25</v>
      </c>
      <c r="C129" s="134">
        <f t="shared" si="33"/>
        <v>1.25</v>
      </c>
      <c r="D129" s="134">
        <f t="shared" si="33"/>
        <v>1.25</v>
      </c>
      <c r="E129" s="134">
        <f t="shared" si="33"/>
        <v>1.25</v>
      </c>
      <c r="F129" s="134">
        <f t="shared" si="33"/>
        <v>1.25</v>
      </c>
      <c r="G129" s="134">
        <f t="shared" si="33"/>
        <v>1.25</v>
      </c>
      <c r="H129" s="134">
        <f t="shared" si="33"/>
        <v>1.25</v>
      </c>
      <c r="I129" s="134">
        <f t="shared" si="33"/>
        <v>1.25</v>
      </c>
      <c r="J129" s="134">
        <f t="shared" si="33"/>
        <v>1.25</v>
      </c>
      <c r="K129" s="134">
        <f t="shared" si="33"/>
        <v>1.25</v>
      </c>
      <c r="L129" s="134">
        <f t="shared" si="33"/>
        <v>1.25</v>
      </c>
      <c r="M129" s="134">
        <f t="shared" si="33"/>
        <v>1.25</v>
      </c>
      <c r="N129" s="134">
        <f t="shared" si="33"/>
        <v>1.25</v>
      </c>
      <c r="O129" s="134">
        <f t="shared" si="33"/>
        <v>1.25</v>
      </c>
      <c r="P129" s="134">
        <f t="shared" si="33"/>
        <v>1.25</v>
      </c>
      <c r="Q129" s="134">
        <f t="shared" si="33"/>
        <v>1.25</v>
      </c>
      <c r="R129" s="134">
        <f t="shared" si="33"/>
        <v>1.25</v>
      </c>
      <c r="S129" s="134">
        <f t="shared" si="34"/>
        <v>1.25</v>
      </c>
      <c r="T129" s="134">
        <f t="shared" si="34"/>
        <v>1.25</v>
      </c>
      <c r="U129" s="134">
        <f t="shared" si="34"/>
        <v>1.25</v>
      </c>
      <c r="V129" s="134">
        <f t="shared" si="34"/>
        <v>1.25</v>
      </c>
      <c r="W129" s="134">
        <f t="shared" si="34"/>
        <v>1.25</v>
      </c>
      <c r="X129" s="134">
        <f t="shared" si="34"/>
        <v>1.25</v>
      </c>
      <c r="Y129" s="134">
        <f t="shared" si="34"/>
        <v>1.25</v>
      </c>
      <c r="Z129" s="134">
        <f t="shared" si="34"/>
        <v>1.25</v>
      </c>
      <c r="AA129" s="134">
        <f t="shared" si="34"/>
        <v>1.25</v>
      </c>
      <c r="AB129" s="134">
        <f t="shared" si="34"/>
        <v>1.25</v>
      </c>
      <c r="AC129" s="134">
        <f t="shared" si="34"/>
        <v>1.25</v>
      </c>
      <c r="AD129" s="134">
        <f t="shared" si="34"/>
        <v>1.25</v>
      </c>
      <c r="AE129" s="134">
        <f t="shared" si="34"/>
        <v>1.25</v>
      </c>
      <c r="AF129" s="134">
        <f t="shared" si="34"/>
        <v>1.25</v>
      </c>
      <c r="AG129" s="136">
        <v>5</v>
      </c>
      <c r="AH129" s="55"/>
      <c r="AI129" s="56"/>
      <c r="AK129" s="57"/>
    </row>
    <row r="130" spans="1:37" x14ac:dyDescent="0.25">
      <c r="A130" s="121" t="s">
        <v>134</v>
      </c>
      <c r="B130" s="133">
        <v>1.1499999999999999</v>
      </c>
      <c r="C130" s="134">
        <f t="shared" si="33"/>
        <v>1.1499999999999999</v>
      </c>
      <c r="D130" s="134">
        <f t="shared" si="33"/>
        <v>1.1499999999999999</v>
      </c>
      <c r="E130" s="134">
        <f t="shared" si="33"/>
        <v>1.1499999999999999</v>
      </c>
      <c r="F130" s="134">
        <f t="shared" si="33"/>
        <v>1.1499999999999999</v>
      </c>
      <c r="G130" s="134">
        <f t="shared" si="33"/>
        <v>1.1499999999999999</v>
      </c>
      <c r="H130" s="134">
        <f t="shared" si="33"/>
        <v>1.1499999999999999</v>
      </c>
      <c r="I130" s="134">
        <f t="shared" si="33"/>
        <v>1.1499999999999999</v>
      </c>
      <c r="J130" s="134">
        <f t="shared" si="33"/>
        <v>1.1499999999999999</v>
      </c>
      <c r="K130" s="134">
        <f t="shared" si="33"/>
        <v>1.1499999999999999</v>
      </c>
      <c r="L130" s="134">
        <f t="shared" si="33"/>
        <v>1.1499999999999999</v>
      </c>
      <c r="M130" s="134">
        <f t="shared" si="33"/>
        <v>1.1499999999999999</v>
      </c>
      <c r="N130" s="134">
        <f t="shared" si="33"/>
        <v>1.1499999999999999</v>
      </c>
      <c r="O130" s="134">
        <f t="shared" si="33"/>
        <v>1.1499999999999999</v>
      </c>
      <c r="P130" s="134">
        <f t="shared" si="33"/>
        <v>1.1499999999999999</v>
      </c>
      <c r="Q130" s="134">
        <f t="shared" si="33"/>
        <v>1.1499999999999999</v>
      </c>
      <c r="R130" s="134">
        <f t="shared" si="33"/>
        <v>1.1499999999999999</v>
      </c>
      <c r="S130" s="134">
        <f t="shared" si="34"/>
        <v>1.1499999999999999</v>
      </c>
      <c r="T130" s="134">
        <f t="shared" si="34"/>
        <v>1.1499999999999999</v>
      </c>
      <c r="U130" s="134">
        <f t="shared" si="34"/>
        <v>1.1499999999999999</v>
      </c>
      <c r="V130" s="134">
        <f t="shared" si="34"/>
        <v>1.1499999999999999</v>
      </c>
      <c r="W130" s="134">
        <f t="shared" si="34"/>
        <v>1.1499999999999999</v>
      </c>
      <c r="X130" s="134">
        <f t="shared" si="34"/>
        <v>1.1499999999999999</v>
      </c>
      <c r="Y130" s="134">
        <f t="shared" si="34"/>
        <v>1.1499999999999999</v>
      </c>
      <c r="Z130" s="134">
        <f t="shared" si="34"/>
        <v>1.1499999999999999</v>
      </c>
      <c r="AA130" s="134">
        <f t="shared" si="34"/>
        <v>1.1499999999999999</v>
      </c>
      <c r="AB130" s="134">
        <f t="shared" si="34"/>
        <v>1.1499999999999999</v>
      </c>
      <c r="AC130" s="134">
        <f t="shared" si="34"/>
        <v>1.1499999999999999</v>
      </c>
      <c r="AD130" s="134">
        <f t="shared" si="34"/>
        <v>1.1499999999999999</v>
      </c>
      <c r="AE130" s="134">
        <f t="shared" si="34"/>
        <v>1.1499999999999999</v>
      </c>
      <c r="AF130" s="134">
        <f t="shared" si="34"/>
        <v>1.1499999999999999</v>
      </c>
      <c r="AG130" s="136">
        <v>5</v>
      </c>
      <c r="AH130" s="55"/>
      <c r="AI130" s="56"/>
      <c r="AK130" s="57"/>
    </row>
    <row r="131" spans="1:37" x14ac:dyDescent="0.25">
      <c r="A131" s="121" t="s">
        <v>135</v>
      </c>
      <c r="B131" s="133">
        <v>2.133</v>
      </c>
      <c r="C131" s="134">
        <f t="shared" si="33"/>
        <v>2.133</v>
      </c>
      <c r="D131" s="134">
        <f t="shared" si="33"/>
        <v>2.133</v>
      </c>
      <c r="E131" s="134">
        <f t="shared" si="33"/>
        <v>2.133</v>
      </c>
      <c r="F131" s="134">
        <f t="shared" si="33"/>
        <v>2.133</v>
      </c>
      <c r="G131" s="134">
        <f t="shared" si="33"/>
        <v>2.133</v>
      </c>
      <c r="H131" s="134">
        <f t="shared" si="33"/>
        <v>2.133</v>
      </c>
      <c r="I131" s="134">
        <f t="shared" si="33"/>
        <v>2.133</v>
      </c>
      <c r="J131" s="134">
        <f t="shared" si="33"/>
        <v>2.133</v>
      </c>
      <c r="K131" s="134">
        <f t="shared" si="33"/>
        <v>2.133</v>
      </c>
      <c r="L131" s="134">
        <f t="shared" si="33"/>
        <v>2.133</v>
      </c>
      <c r="M131" s="134">
        <f t="shared" si="33"/>
        <v>2.133</v>
      </c>
      <c r="N131" s="134">
        <f t="shared" si="33"/>
        <v>2.133</v>
      </c>
      <c r="O131" s="134">
        <f t="shared" si="33"/>
        <v>2.133</v>
      </c>
      <c r="P131" s="134">
        <f t="shared" si="33"/>
        <v>2.133</v>
      </c>
      <c r="Q131" s="134">
        <f t="shared" si="33"/>
        <v>2.133</v>
      </c>
      <c r="R131" s="134">
        <f t="shared" si="33"/>
        <v>2.133</v>
      </c>
      <c r="S131" s="134">
        <f t="shared" si="34"/>
        <v>2.133</v>
      </c>
      <c r="T131" s="134">
        <f t="shared" si="34"/>
        <v>2.133</v>
      </c>
      <c r="U131" s="134">
        <f t="shared" si="34"/>
        <v>2.133</v>
      </c>
      <c r="V131" s="134">
        <f t="shared" si="34"/>
        <v>2.133</v>
      </c>
      <c r="W131" s="134">
        <f t="shared" si="34"/>
        <v>2.133</v>
      </c>
      <c r="X131" s="134">
        <f t="shared" si="34"/>
        <v>2.133</v>
      </c>
      <c r="Y131" s="134">
        <f t="shared" si="34"/>
        <v>2.133</v>
      </c>
      <c r="Z131" s="134">
        <f t="shared" si="34"/>
        <v>2.133</v>
      </c>
      <c r="AA131" s="134">
        <f t="shared" si="34"/>
        <v>2.133</v>
      </c>
      <c r="AB131" s="134">
        <f t="shared" si="34"/>
        <v>2.133</v>
      </c>
      <c r="AC131" s="134">
        <f t="shared" si="34"/>
        <v>2.133</v>
      </c>
      <c r="AD131" s="134">
        <f t="shared" si="34"/>
        <v>2.133</v>
      </c>
      <c r="AE131" s="134">
        <f t="shared" si="34"/>
        <v>2.133</v>
      </c>
      <c r="AF131" s="134">
        <f t="shared" si="34"/>
        <v>2.133</v>
      </c>
      <c r="AG131" s="136">
        <v>4.9930000000000003</v>
      </c>
      <c r="AH131" s="55"/>
      <c r="AI131" s="56"/>
      <c r="AK131" s="57"/>
    </row>
    <row r="132" spans="1:37" x14ac:dyDescent="0.25">
      <c r="A132" s="121" t="s">
        <v>136</v>
      </c>
      <c r="B132" s="133">
        <v>2.09</v>
      </c>
      <c r="C132" s="134">
        <f t="shared" si="33"/>
        <v>2.09</v>
      </c>
      <c r="D132" s="134">
        <f t="shared" si="33"/>
        <v>2.09</v>
      </c>
      <c r="E132" s="134">
        <f t="shared" si="33"/>
        <v>2.09</v>
      </c>
      <c r="F132" s="134">
        <f t="shared" si="33"/>
        <v>2.09</v>
      </c>
      <c r="G132" s="134">
        <f t="shared" si="33"/>
        <v>2.09</v>
      </c>
      <c r="H132" s="134">
        <f t="shared" si="33"/>
        <v>2.09</v>
      </c>
      <c r="I132" s="134">
        <f t="shared" si="33"/>
        <v>2.09</v>
      </c>
      <c r="J132" s="134">
        <f t="shared" si="33"/>
        <v>2.09</v>
      </c>
      <c r="K132" s="134">
        <f t="shared" si="33"/>
        <v>2.09</v>
      </c>
      <c r="L132" s="134">
        <f t="shared" si="33"/>
        <v>2.09</v>
      </c>
      <c r="M132" s="134">
        <f t="shared" si="33"/>
        <v>2.09</v>
      </c>
      <c r="N132" s="134">
        <f t="shared" si="33"/>
        <v>2.09</v>
      </c>
      <c r="O132" s="134">
        <f t="shared" si="33"/>
        <v>2.09</v>
      </c>
      <c r="P132" s="134">
        <f t="shared" si="33"/>
        <v>2.09</v>
      </c>
      <c r="Q132" s="134">
        <f t="shared" si="33"/>
        <v>2.09</v>
      </c>
      <c r="R132" s="134">
        <f t="shared" si="33"/>
        <v>2.09</v>
      </c>
      <c r="S132" s="134">
        <f t="shared" si="34"/>
        <v>2.09</v>
      </c>
      <c r="T132" s="134">
        <f t="shared" si="34"/>
        <v>2.09</v>
      </c>
      <c r="U132" s="134">
        <f t="shared" si="34"/>
        <v>2.09</v>
      </c>
      <c r="V132" s="134">
        <f t="shared" si="34"/>
        <v>2.09</v>
      </c>
      <c r="W132" s="134">
        <f t="shared" si="34"/>
        <v>2.09</v>
      </c>
      <c r="X132" s="134">
        <f t="shared" si="34"/>
        <v>2.09</v>
      </c>
      <c r="Y132" s="134">
        <f t="shared" si="34"/>
        <v>2.09</v>
      </c>
      <c r="Z132" s="134">
        <f t="shared" si="34"/>
        <v>2.09</v>
      </c>
      <c r="AA132" s="134">
        <f t="shared" si="34"/>
        <v>2.09</v>
      </c>
      <c r="AB132" s="134">
        <f t="shared" si="34"/>
        <v>2.09</v>
      </c>
      <c r="AC132" s="134">
        <f t="shared" si="34"/>
        <v>2.09</v>
      </c>
      <c r="AD132" s="134">
        <f t="shared" si="34"/>
        <v>2.09</v>
      </c>
      <c r="AE132" s="134">
        <f t="shared" si="34"/>
        <v>2.09</v>
      </c>
      <c r="AF132" s="134">
        <f t="shared" si="34"/>
        <v>2.09</v>
      </c>
      <c r="AG132" s="136">
        <v>4.9800000000000004</v>
      </c>
      <c r="AH132" s="55"/>
      <c r="AI132" s="56"/>
      <c r="AK132" s="57"/>
    </row>
    <row r="133" spans="1:37" x14ac:dyDescent="0.25">
      <c r="A133" s="121" t="s">
        <v>137</v>
      </c>
      <c r="B133" s="133">
        <v>1.1399999999999999</v>
      </c>
      <c r="C133" s="134">
        <f t="shared" si="33"/>
        <v>1.1399999999999999</v>
      </c>
      <c r="D133" s="134">
        <f t="shared" si="33"/>
        <v>1.1399999999999999</v>
      </c>
      <c r="E133" s="134">
        <f t="shared" si="33"/>
        <v>1.1399999999999999</v>
      </c>
      <c r="F133" s="134">
        <f t="shared" si="33"/>
        <v>1.1399999999999999</v>
      </c>
      <c r="G133" s="134">
        <f t="shared" si="33"/>
        <v>1.1399999999999999</v>
      </c>
      <c r="H133" s="134">
        <f t="shared" si="33"/>
        <v>1.1399999999999999</v>
      </c>
      <c r="I133" s="134">
        <f t="shared" si="33"/>
        <v>1.1399999999999999</v>
      </c>
      <c r="J133" s="134">
        <f t="shared" si="33"/>
        <v>1.1399999999999999</v>
      </c>
      <c r="K133" s="134">
        <f t="shared" si="33"/>
        <v>1.1399999999999999</v>
      </c>
      <c r="L133" s="134">
        <f t="shared" si="33"/>
        <v>1.1399999999999999</v>
      </c>
      <c r="M133" s="134">
        <f t="shared" si="33"/>
        <v>1.1399999999999999</v>
      </c>
      <c r="N133" s="134">
        <f t="shared" si="33"/>
        <v>1.1399999999999999</v>
      </c>
      <c r="O133" s="134">
        <f t="shared" si="33"/>
        <v>1.1399999999999999</v>
      </c>
      <c r="P133" s="134">
        <f t="shared" si="33"/>
        <v>1.1399999999999999</v>
      </c>
      <c r="Q133" s="134">
        <f t="shared" si="33"/>
        <v>1.1399999999999999</v>
      </c>
      <c r="R133" s="134">
        <f t="shared" si="33"/>
        <v>1.1399999999999999</v>
      </c>
      <c r="S133" s="134">
        <f t="shared" si="34"/>
        <v>1.1399999999999999</v>
      </c>
      <c r="T133" s="134">
        <f t="shared" si="34"/>
        <v>1.1399999999999999</v>
      </c>
      <c r="U133" s="134">
        <f t="shared" si="34"/>
        <v>1.1399999999999999</v>
      </c>
      <c r="V133" s="134">
        <f t="shared" si="34"/>
        <v>1.1399999999999999</v>
      </c>
      <c r="W133" s="134">
        <f t="shared" si="34"/>
        <v>1.1399999999999999</v>
      </c>
      <c r="X133" s="134">
        <f t="shared" si="34"/>
        <v>1.1399999999999999</v>
      </c>
      <c r="Y133" s="134">
        <f t="shared" si="34"/>
        <v>1.1399999999999999</v>
      </c>
      <c r="Z133" s="134">
        <f t="shared" si="34"/>
        <v>1.1399999999999999</v>
      </c>
      <c r="AA133" s="134">
        <f t="shared" si="34"/>
        <v>1.1399999999999999</v>
      </c>
      <c r="AB133" s="134">
        <f t="shared" si="34"/>
        <v>1.1399999999999999</v>
      </c>
      <c r="AC133" s="134">
        <f t="shared" si="34"/>
        <v>1.1399999999999999</v>
      </c>
      <c r="AD133" s="134">
        <f t="shared" si="34"/>
        <v>1.1399999999999999</v>
      </c>
      <c r="AE133" s="134">
        <f t="shared" si="34"/>
        <v>1.1399999999999999</v>
      </c>
      <c r="AF133" s="134">
        <f t="shared" si="34"/>
        <v>1.1399999999999999</v>
      </c>
      <c r="AG133" s="136">
        <v>4.95</v>
      </c>
      <c r="AH133" s="55"/>
      <c r="AI133" s="56"/>
      <c r="AK133" s="57"/>
    </row>
    <row r="134" spans="1:37" x14ac:dyDescent="0.25">
      <c r="A134" s="121" t="s">
        <v>138</v>
      </c>
      <c r="B134" s="133">
        <v>0.82</v>
      </c>
      <c r="C134" s="134">
        <f t="shared" si="33"/>
        <v>0.82</v>
      </c>
      <c r="D134" s="134">
        <f t="shared" si="33"/>
        <v>0.82</v>
      </c>
      <c r="E134" s="134">
        <f t="shared" si="33"/>
        <v>0.82</v>
      </c>
      <c r="F134" s="134">
        <f t="shared" si="33"/>
        <v>0.82</v>
      </c>
      <c r="G134" s="134">
        <f t="shared" si="33"/>
        <v>0.82</v>
      </c>
      <c r="H134" s="134">
        <f t="shared" si="33"/>
        <v>0.82</v>
      </c>
      <c r="I134" s="134">
        <f t="shared" si="33"/>
        <v>0.82</v>
      </c>
      <c r="J134" s="134">
        <f t="shared" si="33"/>
        <v>0.82</v>
      </c>
      <c r="K134" s="134">
        <f t="shared" si="33"/>
        <v>0.82</v>
      </c>
      <c r="L134" s="134">
        <f t="shared" si="33"/>
        <v>0.82</v>
      </c>
      <c r="M134" s="134">
        <f t="shared" si="33"/>
        <v>0.82</v>
      </c>
      <c r="N134" s="134">
        <f t="shared" si="33"/>
        <v>0.82</v>
      </c>
      <c r="O134" s="134">
        <f t="shared" si="33"/>
        <v>0.82</v>
      </c>
      <c r="P134" s="134">
        <f t="shared" si="33"/>
        <v>0.82</v>
      </c>
      <c r="Q134" s="134">
        <f t="shared" si="33"/>
        <v>0.82</v>
      </c>
      <c r="R134" s="134">
        <f t="shared" si="33"/>
        <v>0.82</v>
      </c>
      <c r="S134" s="134">
        <f t="shared" si="34"/>
        <v>0.82</v>
      </c>
      <c r="T134" s="134">
        <f t="shared" si="34"/>
        <v>0.82</v>
      </c>
      <c r="U134" s="134">
        <f t="shared" si="34"/>
        <v>0.82</v>
      </c>
      <c r="V134" s="134">
        <f t="shared" si="34"/>
        <v>0.82</v>
      </c>
      <c r="W134" s="134">
        <f t="shared" si="34"/>
        <v>0.82</v>
      </c>
      <c r="X134" s="134">
        <f t="shared" si="34"/>
        <v>0.82</v>
      </c>
      <c r="Y134" s="134">
        <f t="shared" si="34"/>
        <v>0.82</v>
      </c>
      <c r="Z134" s="134">
        <f t="shared" si="34"/>
        <v>0.82</v>
      </c>
      <c r="AA134" s="134">
        <f t="shared" si="34"/>
        <v>0.82</v>
      </c>
      <c r="AB134" s="134">
        <f t="shared" si="34"/>
        <v>0.82</v>
      </c>
      <c r="AC134" s="134">
        <f t="shared" si="34"/>
        <v>0.82</v>
      </c>
      <c r="AD134" s="134">
        <f t="shared" si="34"/>
        <v>0.82</v>
      </c>
      <c r="AE134" s="134">
        <f t="shared" si="34"/>
        <v>0.82</v>
      </c>
      <c r="AF134" s="134">
        <f t="shared" si="34"/>
        <v>0.82</v>
      </c>
      <c r="AG134" s="136">
        <v>4.95</v>
      </c>
      <c r="AH134" s="55"/>
      <c r="AI134" s="56"/>
      <c r="AK134" s="57"/>
    </row>
    <row r="135" spans="1:37" x14ac:dyDescent="0.25">
      <c r="A135" s="121" t="s">
        <v>139</v>
      </c>
      <c r="B135" s="133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6">
        <v>4.8</v>
      </c>
      <c r="AH135" s="55"/>
      <c r="AI135" s="56"/>
      <c r="AK135" s="57"/>
    </row>
    <row r="136" spans="1:37" x14ac:dyDescent="0.25">
      <c r="A136" s="121" t="s">
        <v>140</v>
      </c>
      <c r="B136" s="133">
        <v>2</v>
      </c>
      <c r="C136" s="134">
        <f t="shared" ref="C136:R142" si="35">B136</f>
        <v>2</v>
      </c>
      <c r="D136" s="134">
        <f t="shared" si="35"/>
        <v>2</v>
      </c>
      <c r="E136" s="134">
        <f t="shared" si="35"/>
        <v>2</v>
      </c>
      <c r="F136" s="134">
        <f t="shared" si="35"/>
        <v>2</v>
      </c>
      <c r="G136" s="134">
        <f t="shared" si="35"/>
        <v>2</v>
      </c>
      <c r="H136" s="134">
        <f t="shared" si="35"/>
        <v>2</v>
      </c>
      <c r="I136" s="134">
        <f t="shared" si="35"/>
        <v>2</v>
      </c>
      <c r="J136" s="134">
        <f t="shared" si="35"/>
        <v>2</v>
      </c>
      <c r="K136" s="134">
        <f t="shared" si="35"/>
        <v>2</v>
      </c>
      <c r="L136" s="134">
        <f t="shared" si="35"/>
        <v>2</v>
      </c>
      <c r="M136" s="134">
        <f t="shared" si="35"/>
        <v>2</v>
      </c>
      <c r="N136" s="134">
        <f t="shared" si="35"/>
        <v>2</v>
      </c>
      <c r="O136" s="134">
        <f t="shared" si="35"/>
        <v>2</v>
      </c>
      <c r="P136" s="134">
        <f t="shared" si="35"/>
        <v>2</v>
      </c>
      <c r="Q136" s="134">
        <f t="shared" si="35"/>
        <v>2</v>
      </c>
      <c r="R136" s="134">
        <f t="shared" si="35"/>
        <v>2</v>
      </c>
      <c r="S136" s="134">
        <f t="shared" ref="S136:AF142" si="36">R136</f>
        <v>2</v>
      </c>
      <c r="T136" s="134">
        <f t="shared" si="36"/>
        <v>2</v>
      </c>
      <c r="U136" s="134">
        <f t="shared" si="36"/>
        <v>2</v>
      </c>
      <c r="V136" s="134">
        <f t="shared" si="36"/>
        <v>2</v>
      </c>
      <c r="W136" s="134">
        <f t="shared" si="36"/>
        <v>2</v>
      </c>
      <c r="X136" s="134">
        <f t="shared" si="36"/>
        <v>2</v>
      </c>
      <c r="Y136" s="134">
        <f t="shared" si="36"/>
        <v>2</v>
      </c>
      <c r="Z136" s="134">
        <f t="shared" si="36"/>
        <v>2</v>
      </c>
      <c r="AA136" s="134">
        <f t="shared" si="36"/>
        <v>2</v>
      </c>
      <c r="AB136" s="134">
        <f t="shared" si="36"/>
        <v>2</v>
      </c>
      <c r="AC136" s="134">
        <f t="shared" si="36"/>
        <v>2</v>
      </c>
      <c r="AD136" s="134">
        <f t="shared" si="36"/>
        <v>2</v>
      </c>
      <c r="AE136" s="134">
        <f t="shared" si="36"/>
        <v>2</v>
      </c>
      <c r="AF136" s="134">
        <f t="shared" si="36"/>
        <v>2</v>
      </c>
      <c r="AG136" s="136">
        <v>4.8</v>
      </c>
      <c r="AH136" s="55"/>
      <c r="AI136" s="56"/>
      <c r="AK136" s="57"/>
    </row>
    <row r="137" spans="1:37" x14ac:dyDescent="0.25">
      <c r="A137" s="121" t="s">
        <v>141</v>
      </c>
      <c r="B137" s="133">
        <v>5.61</v>
      </c>
      <c r="C137" s="134">
        <f t="shared" si="35"/>
        <v>5.61</v>
      </c>
      <c r="D137" s="134">
        <f t="shared" si="35"/>
        <v>5.61</v>
      </c>
      <c r="E137" s="134">
        <f t="shared" si="35"/>
        <v>5.61</v>
      </c>
      <c r="F137" s="134">
        <f t="shared" si="35"/>
        <v>5.61</v>
      </c>
      <c r="G137" s="134">
        <f t="shared" si="35"/>
        <v>5.61</v>
      </c>
      <c r="H137" s="134">
        <f t="shared" si="35"/>
        <v>5.61</v>
      </c>
      <c r="I137" s="134">
        <f t="shared" si="35"/>
        <v>5.61</v>
      </c>
      <c r="J137" s="134">
        <f t="shared" si="35"/>
        <v>5.61</v>
      </c>
      <c r="K137" s="134">
        <f t="shared" si="35"/>
        <v>5.61</v>
      </c>
      <c r="L137" s="134">
        <f t="shared" si="35"/>
        <v>5.61</v>
      </c>
      <c r="M137" s="134">
        <f t="shared" si="35"/>
        <v>5.61</v>
      </c>
      <c r="N137" s="134">
        <f t="shared" si="35"/>
        <v>5.61</v>
      </c>
      <c r="O137" s="134">
        <f t="shared" si="35"/>
        <v>5.61</v>
      </c>
      <c r="P137" s="134">
        <f t="shared" si="35"/>
        <v>5.61</v>
      </c>
      <c r="Q137" s="134">
        <f t="shared" si="35"/>
        <v>5.61</v>
      </c>
      <c r="R137" s="134">
        <f t="shared" si="35"/>
        <v>5.61</v>
      </c>
      <c r="S137" s="134">
        <f t="shared" si="36"/>
        <v>5.61</v>
      </c>
      <c r="T137" s="134">
        <f t="shared" si="36"/>
        <v>5.61</v>
      </c>
      <c r="U137" s="134">
        <f t="shared" si="36"/>
        <v>5.61</v>
      </c>
      <c r="V137" s="134">
        <f t="shared" si="36"/>
        <v>5.61</v>
      </c>
      <c r="W137" s="134">
        <f t="shared" si="36"/>
        <v>5.61</v>
      </c>
      <c r="X137" s="134">
        <f t="shared" si="36"/>
        <v>5.61</v>
      </c>
      <c r="Y137" s="134">
        <f t="shared" si="36"/>
        <v>5.61</v>
      </c>
      <c r="Z137" s="134">
        <f t="shared" si="36"/>
        <v>5.61</v>
      </c>
      <c r="AA137" s="134">
        <f t="shared" si="36"/>
        <v>5.61</v>
      </c>
      <c r="AB137" s="134">
        <f t="shared" si="36"/>
        <v>5.61</v>
      </c>
      <c r="AC137" s="134">
        <f t="shared" si="36"/>
        <v>5.61</v>
      </c>
      <c r="AD137" s="134">
        <f t="shared" si="36"/>
        <v>5.61</v>
      </c>
      <c r="AE137" s="134">
        <f t="shared" si="36"/>
        <v>5.61</v>
      </c>
      <c r="AF137" s="134">
        <f t="shared" si="36"/>
        <v>5.61</v>
      </c>
      <c r="AG137" s="136">
        <v>4.8</v>
      </c>
      <c r="AH137" s="55"/>
      <c r="AI137" s="56"/>
      <c r="AK137" s="57"/>
    </row>
    <row r="138" spans="1:37" x14ac:dyDescent="0.25">
      <c r="A138" s="121" t="s">
        <v>142</v>
      </c>
      <c r="B138" s="133">
        <v>1.25</v>
      </c>
      <c r="C138" s="134">
        <f t="shared" si="35"/>
        <v>1.25</v>
      </c>
      <c r="D138" s="134">
        <f t="shared" si="35"/>
        <v>1.25</v>
      </c>
      <c r="E138" s="134">
        <f t="shared" si="35"/>
        <v>1.25</v>
      </c>
      <c r="F138" s="134">
        <f t="shared" si="35"/>
        <v>1.25</v>
      </c>
      <c r="G138" s="134">
        <f t="shared" si="35"/>
        <v>1.25</v>
      </c>
      <c r="H138" s="134">
        <f t="shared" si="35"/>
        <v>1.25</v>
      </c>
      <c r="I138" s="134">
        <f t="shared" si="35"/>
        <v>1.25</v>
      </c>
      <c r="J138" s="134">
        <f t="shared" si="35"/>
        <v>1.25</v>
      </c>
      <c r="K138" s="134">
        <f t="shared" si="35"/>
        <v>1.25</v>
      </c>
      <c r="L138" s="134">
        <f t="shared" si="35"/>
        <v>1.25</v>
      </c>
      <c r="M138" s="134">
        <f t="shared" si="35"/>
        <v>1.25</v>
      </c>
      <c r="N138" s="134">
        <f t="shared" si="35"/>
        <v>1.25</v>
      </c>
      <c r="O138" s="134">
        <f t="shared" si="35"/>
        <v>1.25</v>
      </c>
      <c r="P138" s="134">
        <f t="shared" si="35"/>
        <v>1.25</v>
      </c>
      <c r="Q138" s="134">
        <f t="shared" si="35"/>
        <v>1.25</v>
      </c>
      <c r="R138" s="134">
        <f t="shared" si="35"/>
        <v>1.25</v>
      </c>
      <c r="S138" s="134">
        <f t="shared" si="36"/>
        <v>1.25</v>
      </c>
      <c r="T138" s="134">
        <f t="shared" si="36"/>
        <v>1.25</v>
      </c>
      <c r="U138" s="134">
        <f t="shared" si="36"/>
        <v>1.25</v>
      </c>
      <c r="V138" s="134">
        <f t="shared" si="36"/>
        <v>1.25</v>
      </c>
      <c r="W138" s="134">
        <f t="shared" si="36"/>
        <v>1.25</v>
      </c>
      <c r="X138" s="134">
        <f t="shared" si="36"/>
        <v>1.25</v>
      </c>
      <c r="Y138" s="134">
        <f t="shared" si="36"/>
        <v>1.25</v>
      </c>
      <c r="Z138" s="134">
        <f t="shared" si="36"/>
        <v>1.25</v>
      </c>
      <c r="AA138" s="134">
        <f t="shared" si="36"/>
        <v>1.25</v>
      </c>
      <c r="AB138" s="134">
        <f t="shared" si="36"/>
        <v>1.25</v>
      </c>
      <c r="AC138" s="134">
        <f t="shared" si="36"/>
        <v>1.25</v>
      </c>
      <c r="AD138" s="134">
        <f t="shared" si="36"/>
        <v>1.25</v>
      </c>
      <c r="AE138" s="134">
        <f t="shared" si="36"/>
        <v>1.25</v>
      </c>
      <c r="AF138" s="134">
        <f t="shared" si="36"/>
        <v>1.25</v>
      </c>
      <c r="AG138" s="136">
        <v>4.5</v>
      </c>
      <c r="AH138" s="55"/>
      <c r="AI138" s="56"/>
      <c r="AK138" s="57"/>
    </row>
    <row r="139" spans="1:37" x14ac:dyDescent="0.25">
      <c r="A139" s="121" t="s">
        <v>143</v>
      </c>
      <c r="B139" s="133">
        <v>1.25</v>
      </c>
      <c r="C139" s="134">
        <f t="shared" si="35"/>
        <v>1.25</v>
      </c>
      <c r="D139" s="134">
        <f t="shared" si="35"/>
        <v>1.25</v>
      </c>
      <c r="E139" s="134">
        <f t="shared" si="35"/>
        <v>1.25</v>
      </c>
      <c r="F139" s="134">
        <f t="shared" si="35"/>
        <v>1.25</v>
      </c>
      <c r="G139" s="134">
        <f t="shared" si="35"/>
        <v>1.25</v>
      </c>
      <c r="H139" s="134">
        <f t="shared" si="35"/>
        <v>1.25</v>
      </c>
      <c r="I139" s="134">
        <f t="shared" si="35"/>
        <v>1.25</v>
      </c>
      <c r="J139" s="134">
        <f t="shared" si="35"/>
        <v>1.25</v>
      </c>
      <c r="K139" s="134">
        <f t="shared" si="35"/>
        <v>1.25</v>
      </c>
      <c r="L139" s="134">
        <f t="shared" si="35"/>
        <v>1.25</v>
      </c>
      <c r="M139" s="134">
        <f t="shared" si="35"/>
        <v>1.25</v>
      </c>
      <c r="N139" s="134">
        <f t="shared" si="35"/>
        <v>1.25</v>
      </c>
      <c r="O139" s="134">
        <f t="shared" si="35"/>
        <v>1.25</v>
      </c>
      <c r="P139" s="134">
        <f t="shared" si="35"/>
        <v>1.25</v>
      </c>
      <c r="Q139" s="134">
        <f t="shared" si="35"/>
        <v>1.25</v>
      </c>
      <c r="R139" s="134">
        <f t="shared" si="35"/>
        <v>1.25</v>
      </c>
      <c r="S139" s="134">
        <f t="shared" si="36"/>
        <v>1.25</v>
      </c>
      <c r="T139" s="134">
        <f t="shared" si="36"/>
        <v>1.25</v>
      </c>
      <c r="U139" s="134">
        <f t="shared" si="36"/>
        <v>1.25</v>
      </c>
      <c r="V139" s="134">
        <f t="shared" si="36"/>
        <v>1.25</v>
      </c>
      <c r="W139" s="134">
        <f t="shared" si="36"/>
        <v>1.25</v>
      </c>
      <c r="X139" s="134">
        <f t="shared" si="36"/>
        <v>1.25</v>
      </c>
      <c r="Y139" s="134">
        <f t="shared" si="36"/>
        <v>1.25</v>
      </c>
      <c r="Z139" s="134">
        <f t="shared" si="36"/>
        <v>1.25</v>
      </c>
      <c r="AA139" s="134">
        <f t="shared" si="36"/>
        <v>1.25</v>
      </c>
      <c r="AB139" s="134">
        <f t="shared" si="36"/>
        <v>1.25</v>
      </c>
      <c r="AC139" s="134">
        <f t="shared" si="36"/>
        <v>1.25</v>
      </c>
      <c r="AD139" s="134">
        <f t="shared" si="36"/>
        <v>1.25</v>
      </c>
      <c r="AE139" s="134">
        <f t="shared" si="36"/>
        <v>1.25</v>
      </c>
      <c r="AF139" s="134">
        <f t="shared" si="36"/>
        <v>1.25</v>
      </c>
      <c r="AG139" s="136">
        <v>4.5</v>
      </c>
      <c r="AH139" s="55"/>
      <c r="AI139" s="56"/>
      <c r="AK139" s="57"/>
    </row>
    <row r="140" spans="1:37" x14ac:dyDescent="0.25">
      <c r="A140" s="121" t="s">
        <v>144</v>
      </c>
      <c r="B140" s="133">
        <v>1.46</v>
      </c>
      <c r="C140" s="134">
        <f t="shared" si="35"/>
        <v>1.46</v>
      </c>
      <c r="D140" s="134">
        <f t="shared" si="35"/>
        <v>1.46</v>
      </c>
      <c r="E140" s="134">
        <f t="shared" si="35"/>
        <v>1.46</v>
      </c>
      <c r="F140" s="134">
        <f t="shared" si="35"/>
        <v>1.46</v>
      </c>
      <c r="G140" s="134">
        <f t="shared" si="35"/>
        <v>1.46</v>
      </c>
      <c r="H140" s="134">
        <f t="shared" si="35"/>
        <v>1.46</v>
      </c>
      <c r="I140" s="134">
        <f t="shared" si="35"/>
        <v>1.46</v>
      </c>
      <c r="J140" s="134">
        <f t="shared" si="35"/>
        <v>1.46</v>
      </c>
      <c r="K140" s="134">
        <f t="shared" si="35"/>
        <v>1.46</v>
      </c>
      <c r="L140" s="134">
        <f t="shared" si="35"/>
        <v>1.46</v>
      </c>
      <c r="M140" s="134">
        <f t="shared" si="35"/>
        <v>1.46</v>
      </c>
      <c r="N140" s="134">
        <f t="shared" si="35"/>
        <v>1.46</v>
      </c>
      <c r="O140" s="134">
        <f t="shared" si="35"/>
        <v>1.46</v>
      </c>
      <c r="P140" s="134">
        <f t="shared" si="35"/>
        <v>1.46</v>
      </c>
      <c r="Q140" s="134">
        <f t="shared" si="35"/>
        <v>1.46</v>
      </c>
      <c r="R140" s="134">
        <f t="shared" si="35"/>
        <v>1.46</v>
      </c>
      <c r="S140" s="134">
        <f t="shared" si="36"/>
        <v>1.46</v>
      </c>
      <c r="T140" s="134">
        <f t="shared" si="36"/>
        <v>1.46</v>
      </c>
      <c r="U140" s="134">
        <f t="shared" si="36"/>
        <v>1.46</v>
      </c>
      <c r="V140" s="134">
        <f t="shared" si="36"/>
        <v>1.46</v>
      </c>
      <c r="W140" s="134">
        <f t="shared" si="36"/>
        <v>1.46</v>
      </c>
      <c r="X140" s="134">
        <f t="shared" si="36"/>
        <v>1.46</v>
      </c>
      <c r="Y140" s="134">
        <f t="shared" si="36"/>
        <v>1.46</v>
      </c>
      <c r="Z140" s="134">
        <f t="shared" si="36"/>
        <v>1.46</v>
      </c>
      <c r="AA140" s="134">
        <f t="shared" si="36"/>
        <v>1.46</v>
      </c>
      <c r="AB140" s="134">
        <f t="shared" si="36"/>
        <v>1.46</v>
      </c>
      <c r="AC140" s="134">
        <f t="shared" si="36"/>
        <v>1.46</v>
      </c>
      <c r="AD140" s="134">
        <f t="shared" si="36"/>
        <v>1.46</v>
      </c>
      <c r="AE140" s="134">
        <f t="shared" si="36"/>
        <v>1.46</v>
      </c>
      <c r="AF140" s="134">
        <f t="shared" si="36"/>
        <v>1.46</v>
      </c>
      <c r="AG140" s="136">
        <v>4.4550000000000001</v>
      </c>
      <c r="AH140" s="55"/>
      <c r="AI140" s="56"/>
      <c r="AK140" s="57"/>
    </row>
    <row r="141" spans="1:37" x14ac:dyDescent="0.25">
      <c r="A141" s="121" t="s">
        <v>145</v>
      </c>
      <c r="B141" s="133">
        <v>3</v>
      </c>
      <c r="C141" s="134">
        <f t="shared" si="35"/>
        <v>3</v>
      </c>
      <c r="D141" s="134">
        <f t="shared" si="35"/>
        <v>3</v>
      </c>
      <c r="E141" s="134">
        <f t="shared" si="35"/>
        <v>3</v>
      </c>
      <c r="F141" s="134">
        <f t="shared" si="35"/>
        <v>3</v>
      </c>
      <c r="G141" s="134">
        <f t="shared" si="35"/>
        <v>3</v>
      </c>
      <c r="H141" s="134">
        <f t="shared" si="35"/>
        <v>3</v>
      </c>
      <c r="I141" s="134">
        <f t="shared" si="35"/>
        <v>3</v>
      </c>
      <c r="J141" s="134">
        <f t="shared" si="35"/>
        <v>3</v>
      </c>
      <c r="K141" s="134">
        <f t="shared" si="35"/>
        <v>3</v>
      </c>
      <c r="L141" s="134">
        <f t="shared" si="35"/>
        <v>3</v>
      </c>
      <c r="M141" s="134">
        <f t="shared" si="35"/>
        <v>3</v>
      </c>
      <c r="N141" s="134">
        <f t="shared" si="35"/>
        <v>3</v>
      </c>
      <c r="O141" s="134">
        <f t="shared" si="35"/>
        <v>3</v>
      </c>
      <c r="P141" s="134">
        <f t="shared" si="35"/>
        <v>3</v>
      </c>
      <c r="Q141" s="134">
        <f t="shared" si="35"/>
        <v>3</v>
      </c>
      <c r="R141" s="134">
        <f t="shared" si="35"/>
        <v>3</v>
      </c>
      <c r="S141" s="134">
        <f t="shared" si="36"/>
        <v>3</v>
      </c>
      <c r="T141" s="134">
        <f t="shared" si="36"/>
        <v>3</v>
      </c>
      <c r="U141" s="134">
        <f t="shared" si="36"/>
        <v>3</v>
      </c>
      <c r="V141" s="134">
        <f t="shared" si="36"/>
        <v>3</v>
      </c>
      <c r="W141" s="134">
        <f t="shared" si="36"/>
        <v>3</v>
      </c>
      <c r="X141" s="134">
        <f t="shared" si="36"/>
        <v>3</v>
      </c>
      <c r="Y141" s="134">
        <f t="shared" si="36"/>
        <v>3</v>
      </c>
      <c r="Z141" s="134">
        <f t="shared" si="36"/>
        <v>3</v>
      </c>
      <c r="AA141" s="134">
        <f t="shared" si="36"/>
        <v>3</v>
      </c>
      <c r="AB141" s="134">
        <f t="shared" si="36"/>
        <v>3</v>
      </c>
      <c r="AC141" s="134">
        <f t="shared" si="36"/>
        <v>3</v>
      </c>
      <c r="AD141" s="134">
        <f t="shared" si="36"/>
        <v>3</v>
      </c>
      <c r="AE141" s="134">
        <f t="shared" si="36"/>
        <v>3</v>
      </c>
      <c r="AF141" s="134">
        <f t="shared" si="36"/>
        <v>3</v>
      </c>
      <c r="AG141" s="136">
        <v>4.41</v>
      </c>
      <c r="AH141" s="55"/>
      <c r="AI141" s="56"/>
      <c r="AK141" s="57"/>
    </row>
    <row r="142" spans="1:37" x14ac:dyDescent="0.25">
      <c r="A142" s="121" t="s">
        <v>146</v>
      </c>
      <c r="B142" s="133">
        <v>3.3</v>
      </c>
      <c r="C142" s="134">
        <f t="shared" si="35"/>
        <v>3.3</v>
      </c>
      <c r="D142" s="134">
        <f t="shared" si="35"/>
        <v>3.3</v>
      </c>
      <c r="E142" s="134">
        <f t="shared" si="35"/>
        <v>3.3</v>
      </c>
      <c r="F142" s="134">
        <f t="shared" si="35"/>
        <v>3.3</v>
      </c>
      <c r="G142" s="134">
        <f t="shared" si="35"/>
        <v>3.3</v>
      </c>
      <c r="H142" s="134">
        <f t="shared" si="35"/>
        <v>3.3</v>
      </c>
      <c r="I142" s="134">
        <f t="shared" si="35"/>
        <v>3.3</v>
      </c>
      <c r="J142" s="134">
        <f t="shared" si="35"/>
        <v>3.3</v>
      </c>
      <c r="K142" s="134">
        <f t="shared" si="35"/>
        <v>3.3</v>
      </c>
      <c r="L142" s="134">
        <f t="shared" si="35"/>
        <v>3.3</v>
      </c>
      <c r="M142" s="134">
        <f t="shared" si="35"/>
        <v>3.3</v>
      </c>
      <c r="N142" s="134">
        <f t="shared" si="35"/>
        <v>3.3</v>
      </c>
      <c r="O142" s="134">
        <f t="shared" si="35"/>
        <v>3.3</v>
      </c>
      <c r="P142" s="134">
        <f t="shared" si="35"/>
        <v>3.3</v>
      </c>
      <c r="Q142" s="134">
        <f t="shared" si="35"/>
        <v>3.3</v>
      </c>
      <c r="R142" s="134">
        <f t="shared" si="35"/>
        <v>3.3</v>
      </c>
      <c r="S142" s="134">
        <f t="shared" si="36"/>
        <v>3.3</v>
      </c>
      <c r="T142" s="134">
        <f t="shared" si="36"/>
        <v>3.3</v>
      </c>
      <c r="U142" s="134">
        <f t="shared" si="36"/>
        <v>3.3</v>
      </c>
      <c r="V142" s="134">
        <f t="shared" si="36"/>
        <v>3.3</v>
      </c>
      <c r="W142" s="134">
        <f t="shared" si="36"/>
        <v>3.3</v>
      </c>
      <c r="X142" s="134">
        <f t="shared" si="36"/>
        <v>3.3</v>
      </c>
      <c r="Y142" s="134">
        <f t="shared" si="36"/>
        <v>3.3</v>
      </c>
      <c r="Z142" s="134">
        <f t="shared" si="36"/>
        <v>3.3</v>
      </c>
      <c r="AA142" s="134">
        <f t="shared" si="36"/>
        <v>3.3</v>
      </c>
      <c r="AB142" s="134">
        <f t="shared" si="36"/>
        <v>3.3</v>
      </c>
      <c r="AC142" s="134">
        <f t="shared" si="36"/>
        <v>3.3</v>
      </c>
      <c r="AD142" s="134">
        <f t="shared" si="36"/>
        <v>3.3</v>
      </c>
      <c r="AE142" s="134">
        <f t="shared" si="36"/>
        <v>3.3</v>
      </c>
      <c r="AF142" s="134">
        <f t="shared" si="36"/>
        <v>3.3</v>
      </c>
      <c r="AG142" s="136">
        <v>4.4000000000000004</v>
      </c>
      <c r="AH142" s="55"/>
      <c r="AI142" s="56"/>
      <c r="AK142" s="57"/>
    </row>
    <row r="143" spans="1:37" x14ac:dyDescent="0.25">
      <c r="A143" s="121" t="s">
        <v>147</v>
      </c>
      <c r="B143" s="133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6">
        <v>4.3600000000000003</v>
      </c>
      <c r="AH143" s="55"/>
      <c r="AI143" s="56"/>
      <c r="AK143" s="57"/>
    </row>
    <row r="144" spans="1:37" x14ac:dyDescent="0.25">
      <c r="A144" s="121" t="s">
        <v>148</v>
      </c>
      <c r="B144" s="133">
        <v>1.76</v>
      </c>
      <c r="C144" s="134">
        <f t="shared" ref="C144:R145" si="37">B144</f>
        <v>1.76</v>
      </c>
      <c r="D144" s="134">
        <f t="shared" si="37"/>
        <v>1.76</v>
      </c>
      <c r="E144" s="134">
        <f t="shared" si="37"/>
        <v>1.76</v>
      </c>
      <c r="F144" s="134">
        <f t="shared" si="37"/>
        <v>1.76</v>
      </c>
      <c r="G144" s="134">
        <f t="shared" si="37"/>
        <v>1.76</v>
      </c>
      <c r="H144" s="134">
        <f t="shared" si="37"/>
        <v>1.76</v>
      </c>
      <c r="I144" s="134">
        <f t="shared" si="37"/>
        <v>1.76</v>
      </c>
      <c r="J144" s="134">
        <f t="shared" si="37"/>
        <v>1.76</v>
      </c>
      <c r="K144" s="134">
        <f t="shared" si="37"/>
        <v>1.76</v>
      </c>
      <c r="L144" s="134">
        <f t="shared" si="37"/>
        <v>1.76</v>
      </c>
      <c r="M144" s="134">
        <f t="shared" si="37"/>
        <v>1.76</v>
      </c>
      <c r="N144" s="134">
        <f t="shared" si="37"/>
        <v>1.76</v>
      </c>
      <c r="O144" s="134">
        <f t="shared" si="37"/>
        <v>1.76</v>
      </c>
      <c r="P144" s="134">
        <f t="shared" si="37"/>
        <v>1.76</v>
      </c>
      <c r="Q144" s="134">
        <f t="shared" si="37"/>
        <v>1.76</v>
      </c>
      <c r="R144" s="134">
        <f t="shared" si="37"/>
        <v>1.76</v>
      </c>
      <c r="S144" s="134">
        <f t="shared" ref="S144:AF145" si="38">R144</f>
        <v>1.76</v>
      </c>
      <c r="T144" s="134">
        <f t="shared" si="38"/>
        <v>1.76</v>
      </c>
      <c r="U144" s="134">
        <f t="shared" si="38"/>
        <v>1.76</v>
      </c>
      <c r="V144" s="134">
        <f t="shared" si="38"/>
        <v>1.76</v>
      </c>
      <c r="W144" s="134">
        <f t="shared" si="38"/>
        <v>1.76</v>
      </c>
      <c r="X144" s="134">
        <f t="shared" si="38"/>
        <v>1.76</v>
      </c>
      <c r="Y144" s="134">
        <f t="shared" si="38"/>
        <v>1.76</v>
      </c>
      <c r="Z144" s="134">
        <f t="shared" si="38"/>
        <v>1.76</v>
      </c>
      <c r="AA144" s="134">
        <f t="shared" si="38"/>
        <v>1.76</v>
      </c>
      <c r="AB144" s="134">
        <f t="shared" si="38"/>
        <v>1.76</v>
      </c>
      <c r="AC144" s="134">
        <f t="shared" si="38"/>
        <v>1.76</v>
      </c>
      <c r="AD144" s="134">
        <f t="shared" si="38"/>
        <v>1.76</v>
      </c>
      <c r="AE144" s="134">
        <f t="shared" si="38"/>
        <v>1.76</v>
      </c>
      <c r="AF144" s="134">
        <f t="shared" si="38"/>
        <v>1.76</v>
      </c>
      <c r="AG144" s="136">
        <v>4.2</v>
      </c>
      <c r="AH144" s="55"/>
      <c r="AI144" s="56"/>
      <c r="AK144" s="57"/>
    </row>
    <row r="145" spans="1:37" x14ac:dyDescent="0.25">
      <c r="A145" s="121" t="s">
        <v>149</v>
      </c>
      <c r="B145" s="133">
        <v>0</v>
      </c>
      <c r="C145" s="134">
        <f t="shared" si="37"/>
        <v>0</v>
      </c>
      <c r="D145" s="134">
        <f t="shared" si="37"/>
        <v>0</v>
      </c>
      <c r="E145" s="134">
        <f t="shared" si="37"/>
        <v>0</v>
      </c>
      <c r="F145" s="134">
        <f t="shared" si="37"/>
        <v>0</v>
      </c>
      <c r="G145" s="134">
        <f t="shared" si="37"/>
        <v>0</v>
      </c>
      <c r="H145" s="134">
        <f t="shared" si="37"/>
        <v>0</v>
      </c>
      <c r="I145" s="134">
        <f t="shared" si="37"/>
        <v>0</v>
      </c>
      <c r="J145" s="134">
        <f t="shared" si="37"/>
        <v>0</v>
      </c>
      <c r="K145" s="134">
        <f t="shared" si="37"/>
        <v>0</v>
      </c>
      <c r="L145" s="134">
        <f t="shared" si="37"/>
        <v>0</v>
      </c>
      <c r="M145" s="134">
        <f t="shared" si="37"/>
        <v>0</v>
      </c>
      <c r="N145" s="134">
        <f t="shared" si="37"/>
        <v>0</v>
      </c>
      <c r="O145" s="134">
        <f t="shared" si="37"/>
        <v>0</v>
      </c>
      <c r="P145" s="134">
        <f t="shared" si="37"/>
        <v>0</v>
      </c>
      <c r="Q145" s="134">
        <f t="shared" si="37"/>
        <v>0</v>
      </c>
      <c r="R145" s="134">
        <f t="shared" si="37"/>
        <v>0</v>
      </c>
      <c r="S145" s="134">
        <f t="shared" si="38"/>
        <v>0</v>
      </c>
      <c r="T145" s="134">
        <f t="shared" si="38"/>
        <v>0</v>
      </c>
      <c r="U145" s="134">
        <f t="shared" si="38"/>
        <v>0</v>
      </c>
      <c r="V145" s="134">
        <f t="shared" si="38"/>
        <v>0</v>
      </c>
      <c r="W145" s="134">
        <f t="shared" si="38"/>
        <v>0</v>
      </c>
      <c r="X145" s="134">
        <f t="shared" si="38"/>
        <v>0</v>
      </c>
      <c r="Y145" s="134">
        <f t="shared" si="38"/>
        <v>0</v>
      </c>
      <c r="Z145" s="134">
        <f t="shared" si="38"/>
        <v>0</v>
      </c>
      <c r="AA145" s="134">
        <f t="shared" si="38"/>
        <v>0</v>
      </c>
      <c r="AB145" s="134">
        <f t="shared" si="38"/>
        <v>0</v>
      </c>
      <c r="AC145" s="134">
        <f t="shared" si="38"/>
        <v>0</v>
      </c>
      <c r="AD145" s="134">
        <f t="shared" si="38"/>
        <v>0</v>
      </c>
      <c r="AE145" s="134">
        <f t="shared" si="38"/>
        <v>0</v>
      </c>
      <c r="AF145" s="134">
        <f t="shared" si="38"/>
        <v>0</v>
      </c>
      <c r="AG145" s="136">
        <v>4</v>
      </c>
      <c r="AH145" s="55"/>
      <c r="AI145" s="56"/>
      <c r="AK145" s="57"/>
    </row>
    <row r="146" spans="1:37" x14ac:dyDescent="0.25">
      <c r="A146" s="121" t="s">
        <v>150</v>
      </c>
      <c r="B146" s="133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6">
        <v>4</v>
      </c>
      <c r="AH146" s="55"/>
      <c r="AI146" s="56"/>
      <c r="AK146" s="57"/>
    </row>
    <row r="147" spans="1:37" x14ac:dyDescent="0.25">
      <c r="A147" s="121" t="s">
        <v>151</v>
      </c>
      <c r="B147" s="133">
        <v>0.1</v>
      </c>
      <c r="C147" s="134">
        <f t="shared" ref="C147:R150" si="39">B147</f>
        <v>0.1</v>
      </c>
      <c r="D147" s="134">
        <f t="shared" si="39"/>
        <v>0.1</v>
      </c>
      <c r="E147" s="134">
        <f t="shared" si="39"/>
        <v>0.1</v>
      </c>
      <c r="F147" s="134">
        <f t="shared" si="39"/>
        <v>0.1</v>
      </c>
      <c r="G147" s="134">
        <f t="shared" si="39"/>
        <v>0.1</v>
      </c>
      <c r="H147" s="134">
        <f t="shared" si="39"/>
        <v>0.1</v>
      </c>
      <c r="I147" s="134">
        <f t="shared" si="39"/>
        <v>0.1</v>
      </c>
      <c r="J147" s="134">
        <f t="shared" si="39"/>
        <v>0.1</v>
      </c>
      <c r="K147" s="134">
        <f t="shared" si="39"/>
        <v>0.1</v>
      </c>
      <c r="L147" s="134">
        <f t="shared" si="39"/>
        <v>0.1</v>
      </c>
      <c r="M147" s="134">
        <f t="shared" si="39"/>
        <v>0.1</v>
      </c>
      <c r="N147" s="134">
        <f t="shared" si="39"/>
        <v>0.1</v>
      </c>
      <c r="O147" s="134">
        <f t="shared" si="39"/>
        <v>0.1</v>
      </c>
      <c r="P147" s="134">
        <f t="shared" si="39"/>
        <v>0.1</v>
      </c>
      <c r="Q147" s="134">
        <f t="shared" si="39"/>
        <v>0.1</v>
      </c>
      <c r="R147" s="134">
        <f t="shared" si="39"/>
        <v>0.1</v>
      </c>
      <c r="S147" s="134">
        <f t="shared" ref="S147:AF150" si="40">R147</f>
        <v>0.1</v>
      </c>
      <c r="T147" s="134">
        <f t="shared" si="40"/>
        <v>0.1</v>
      </c>
      <c r="U147" s="134">
        <f t="shared" si="40"/>
        <v>0.1</v>
      </c>
      <c r="V147" s="134">
        <f t="shared" si="40"/>
        <v>0.1</v>
      </c>
      <c r="W147" s="134">
        <f t="shared" si="40"/>
        <v>0.1</v>
      </c>
      <c r="X147" s="134">
        <f t="shared" si="40"/>
        <v>0.1</v>
      </c>
      <c r="Y147" s="134">
        <f t="shared" si="40"/>
        <v>0.1</v>
      </c>
      <c r="Z147" s="134">
        <f t="shared" si="40"/>
        <v>0.1</v>
      </c>
      <c r="AA147" s="134">
        <f t="shared" si="40"/>
        <v>0.1</v>
      </c>
      <c r="AB147" s="134">
        <f t="shared" si="40"/>
        <v>0.1</v>
      </c>
      <c r="AC147" s="134">
        <f t="shared" si="40"/>
        <v>0.1</v>
      </c>
      <c r="AD147" s="134">
        <f t="shared" si="40"/>
        <v>0.1</v>
      </c>
      <c r="AE147" s="134">
        <f t="shared" si="40"/>
        <v>0.1</v>
      </c>
      <c r="AF147" s="134">
        <f t="shared" si="40"/>
        <v>0.1</v>
      </c>
      <c r="AG147" s="136">
        <v>4</v>
      </c>
      <c r="AH147" s="55"/>
      <c r="AI147" s="56"/>
      <c r="AK147" s="57"/>
    </row>
    <row r="148" spans="1:37" x14ac:dyDescent="0.25">
      <c r="A148" s="121" t="s">
        <v>152</v>
      </c>
      <c r="B148" s="133">
        <v>2.0499999999999998</v>
      </c>
      <c r="C148" s="134">
        <f t="shared" si="39"/>
        <v>2.0499999999999998</v>
      </c>
      <c r="D148" s="134">
        <f t="shared" si="39"/>
        <v>2.0499999999999998</v>
      </c>
      <c r="E148" s="134">
        <f t="shared" si="39"/>
        <v>2.0499999999999998</v>
      </c>
      <c r="F148" s="134">
        <f t="shared" si="39"/>
        <v>2.0499999999999998</v>
      </c>
      <c r="G148" s="134">
        <f t="shared" si="39"/>
        <v>2.0499999999999998</v>
      </c>
      <c r="H148" s="134">
        <f t="shared" si="39"/>
        <v>2.0499999999999998</v>
      </c>
      <c r="I148" s="134">
        <f t="shared" si="39"/>
        <v>2.0499999999999998</v>
      </c>
      <c r="J148" s="134">
        <f t="shared" si="39"/>
        <v>2.0499999999999998</v>
      </c>
      <c r="K148" s="134">
        <f t="shared" si="39"/>
        <v>2.0499999999999998</v>
      </c>
      <c r="L148" s="134">
        <f t="shared" si="39"/>
        <v>2.0499999999999998</v>
      </c>
      <c r="M148" s="134">
        <f t="shared" si="39"/>
        <v>2.0499999999999998</v>
      </c>
      <c r="N148" s="134">
        <f t="shared" si="39"/>
        <v>2.0499999999999998</v>
      </c>
      <c r="O148" s="134">
        <f t="shared" si="39"/>
        <v>2.0499999999999998</v>
      </c>
      <c r="P148" s="134">
        <f t="shared" si="39"/>
        <v>2.0499999999999998</v>
      </c>
      <c r="Q148" s="134">
        <f t="shared" si="39"/>
        <v>2.0499999999999998</v>
      </c>
      <c r="R148" s="134">
        <f t="shared" si="39"/>
        <v>2.0499999999999998</v>
      </c>
      <c r="S148" s="134">
        <f t="shared" si="40"/>
        <v>2.0499999999999998</v>
      </c>
      <c r="T148" s="134">
        <f t="shared" si="40"/>
        <v>2.0499999999999998</v>
      </c>
      <c r="U148" s="134">
        <f t="shared" si="40"/>
        <v>2.0499999999999998</v>
      </c>
      <c r="V148" s="134">
        <f t="shared" si="40"/>
        <v>2.0499999999999998</v>
      </c>
      <c r="W148" s="134">
        <f t="shared" si="40"/>
        <v>2.0499999999999998</v>
      </c>
      <c r="X148" s="134">
        <f t="shared" si="40"/>
        <v>2.0499999999999998</v>
      </c>
      <c r="Y148" s="134">
        <f t="shared" si="40"/>
        <v>2.0499999999999998</v>
      </c>
      <c r="Z148" s="134">
        <f t="shared" si="40"/>
        <v>2.0499999999999998</v>
      </c>
      <c r="AA148" s="134">
        <f t="shared" si="40"/>
        <v>2.0499999999999998</v>
      </c>
      <c r="AB148" s="134">
        <f t="shared" si="40"/>
        <v>2.0499999999999998</v>
      </c>
      <c r="AC148" s="134">
        <f t="shared" si="40"/>
        <v>2.0499999999999998</v>
      </c>
      <c r="AD148" s="134">
        <f t="shared" si="40"/>
        <v>2.0499999999999998</v>
      </c>
      <c r="AE148" s="134">
        <f t="shared" si="40"/>
        <v>2.0499999999999998</v>
      </c>
      <c r="AF148" s="134">
        <f t="shared" si="40"/>
        <v>2.0499999999999998</v>
      </c>
      <c r="AG148" s="136">
        <v>4</v>
      </c>
      <c r="AH148" s="55"/>
      <c r="AI148" s="56"/>
      <c r="AK148" s="57"/>
    </row>
    <row r="149" spans="1:37" x14ac:dyDescent="0.25">
      <c r="A149" s="121" t="s">
        <v>153</v>
      </c>
      <c r="B149" s="133">
        <v>2.7</v>
      </c>
      <c r="C149" s="134">
        <f t="shared" si="39"/>
        <v>2.7</v>
      </c>
      <c r="D149" s="134">
        <f t="shared" si="39"/>
        <v>2.7</v>
      </c>
      <c r="E149" s="134">
        <f t="shared" si="39"/>
        <v>2.7</v>
      </c>
      <c r="F149" s="134">
        <f t="shared" si="39"/>
        <v>2.7</v>
      </c>
      <c r="G149" s="134">
        <f t="shared" si="39"/>
        <v>2.7</v>
      </c>
      <c r="H149" s="134">
        <f t="shared" si="39"/>
        <v>2.7</v>
      </c>
      <c r="I149" s="134">
        <f t="shared" si="39"/>
        <v>2.7</v>
      </c>
      <c r="J149" s="134">
        <f t="shared" si="39"/>
        <v>2.7</v>
      </c>
      <c r="K149" s="134">
        <f t="shared" si="39"/>
        <v>2.7</v>
      </c>
      <c r="L149" s="134">
        <f t="shared" si="39"/>
        <v>2.7</v>
      </c>
      <c r="M149" s="134">
        <f t="shared" si="39"/>
        <v>2.7</v>
      </c>
      <c r="N149" s="134">
        <f t="shared" si="39"/>
        <v>2.7</v>
      </c>
      <c r="O149" s="134">
        <f t="shared" si="39"/>
        <v>2.7</v>
      </c>
      <c r="P149" s="134">
        <f t="shared" si="39"/>
        <v>2.7</v>
      </c>
      <c r="Q149" s="134">
        <f t="shared" si="39"/>
        <v>2.7</v>
      </c>
      <c r="R149" s="134">
        <f t="shared" si="39"/>
        <v>2.7</v>
      </c>
      <c r="S149" s="134">
        <f t="shared" si="40"/>
        <v>2.7</v>
      </c>
      <c r="T149" s="134">
        <f t="shared" si="40"/>
        <v>2.7</v>
      </c>
      <c r="U149" s="134">
        <f t="shared" si="40"/>
        <v>2.7</v>
      </c>
      <c r="V149" s="134">
        <f t="shared" si="40"/>
        <v>2.7</v>
      </c>
      <c r="W149" s="134">
        <f t="shared" si="40"/>
        <v>2.7</v>
      </c>
      <c r="X149" s="134">
        <f t="shared" si="40"/>
        <v>2.7</v>
      </c>
      <c r="Y149" s="134">
        <f t="shared" si="40"/>
        <v>2.7</v>
      </c>
      <c r="Z149" s="134">
        <f t="shared" si="40"/>
        <v>2.7</v>
      </c>
      <c r="AA149" s="134">
        <f t="shared" si="40"/>
        <v>2.7</v>
      </c>
      <c r="AB149" s="134">
        <f t="shared" si="40"/>
        <v>2.7</v>
      </c>
      <c r="AC149" s="134">
        <f t="shared" si="40"/>
        <v>2.7</v>
      </c>
      <c r="AD149" s="134">
        <f t="shared" si="40"/>
        <v>2.7</v>
      </c>
      <c r="AE149" s="134">
        <f t="shared" si="40"/>
        <v>2.7</v>
      </c>
      <c r="AF149" s="134">
        <f t="shared" si="40"/>
        <v>2.7</v>
      </c>
      <c r="AG149" s="136">
        <v>4</v>
      </c>
      <c r="AH149" s="55"/>
      <c r="AI149" s="56"/>
      <c r="AK149" s="57"/>
    </row>
    <row r="150" spans="1:37" x14ac:dyDescent="0.25">
      <c r="A150" s="121" t="s">
        <v>154</v>
      </c>
      <c r="B150" s="133">
        <v>2.15</v>
      </c>
      <c r="C150" s="134">
        <f t="shared" si="39"/>
        <v>2.15</v>
      </c>
      <c r="D150" s="134">
        <f t="shared" si="39"/>
        <v>2.15</v>
      </c>
      <c r="E150" s="134">
        <f t="shared" si="39"/>
        <v>2.15</v>
      </c>
      <c r="F150" s="134">
        <f t="shared" si="39"/>
        <v>2.15</v>
      </c>
      <c r="G150" s="134">
        <f t="shared" si="39"/>
        <v>2.15</v>
      </c>
      <c r="H150" s="134">
        <f t="shared" si="39"/>
        <v>2.15</v>
      </c>
      <c r="I150" s="134">
        <f t="shared" si="39"/>
        <v>2.15</v>
      </c>
      <c r="J150" s="134">
        <f t="shared" si="39"/>
        <v>2.15</v>
      </c>
      <c r="K150" s="134">
        <f t="shared" si="39"/>
        <v>2.15</v>
      </c>
      <c r="L150" s="134">
        <f t="shared" si="39"/>
        <v>2.15</v>
      </c>
      <c r="M150" s="134">
        <f t="shared" si="39"/>
        <v>2.15</v>
      </c>
      <c r="N150" s="134">
        <f t="shared" si="39"/>
        <v>2.15</v>
      </c>
      <c r="O150" s="134">
        <f t="shared" si="39"/>
        <v>2.15</v>
      </c>
      <c r="P150" s="134">
        <f t="shared" si="39"/>
        <v>2.15</v>
      </c>
      <c r="Q150" s="134">
        <f t="shared" si="39"/>
        <v>2.15</v>
      </c>
      <c r="R150" s="134">
        <f t="shared" si="39"/>
        <v>2.15</v>
      </c>
      <c r="S150" s="134">
        <f t="shared" si="40"/>
        <v>2.15</v>
      </c>
      <c r="T150" s="134">
        <f t="shared" si="40"/>
        <v>2.15</v>
      </c>
      <c r="U150" s="134">
        <f t="shared" si="40"/>
        <v>2.15</v>
      </c>
      <c r="V150" s="134">
        <f t="shared" si="40"/>
        <v>2.15</v>
      </c>
      <c r="W150" s="134">
        <f t="shared" si="40"/>
        <v>2.15</v>
      </c>
      <c r="X150" s="134">
        <f t="shared" si="40"/>
        <v>2.15</v>
      </c>
      <c r="Y150" s="134">
        <f t="shared" si="40"/>
        <v>2.15</v>
      </c>
      <c r="Z150" s="134">
        <f t="shared" si="40"/>
        <v>2.15</v>
      </c>
      <c r="AA150" s="134">
        <f t="shared" si="40"/>
        <v>2.15</v>
      </c>
      <c r="AB150" s="134">
        <f t="shared" si="40"/>
        <v>2.15</v>
      </c>
      <c r="AC150" s="134">
        <f t="shared" si="40"/>
        <v>2.15</v>
      </c>
      <c r="AD150" s="134">
        <f t="shared" si="40"/>
        <v>2.15</v>
      </c>
      <c r="AE150" s="134">
        <f t="shared" si="40"/>
        <v>2.15</v>
      </c>
      <c r="AF150" s="134">
        <f t="shared" si="40"/>
        <v>2.15</v>
      </c>
      <c r="AG150" s="136">
        <v>4</v>
      </c>
      <c r="AH150" s="55"/>
      <c r="AI150" s="56"/>
      <c r="AK150" s="57"/>
    </row>
    <row r="151" spans="1:37" x14ac:dyDescent="0.25">
      <c r="A151" s="121" t="s">
        <v>155</v>
      </c>
      <c r="B151" s="133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6">
        <v>4</v>
      </c>
      <c r="AH151" s="55"/>
      <c r="AI151" s="56"/>
      <c r="AK151" s="57"/>
    </row>
    <row r="152" spans="1:37" x14ac:dyDescent="0.25">
      <c r="A152" s="121" t="s">
        <v>156</v>
      </c>
      <c r="B152" s="133">
        <v>0.9</v>
      </c>
      <c r="C152" s="134">
        <f t="shared" ref="C152:R164" si="41">B152</f>
        <v>0.9</v>
      </c>
      <c r="D152" s="134">
        <f t="shared" si="41"/>
        <v>0.9</v>
      </c>
      <c r="E152" s="134">
        <f t="shared" si="41"/>
        <v>0.9</v>
      </c>
      <c r="F152" s="134">
        <f t="shared" si="41"/>
        <v>0.9</v>
      </c>
      <c r="G152" s="134">
        <f t="shared" si="41"/>
        <v>0.9</v>
      </c>
      <c r="H152" s="134">
        <f t="shared" si="41"/>
        <v>0.9</v>
      </c>
      <c r="I152" s="134">
        <f t="shared" si="41"/>
        <v>0.9</v>
      </c>
      <c r="J152" s="134">
        <f t="shared" si="41"/>
        <v>0.9</v>
      </c>
      <c r="K152" s="134">
        <f t="shared" si="41"/>
        <v>0.9</v>
      </c>
      <c r="L152" s="134">
        <f t="shared" si="41"/>
        <v>0.9</v>
      </c>
      <c r="M152" s="134">
        <f t="shared" si="41"/>
        <v>0.9</v>
      </c>
      <c r="N152" s="134">
        <f t="shared" si="41"/>
        <v>0.9</v>
      </c>
      <c r="O152" s="134">
        <f t="shared" si="41"/>
        <v>0.9</v>
      </c>
      <c r="P152" s="134">
        <f t="shared" si="41"/>
        <v>0.9</v>
      </c>
      <c r="Q152" s="134">
        <f t="shared" si="41"/>
        <v>0.9</v>
      </c>
      <c r="R152" s="134">
        <f t="shared" si="41"/>
        <v>0.9</v>
      </c>
      <c r="S152" s="134">
        <f t="shared" ref="R152:AF164" si="42">R152</f>
        <v>0.9</v>
      </c>
      <c r="T152" s="134">
        <f t="shared" si="42"/>
        <v>0.9</v>
      </c>
      <c r="U152" s="134">
        <f t="shared" si="42"/>
        <v>0.9</v>
      </c>
      <c r="V152" s="134">
        <f t="shared" si="42"/>
        <v>0.9</v>
      </c>
      <c r="W152" s="134">
        <f t="shared" si="42"/>
        <v>0.9</v>
      </c>
      <c r="X152" s="134">
        <f t="shared" si="42"/>
        <v>0.9</v>
      </c>
      <c r="Y152" s="134">
        <f t="shared" si="42"/>
        <v>0.9</v>
      </c>
      <c r="Z152" s="134">
        <f t="shared" si="42"/>
        <v>0.9</v>
      </c>
      <c r="AA152" s="134">
        <f t="shared" si="42"/>
        <v>0.9</v>
      </c>
      <c r="AB152" s="134">
        <f t="shared" si="42"/>
        <v>0.9</v>
      </c>
      <c r="AC152" s="134">
        <f t="shared" si="42"/>
        <v>0.9</v>
      </c>
      <c r="AD152" s="134">
        <f t="shared" si="42"/>
        <v>0.9</v>
      </c>
      <c r="AE152" s="134">
        <f t="shared" si="42"/>
        <v>0.9</v>
      </c>
      <c r="AF152" s="134">
        <f t="shared" si="42"/>
        <v>0.9</v>
      </c>
      <c r="AG152" s="136">
        <v>4</v>
      </c>
      <c r="AH152" s="55"/>
      <c r="AI152" s="56"/>
      <c r="AK152" s="57"/>
    </row>
    <row r="153" spans="1:37" x14ac:dyDescent="0.25">
      <c r="A153" s="121" t="s">
        <v>157</v>
      </c>
      <c r="B153" s="133">
        <v>1.08</v>
      </c>
      <c r="C153" s="134">
        <f t="shared" si="41"/>
        <v>1.08</v>
      </c>
      <c r="D153" s="134">
        <f t="shared" si="41"/>
        <v>1.08</v>
      </c>
      <c r="E153" s="134">
        <f t="shared" si="41"/>
        <v>1.08</v>
      </c>
      <c r="F153" s="134">
        <f t="shared" si="41"/>
        <v>1.08</v>
      </c>
      <c r="G153" s="134">
        <f t="shared" si="41"/>
        <v>1.08</v>
      </c>
      <c r="H153" s="134">
        <f t="shared" si="41"/>
        <v>1.08</v>
      </c>
      <c r="I153" s="134">
        <f t="shared" si="41"/>
        <v>1.08</v>
      </c>
      <c r="J153" s="134">
        <f t="shared" si="41"/>
        <v>1.08</v>
      </c>
      <c r="K153" s="134">
        <f t="shared" si="41"/>
        <v>1.08</v>
      </c>
      <c r="L153" s="134">
        <f t="shared" si="41"/>
        <v>1.08</v>
      </c>
      <c r="M153" s="134">
        <f t="shared" si="41"/>
        <v>1.08</v>
      </c>
      <c r="N153" s="134">
        <f t="shared" si="41"/>
        <v>1.08</v>
      </c>
      <c r="O153" s="134">
        <f t="shared" si="41"/>
        <v>1.08</v>
      </c>
      <c r="P153" s="134">
        <f t="shared" si="41"/>
        <v>1.08</v>
      </c>
      <c r="Q153" s="134">
        <f t="shared" si="41"/>
        <v>1.08</v>
      </c>
      <c r="R153" s="134">
        <f t="shared" si="41"/>
        <v>1.08</v>
      </c>
      <c r="S153" s="134">
        <f t="shared" si="42"/>
        <v>1.08</v>
      </c>
      <c r="T153" s="134">
        <f t="shared" si="42"/>
        <v>1.08</v>
      </c>
      <c r="U153" s="134">
        <f t="shared" si="42"/>
        <v>1.08</v>
      </c>
      <c r="V153" s="134">
        <f t="shared" si="42"/>
        <v>1.08</v>
      </c>
      <c r="W153" s="134">
        <f t="shared" si="42"/>
        <v>1.08</v>
      </c>
      <c r="X153" s="134">
        <f t="shared" si="42"/>
        <v>1.08</v>
      </c>
      <c r="Y153" s="134">
        <f t="shared" si="42"/>
        <v>1.08</v>
      </c>
      <c r="Z153" s="134">
        <f t="shared" si="42"/>
        <v>1.08</v>
      </c>
      <c r="AA153" s="134">
        <f t="shared" si="42"/>
        <v>1.08</v>
      </c>
      <c r="AB153" s="134">
        <f t="shared" si="42"/>
        <v>1.08</v>
      </c>
      <c r="AC153" s="134">
        <f t="shared" si="42"/>
        <v>1.08</v>
      </c>
      <c r="AD153" s="134">
        <f t="shared" si="42"/>
        <v>1.08</v>
      </c>
      <c r="AE153" s="134">
        <f t="shared" si="42"/>
        <v>1.08</v>
      </c>
      <c r="AF153" s="134">
        <f t="shared" si="42"/>
        <v>1.08</v>
      </c>
      <c r="AG153" s="136">
        <v>3.75</v>
      </c>
      <c r="AH153" s="55"/>
      <c r="AI153" s="56"/>
      <c r="AK153" s="57"/>
    </row>
    <row r="154" spans="1:37" x14ac:dyDescent="0.25">
      <c r="A154" s="121" t="s">
        <v>158</v>
      </c>
      <c r="B154" s="133">
        <v>2.37</v>
      </c>
      <c r="C154" s="134">
        <f t="shared" si="41"/>
        <v>2.37</v>
      </c>
      <c r="D154" s="134">
        <f t="shared" si="41"/>
        <v>2.37</v>
      </c>
      <c r="E154" s="134">
        <f t="shared" si="41"/>
        <v>2.37</v>
      </c>
      <c r="F154" s="134">
        <f t="shared" si="41"/>
        <v>2.37</v>
      </c>
      <c r="G154" s="134">
        <f t="shared" si="41"/>
        <v>2.37</v>
      </c>
      <c r="H154" s="134">
        <f t="shared" si="41"/>
        <v>2.37</v>
      </c>
      <c r="I154" s="134">
        <f t="shared" si="41"/>
        <v>2.37</v>
      </c>
      <c r="J154" s="134">
        <f t="shared" si="41"/>
        <v>2.37</v>
      </c>
      <c r="K154" s="134">
        <f t="shared" si="41"/>
        <v>2.37</v>
      </c>
      <c r="L154" s="134">
        <f t="shared" si="41"/>
        <v>2.37</v>
      </c>
      <c r="M154" s="134">
        <f t="shared" si="41"/>
        <v>2.37</v>
      </c>
      <c r="N154" s="134">
        <f t="shared" si="41"/>
        <v>2.37</v>
      </c>
      <c r="O154" s="134">
        <f t="shared" si="41"/>
        <v>2.37</v>
      </c>
      <c r="P154" s="134">
        <f t="shared" si="41"/>
        <v>2.37</v>
      </c>
      <c r="Q154" s="134">
        <f t="shared" si="41"/>
        <v>2.37</v>
      </c>
      <c r="R154" s="134">
        <f t="shared" si="41"/>
        <v>2.37</v>
      </c>
      <c r="S154" s="134">
        <f t="shared" si="42"/>
        <v>2.37</v>
      </c>
      <c r="T154" s="134">
        <f t="shared" si="42"/>
        <v>2.37</v>
      </c>
      <c r="U154" s="134">
        <f t="shared" si="42"/>
        <v>2.37</v>
      </c>
      <c r="V154" s="134">
        <f t="shared" si="42"/>
        <v>2.37</v>
      </c>
      <c r="W154" s="134">
        <f t="shared" si="42"/>
        <v>2.37</v>
      </c>
      <c r="X154" s="134">
        <f t="shared" si="42"/>
        <v>2.37</v>
      </c>
      <c r="Y154" s="134">
        <f t="shared" si="42"/>
        <v>2.37</v>
      </c>
      <c r="Z154" s="134">
        <f t="shared" si="42"/>
        <v>2.37</v>
      </c>
      <c r="AA154" s="134">
        <f t="shared" si="42"/>
        <v>2.37</v>
      </c>
      <c r="AB154" s="134">
        <f t="shared" si="42"/>
        <v>2.37</v>
      </c>
      <c r="AC154" s="134">
        <f t="shared" si="42"/>
        <v>2.37</v>
      </c>
      <c r="AD154" s="134">
        <f t="shared" si="42"/>
        <v>2.37</v>
      </c>
      <c r="AE154" s="134">
        <f t="shared" si="42"/>
        <v>2.37</v>
      </c>
      <c r="AF154" s="134">
        <f t="shared" si="42"/>
        <v>2.37</v>
      </c>
      <c r="AG154" s="136">
        <v>3.52</v>
      </c>
      <c r="AH154" s="55"/>
      <c r="AI154" s="56"/>
      <c r="AK154" s="57"/>
    </row>
    <row r="155" spans="1:37" x14ac:dyDescent="0.25">
      <c r="A155" s="121" t="s">
        <v>159</v>
      </c>
      <c r="B155" s="133">
        <v>1.81</v>
      </c>
      <c r="C155" s="134">
        <f t="shared" si="41"/>
        <v>1.81</v>
      </c>
      <c r="D155" s="134">
        <f t="shared" si="41"/>
        <v>1.81</v>
      </c>
      <c r="E155" s="134">
        <f t="shared" si="41"/>
        <v>1.81</v>
      </c>
      <c r="F155" s="134">
        <f t="shared" si="41"/>
        <v>1.81</v>
      </c>
      <c r="G155" s="134">
        <f t="shared" si="41"/>
        <v>1.81</v>
      </c>
      <c r="H155" s="134">
        <f t="shared" si="41"/>
        <v>1.81</v>
      </c>
      <c r="I155" s="134">
        <f t="shared" si="41"/>
        <v>1.81</v>
      </c>
      <c r="J155" s="134">
        <f t="shared" si="41"/>
        <v>1.81</v>
      </c>
      <c r="K155" s="134">
        <f t="shared" si="41"/>
        <v>1.81</v>
      </c>
      <c r="L155" s="134">
        <f t="shared" si="41"/>
        <v>1.81</v>
      </c>
      <c r="M155" s="134">
        <f t="shared" si="41"/>
        <v>1.81</v>
      </c>
      <c r="N155" s="134">
        <f t="shared" si="41"/>
        <v>1.81</v>
      </c>
      <c r="O155" s="134">
        <f t="shared" si="41"/>
        <v>1.81</v>
      </c>
      <c r="P155" s="134">
        <f t="shared" si="41"/>
        <v>1.81</v>
      </c>
      <c r="Q155" s="134">
        <f t="shared" si="41"/>
        <v>1.81</v>
      </c>
      <c r="R155" s="134">
        <f t="shared" si="41"/>
        <v>1.81</v>
      </c>
      <c r="S155" s="134">
        <f t="shared" si="42"/>
        <v>1.81</v>
      </c>
      <c r="T155" s="134">
        <f t="shared" si="42"/>
        <v>1.81</v>
      </c>
      <c r="U155" s="134">
        <f t="shared" si="42"/>
        <v>1.81</v>
      </c>
      <c r="V155" s="134">
        <f t="shared" si="42"/>
        <v>1.81</v>
      </c>
      <c r="W155" s="134">
        <f t="shared" si="42"/>
        <v>1.81</v>
      </c>
      <c r="X155" s="134">
        <f t="shared" si="42"/>
        <v>1.81</v>
      </c>
      <c r="Y155" s="134">
        <f t="shared" si="42"/>
        <v>1.81</v>
      </c>
      <c r="Z155" s="134">
        <f t="shared" si="42"/>
        <v>1.81</v>
      </c>
      <c r="AA155" s="134">
        <f t="shared" si="42"/>
        <v>1.81</v>
      </c>
      <c r="AB155" s="134">
        <f t="shared" si="42"/>
        <v>1.81</v>
      </c>
      <c r="AC155" s="134">
        <f t="shared" si="42"/>
        <v>1.81</v>
      </c>
      <c r="AD155" s="134">
        <f t="shared" si="42"/>
        <v>1.81</v>
      </c>
      <c r="AE155" s="134">
        <f t="shared" si="42"/>
        <v>1.81</v>
      </c>
      <c r="AF155" s="134">
        <f t="shared" si="42"/>
        <v>1.81</v>
      </c>
      <c r="AG155" s="136">
        <v>3.33</v>
      </c>
      <c r="AH155" s="55"/>
      <c r="AI155" s="56"/>
      <c r="AK155" s="57"/>
    </row>
    <row r="156" spans="1:37" x14ac:dyDescent="0.25">
      <c r="A156" s="121" t="s">
        <v>160</v>
      </c>
      <c r="B156" s="133">
        <v>1.0900000000000001</v>
      </c>
      <c r="C156" s="134">
        <f t="shared" si="41"/>
        <v>1.0900000000000001</v>
      </c>
      <c r="D156" s="134">
        <f t="shared" si="41"/>
        <v>1.0900000000000001</v>
      </c>
      <c r="E156" s="134">
        <f t="shared" si="41"/>
        <v>1.0900000000000001</v>
      </c>
      <c r="F156" s="134">
        <f t="shared" si="41"/>
        <v>1.0900000000000001</v>
      </c>
      <c r="G156" s="134">
        <f t="shared" si="41"/>
        <v>1.0900000000000001</v>
      </c>
      <c r="H156" s="134">
        <f t="shared" si="41"/>
        <v>1.0900000000000001</v>
      </c>
      <c r="I156" s="134">
        <f t="shared" si="41"/>
        <v>1.0900000000000001</v>
      </c>
      <c r="J156" s="134">
        <f t="shared" si="41"/>
        <v>1.0900000000000001</v>
      </c>
      <c r="K156" s="134">
        <f t="shared" si="41"/>
        <v>1.0900000000000001</v>
      </c>
      <c r="L156" s="134">
        <f t="shared" si="41"/>
        <v>1.0900000000000001</v>
      </c>
      <c r="M156" s="134">
        <f t="shared" si="41"/>
        <v>1.0900000000000001</v>
      </c>
      <c r="N156" s="134">
        <f t="shared" si="41"/>
        <v>1.0900000000000001</v>
      </c>
      <c r="O156" s="134">
        <f t="shared" si="41"/>
        <v>1.0900000000000001</v>
      </c>
      <c r="P156" s="134">
        <f t="shared" si="41"/>
        <v>1.0900000000000001</v>
      </c>
      <c r="Q156" s="134">
        <f t="shared" si="41"/>
        <v>1.0900000000000001</v>
      </c>
      <c r="R156" s="134">
        <f t="shared" si="41"/>
        <v>1.0900000000000001</v>
      </c>
      <c r="S156" s="134">
        <f t="shared" si="42"/>
        <v>1.0900000000000001</v>
      </c>
      <c r="T156" s="134">
        <f t="shared" si="42"/>
        <v>1.0900000000000001</v>
      </c>
      <c r="U156" s="134">
        <f t="shared" si="42"/>
        <v>1.0900000000000001</v>
      </c>
      <c r="V156" s="134">
        <f t="shared" si="42"/>
        <v>1.0900000000000001</v>
      </c>
      <c r="W156" s="134">
        <f t="shared" si="42"/>
        <v>1.0900000000000001</v>
      </c>
      <c r="X156" s="134">
        <f t="shared" si="42"/>
        <v>1.0900000000000001</v>
      </c>
      <c r="Y156" s="134">
        <f t="shared" si="42"/>
        <v>1.0900000000000001</v>
      </c>
      <c r="Z156" s="134">
        <f t="shared" si="42"/>
        <v>1.0900000000000001</v>
      </c>
      <c r="AA156" s="134">
        <f t="shared" si="42"/>
        <v>1.0900000000000001</v>
      </c>
      <c r="AB156" s="134">
        <f t="shared" si="42"/>
        <v>1.0900000000000001</v>
      </c>
      <c r="AC156" s="134">
        <f t="shared" si="42"/>
        <v>1.0900000000000001</v>
      </c>
      <c r="AD156" s="134">
        <f t="shared" si="42"/>
        <v>1.0900000000000001</v>
      </c>
      <c r="AE156" s="134">
        <f t="shared" si="42"/>
        <v>1.0900000000000001</v>
      </c>
      <c r="AF156" s="134">
        <f t="shared" si="42"/>
        <v>1.0900000000000001</v>
      </c>
      <c r="AG156" s="136">
        <v>3.2</v>
      </c>
      <c r="AH156" s="55"/>
      <c r="AI156" s="56"/>
      <c r="AK156" s="57"/>
    </row>
    <row r="157" spans="1:37" x14ac:dyDescent="0.25">
      <c r="A157" s="121" t="s">
        <v>161</v>
      </c>
      <c r="B157" s="133">
        <v>1.58</v>
      </c>
      <c r="C157" s="134">
        <f t="shared" si="41"/>
        <v>1.58</v>
      </c>
      <c r="D157" s="134">
        <f t="shared" si="41"/>
        <v>1.58</v>
      </c>
      <c r="E157" s="134">
        <f t="shared" si="41"/>
        <v>1.58</v>
      </c>
      <c r="F157" s="134">
        <f t="shared" si="41"/>
        <v>1.58</v>
      </c>
      <c r="G157" s="134">
        <f t="shared" si="41"/>
        <v>1.58</v>
      </c>
      <c r="H157" s="134">
        <f t="shared" si="41"/>
        <v>1.58</v>
      </c>
      <c r="I157" s="134">
        <f t="shared" si="41"/>
        <v>1.58</v>
      </c>
      <c r="J157" s="134">
        <f t="shared" si="41"/>
        <v>1.58</v>
      </c>
      <c r="K157" s="134">
        <f t="shared" si="41"/>
        <v>1.58</v>
      </c>
      <c r="L157" s="134">
        <f t="shared" si="41"/>
        <v>1.58</v>
      </c>
      <c r="M157" s="134">
        <f t="shared" si="41"/>
        <v>1.58</v>
      </c>
      <c r="N157" s="134">
        <f t="shared" si="41"/>
        <v>1.58</v>
      </c>
      <c r="O157" s="134">
        <f t="shared" si="41"/>
        <v>1.58</v>
      </c>
      <c r="P157" s="134">
        <f t="shared" si="41"/>
        <v>1.58</v>
      </c>
      <c r="Q157" s="134">
        <f t="shared" si="41"/>
        <v>1.58</v>
      </c>
      <c r="R157" s="134">
        <f t="shared" si="41"/>
        <v>1.58</v>
      </c>
      <c r="S157" s="134">
        <f t="shared" si="42"/>
        <v>1.58</v>
      </c>
      <c r="T157" s="134">
        <f t="shared" si="42"/>
        <v>1.58</v>
      </c>
      <c r="U157" s="134">
        <f t="shared" si="42"/>
        <v>1.58</v>
      </c>
      <c r="V157" s="134">
        <f t="shared" si="42"/>
        <v>1.58</v>
      </c>
      <c r="W157" s="134">
        <f t="shared" si="42"/>
        <v>1.58</v>
      </c>
      <c r="X157" s="134">
        <f t="shared" si="42"/>
        <v>1.58</v>
      </c>
      <c r="Y157" s="134">
        <f t="shared" si="42"/>
        <v>1.58</v>
      </c>
      <c r="Z157" s="134">
        <f t="shared" si="42"/>
        <v>1.58</v>
      </c>
      <c r="AA157" s="134">
        <f t="shared" si="42"/>
        <v>1.58</v>
      </c>
      <c r="AB157" s="134">
        <f t="shared" si="42"/>
        <v>1.58</v>
      </c>
      <c r="AC157" s="134">
        <f t="shared" si="42"/>
        <v>1.58</v>
      </c>
      <c r="AD157" s="134">
        <f t="shared" si="42"/>
        <v>1.58</v>
      </c>
      <c r="AE157" s="134">
        <f t="shared" si="42"/>
        <v>1.58</v>
      </c>
      <c r="AF157" s="134">
        <f t="shared" si="42"/>
        <v>1.58</v>
      </c>
      <c r="AG157" s="136">
        <v>3</v>
      </c>
      <c r="AH157" s="55"/>
      <c r="AI157" s="56"/>
      <c r="AK157" s="57"/>
    </row>
    <row r="158" spans="1:37" x14ac:dyDescent="0.25">
      <c r="A158" s="121" t="s">
        <v>162</v>
      </c>
      <c r="B158" s="133">
        <v>2</v>
      </c>
      <c r="C158" s="134">
        <f t="shared" si="41"/>
        <v>2</v>
      </c>
      <c r="D158" s="134">
        <f t="shared" si="41"/>
        <v>2</v>
      </c>
      <c r="E158" s="134">
        <f t="shared" si="41"/>
        <v>2</v>
      </c>
      <c r="F158" s="134">
        <f t="shared" si="41"/>
        <v>2</v>
      </c>
      <c r="G158" s="134">
        <f t="shared" si="41"/>
        <v>2</v>
      </c>
      <c r="H158" s="134">
        <f t="shared" si="41"/>
        <v>2</v>
      </c>
      <c r="I158" s="134">
        <f t="shared" si="41"/>
        <v>2</v>
      </c>
      <c r="J158" s="134">
        <f t="shared" si="41"/>
        <v>2</v>
      </c>
      <c r="K158" s="134">
        <f t="shared" si="41"/>
        <v>2</v>
      </c>
      <c r="L158" s="134">
        <f t="shared" si="41"/>
        <v>2</v>
      </c>
      <c r="M158" s="134">
        <f t="shared" si="41"/>
        <v>2</v>
      </c>
      <c r="N158" s="134">
        <f t="shared" si="41"/>
        <v>2</v>
      </c>
      <c r="O158" s="134">
        <f t="shared" si="41"/>
        <v>2</v>
      </c>
      <c r="P158" s="134">
        <f t="shared" si="41"/>
        <v>2</v>
      </c>
      <c r="Q158" s="134">
        <f t="shared" si="41"/>
        <v>2</v>
      </c>
      <c r="R158" s="134">
        <f t="shared" si="41"/>
        <v>2</v>
      </c>
      <c r="S158" s="134">
        <f t="shared" si="42"/>
        <v>2</v>
      </c>
      <c r="T158" s="134">
        <f t="shared" si="42"/>
        <v>2</v>
      </c>
      <c r="U158" s="134">
        <f t="shared" si="42"/>
        <v>2</v>
      </c>
      <c r="V158" s="134">
        <f t="shared" si="42"/>
        <v>2</v>
      </c>
      <c r="W158" s="134">
        <f t="shared" si="42"/>
        <v>2</v>
      </c>
      <c r="X158" s="134">
        <f t="shared" si="42"/>
        <v>2</v>
      </c>
      <c r="Y158" s="134">
        <f t="shared" si="42"/>
        <v>2</v>
      </c>
      <c r="Z158" s="134">
        <f t="shared" si="42"/>
        <v>2</v>
      </c>
      <c r="AA158" s="134">
        <f t="shared" si="42"/>
        <v>2</v>
      </c>
      <c r="AB158" s="134">
        <f t="shared" si="42"/>
        <v>2</v>
      </c>
      <c r="AC158" s="134">
        <f t="shared" si="42"/>
        <v>2</v>
      </c>
      <c r="AD158" s="134">
        <f t="shared" si="42"/>
        <v>2</v>
      </c>
      <c r="AE158" s="134">
        <f t="shared" si="42"/>
        <v>2</v>
      </c>
      <c r="AF158" s="134">
        <f t="shared" si="42"/>
        <v>2</v>
      </c>
      <c r="AG158" s="136">
        <v>3</v>
      </c>
      <c r="AH158" s="55"/>
      <c r="AI158" s="56"/>
      <c r="AK158" s="57"/>
    </row>
    <row r="159" spans="1:37" x14ac:dyDescent="0.25">
      <c r="A159" s="121" t="s">
        <v>163</v>
      </c>
      <c r="B159" s="133">
        <v>0.47</v>
      </c>
      <c r="C159" s="134">
        <f t="shared" si="41"/>
        <v>0.47</v>
      </c>
      <c r="D159" s="134">
        <f t="shared" si="41"/>
        <v>0.47</v>
      </c>
      <c r="E159" s="134">
        <f t="shared" si="41"/>
        <v>0.47</v>
      </c>
      <c r="F159" s="134">
        <f t="shared" si="41"/>
        <v>0.47</v>
      </c>
      <c r="G159" s="134">
        <f t="shared" si="41"/>
        <v>0.47</v>
      </c>
      <c r="H159" s="134">
        <f t="shared" si="41"/>
        <v>0.47</v>
      </c>
      <c r="I159" s="134">
        <f t="shared" si="41"/>
        <v>0.47</v>
      </c>
      <c r="J159" s="134">
        <f t="shared" si="41"/>
        <v>0.47</v>
      </c>
      <c r="K159" s="134">
        <f t="shared" si="41"/>
        <v>0.47</v>
      </c>
      <c r="L159" s="134">
        <f t="shared" si="41"/>
        <v>0.47</v>
      </c>
      <c r="M159" s="134">
        <f t="shared" si="41"/>
        <v>0.47</v>
      </c>
      <c r="N159" s="134">
        <f t="shared" si="41"/>
        <v>0.47</v>
      </c>
      <c r="O159" s="134">
        <f t="shared" si="41"/>
        <v>0.47</v>
      </c>
      <c r="P159" s="134">
        <f t="shared" si="41"/>
        <v>0.47</v>
      </c>
      <c r="Q159" s="134">
        <f t="shared" si="41"/>
        <v>0.47</v>
      </c>
      <c r="R159" s="134">
        <f t="shared" si="41"/>
        <v>0.47</v>
      </c>
      <c r="S159" s="134">
        <f t="shared" si="42"/>
        <v>0.47</v>
      </c>
      <c r="T159" s="134">
        <f t="shared" si="42"/>
        <v>0.47</v>
      </c>
      <c r="U159" s="134">
        <f t="shared" si="42"/>
        <v>0.47</v>
      </c>
      <c r="V159" s="134">
        <f t="shared" si="42"/>
        <v>0.47</v>
      </c>
      <c r="W159" s="134">
        <f t="shared" si="42"/>
        <v>0.47</v>
      </c>
      <c r="X159" s="134">
        <f t="shared" si="42"/>
        <v>0.47</v>
      </c>
      <c r="Y159" s="134">
        <f t="shared" si="42"/>
        <v>0.47</v>
      </c>
      <c r="Z159" s="134">
        <f t="shared" si="42"/>
        <v>0.47</v>
      </c>
      <c r="AA159" s="134">
        <f t="shared" si="42"/>
        <v>0.47</v>
      </c>
      <c r="AB159" s="134">
        <f t="shared" si="42"/>
        <v>0.47</v>
      </c>
      <c r="AC159" s="134">
        <f t="shared" si="42"/>
        <v>0.47</v>
      </c>
      <c r="AD159" s="134">
        <f t="shared" si="42"/>
        <v>0.47</v>
      </c>
      <c r="AE159" s="134">
        <f t="shared" si="42"/>
        <v>0.47</v>
      </c>
      <c r="AF159" s="134">
        <f t="shared" si="42"/>
        <v>0.47</v>
      </c>
      <c r="AG159" s="136">
        <v>3</v>
      </c>
      <c r="AH159" s="55"/>
      <c r="AI159" s="56"/>
      <c r="AK159" s="57"/>
    </row>
    <row r="160" spans="1:37" x14ac:dyDescent="0.25">
      <c r="A160" s="121" t="s">
        <v>164</v>
      </c>
      <c r="B160" s="133">
        <v>0</v>
      </c>
      <c r="C160" s="134">
        <f t="shared" si="41"/>
        <v>0</v>
      </c>
      <c r="D160" s="134">
        <f t="shared" si="41"/>
        <v>0</v>
      </c>
      <c r="E160" s="134">
        <f t="shared" si="41"/>
        <v>0</v>
      </c>
      <c r="F160" s="134">
        <f t="shared" si="41"/>
        <v>0</v>
      </c>
      <c r="G160" s="134">
        <f t="shared" si="41"/>
        <v>0</v>
      </c>
      <c r="H160" s="134">
        <f t="shared" si="41"/>
        <v>0</v>
      </c>
      <c r="I160" s="134">
        <f t="shared" si="41"/>
        <v>0</v>
      </c>
      <c r="J160" s="134">
        <f t="shared" si="41"/>
        <v>0</v>
      </c>
      <c r="K160" s="134">
        <f t="shared" si="41"/>
        <v>0</v>
      </c>
      <c r="L160" s="134">
        <f t="shared" si="41"/>
        <v>0</v>
      </c>
      <c r="M160" s="134">
        <f t="shared" si="41"/>
        <v>0</v>
      </c>
      <c r="N160" s="134">
        <f t="shared" si="41"/>
        <v>0</v>
      </c>
      <c r="O160" s="134">
        <f t="shared" si="41"/>
        <v>0</v>
      </c>
      <c r="P160" s="134">
        <f t="shared" si="41"/>
        <v>0</v>
      </c>
      <c r="Q160" s="134">
        <f t="shared" si="41"/>
        <v>0</v>
      </c>
      <c r="R160" s="134">
        <f t="shared" si="41"/>
        <v>0</v>
      </c>
      <c r="S160" s="134">
        <f t="shared" si="42"/>
        <v>0</v>
      </c>
      <c r="T160" s="134">
        <f t="shared" si="42"/>
        <v>0</v>
      </c>
      <c r="U160" s="134">
        <f t="shared" si="42"/>
        <v>0</v>
      </c>
      <c r="V160" s="134">
        <f t="shared" si="42"/>
        <v>0</v>
      </c>
      <c r="W160" s="134">
        <f t="shared" si="42"/>
        <v>0</v>
      </c>
      <c r="X160" s="134">
        <f t="shared" si="42"/>
        <v>0</v>
      </c>
      <c r="Y160" s="134">
        <f t="shared" si="42"/>
        <v>0</v>
      </c>
      <c r="Z160" s="134">
        <f t="shared" si="42"/>
        <v>0</v>
      </c>
      <c r="AA160" s="134">
        <f t="shared" si="42"/>
        <v>0</v>
      </c>
      <c r="AB160" s="134">
        <f t="shared" si="42"/>
        <v>0</v>
      </c>
      <c r="AC160" s="134">
        <f t="shared" si="42"/>
        <v>0</v>
      </c>
      <c r="AD160" s="134">
        <f t="shared" si="42"/>
        <v>0</v>
      </c>
      <c r="AE160" s="134">
        <f t="shared" si="42"/>
        <v>0</v>
      </c>
      <c r="AF160" s="134">
        <f t="shared" si="42"/>
        <v>0</v>
      </c>
      <c r="AG160" s="136">
        <v>3</v>
      </c>
      <c r="AH160" s="55"/>
      <c r="AI160" s="56"/>
      <c r="AK160" s="57"/>
    </row>
    <row r="161" spans="1:37" x14ac:dyDescent="0.25">
      <c r="A161" s="121" t="s">
        <v>165</v>
      </c>
      <c r="B161" s="133">
        <v>0</v>
      </c>
      <c r="C161" s="134">
        <f t="shared" si="41"/>
        <v>0</v>
      </c>
      <c r="D161" s="134">
        <f t="shared" si="41"/>
        <v>0</v>
      </c>
      <c r="E161" s="134">
        <f t="shared" si="41"/>
        <v>0</v>
      </c>
      <c r="F161" s="134">
        <f t="shared" si="41"/>
        <v>0</v>
      </c>
      <c r="G161" s="134">
        <f t="shared" si="41"/>
        <v>0</v>
      </c>
      <c r="H161" s="134">
        <f t="shared" si="41"/>
        <v>0</v>
      </c>
      <c r="I161" s="134">
        <f t="shared" si="41"/>
        <v>0</v>
      </c>
      <c r="J161" s="134">
        <f t="shared" si="41"/>
        <v>0</v>
      </c>
      <c r="K161" s="134">
        <f t="shared" si="41"/>
        <v>0</v>
      </c>
      <c r="L161" s="134">
        <f t="shared" si="41"/>
        <v>0</v>
      </c>
      <c r="M161" s="134">
        <f t="shared" si="41"/>
        <v>0</v>
      </c>
      <c r="N161" s="134">
        <f t="shared" si="41"/>
        <v>0</v>
      </c>
      <c r="O161" s="134">
        <f t="shared" si="41"/>
        <v>0</v>
      </c>
      <c r="P161" s="134">
        <f t="shared" si="41"/>
        <v>0</v>
      </c>
      <c r="Q161" s="134">
        <f t="shared" si="41"/>
        <v>0</v>
      </c>
      <c r="R161" s="134">
        <f t="shared" si="42"/>
        <v>0</v>
      </c>
      <c r="S161" s="134">
        <f t="shared" si="42"/>
        <v>0</v>
      </c>
      <c r="T161" s="134">
        <f t="shared" si="42"/>
        <v>0</v>
      </c>
      <c r="U161" s="134">
        <f t="shared" si="42"/>
        <v>0</v>
      </c>
      <c r="V161" s="134">
        <f t="shared" si="42"/>
        <v>0</v>
      </c>
      <c r="W161" s="134">
        <f t="shared" si="42"/>
        <v>0</v>
      </c>
      <c r="X161" s="134">
        <f t="shared" si="42"/>
        <v>0</v>
      </c>
      <c r="Y161" s="134">
        <f t="shared" si="42"/>
        <v>0</v>
      </c>
      <c r="Z161" s="134">
        <f t="shared" si="42"/>
        <v>0</v>
      </c>
      <c r="AA161" s="134">
        <f t="shared" si="42"/>
        <v>0</v>
      </c>
      <c r="AB161" s="134">
        <f t="shared" si="42"/>
        <v>0</v>
      </c>
      <c r="AC161" s="134">
        <f t="shared" si="42"/>
        <v>0</v>
      </c>
      <c r="AD161" s="134">
        <f t="shared" si="42"/>
        <v>0</v>
      </c>
      <c r="AE161" s="134">
        <f t="shared" si="42"/>
        <v>0</v>
      </c>
      <c r="AF161" s="134">
        <f t="shared" si="42"/>
        <v>0</v>
      </c>
      <c r="AG161" s="136">
        <v>3</v>
      </c>
      <c r="AH161" s="55"/>
      <c r="AI161" s="56"/>
      <c r="AK161" s="57"/>
    </row>
    <row r="162" spans="1:37" x14ac:dyDescent="0.25">
      <c r="A162" s="121" t="s">
        <v>166</v>
      </c>
      <c r="B162" s="133">
        <v>0.8</v>
      </c>
      <c r="C162" s="134">
        <f t="shared" si="41"/>
        <v>0.8</v>
      </c>
      <c r="D162" s="134">
        <f t="shared" si="41"/>
        <v>0.8</v>
      </c>
      <c r="E162" s="134">
        <f t="shared" si="41"/>
        <v>0.8</v>
      </c>
      <c r="F162" s="134">
        <f t="shared" si="41"/>
        <v>0.8</v>
      </c>
      <c r="G162" s="134">
        <f t="shared" si="41"/>
        <v>0.8</v>
      </c>
      <c r="H162" s="134">
        <f t="shared" si="41"/>
        <v>0.8</v>
      </c>
      <c r="I162" s="134">
        <f t="shared" si="41"/>
        <v>0.8</v>
      </c>
      <c r="J162" s="134">
        <f t="shared" si="41"/>
        <v>0.8</v>
      </c>
      <c r="K162" s="134">
        <f t="shared" si="41"/>
        <v>0.8</v>
      </c>
      <c r="L162" s="134">
        <f t="shared" si="41"/>
        <v>0.8</v>
      </c>
      <c r="M162" s="134">
        <f t="shared" si="41"/>
        <v>0.8</v>
      </c>
      <c r="N162" s="134">
        <f t="shared" si="41"/>
        <v>0.8</v>
      </c>
      <c r="O162" s="134">
        <f t="shared" si="41"/>
        <v>0.8</v>
      </c>
      <c r="P162" s="134">
        <f t="shared" si="41"/>
        <v>0.8</v>
      </c>
      <c r="Q162" s="134">
        <f t="shared" si="41"/>
        <v>0.8</v>
      </c>
      <c r="R162" s="134">
        <f t="shared" si="42"/>
        <v>0.8</v>
      </c>
      <c r="S162" s="134">
        <f t="shared" si="42"/>
        <v>0.8</v>
      </c>
      <c r="T162" s="134">
        <f t="shared" si="42"/>
        <v>0.8</v>
      </c>
      <c r="U162" s="134">
        <f t="shared" si="42"/>
        <v>0.8</v>
      </c>
      <c r="V162" s="134">
        <f t="shared" si="42"/>
        <v>0.8</v>
      </c>
      <c r="W162" s="134">
        <f t="shared" si="42"/>
        <v>0.8</v>
      </c>
      <c r="X162" s="134">
        <f t="shared" si="42"/>
        <v>0.8</v>
      </c>
      <c r="Y162" s="134">
        <f t="shared" si="42"/>
        <v>0.8</v>
      </c>
      <c r="Z162" s="134">
        <f t="shared" si="42"/>
        <v>0.8</v>
      </c>
      <c r="AA162" s="134">
        <f t="shared" si="42"/>
        <v>0.8</v>
      </c>
      <c r="AB162" s="134">
        <f t="shared" si="42"/>
        <v>0.8</v>
      </c>
      <c r="AC162" s="134">
        <f t="shared" si="42"/>
        <v>0.8</v>
      </c>
      <c r="AD162" s="134">
        <f t="shared" si="42"/>
        <v>0.8</v>
      </c>
      <c r="AE162" s="134">
        <f t="shared" si="42"/>
        <v>0.8</v>
      </c>
      <c r="AF162" s="134">
        <f t="shared" si="42"/>
        <v>0.8</v>
      </c>
      <c r="AG162" s="136">
        <v>3</v>
      </c>
      <c r="AH162" s="55"/>
      <c r="AI162" s="56"/>
      <c r="AK162" s="57"/>
    </row>
    <row r="163" spans="1:37" x14ac:dyDescent="0.25">
      <c r="A163" s="121" t="s">
        <v>167</v>
      </c>
      <c r="B163" s="133">
        <v>1.5</v>
      </c>
      <c r="C163" s="134">
        <f t="shared" si="41"/>
        <v>1.5</v>
      </c>
      <c r="D163" s="134">
        <f t="shared" si="41"/>
        <v>1.5</v>
      </c>
      <c r="E163" s="134">
        <f t="shared" si="41"/>
        <v>1.5</v>
      </c>
      <c r="F163" s="134">
        <f t="shared" si="41"/>
        <v>1.5</v>
      </c>
      <c r="G163" s="134">
        <f t="shared" si="41"/>
        <v>1.5</v>
      </c>
      <c r="H163" s="134">
        <f t="shared" si="41"/>
        <v>1.5</v>
      </c>
      <c r="I163" s="134">
        <f t="shared" si="41"/>
        <v>1.5</v>
      </c>
      <c r="J163" s="134">
        <f t="shared" si="41"/>
        <v>1.5</v>
      </c>
      <c r="K163" s="134">
        <f t="shared" si="41"/>
        <v>1.5</v>
      </c>
      <c r="L163" s="134">
        <f t="shared" si="41"/>
        <v>1.5</v>
      </c>
      <c r="M163" s="134">
        <f t="shared" si="41"/>
        <v>1.5</v>
      </c>
      <c r="N163" s="134">
        <f t="shared" si="41"/>
        <v>1.5</v>
      </c>
      <c r="O163" s="134">
        <f t="shared" si="41"/>
        <v>1.5</v>
      </c>
      <c r="P163" s="134">
        <f t="shared" si="41"/>
        <v>1.5</v>
      </c>
      <c r="Q163" s="134">
        <f t="shared" si="41"/>
        <v>1.5</v>
      </c>
      <c r="R163" s="134">
        <f t="shared" si="42"/>
        <v>1.5</v>
      </c>
      <c r="S163" s="134">
        <f t="shared" si="42"/>
        <v>1.5</v>
      </c>
      <c r="T163" s="134">
        <f t="shared" si="42"/>
        <v>1.5</v>
      </c>
      <c r="U163" s="134">
        <f t="shared" si="42"/>
        <v>1.5</v>
      </c>
      <c r="V163" s="134">
        <f t="shared" si="42"/>
        <v>1.5</v>
      </c>
      <c r="W163" s="134">
        <f t="shared" si="42"/>
        <v>1.5</v>
      </c>
      <c r="X163" s="134">
        <f t="shared" si="42"/>
        <v>1.5</v>
      </c>
      <c r="Y163" s="134">
        <f t="shared" si="42"/>
        <v>1.5</v>
      </c>
      <c r="Z163" s="134">
        <f t="shared" si="42"/>
        <v>1.5</v>
      </c>
      <c r="AA163" s="134">
        <f t="shared" si="42"/>
        <v>1.5</v>
      </c>
      <c r="AB163" s="134">
        <f t="shared" si="42"/>
        <v>1.5</v>
      </c>
      <c r="AC163" s="134">
        <f t="shared" si="42"/>
        <v>1.5</v>
      </c>
      <c r="AD163" s="134">
        <f t="shared" si="42"/>
        <v>1.5</v>
      </c>
      <c r="AE163" s="134">
        <f t="shared" si="42"/>
        <v>1.5</v>
      </c>
      <c r="AF163" s="134">
        <f t="shared" si="42"/>
        <v>1.5</v>
      </c>
      <c r="AG163" s="136">
        <v>3</v>
      </c>
      <c r="AH163" s="55"/>
      <c r="AI163" s="56"/>
      <c r="AK163" s="57"/>
    </row>
    <row r="164" spans="1:37" x14ac:dyDescent="0.25">
      <c r="A164" s="121" t="s">
        <v>168</v>
      </c>
      <c r="B164" s="133">
        <v>1</v>
      </c>
      <c r="C164" s="134">
        <f t="shared" si="41"/>
        <v>1</v>
      </c>
      <c r="D164" s="134">
        <f t="shared" si="41"/>
        <v>1</v>
      </c>
      <c r="E164" s="134">
        <f t="shared" si="41"/>
        <v>1</v>
      </c>
      <c r="F164" s="134">
        <f t="shared" si="41"/>
        <v>1</v>
      </c>
      <c r="G164" s="134">
        <f t="shared" si="41"/>
        <v>1</v>
      </c>
      <c r="H164" s="134">
        <f t="shared" si="41"/>
        <v>1</v>
      </c>
      <c r="I164" s="134">
        <f t="shared" si="41"/>
        <v>1</v>
      </c>
      <c r="J164" s="134">
        <f t="shared" si="41"/>
        <v>1</v>
      </c>
      <c r="K164" s="134">
        <f t="shared" si="41"/>
        <v>1</v>
      </c>
      <c r="L164" s="134">
        <f t="shared" si="41"/>
        <v>1</v>
      </c>
      <c r="M164" s="134">
        <f t="shared" si="41"/>
        <v>1</v>
      </c>
      <c r="N164" s="134">
        <f t="shared" si="41"/>
        <v>1</v>
      </c>
      <c r="O164" s="134">
        <f t="shared" si="41"/>
        <v>1</v>
      </c>
      <c r="P164" s="134">
        <f t="shared" si="41"/>
        <v>1</v>
      </c>
      <c r="Q164" s="134">
        <f t="shared" si="41"/>
        <v>1</v>
      </c>
      <c r="R164" s="134">
        <f t="shared" si="42"/>
        <v>1</v>
      </c>
      <c r="S164" s="134">
        <f t="shared" si="42"/>
        <v>1</v>
      </c>
      <c r="T164" s="134">
        <f t="shared" si="42"/>
        <v>1</v>
      </c>
      <c r="U164" s="134">
        <f t="shared" si="42"/>
        <v>1</v>
      </c>
      <c r="V164" s="134">
        <f t="shared" si="42"/>
        <v>1</v>
      </c>
      <c r="W164" s="134">
        <f t="shared" si="42"/>
        <v>1</v>
      </c>
      <c r="X164" s="134">
        <f t="shared" si="42"/>
        <v>1</v>
      </c>
      <c r="Y164" s="134">
        <f t="shared" si="42"/>
        <v>1</v>
      </c>
      <c r="Z164" s="134">
        <f t="shared" si="42"/>
        <v>1</v>
      </c>
      <c r="AA164" s="134">
        <f t="shared" si="42"/>
        <v>1</v>
      </c>
      <c r="AB164" s="134">
        <f t="shared" si="42"/>
        <v>1</v>
      </c>
      <c r="AC164" s="134">
        <f t="shared" si="42"/>
        <v>1</v>
      </c>
      <c r="AD164" s="134">
        <f t="shared" si="42"/>
        <v>1</v>
      </c>
      <c r="AE164" s="134">
        <f t="shared" si="42"/>
        <v>1</v>
      </c>
      <c r="AF164" s="134">
        <f t="shared" si="42"/>
        <v>1</v>
      </c>
      <c r="AG164" s="136">
        <v>3</v>
      </c>
      <c r="AH164" s="55"/>
      <c r="AI164" s="56"/>
      <c r="AK164" s="57"/>
    </row>
    <row r="165" spans="1:37" x14ac:dyDescent="0.25">
      <c r="A165" s="121" t="s">
        <v>169</v>
      </c>
      <c r="B165" s="133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6">
        <v>2.83</v>
      </c>
      <c r="AH165" s="55"/>
      <c r="AI165" s="56"/>
      <c r="AK165" s="57"/>
    </row>
    <row r="166" spans="1:37" x14ac:dyDescent="0.25">
      <c r="A166" s="121" t="s">
        <v>170</v>
      </c>
      <c r="B166" s="133">
        <v>1</v>
      </c>
      <c r="C166" s="134">
        <f t="shared" ref="C166:R173" si="43">B166</f>
        <v>1</v>
      </c>
      <c r="D166" s="134">
        <f t="shared" si="43"/>
        <v>1</v>
      </c>
      <c r="E166" s="134">
        <f t="shared" si="43"/>
        <v>1</v>
      </c>
      <c r="F166" s="134">
        <f t="shared" si="43"/>
        <v>1</v>
      </c>
      <c r="G166" s="134">
        <f t="shared" si="43"/>
        <v>1</v>
      </c>
      <c r="H166" s="134">
        <f t="shared" si="43"/>
        <v>1</v>
      </c>
      <c r="I166" s="134">
        <f t="shared" si="43"/>
        <v>1</v>
      </c>
      <c r="J166" s="134">
        <f t="shared" si="43"/>
        <v>1</v>
      </c>
      <c r="K166" s="134">
        <f t="shared" si="43"/>
        <v>1</v>
      </c>
      <c r="L166" s="134">
        <f t="shared" si="43"/>
        <v>1</v>
      </c>
      <c r="M166" s="134">
        <f t="shared" si="43"/>
        <v>1</v>
      </c>
      <c r="N166" s="134">
        <f t="shared" si="43"/>
        <v>1</v>
      </c>
      <c r="O166" s="134">
        <f t="shared" si="43"/>
        <v>1</v>
      </c>
      <c r="P166" s="134">
        <f t="shared" si="43"/>
        <v>1</v>
      </c>
      <c r="Q166" s="134">
        <f t="shared" si="43"/>
        <v>1</v>
      </c>
      <c r="R166" s="134">
        <f t="shared" si="43"/>
        <v>1</v>
      </c>
      <c r="S166" s="134">
        <f t="shared" ref="R166:AF173" si="44">R166</f>
        <v>1</v>
      </c>
      <c r="T166" s="134">
        <f t="shared" si="44"/>
        <v>1</v>
      </c>
      <c r="U166" s="134">
        <f t="shared" si="44"/>
        <v>1</v>
      </c>
      <c r="V166" s="134">
        <f t="shared" si="44"/>
        <v>1</v>
      </c>
      <c r="W166" s="134">
        <f t="shared" si="44"/>
        <v>1</v>
      </c>
      <c r="X166" s="134">
        <f t="shared" si="44"/>
        <v>1</v>
      </c>
      <c r="Y166" s="134">
        <f t="shared" si="44"/>
        <v>1</v>
      </c>
      <c r="Z166" s="134">
        <f t="shared" si="44"/>
        <v>1</v>
      </c>
      <c r="AA166" s="134">
        <f t="shared" si="44"/>
        <v>1</v>
      </c>
      <c r="AB166" s="134">
        <f t="shared" si="44"/>
        <v>1</v>
      </c>
      <c r="AC166" s="134">
        <f t="shared" si="44"/>
        <v>1</v>
      </c>
      <c r="AD166" s="134">
        <f t="shared" si="44"/>
        <v>1</v>
      </c>
      <c r="AE166" s="134">
        <f t="shared" si="44"/>
        <v>1</v>
      </c>
      <c r="AF166" s="134">
        <f t="shared" si="44"/>
        <v>1</v>
      </c>
      <c r="AG166" s="136">
        <v>2.5</v>
      </c>
      <c r="AH166" s="55"/>
      <c r="AI166" s="56"/>
      <c r="AK166" s="57"/>
    </row>
    <row r="167" spans="1:37" x14ac:dyDescent="0.25">
      <c r="A167" s="121" t="s">
        <v>171</v>
      </c>
      <c r="B167" s="133">
        <v>0.42</v>
      </c>
      <c r="C167" s="134">
        <f t="shared" si="43"/>
        <v>0.42</v>
      </c>
      <c r="D167" s="134">
        <f t="shared" si="43"/>
        <v>0.42</v>
      </c>
      <c r="E167" s="134">
        <f t="shared" si="43"/>
        <v>0.42</v>
      </c>
      <c r="F167" s="134">
        <f t="shared" si="43"/>
        <v>0.42</v>
      </c>
      <c r="G167" s="134">
        <f t="shared" si="43"/>
        <v>0.42</v>
      </c>
      <c r="H167" s="134">
        <f t="shared" si="43"/>
        <v>0.42</v>
      </c>
      <c r="I167" s="134">
        <f t="shared" si="43"/>
        <v>0.42</v>
      </c>
      <c r="J167" s="134">
        <f t="shared" si="43"/>
        <v>0.42</v>
      </c>
      <c r="K167" s="134">
        <f t="shared" si="43"/>
        <v>0.42</v>
      </c>
      <c r="L167" s="134">
        <f t="shared" si="43"/>
        <v>0.42</v>
      </c>
      <c r="M167" s="134">
        <f t="shared" si="43"/>
        <v>0.42</v>
      </c>
      <c r="N167" s="134">
        <f t="shared" si="43"/>
        <v>0.42</v>
      </c>
      <c r="O167" s="134">
        <f t="shared" si="43"/>
        <v>0.42</v>
      </c>
      <c r="P167" s="134">
        <f t="shared" si="43"/>
        <v>0.42</v>
      </c>
      <c r="Q167" s="134">
        <f t="shared" si="43"/>
        <v>0.42</v>
      </c>
      <c r="R167" s="134">
        <f t="shared" si="44"/>
        <v>0.42</v>
      </c>
      <c r="S167" s="134">
        <f t="shared" si="44"/>
        <v>0.42</v>
      </c>
      <c r="T167" s="134">
        <f t="shared" si="44"/>
        <v>0.42</v>
      </c>
      <c r="U167" s="134">
        <f t="shared" si="44"/>
        <v>0.42</v>
      </c>
      <c r="V167" s="134">
        <f t="shared" si="44"/>
        <v>0.42</v>
      </c>
      <c r="W167" s="134">
        <f t="shared" si="44"/>
        <v>0.42</v>
      </c>
      <c r="X167" s="134">
        <f t="shared" si="44"/>
        <v>0.42</v>
      </c>
      <c r="Y167" s="134">
        <f t="shared" si="44"/>
        <v>0.42</v>
      </c>
      <c r="Z167" s="134">
        <f t="shared" si="44"/>
        <v>0.42</v>
      </c>
      <c r="AA167" s="134">
        <f t="shared" si="44"/>
        <v>0.42</v>
      </c>
      <c r="AB167" s="134">
        <f t="shared" si="44"/>
        <v>0.42</v>
      </c>
      <c r="AC167" s="134">
        <f t="shared" si="44"/>
        <v>0.42</v>
      </c>
      <c r="AD167" s="134">
        <f t="shared" si="44"/>
        <v>0.42</v>
      </c>
      <c r="AE167" s="134">
        <f t="shared" si="44"/>
        <v>0.42</v>
      </c>
      <c r="AF167" s="134">
        <f t="shared" si="44"/>
        <v>0.42</v>
      </c>
      <c r="AG167" s="136">
        <v>2.5</v>
      </c>
      <c r="AH167" s="55"/>
      <c r="AI167" s="56"/>
      <c r="AK167" s="57"/>
    </row>
    <row r="168" spans="1:37" x14ac:dyDescent="0.25">
      <c r="A168" s="121" t="s">
        <v>172</v>
      </c>
      <c r="B168" s="133">
        <v>0.46</v>
      </c>
      <c r="C168" s="134">
        <f t="shared" si="43"/>
        <v>0.46</v>
      </c>
      <c r="D168" s="134">
        <f t="shared" si="43"/>
        <v>0.46</v>
      </c>
      <c r="E168" s="134">
        <f t="shared" si="43"/>
        <v>0.46</v>
      </c>
      <c r="F168" s="134">
        <f t="shared" si="43"/>
        <v>0.46</v>
      </c>
      <c r="G168" s="134">
        <f t="shared" si="43"/>
        <v>0.46</v>
      </c>
      <c r="H168" s="134">
        <f t="shared" si="43"/>
        <v>0.46</v>
      </c>
      <c r="I168" s="134">
        <f t="shared" si="43"/>
        <v>0.46</v>
      </c>
      <c r="J168" s="134">
        <f t="shared" si="43"/>
        <v>0.46</v>
      </c>
      <c r="K168" s="134">
        <f t="shared" si="43"/>
        <v>0.46</v>
      </c>
      <c r="L168" s="134">
        <f t="shared" si="43"/>
        <v>0.46</v>
      </c>
      <c r="M168" s="134">
        <f t="shared" si="43"/>
        <v>0.46</v>
      </c>
      <c r="N168" s="134">
        <f t="shared" si="43"/>
        <v>0.46</v>
      </c>
      <c r="O168" s="134">
        <f t="shared" si="43"/>
        <v>0.46</v>
      </c>
      <c r="P168" s="134">
        <f t="shared" si="43"/>
        <v>0.46</v>
      </c>
      <c r="Q168" s="134">
        <f t="shared" si="43"/>
        <v>0.46</v>
      </c>
      <c r="R168" s="134">
        <f t="shared" si="44"/>
        <v>0.46</v>
      </c>
      <c r="S168" s="134">
        <f t="shared" si="44"/>
        <v>0.46</v>
      </c>
      <c r="T168" s="134">
        <f t="shared" si="44"/>
        <v>0.46</v>
      </c>
      <c r="U168" s="134">
        <f t="shared" si="44"/>
        <v>0.46</v>
      </c>
      <c r="V168" s="134">
        <f t="shared" si="44"/>
        <v>0.46</v>
      </c>
      <c r="W168" s="134">
        <f t="shared" si="44"/>
        <v>0.46</v>
      </c>
      <c r="X168" s="134">
        <f t="shared" si="44"/>
        <v>0.46</v>
      </c>
      <c r="Y168" s="134">
        <f t="shared" si="44"/>
        <v>0.46</v>
      </c>
      <c r="Z168" s="134">
        <f t="shared" si="44"/>
        <v>0.46</v>
      </c>
      <c r="AA168" s="134">
        <f t="shared" si="44"/>
        <v>0.46</v>
      </c>
      <c r="AB168" s="134">
        <f t="shared" si="44"/>
        <v>0.46</v>
      </c>
      <c r="AC168" s="134">
        <f t="shared" si="44"/>
        <v>0.46</v>
      </c>
      <c r="AD168" s="134">
        <f t="shared" si="44"/>
        <v>0.46</v>
      </c>
      <c r="AE168" s="134">
        <f t="shared" si="44"/>
        <v>0.46</v>
      </c>
      <c r="AF168" s="134">
        <f t="shared" si="44"/>
        <v>0.46</v>
      </c>
      <c r="AG168" s="136">
        <v>2.4</v>
      </c>
      <c r="AH168" s="55"/>
      <c r="AI168" s="56"/>
      <c r="AK168" s="57"/>
    </row>
    <row r="169" spans="1:37" x14ac:dyDescent="0.25">
      <c r="A169" s="121" t="s">
        <v>173</v>
      </c>
      <c r="B169" s="133">
        <v>0.85</v>
      </c>
      <c r="C169" s="134">
        <f t="shared" si="43"/>
        <v>0.85</v>
      </c>
      <c r="D169" s="134">
        <f t="shared" si="43"/>
        <v>0.85</v>
      </c>
      <c r="E169" s="134">
        <f t="shared" si="43"/>
        <v>0.85</v>
      </c>
      <c r="F169" s="134">
        <f t="shared" si="43"/>
        <v>0.85</v>
      </c>
      <c r="G169" s="134">
        <f t="shared" si="43"/>
        <v>0.85</v>
      </c>
      <c r="H169" s="134">
        <f t="shared" si="43"/>
        <v>0.85</v>
      </c>
      <c r="I169" s="134">
        <f t="shared" si="43"/>
        <v>0.85</v>
      </c>
      <c r="J169" s="134">
        <f t="shared" si="43"/>
        <v>0.85</v>
      </c>
      <c r="K169" s="134">
        <f t="shared" si="43"/>
        <v>0.85</v>
      </c>
      <c r="L169" s="134">
        <f t="shared" si="43"/>
        <v>0.85</v>
      </c>
      <c r="M169" s="134">
        <f t="shared" si="43"/>
        <v>0.85</v>
      </c>
      <c r="N169" s="134">
        <f t="shared" si="43"/>
        <v>0.85</v>
      </c>
      <c r="O169" s="134">
        <f t="shared" si="43"/>
        <v>0.85</v>
      </c>
      <c r="P169" s="134">
        <f t="shared" si="43"/>
        <v>0.85</v>
      </c>
      <c r="Q169" s="134">
        <f t="shared" si="43"/>
        <v>0.85</v>
      </c>
      <c r="R169" s="134">
        <f t="shared" si="44"/>
        <v>0.85</v>
      </c>
      <c r="S169" s="134">
        <f t="shared" si="44"/>
        <v>0.85</v>
      </c>
      <c r="T169" s="134">
        <f t="shared" si="44"/>
        <v>0.85</v>
      </c>
      <c r="U169" s="134">
        <f t="shared" si="44"/>
        <v>0.85</v>
      </c>
      <c r="V169" s="134">
        <f t="shared" si="44"/>
        <v>0.85</v>
      </c>
      <c r="W169" s="134">
        <f t="shared" si="44"/>
        <v>0.85</v>
      </c>
      <c r="X169" s="134">
        <f t="shared" si="44"/>
        <v>0.85</v>
      </c>
      <c r="Y169" s="134">
        <f t="shared" si="44"/>
        <v>0.85</v>
      </c>
      <c r="Z169" s="134">
        <f t="shared" si="44"/>
        <v>0.85</v>
      </c>
      <c r="AA169" s="134">
        <f t="shared" si="44"/>
        <v>0.85</v>
      </c>
      <c r="AB169" s="134">
        <f t="shared" si="44"/>
        <v>0.85</v>
      </c>
      <c r="AC169" s="134">
        <f t="shared" si="44"/>
        <v>0.85</v>
      </c>
      <c r="AD169" s="134">
        <f t="shared" si="44"/>
        <v>0.85</v>
      </c>
      <c r="AE169" s="134">
        <f t="shared" si="44"/>
        <v>0.85</v>
      </c>
      <c r="AF169" s="134">
        <f t="shared" si="44"/>
        <v>0.85</v>
      </c>
      <c r="AG169" s="136">
        <v>2.4</v>
      </c>
      <c r="AH169" s="55"/>
      <c r="AI169" s="56"/>
      <c r="AK169" s="57"/>
    </row>
    <row r="170" spans="1:37" x14ac:dyDescent="0.25">
      <c r="A170" s="121" t="s">
        <v>174</v>
      </c>
      <c r="B170" s="133">
        <v>0.9</v>
      </c>
      <c r="C170" s="134">
        <f t="shared" si="43"/>
        <v>0.9</v>
      </c>
      <c r="D170" s="134">
        <f t="shared" si="43"/>
        <v>0.9</v>
      </c>
      <c r="E170" s="134">
        <f t="shared" si="43"/>
        <v>0.9</v>
      </c>
      <c r="F170" s="134">
        <f t="shared" si="43"/>
        <v>0.9</v>
      </c>
      <c r="G170" s="134">
        <f t="shared" si="43"/>
        <v>0.9</v>
      </c>
      <c r="H170" s="134">
        <f t="shared" si="43"/>
        <v>0.9</v>
      </c>
      <c r="I170" s="134">
        <f t="shared" si="43"/>
        <v>0.9</v>
      </c>
      <c r="J170" s="134">
        <f t="shared" si="43"/>
        <v>0.9</v>
      </c>
      <c r="K170" s="134">
        <f t="shared" si="43"/>
        <v>0.9</v>
      </c>
      <c r="L170" s="134">
        <f t="shared" si="43"/>
        <v>0.9</v>
      </c>
      <c r="M170" s="134">
        <f t="shared" si="43"/>
        <v>0.9</v>
      </c>
      <c r="N170" s="134">
        <f t="shared" si="43"/>
        <v>0.9</v>
      </c>
      <c r="O170" s="134">
        <f t="shared" si="43"/>
        <v>0.9</v>
      </c>
      <c r="P170" s="134">
        <f t="shared" si="43"/>
        <v>0.9</v>
      </c>
      <c r="Q170" s="134">
        <f t="shared" si="43"/>
        <v>0.9</v>
      </c>
      <c r="R170" s="134">
        <f t="shared" si="44"/>
        <v>0.9</v>
      </c>
      <c r="S170" s="134">
        <f t="shared" si="44"/>
        <v>0.9</v>
      </c>
      <c r="T170" s="134">
        <f t="shared" si="44"/>
        <v>0.9</v>
      </c>
      <c r="U170" s="134">
        <f t="shared" si="44"/>
        <v>0.9</v>
      </c>
      <c r="V170" s="134">
        <f t="shared" si="44"/>
        <v>0.9</v>
      </c>
      <c r="W170" s="134">
        <f t="shared" si="44"/>
        <v>0.9</v>
      </c>
      <c r="X170" s="134">
        <f t="shared" si="44"/>
        <v>0.9</v>
      </c>
      <c r="Y170" s="134">
        <f t="shared" si="44"/>
        <v>0.9</v>
      </c>
      <c r="Z170" s="134">
        <f t="shared" si="44"/>
        <v>0.9</v>
      </c>
      <c r="AA170" s="134">
        <f t="shared" si="44"/>
        <v>0.9</v>
      </c>
      <c r="AB170" s="134">
        <f t="shared" si="44"/>
        <v>0.9</v>
      </c>
      <c r="AC170" s="134">
        <f t="shared" si="44"/>
        <v>0.9</v>
      </c>
      <c r="AD170" s="134">
        <f t="shared" si="44"/>
        <v>0.9</v>
      </c>
      <c r="AE170" s="134">
        <f t="shared" si="44"/>
        <v>0.9</v>
      </c>
      <c r="AF170" s="134">
        <f t="shared" si="44"/>
        <v>0.9</v>
      </c>
      <c r="AG170" s="136">
        <v>2.2000000000000002</v>
      </c>
      <c r="AH170" s="55"/>
      <c r="AI170" s="56"/>
      <c r="AK170" s="57"/>
    </row>
    <row r="171" spans="1:37" x14ac:dyDescent="0.25">
      <c r="A171" s="121" t="s">
        <v>175</v>
      </c>
      <c r="B171" s="133">
        <v>0.44</v>
      </c>
      <c r="C171" s="134">
        <f t="shared" si="43"/>
        <v>0.44</v>
      </c>
      <c r="D171" s="134">
        <f t="shared" si="43"/>
        <v>0.44</v>
      </c>
      <c r="E171" s="134">
        <f t="shared" si="43"/>
        <v>0.44</v>
      </c>
      <c r="F171" s="134">
        <f t="shared" si="43"/>
        <v>0.44</v>
      </c>
      <c r="G171" s="134">
        <f t="shared" si="43"/>
        <v>0.44</v>
      </c>
      <c r="H171" s="134">
        <f t="shared" si="43"/>
        <v>0.44</v>
      </c>
      <c r="I171" s="134">
        <f t="shared" si="43"/>
        <v>0.44</v>
      </c>
      <c r="J171" s="134">
        <f t="shared" si="43"/>
        <v>0.44</v>
      </c>
      <c r="K171" s="134">
        <f t="shared" si="43"/>
        <v>0.44</v>
      </c>
      <c r="L171" s="134">
        <f t="shared" si="43"/>
        <v>0.44</v>
      </c>
      <c r="M171" s="134">
        <f t="shared" si="43"/>
        <v>0.44</v>
      </c>
      <c r="N171" s="134">
        <f t="shared" si="43"/>
        <v>0.44</v>
      </c>
      <c r="O171" s="134">
        <f t="shared" si="43"/>
        <v>0.44</v>
      </c>
      <c r="P171" s="134">
        <f t="shared" si="43"/>
        <v>0.44</v>
      </c>
      <c r="Q171" s="134">
        <f t="shared" si="43"/>
        <v>0.44</v>
      </c>
      <c r="R171" s="134">
        <f t="shared" si="44"/>
        <v>0.44</v>
      </c>
      <c r="S171" s="134">
        <f t="shared" si="44"/>
        <v>0.44</v>
      </c>
      <c r="T171" s="134">
        <f t="shared" si="44"/>
        <v>0.44</v>
      </c>
      <c r="U171" s="134">
        <f t="shared" si="44"/>
        <v>0.44</v>
      </c>
      <c r="V171" s="134">
        <f t="shared" si="44"/>
        <v>0.44</v>
      </c>
      <c r="W171" s="134">
        <f t="shared" si="44"/>
        <v>0.44</v>
      </c>
      <c r="X171" s="134">
        <f t="shared" si="44"/>
        <v>0.44</v>
      </c>
      <c r="Y171" s="134">
        <f t="shared" si="44"/>
        <v>0.44</v>
      </c>
      <c r="Z171" s="134">
        <f t="shared" si="44"/>
        <v>0.44</v>
      </c>
      <c r="AA171" s="134">
        <f t="shared" si="44"/>
        <v>0.44</v>
      </c>
      <c r="AB171" s="134">
        <f t="shared" si="44"/>
        <v>0.44</v>
      </c>
      <c r="AC171" s="134">
        <f t="shared" si="44"/>
        <v>0.44</v>
      </c>
      <c r="AD171" s="134">
        <f t="shared" si="44"/>
        <v>0.44</v>
      </c>
      <c r="AE171" s="134">
        <f t="shared" si="44"/>
        <v>0.44</v>
      </c>
      <c r="AF171" s="134">
        <f t="shared" si="44"/>
        <v>0.44</v>
      </c>
      <c r="AG171" s="136">
        <v>2</v>
      </c>
      <c r="AH171" s="55"/>
      <c r="AI171" s="56"/>
      <c r="AK171" s="57"/>
    </row>
    <row r="172" spans="1:37" x14ac:dyDescent="0.25">
      <c r="A172" s="121" t="s">
        <v>176</v>
      </c>
      <c r="B172" s="133">
        <v>2.1</v>
      </c>
      <c r="C172" s="134">
        <f t="shared" si="43"/>
        <v>2.1</v>
      </c>
      <c r="D172" s="134">
        <f t="shared" si="43"/>
        <v>2.1</v>
      </c>
      <c r="E172" s="134">
        <f t="shared" si="43"/>
        <v>2.1</v>
      </c>
      <c r="F172" s="134">
        <f t="shared" si="43"/>
        <v>2.1</v>
      </c>
      <c r="G172" s="134">
        <f t="shared" si="43"/>
        <v>2.1</v>
      </c>
      <c r="H172" s="134">
        <f t="shared" si="43"/>
        <v>2.1</v>
      </c>
      <c r="I172" s="134">
        <f t="shared" si="43"/>
        <v>2.1</v>
      </c>
      <c r="J172" s="134">
        <f t="shared" si="43"/>
        <v>2.1</v>
      </c>
      <c r="K172" s="134">
        <f t="shared" si="43"/>
        <v>2.1</v>
      </c>
      <c r="L172" s="134">
        <f t="shared" si="43"/>
        <v>2.1</v>
      </c>
      <c r="M172" s="134">
        <f t="shared" si="43"/>
        <v>2.1</v>
      </c>
      <c r="N172" s="134">
        <f t="shared" si="43"/>
        <v>2.1</v>
      </c>
      <c r="O172" s="134">
        <f t="shared" si="43"/>
        <v>2.1</v>
      </c>
      <c r="P172" s="134">
        <f t="shared" si="43"/>
        <v>2.1</v>
      </c>
      <c r="Q172" s="134">
        <f t="shared" si="43"/>
        <v>2.1</v>
      </c>
      <c r="R172" s="134">
        <f t="shared" si="44"/>
        <v>2.1</v>
      </c>
      <c r="S172" s="134">
        <f t="shared" si="44"/>
        <v>2.1</v>
      </c>
      <c r="T172" s="134">
        <f t="shared" si="44"/>
        <v>2.1</v>
      </c>
      <c r="U172" s="134">
        <f t="shared" si="44"/>
        <v>2.1</v>
      </c>
      <c r="V172" s="134">
        <f t="shared" si="44"/>
        <v>2.1</v>
      </c>
      <c r="W172" s="134">
        <f t="shared" si="44"/>
        <v>2.1</v>
      </c>
      <c r="X172" s="134">
        <f t="shared" si="44"/>
        <v>2.1</v>
      </c>
      <c r="Y172" s="134">
        <f t="shared" si="44"/>
        <v>2.1</v>
      </c>
      <c r="Z172" s="134">
        <f t="shared" si="44"/>
        <v>2.1</v>
      </c>
      <c r="AA172" s="134">
        <f t="shared" si="44"/>
        <v>2.1</v>
      </c>
      <c r="AB172" s="134">
        <f t="shared" si="44"/>
        <v>2.1</v>
      </c>
      <c r="AC172" s="134">
        <f t="shared" si="44"/>
        <v>2.1</v>
      </c>
      <c r="AD172" s="134">
        <f t="shared" si="44"/>
        <v>2.1</v>
      </c>
      <c r="AE172" s="134">
        <f t="shared" si="44"/>
        <v>2.1</v>
      </c>
      <c r="AF172" s="134">
        <f t="shared" si="44"/>
        <v>2.1</v>
      </c>
      <c r="AG172" s="136">
        <v>2</v>
      </c>
      <c r="AH172" s="55"/>
      <c r="AI172" s="56"/>
      <c r="AK172" s="57"/>
    </row>
    <row r="173" spans="1:37" x14ac:dyDescent="0.25">
      <c r="A173" s="121" t="s">
        <v>177</v>
      </c>
      <c r="B173" s="133">
        <v>0.9</v>
      </c>
      <c r="C173" s="134">
        <f t="shared" si="43"/>
        <v>0.9</v>
      </c>
      <c r="D173" s="134">
        <f t="shared" si="43"/>
        <v>0.9</v>
      </c>
      <c r="E173" s="134">
        <f t="shared" si="43"/>
        <v>0.9</v>
      </c>
      <c r="F173" s="134">
        <f t="shared" si="43"/>
        <v>0.9</v>
      </c>
      <c r="G173" s="134">
        <f t="shared" si="43"/>
        <v>0.9</v>
      </c>
      <c r="H173" s="134">
        <f t="shared" si="43"/>
        <v>0.9</v>
      </c>
      <c r="I173" s="134">
        <f t="shared" si="43"/>
        <v>0.9</v>
      </c>
      <c r="J173" s="134">
        <f t="shared" si="43"/>
        <v>0.9</v>
      </c>
      <c r="K173" s="134">
        <f t="shared" si="43"/>
        <v>0.9</v>
      </c>
      <c r="L173" s="134">
        <f t="shared" si="43"/>
        <v>0.9</v>
      </c>
      <c r="M173" s="134">
        <f t="shared" si="43"/>
        <v>0.9</v>
      </c>
      <c r="N173" s="134">
        <f t="shared" si="43"/>
        <v>0.9</v>
      </c>
      <c r="O173" s="134">
        <f t="shared" si="43"/>
        <v>0.9</v>
      </c>
      <c r="P173" s="134">
        <f t="shared" si="43"/>
        <v>0.9</v>
      </c>
      <c r="Q173" s="134">
        <f t="shared" si="43"/>
        <v>0.9</v>
      </c>
      <c r="R173" s="134">
        <f t="shared" si="44"/>
        <v>0.9</v>
      </c>
      <c r="S173" s="134">
        <f t="shared" si="44"/>
        <v>0.9</v>
      </c>
      <c r="T173" s="134">
        <f t="shared" si="44"/>
        <v>0.9</v>
      </c>
      <c r="U173" s="134">
        <f t="shared" si="44"/>
        <v>0.9</v>
      </c>
      <c r="V173" s="134">
        <f t="shared" si="44"/>
        <v>0.9</v>
      </c>
      <c r="W173" s="134">
        <f t="shared" si="44"/>
        <v>0.9</v>
      </c>
      <c r="X173" s="134">
        <f t="shared" si="44"/>
        <v>0.9</v>
      </c>
      <c r="Y173" s="134">
        <f t="shared" si="44"/>
        <v>0.9</v>
      </c>
      <c r="Z173" s="134">
        <f t="shared" si="44"/>
        <v>0.9</v>
      </c>
      <c r="AA173" s="134">
        <f t="shared" si="44"/>
        <v>0.9</v>
      </c>
      <c r="AB173" s="134">
        <f t="shared" si="44"/>
        <v>0.9</v>
      </c>
      <c r="AC173" s="134">
        <f t="shared" si="44"/>
        <v>0.9</v>
      </c>
      <c r="AD173" s="134">
        <f t="shared" si="44"/>
        <v>0.9</v>
      </c>
      <c r="AE173" s="134">
        <f t="shared" si="44"/>
        <v>0.9</v>
      </c>
      <c r="AF173" s="134">
        <f t="shared" si="44"/>
        <v>0.9</v>
      </c>
      <c r="AG173" s="136">
        <v>2</v>
      </c>
      <c r="AH173" s="55"/>
      <c r="AI173" s="56"/>
      <c r="AK173" s="57"/>
    </row>
    <row r="174" spans="1:37" x14ac:dyDescent="0.25">
      <c r="A174" s="121" t="s">
        <v>178</v>
      </c>
      <c r="B174" s="133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6">
        <v>1.8</v>
      </c>
      <c r="AH174" s="55"/>
      <c r="AI174" s="56"/>
      <c r="AK174" s="57"/>
    </row>
    <row r="175" spans="1:37" x14ac:dyDescent="0.25">
      <c r="A175" s="121" t="s">
        <v>179</v>
      </c>
      <c r="B175" s="133">
        <v>0.57999999999999996</v>
      </c>
      <c r="C175" s="134">
        <f t="shared" ref="C175:R187" si="45">B175</f>
        <v>0.57999999999999996</v>
      </c>
      <c r="D175" s="134">
        <f t="shared" si="45"/>
        <v>0.57999999999999996</v>
      </c>
      <c r="E175" s="134">
        <f t="shared" si="45"/>
        <v>0.57999999999999996</v>
      </c>
      <c r="F175" s="134">
        <f t="shared" si="45"/>
        <v>0.57999999999999996</v>
      </c>
      <c r="G175" s="134">
        <f t="shared" si="45"/>
        <v>0.57999999999999996</v>
      </c>
      <c r="H175" s="134">
        <f t="shared" si="45"/>
        <v>0.57999999999999996</v>
      </c>
      <c r="I175" s="134">
        <f t="shared" si="45"/>
        <v>0.57999999999999996</v>
      </c>
      <c r="J175" s="134">
        <f t="shared" si="45"/>
        <v>0.57999999999999996</v>
      </c>
      <c r="K175" s="134">
        <f t="shared" si="45"/>
        <v>0.57999999999999996</v>
      </c>
      <c r="L175" s="134">
        <f t="shared" si="45"/>
        <v>0.57999999999999996</v>
      </c>
      <c r="M175" s="134">
        <f t="shared" si="45"/>
        <v>0.57999999999999996</v>
      </c>
      <c r="N175" s="134">
        <f t="shared" si="45"/>
        <v>0.57999999999999996</v>
      </c>
      <c r="O175" s="134">
        <f t="shared" si="45"/>
        <v>0.57999999999999996</v>
      </c>
      <c r="P175" s="134">
        <f t="shared" si="45"/>
        <v>0.57999999999999996</v>
      </c>
      <c r="Q175" s="134">
        <f t="shared" si="45"/>
        <v>0.57999999999999996</v>
      </c>
      <c r="R175" s="134">
        <f t="shared" si="45"/>
        <v>0.57999999999999996</v>
      </c>
      <c r="S175" s="134">
        <f t="shared" ref="R175:AF187" si="46">R175</f>
        <v>0.57999999999999996</v>
      </c>
      <c r="T175" s="134">
        <f t="shared" si="46"/>
        <v>0.57999999999999996</v>
      </c>
      <c r="U175" s="134">
        <f t="shared" si="46"/>
        <v>0.57999999999999996</v>
      </c>
      <c r="V175" s="134">
        <f t="shared" si="46"/>
        <v>0.57999999999999996</v>
      </c>
      <c r="W175" s="134">
        <f t="shared" si="46"/>
        <v>0.57999999999999996</v>
      </c>
      <c r="X175" s="134">
        <f t="shared" si="46"/>
        <v>0.57999999999999996</v>
      </c>
      <c r="Y175" s="134">
        <f t="shared" si="46"/>
        <v>0.57999999999999996</v>
      </c>
      <c r="Z175" s="134">
        <f t="shared" si="46"/>
        <v>0.57999999999999996</v>
      </c>
      <c r="AA175" s="134">
        <f t="shared" si="46"/>
        <v>0.57999999999999996</v>
      </c>
      <c r="AB175" s="134">
        <f t="shared" si="46"/>
        <v>0.57999999999999996</v>
      </c>
      <c r="AC175" s="134">
        <f t="shared" si="46"/>
        <v>0.57999999999999996</v>
      </c>
      <c r="AD175" s="134">
        <f t="shared" si="46"/>
        <v>0.57999999999999996</v>
      </c>
      <c r="AE175" s="134">
        <f t="shared" si="46"/>
        <v>0.57999999999999996</v>
      </c>
      <c r="AF175" s="134">
        <f t="shared" si="46"/>
        <v>0.57999999999999996</v>
      </c>
      <c r="AG175" s="136">
        <v>1.8</v>
      </c>
      <c r="AH175" s="55"/>
      <c r="AI175" s="56"/>
      <c r="AK175" s="57"/>
    </row>
    <row r="176" spans="1:37" x14ac:dyDescent="0.25">
      <c r="A176" s="121" t="s">
        <v>180</v>
      </c>
      <c r="B176" s="133">
        <v>0.8</v>
      </c>
      <c r="C176" s="134">
        <f t="shared" si="45"/>
        <v>0.8</v>
      </c>
      <c r="D176" s="134">
        <f t="shared" si="45"/>
        <v>0.8</v>
      </c>
      <c r="E176" s="134">
        <f t="shared" si="45"/>
        <v>0.8</v>
      </c>
      <c r="F176" s="134">
        <f t="shared" si="45"/>
        <v>0.8</v>
      </c>
      <c r="G176" s="134">
        <f t="shared" si="45"/>
        <v>0.8</v>
      </c>
      <c r="H176" s="134">
        <f t="shared" si="45"/>
        <v>0.8</v>
      </c>
      <c r="I176" s="134">
        <f t="shared" si="45"/>
        <v>0.8</v>
      </c>
      <c r="J176" s="134">
        <f t="shared" si="45"/>
        <v>0.8</v>
      </c>
      <c r="K176" s="134">
        <f t="shared" si="45"/>
        <v>0.8</v>
      </c>
      <c r="L176" s="134">
        <f t="shared" si="45"/>
        <v>0.8</v>
      </c>
      <c r="M176" s="134">
        <f t="shared" si="45"/>
        <v>0.8</v>
      </c>
      <c r="N176" s="134">
        <f t="shared" si="45"/>
        <v>0.8</v>
      </c>
      <c r="O176" s="134">
        <f t="shared" si="45"/>
        <v>0.8</v>
      </c>
      <c r="P176" s="134">
        <f t="shared" si="45"/>
        <v>0.8</v>
      </c>
      <c r="Q176" s="134">
        <f t="shared" si="45"/>
        <v>0.8</v>
      </c>
      <c r="R176" s="134">
        <f t="shared" si="45"/>
        <v>0.8</v>
      </c>
      <c r="S176" s="134">
        <f t="shared" si="46"/>
        <v>0.8</v>
      </c>
      <c r="T176" s="134">
        <f t="shared" si="46"/>
        <v>0.8</v>
      </c>
      <c r="U176" s="134">
        <f t="shared" si="46"/>
        <v>0.8</v>
      </c>
      <c r="V176" s="134">
        <f t="shared" si="46"/>
        <v>0.8</v>
      </c>
      <c r="W176" s="134">
        <f t="shared" si="46"/>
        <v>0.8</v>
      </c>
      <c r="X176" s="134">
        <f t="shared" si="46"/>
        <v>0.8</v>
      </c>
      <c r="Y176" s="134">
        <f t="shared" si="46"/>
        <v>0.8</v>
      </c>
      <c r="Z176" s="134">
        <f t="shared" si="46"/>
        <v>0.8</v>
      </c>
      <c r="AA176" s="134">
        <f t="shared" si="46"/>
        <v>0.8</v>
      </c>
      <c r="AB176" s="134">
        <f t="shared" si="46"/>
        <v>0.8</v>
      </c>
      <c r="AC176" s="134">
        <f t="shared" si="46"/>
        <v>0.8</v>
      </c>
      <c r="AD176" s="134">
        <f t="shared" si="46"/>
        <v>0.8</v>
      </c>
      <c r="AE176" s="134">
        <f t="shared" si="46"/>
        <v>0.8</v>
      </c>
      <c r="AF176" s="134">
        <f t="shared" si="46"/>
        <v>0.8</v>
      </c>
      <c r="AG176" s="136">
        <v>1.65</v>
      </c>
      <c r="AH176" s="55"/>
      <c r="AI176" s="56"/>
      <c r="AK176" s="57"/>
    </row>
    <row r="177" spans="1:37" x14ac:dyDescent="0.25">
      <c r="A177" s="121" t="s">
        <v>181</v>
      </c>
      <c r="B177" s="133">
        <v>0</v>
      </c>
      <c r="C177" s="134">
        <f t="shared" si="45"/>
        <v>0</v>
      </c>
      <c r="D177" s="134">
        <f t="shared" si="45"/>
        <v>0</v>
      </c>
      <c r="E177" s="134">
        <f t="shared" si="45"/>
        <v>0</v>
      </c>
      <c r="F177" s="134">
        <f t="shared" si="45"/>
        <v>0</v>
      </c>
      <c r="G177" s="134">
        <f t="shared" si="45"/>
        <v>0</v>
      </c>
      <c r="H177" s="134">
        <f t="shared" si="45"/>
        <v>0</v>
      </c>
      <c r="I177" s="134">
        <f t="shared" si="45"/>
        <v>0</v>
      </c>
      <c r="J177" s="134">
        <f t="shared" si="45"/>
        <v>0</v>
      </c>
      <c r="K177" s="134">
        <f t="shared" si="45"/>
        <v>0</v>
      </c>
      <c r="L177" s="134">
        <f t="shared" si="45"/>
        <v>0</v>
      </c>
      <c r="M177" s="134">
        <f t="shared" si="45"/>
        <v>0</v>
      </c>
      <c r="N177" s="134">
        <f t="shared" si="45"/>
        <v>0</v>
      </c>
      <c r="O177" s="134">
        <f t="shared" si="45"/>
        <v>0</v>
      </c>
      <c r="P177" s="134">
        <f t="shared" si="45"/>
        <v>0</v>
      </c>
      <c r="Q177" s="134">
        <f t="shared" si="45"/>
        <v>0</v>
      </c>
      <c r="R177" s="134">
        <f t="shared" si="45"/>
        <v>0</v>
      </c>
      <c r="S177" s="134">
        <f t="shared" si="46"/>
        <v>0</v>
      </c>
      <c r="T177" s="134">
        <f t="shared" si="46"/>
        <v>0</v>
      </c>
      <c r="U177" s="134">
        <f t="shared" si="46"/>
        <v>0</v>
      </c>
      <c r="V177" s="134">
        <f t="shared" si="46"/>
        <v>0</v>
      </c>
      <c r="W177" s="134">
        <f t="shared" si="46"/>
        <v>0</v>
      </c>
      <c r="X177" s="134">
        <f t="shared" si="46"/>
        <v>0</v>
      </c>
      <c r="Y177" s="134">
        <f t="shared" si="46"/>
        <v>0</v>
      </c>
      <c r="Z177" s="134">
        <f t="shared" si="46"/>
        <v>0</v>
      </c>
      <c r="AA177" s="134">
        <f t="shared" si="46"/>
        <v>0</v>
      </c>
      <c r="AB177" s="134">
        <f t="shared" si="46"/>
        <v>0</v>
      </c>
      <c r="AC177" s="134">
        <f t="shared" si="46"/>
        <v>0</v>
      </c>
      <c r="AD177" s="134">
        <f t="shared" si="46"/>
        <v>0</v>
      </c>
      <c r="AE177" s="134">
        <f t="shared" si="46"/>
        <v>0</v>
      </c>
      <c r="AF177" s="134">
        <f t="shared" si="46"/>
        <v>0</v>
      </c>
      <c r="AG177" s="136">
        <v>1.5</v>
      </c>
      <c r="AH177" s="55"/>
      <c r="AI177" s="56"/>
      <c r="AK177" s="57"/>
    </row>
    <row r="178" spans="1:37" x14ac:dyDescent="0.25">
      <c r="A178" s="121" t="s">
        <v>182</v>
      </c>
      <c r="B178" s="133">
        <v>0.6</v>
      </c>
      <c r="C178" s="134">
        <f t="shared" si="45"/>
        <v>0.6</v>
      </c>
      <c r="D178" s="134">
        <f t="shared" si="45"/>
        <v>0.6</v>
      </c>
      <c r="E178" s="134">
        <f t="shared" si="45"/>
        <v>0.6</v>
      </c>
      <c r="F178" s="134">
        <f t="shared" si="45"/>
        <v>0.6</v>
      </c>
      <c r="G178" s="134">
        <f t="shared" si="45"/>
        <v>0.6</v>
      </c>
      <c r="H178" s="134">
        <f t="shared" si="45"/>
        <v>0.6</v>
      </c>
      <c r="I178" s="134">
        <f t="shared" si="45"/>
        <v>0.6</v>
      </c>
      <c r="J178" s="134">
        <f t="shared" si="45"/>
        <v>0.6</v>
      </c>
      <c r="K178" s="134">
        <f t="shared" si="45"/>
        <v>0.6</v>
      </c>
      <c r="L178" s="134">
        <f t="shared" si="45"/>
        <v>0.6</v>
      </c>
      <c r="M178" s="134">
        <f t="shared" si="45"/>
        <v>0.6</v>
      </c>
      <c r="N178" s="134">
        <f t="shared" si="45"/>
        <v>0.6</v>
      </c>
      <c r="O178" s="134">
        <f t="shared" si="45"/>
        <v>0.6</v>
      </c>
      <c r="P178" s="134">
        <f t="shared" si="45"/>
        <v>0.6</v>
      </c>
      <c r="Q178" s="134">
        <f t="shared" si="45"/>
        <v>0.6</v>
      </c>
      <c r="R178" s="134">
        <f t="shared" si="45"/>
        <v>0.6</v>
      </c>
      <c r="S178" s="134">
        <f t="shared" si="46"/>
        <v>0.6</v>
      </c>
      <c r="T178" s="134">
        <f t="shared" si="46"/>
        <v>0.6</v>
      </c>
      <c r="U178" s="134">
        <f t="shared" si="46"/>
        <v>0.6</v>
      </c>
      <c r="V178" s="134">
        <f t="shared" si="46"/>
        <v>0.6</v>
      </c>
      <c r="W178" s="134">
        <f t="shared" si="46"/>
        <v>0.6</v>
      </c>
      <c r="X178" s="134">
        <f t="shared" si="46"/>
        <v>0.6</v>
      </c>
      <c r="Y178" s="134">
        <f t="shared" si="46"/>
        <v>0.6</v>
      </c>
      <c r="Z178" s="134">
        <f t="shared" si="46"/>
        <v>0.6</v>
      </c>
      <c r="AA178" s="134">
        <f t="shared" si="46"/>
        <v>0.6</v>
      </c>
      <c r="AB178" s="134">
        <f t="shared" si="46"/>
        <v>0.6</v>
      </c>
      <c r="AC178" s="134">
        <f t="shared" si="46"/>
        <v>0.6</v>
      </c>
      <c r="AD178" s="134">
        <f t="shared" si="46"/>
        <v>0.6</v>
      </c>
      <c r="AE178" s="134">
        <f t="shared" si="46"/>
        <v>0.6</v>
      </c>
      <c r="AF178" s="134">
        <f t="shared" si="46"/>
        <v>0.6</v>
      </c>
      <c r="AG178" s="136">
        <v>0.998</v>
      </c>
      <c r="AH178" s="55"/>
      <c r="AI178" s="56"/>
      <c r="AK178" s="57"/>
    </row>
    <row r="179" spans="1:37" x14ac:dyDescent="0.25">
      <c r="A179" s="121" t="s">
        <v>183</v>
      </c>
      <c r="B179" s="133">
        <v>0.6</v>
      </c>
      <c r="C179" s="134">
        <f t="shared" si="45"/>
        <v>0.6</v>
      </c>
      <c r="D179" s="134">
        <f t="shared" si="45"/>
        <v>0.6</v>
      </c>
      <c r="E179" s="134">
        <f t="shared" si="45"/>
        <v>0.6</v>
      </c>
      <c r="F179" s="134">
        <f t="shared" si="45"/>
        <v>0.6</v>
      </c>
      <c r="G179" s="134">
        <f t="shared" si="45"/>
        <v>0.6</v>
      </c>
      <c r="H179" s="134">
        <f t="shared" si="45"/>
        <v>0.6</v>
      </c>
      <c r="I179" s="134">
        <f t="shared" si="45"/>
        <v>0.6</v>
      </c>
      <c r="J179" s="134">
        <f t="shared" si="45"/>
        <v>0.6</v>
      </c>
      <c r="K179" s="134">
        <f t="shared" si="45"/>
        <v>0.6</v>
      </c>
      <c r="L179" s="134">
        <f t="shared" si="45"/>
        <v>0.6</v>
      </c>
      <c r="M179" s="134">
        <f t="shared" si="45"/>
        <v>0.6</v>
      </c>
      <c r="N179" s="134">
        <f t="shared" si="45"/>
        <v>0.6</v>
      </c>
      <c r="O179" s="134">
        <f t="shared" si="45"/>
        <v>0.6</v>
      </c>
      <c r="P179" s="134">
        <f t="shared" si="45"/>
        <v>0.6</v>
      </c>
      <c r="Q179" s="134">
        <f t="shared" si="45"/>
        <v>0.6</v>
      </c>
      <c r="R179" s="134">
        <f t="shared" si="45"/>
        <v>0.6</v>
      </c>
      <c r="S179" s="134">
        <f t="shared" si="46"/>
        <v>0.6</v>
      </c>
      <c r="T179" s="134">
        <f t="shared" si="46"/>
        <v>0.6</v>
      </c>
      <c r="U179" s="134">
        <f t="shared" si="46"/>
        <v>0.6</v>
      </c>
      <c r="V179" s="134">
        <f t="shared" si="46"/>
        <v>0.6</v>
      </c>
      <c r="W179" s="134">
        <f t="shared" si="46"/>
        <v>0.6</v>
      </c>
      <c r="X179" s="134">
        <f t="shared" si="46"/>
        <v>0.6</v>
      </c>
      <c r="Y179" s="134">
        <f t="shared" si="46"/>
        <v>0.6</v>
      </c>
      <c r="Z179" s="134">
        <f t="shared" si="46"/>
        <v>0.6</v>
      </c>
      <c r="AA179" s="134">
        <f t="shared" si="46"/>
        <v>0.6</v>
      </c>
      <c r="AB179" s="134">
        <f t="shared" si="46"/>
        <v>0.6</v>
      </c>
      <c r="AC179" s="134">
        <f t="shared" si="46"/>
        <v>0.6</v>
      </c>
      <c r="AD179" s="134">
        <f t="shared" si="46"/>
        <v>0.6</v>
      </c>
      <c r="AE179" s="134">
        <f t="shared" si="46"/>
        <v>0.6</v>
      </c>
      <c r="AF179" s="134">
        <f t="shared" si="46"/>
        <v>0.6</v>
      </c>
      <c r="AG179" s="136">
        <v>0.997</v>
      </c>
      <c r="AH179" s="55"/>
      <c r="AI179" s="56"/>
      <c r="AK179" s="57"/>
    </row>
    <row r="180" spans="1:37" x14ac:dyDescent="0.25">
      <c r="A180" s="121" t="s">
        <v>184</v>
      </c>
      <c r="B180" s="133">
        <v>0.35</v>
      </c>
      <c r="C180" s="134">
        <f t="shared" si="45"/>
        <v>0.35</v>
      </c>
      <c r="D180" s="134">
        <f t="shared" si="45"/>
        <v>0.35</v>
      </c>
      <c r="E180" s="134">
        <f t="shared" si="45"/>
        <v>0.35</v>
      </c>
      <c r="F180" s="134">
        <f t="shared" si="45"/>
        <v>0.35</v>
      </c>
      <c r="G180" s="134">
        <f t="shared" si="45"/>
        <v>0.35</v>
      </c>
      <c r="H180" s="134">
        <f t="shared" si="45"/>
        <v>0.35</v>
      </c>
      <c r="I180" s="134">
        <f t="shared" si="45"/>
        <v>0.35</v>
      </c>
      <c r="J180" s="134">
        <f t="shared" si="45"/>
        <v>0.35</v>
      </c>
      <c r="K180" s="134">
        <f t="shared" si="45"/>
        <v>0.35</v>
      </c>
      <c r="L180" s="134">
        <f t="shared" si="45"/>
        <v>0.35</v>
      </c>
      <c r="M180" s="134">
        <f t="shared" si="45"/>
        <v>0.35</v>
      </c>
      <c r="N180" s="134">
        <f t="shared" si="45"/>
        <v>0.35</v>
      </c>
      <c r="O180" s="134">
        <f t="shared" si="45"/>
        <v>0.35</v>
      </c>
      <c r="P180" s="134">
        <f t="shared" si="45"/>
        <v>0.35</v>
      </c>
      <c r="Q180" s="134">
        <f t="shared" si="45"/>
        <v>0.35</v>
      </c>
      <c r="R180" s="134">
        <f t="shared" si="45"/>
        <v>0.35</v>
      </c>
      <c r="S180" s="134">
        <f t="shared" si="46"/>
        <v>0.35</v>
      </c>
      <c r="T180" s="134">
        <f t="shared" si="46"/>
        <v>0.35</v>
      </c>
      <c r="U180" s="134">
        <f t="shared" si="46"/>
        <v>0.35</v>
      </c>
      <c r="V180" s="134">
        <f t="shared" si="46"/>
        <v>0.35</v>
      </c>
      <c r="W180" s="134">
        <f t="shared" si="46"/>
        <v>0.35</v>
      </c>
      <c r="X180" s="134">
        <f t="shared" si="46"/>
        <v>0.35</v>
      </c>
      <c r="Y180" s="134">
        <f t="shared" si="46"/>
        <v>0.35</v>
      </c>
      <c r="Z180" s="134">
        <f t="shared" si="46"/>
        <v>0.35</v>
      </c>
      <c r="AA180" s="134">
        <f t="shared" si="46"/>
        <v>0.35</v>
      </c>
      <c r="AB180" s="134">
        <f t="shared" si="46"/>
        <v>0.35</v>
      </c>
      <c r="AC180" s="134">
        <f t="shared" si="46"/>
        <v>0.35</v>
      </c>
      <c r="AD180" s="134">
        <f t="shared" si="46"/>
        <v>0.35</v>
      </c>
      <c r="AE180" s="134">
        <f t="shared" si="46"/>
        <v>0.35</v>
      </c>
      <c r="AF180" s="134">
        <f t="shared" si="46"/>
        <v>0.35</v>
      </c>
      <c r="AG180" s="136">
        <v>0.997</v>
      </c>
      <c r="AH180" s="55"/>
      <c r="AI180" s="56"/>
      <c r="AK180" s="57"/>
    </row>
    <row r="181" spans="1:37" x14ac:dyDescent="0.25">
      <c r="A181" s="121" t="s">
        <v>185</v>
      </c>
      <c r="B181" s="133">
        <v>0.28999999999999998</v>
      </c>
      <c r="C181" s="134">
        <f t="shared" si="45"/>
        <v>0.28999999999999998</v>
      </c>
      <c r="D181" s="134">
        <f t="shared" si="45"/>
        <v>0.28999999999999998</v>
      </c>
      <c r="E181" s="134">
        <f t="shared" si="45"/>
        <v>0.28999999999999998</v>
      </c>
      <c r="F181" s="134">
        <f t="shared" si="45"/>
        <v>0.28999999999999998</v>
      </c>
      <c r="G181" s="134">
        <f t="shared" si="45"/>
        <v>0.28999999999999998</v>
      </c>
      <c r="H181" s="134">
        <f t="shared" si="45"/>
        <v>0.28999999999999998</v>
      </c>
      <c r="I181" s="134">
        <f t="shared" si="45"/>
        <v>0.28999999999999998</v>
      </c>
      <c r="J181" s="134">
        <f t="shared" si="45"/>
        <v>0.28999999999999998</v>
      </c>
      <c r="K181" s="134">
        <f t="shared" si="45"/>
        <v>0.28999999999999998</v>
      </c>
      <c r="L181" s="134">
        <f t="shared" si="45"/>
        <v>0.28999999999999998</v>
      </c>
      <c r="M181" s="134">
        <f t="shared" si="45"/>
        <v>0.28999999999999998</v>
      </c>
      <c r="N181" s="134">
        <f t="shared" si="45"/>
        <v>0.28999999999999998</v>
      </c>
      <c r="O181" s="134">
        <f t="shared" si="45"/>
        <v>0.28999999999999998</v>
      </c>
      <c r="P181" s="134">
        <f t="shared" si="45"/>
        <v>0.28999999999999998</v>
      </c>
      <c r="Q181" s="134">
        <f t="shared" si="45"/>
        <v>0.28999999999999998</v>
      </c>
      <c r="R181" s="134">
        <f t="shared" si="45"/>
        <v>0.28999999999999998</v>
      </c>
      <c r="S181" s="134">
        <f t="shared" si="46"/>
        <v>0.28999999999999998</v>
      </c>
      <c r="T181" s="134">
        <f t="shared" si="46"/>
        <v>0.28999999999999998</v>
      </c>
      <c r="U181" s="134">
        <f t="shared" si="46"/>
        <v>0.28999999999999998</v>
      </c>
      <c r="V181" s="134">
        <f t="shared" si="46"/>
        <v>0.28999999999999998</v>
      </c>
      <c r="W181" s="134">
        <f t="shared" si="46"/>
        <v>0.28999999999999998</v>
      </c>
      <c r="X181" s="134">
        <f t="shared" si="46"/>
        <v>0.28999999999999998</v>
      </c>
      <c r="Y181" s="134">
        <f t="shared" si="46"/>
        <v>0.28999999999999998</v>
      </c>
      <c r="Z181" s="134">
        <f t="shared" si="46"/>
        <v>0.28999999999999998</v>
      </c>
      <c r="AA181" s="134">
        <f t="shared" si="46"/>
        <v>0.28999999999999998</v>
      </c>
      <c r="AB181" s="134">
        <f t="shared" si="46"/>
        <v>0.28999999999999998</v>
      </c>
      <c r="AC181" s="134">
        <f t="shared" si="46"/>
        <v>0.28999999999999998</v>
      </c>
      <c r="AD181" s="134">
        <f t="shared" si="46"/>
        <v>0.28999999999999998</v>
      </c>
      <c r="AE181" s="134">
        <f t="shared" si="46"/>
        <v>0.28999999999999998</v>
      </c>
      <c r="AF181" s="134">
        <f t="shared" si="46"/>
        <v>0.28999999999999998</v>
      </c>
      <c r="AG181" s="136">
        <v>0.996</v>
      </c>
      <c r="AH181" s="55"/>
      <c r="AI181" s="56"/>
      <c r="AK181" s="57"/>
    </row>
    <row r="182" spans="1:37" x14ac:dyDescent="0.25">
      <c r="A182" s="121" t="s">
        <v>186</v>
      </c>
      <c r="B182" s="133">
        <v>0.06</v>
      </c>
      <c r="C182" s="134">
        <f t="shared" si="45"/>
        <v>0.06</v>
      </c>
      <c r="D182" s="134">
        <f t="shared" si="45"/>
        <v>0.06</v>
      </c>
      <c r="E182" s="134">
        <f t="shared" si="45"/>
        <v>0.06</v>
      </c>
      <c r="F182" s="134">
        <f t="shared" si="45"/>
        <v>0.06</v>
      </c>
      <c r="G182" s="134">
        <f t="shared" si="45"/>
        <v>0.06</v>
      </c>
      <c r="H182" s="134">
        <f t="shared" si="45"/>
        <v>0.06</v>
      </c>
      <c r="I182" s="134">
        <f t="shared" si="45"/>
        <v>0.06</v>
      </c>
      <c r="J182" s="134">
        <f t="shared" si="45"/>
        <v>0.06</v>
      </c>
      <c r="K182" s="134">
        <f t="shared" si="45"/>
        <v>0.06</v>
      </c>
      <c r="L182" s="134">
        <f t="shared" si="45"/>
        <v>0.06</v>
      </c>
      <c r="M182" s="134">
        <f t="shared" si="45"/>
        <v>0.06</v>
      </c>
      <c r="N182" s="134">
        <f t="shared" si="45"/>
        <v>0.06</v>
      </c>
      <c r="O182" s="134">
        <f t="shared" si="45"/>
        <v>0.06</v>
      </c>
      <c r="P182" s="134">
        <f t="shared" si="45"/>
        <v>0.06</v>
      </c>
      <c r="Q182" s="134">
        <f t="shared" si="45"/>
        <v>0.06</v>
      </c>
      <c r="R182" s="134">
        <f t="shared" si="45"/>
        <v>0.06</v>
      </c>
      <c r="S182" s="134">
        <f t="shared" si="46"/>
        <v>0.06</v>
      </c>
      <c r="T182" s="134">
        <f t="shared" si="46"/>
        <v>0.06</v>
      </c>
      <c r="U182" s="134">
        <f t="shared" si="46"/>
        <v>0.06</v>
      </c>
      <c r="V182" s="134">
        <f t="shared" si="46"/>
        <v>0.06</v>
      </c>
      <c r="W182" s="134">
        <f t="shared" si="46"/>
        <v>0.06</v>
      </c>
      <c r="X182" s="134">
        <f t="shared" si="46"/>
        <v>0.06</v>
      </c>
      <c r="Y182" s="134">
        <f t="shared" si="46"/>
        <v>0.06</v>
      </c>
      <c r="Z182" s="134">
        <f t="shared" si="46"/>
        <v>0.06</v>
      </c>
      <c r="AA182" s="134">
        <f t="shared" si="46"/>
        <v>0.06</v>
      </c>
      <c r="AB182" s="134">
        <f t="shared" si="46"/>
        <v>0.06</v>
      </c>
      <c r="AC182" s="134">
        <f t="shared" si="46"/>
        <v>0.06</v>
      </c>
      <c r="AD182" s="134">
        <f t="shared" si="46"/>
        <v>0.06</v>
      </c>
      <c r="AE182" s="134">
        <f t="shared" si="46"/>
        <v>0.06</v>
      </c>
      <c r="AF182" s="134">
        <f t="shared" si="46"/>
        <v>0.06</v>
      </c>
      <c r="AG182" s="136">
        <v>0.996</v>
      </c>
      <c r="AH182" s="55"/>
      <c r="AI182" s="56"/>
      <c r="AK182" s="57"/>
    </row>
    <row r="183" spans="1:37" x14ac:dyDescent="0.25">
      <c r="A183" s="121" t="s">
        <v>187</v>
      </c>
      <c r="B183" s="133">
        <v>0.11</v>
      </c>
      <c r="C183" s="134">
        <f t="shared" si="45"/>
        <v>0.11</v>
      </c>
      <c r="D183" s="134">
        <f t="shared" si="45"/>
        <v>0.11</v>
      </c>
      <c r="E183" s="134">
        <f t="shared" si="45"/>
        <v>0.11</v>
      </c>
      <c r="F183" s="134">
        <f t="shared" si="45"/>
        <v>0.11</v>
      </c>
      <c r="G183" s="134">
        <f t="shared" si="45"/>
        <v>0.11</v>
      </c>
      <c r="H183" s="134">
        <f t="shared" si="45"/>
        <v>0.11</v>
      </c>
      <c r="I183" s="134">
        <f t="shared" si="45"/>
        <v>0.11</v>
      </c>
      <c r="J183" s="134">
        <f t="shared" si="45"/>
        <v>0.11</v>
      </c>
      <c r="K183" s="134">
        <f t="shared" si="45"/>
        <v>0.11</v>
      </c>
      <c r="L183" s="134">
        <f t="shared" si="45"/>
        <v>0.11</v>
      </c>
      <c r="M183" s="134">
        <f t="shared" si="45"/>
        <v>0.11</v>
      </c>
      <c r="N183" s="134">
        <f t="shared" si="45"/>
        <v>0.11</v>
      </c>
      <c r="O183" s="134">
        <f t="shared" si="45"/>
        <v>0.11</v>
      </c>
      <c r="P183" s="134">
        <f t="shared" si="45"/>
        <v>0.11</v>
      </c>
      <c r="Q183" s="134">
        <f t="shared" si="45"/>
        <v>0.11</v>
      </c>
      <c r="R183" s="134">
        <f t="shared" si="45"/>
        <v>0.11</v>
      </c>
      <c r="S183" s="134">
        <f t="shared" si="46"/>
        <v>0.11</v>
      </c>
      <c r="T183" s="134">
        <f t="shared" si="46"/>
        <v>0.11</v>
      </c>
      <c r="U183" s="134">
        <f t="shared" si="46"/>
        <v>0.11</v>
      </c>
      <c r="V183" s="134">
        <f t="shared" si="46"/>
        <v>0.11</v>
      </c>
      <c r="W183" s="134">
        <f t="shared" si="46"/>
        <v>0.11</v>
      </c>
      <c r="X183" s="134">
        <f t="shared" si="46"/>
        <v>0.11</v>
      </c>
      <c r="Y183" s="134">
        <f t="shared" si="46"/>
        <v>0.11</v>
      </c>
      <c r="Z183" s="134">
        <f t="shared" si="46"/>
        <v>0.11</v>
      </c>
      <c r="AA183" s="134">
        <f t="shared" si="46"/>
        <v>0.11</v>
      </c>
      <c r="AB183" s="134">
        <f t="shared" si="46"/>
        <v>0.11</v>
      </c>
      <c r="AC183" s="134">
        <f t="shared" si="46"/>
        <v>0.11</v>
      </c>
      <c r="AD183" s="134">
        <f t="shared" si="46"/>
        <v>0.11</v>
      </c>
      <c r="AE183" s="134">
        <f t="shared" si="46"/>
        <v>0.11</v>
      </c>
      <c r="AF183" s="134">
        <f t="shared" si="46"/>
        <v>0.11</v>
      </c>
      <c r="AG183" s="136">
        <v>0.996</v>
      </c>
      <c r="AH183" s="55"/>
      <c r="AI183" s="56"/>
      <c r="AK183" s="57"/>
    </row>
    <row r="184" spans="1:37" x14ac:dyDescent="0.25">
      <c r="A184" s="121" t="s">
        <v>188</v>
      </c>
      <c r="B184" s="133">
        <v>0.1</v>
      </c>
      <c r="C184" s="134">
        <f t="shared" si="45"/>
        <v>0.1</v>
      </c>
      <c r="D184" s="134">
        <f t="shared" si="45"/>
        <v>0.1</v>
      </c>
      <c r="E184" s="134">
        <f t="shared" si="45"/>
        <v>0.1</v>
      </c>
      <c r="F184" s="134">
        <f t="shared" si="45"/>
        <v>0.1</v>
      </c>
      <c r="G184" s="134">
        <f t="shared" si="45"/>
        <v>0.1</v>
      </c>
      <c r="H184" s="134">
        <f t="shared" si="45"/>
        <v>0.1</v>
      </c>
      <c r="I184" s="134">
        <f t="shared" si="45"/>
        <v>0.1</v>
      </c>
      <c r="J184" s="134">
        <f t="shared" si="45"/>
        <v>0.1</v>
      </c>
      <c r="K184" s="134">
        <f t="shared" si="45"/>
        <v>0.1</v>
      </c>
      <c r="L184" s="134">
        <f t="shared" si="45"/>
        <v>0.1</v>
      </c>
      <c r="M184" s="134">
        <f t="shared" si="45"/>
        <v>0.1</v>
      </c>
      <c r="N184" s="134">
        <f t="shared" si="45"/>
        <v>0.1</v>
      </c>
      <c r="O184" s="134">
        <f t="shared" si="45"/>
        <v>0.1</v>
      </c>
      <c r="P184" s="134">
        <f t="shared" si="45"/>
        <v>0.1</v>
      </c>
      <c r="Q184" s="134">
        <f t="shared" si="45"/>
        <v>0.1</v>
      </c>
      <c r="R184" s="134">
        <f t="shared" si="46"/>
        <v>0.1</v>
      </c>
      <c r="S184" s="134">
        <f t="shared" si="46"/>
        <v>0.1</v>
      </c>
      <c r="T184" s="134">
        <f t="shared" si="46"/>
        <v>0.1</v>
      </c>
      <c r="U184" s="134">
        <f t="shared" si="46"/>
        <v>0.1</v>
      </c>
      <c r="V184" s="134">
        <f t="shared" si="46"/>
        <v>0.1</v>
      </c>
      <c r="W184" s="134">
        <f t="shared" si="46"/>
        <v>0.1</v>
      </c>
      <c r="X184" s="134">
        <f t="shared" si="46"/>
        <v>0.1</v>
      </c>
      <c r="Y184" s="134">
        <f t="shared" si="46"/>
        <v>0.1</v>
      </c>
      <c r="Z184" s="134">
        <f t="shared" si="46"/>
        <v>0.1</v>
      </c>
      <c r="AA184" s="134">
        <f t="shared" si="46"/>
        <v>0.1</v>
      </c>
      <c r="AB184" s="134">
        <f t="shared" si="46"/>
        <v>0.1</v>
      </c>
      <c r="AC184" s="134">
        <f t="shared" si="46"/>
        <v>0.1</v>
      </c>
      <c r="AD184" s="134">
        <f t="shared" si="46"/>
        <v>0.1</v>
      </c>
      <c r="AE184" s="134">
        <f t="shared" si="46"/>
        <v>0.1</v>
      </c>
      <c r="AF184" s="134">
        <f t="shared" si="46"/>
        <v>0.1</v>
      </c>
      <c r="AG184" s="136">
        <v>0.995</v>
      </c>
      <c r="AH184" s="55"/>
      <c r="AI184" s="56"/>
      <c r="AK184" s="57"/>
    </row>
    <row r="185" spans="1:37" x14ac:dyDescent="0.25">
      <c r="A185" s="121" t="s">
        <v>189</v>
      </c>
      <c r="B185" s="133">
        <v>0.09</v>
      </c>
      <c r="C185" s="134">
        <f t="shared" si="45"/>
        <v>0.09</v>
      </c>
      <c r="D185" s="134">
        <f t="shared" si="45"/>
        <v>0.09</v>
      </c>
      <c r="E185" s="134">
        <f t="shared" si="45"/>
        <v>0.09</v>
      </c>
      <c r="F185" s="134">
        <f t="shared" si="45"/>
        <v>0.09</v>
      </c>
      <c r="G185" s="134">
        <f t="shared" si="45"/>
        <v>0.09</v>
      </c>
      <c r="H185" s="134">
        <f t="shared" si="45"/>
        <v>0.09</v>
      </c>
      <c r="I185" s="134">
        <f t="shared" si="45"/>
        <v>0.09</v>
      </c>
      <c r="J185" s="134">
        <f t="shared" si="45"/>
        <v>0.09</v>
      </c>
      <c r="K185" s="134">
        <f t="shared" si="45"/>
        <v>0.09</v>
      </c>
      <c r="L185" s="134">
        <f t="shared" si="45"/>
        <v>0.09</v>
      </c>
      <c r="M185" s="134">
        <f t="shared" si="45"/>
        <v>0.09</v>
      </c>
      <c r="N185" s="134">
        <f t="shared" si="45"/>
        <v>0.09</v>
      </c>
      <c r="O185" s="134">
        <f t="shared" si="45"/>
        <v>0.09</v>
      </c>
      <c r="P185" s="134">
        <f t="shared" si="45"/>
        <v>0.09</v>
      </c>
      <c r="Q185" s="134">
        <f t="shared" si="45"/>
        <v>0.09</v>
      </c>
      <c r="R185" s="134">
        <f t="shared" si="46"/>
        <v>0.09</v>
      </c>
      <c r="S185" s="134">
        <f t="shared" si="46"/>
        <v>0.09</v>
      </c>
      <c r="T185" s="134">
        <f t="shared" si="46"/>
        <v>0.09</v>
      </c>
      <c r="U185" s="134">
        <f t="shared" si="46"/>
        <v>0.09</v>
      </c>
      <c r="V185" s="134">
        <f t="shared" si="46"/>
        <v>0.09</v>
      </c>
      <c r="W185" s="134">
        <f t="shared" si="46"/>
        <v>0.09</v>
      </c>
      <c r="X185" s="134">
        <f t="shared" si="46"/>
        <v>0.09</v>
      </c>
      <c r="Y185" s="134">
        <f t="shared" si="46"/>
        <v>0.09</v>
      </c>
      <c r="Z185" s="134">
        <f t="shared" si="46"/>
        <v>0.09</v>
      </c>
      <c r="AA185" s="134">
        <f t="shared" si="46"/>
        <v>0.09</v>
      </c>
      <c r="AB185" s="134">
        <f t="shared" si="46"/>
        <v>0.09</v>
      </c>
      <c r="AC185" s="134">
        <f t="shared" si="46"/>
        <v>0.09</v>
      </c>
      <c r="AD185" s="134">
        <f t="shared" si="46"/>
        <v>0.09</v>
      </c>
      <c r="AE185" s="134">
        <f t="shared" si="46"/>
        <v>0.09</v>
      </c>
      <c r="AF185" s="134">
        <f t="shared" si="46"/>
        <v>0.09</v>
      </c>
      <c r="AG185" s="136">
        <v>0.99299999999999999</v>
      </c>
      <c r="AH185" s="55"/>
      <c r="AI185" s="56"/>
      <c r="AK185" s="57"/>
    </row>
    <row r="186" spans="1:37" x14ac:dyDescent="0.25">
      <c r="A186" s="121" t="s">
        <v>190</v>
      </c>
      <c r="B186" s="54">
        <v>0.04</v>
      </c>
      <c r="C186" s="134">
        <f t="shared" si="45"/>
        <v>0.04</v>
      </c>
      <c r="D186" s="134">
        <f t="shared" si="45"/>
        <v>0.04</v>
      </c>
      <c r="E186" s="134">
        <f t="shared" si="45"/>
        <v>0.04</v>
      </c>
      <c r="F186" s="134">
        <f t="shared" si="45"/>
        <v>0.04</v>
      </c>
      <c r="G186" s="134">
        <f t="shared" si="45"/>
        <v>0.04</v>
      </c>
      <c r="H186" s="134">
        <f t="shared" si="45"/>
        <v>0.04</v>
      </c>
      <c r="I186" s="134">
        <f t="shared" si="45"/>
        <v>0.04</v>
      </c>
      <c r="J186" s="134">
        <f t="shared" si="45"/>
        <v>0.04</v>
      </c>
      <c r="K186" s="134">
        <f t="shared" si="45"/>
        <v>0.04</v>
      </c>
      <c r="L186" s="134">
        <f t="shared" si="45"/>
        <v>0.04</v>
      </c>
      <c r="M186" s="134">
        <f t="shared" si="45"/>
        <v>0.04</v>
      </c>
      <c r="N186" s="134">
        <f t="shared" si="45"/>
        <v>0.04</v>
      </c>
      <c r="O186" s="134">
        <f t="shared" si="45"/>
        <v>0.04</v>
      </c>
      <c r="P186" s="134">
        <f t="shared" si="45"/>
        <v>0.04</v>
      </c>
      <c r="Q186" s="134">
        <f t="shared" si="45"/>
        <v>0.04</v>
      </c>
      <c r="R186" s="134">
        <f t="shared" si="46"/>
        <v>0.04</v>
      </c>
      <c r="S186" s="134">
        <f t="shared" si="46"/>
        <v>0.04</v>
      </c>
      <c r="T186" s="134">
        <f t="shared" si="46"/>
        <v>0.04</v>
      </c>
      <c r="U186" s="134">
        <f t="shared" si="46"/>
        <v>0.04</v>
      </c>
      <c r="V186" s="134">
        <f t="shared" si="46"/>
        <v>0.04</v>
      </c>
      <c r="W186" s="134">
        <f t="shared" si="46"/>
        <v>0.04</v>
      </c>
      <c r="X186" s="134">
        <f t="shared" si="46"/>
        <v>0.04</v>
      </c>
      <c r="Y186" s="134">
        <f t="shared" si="46"/>
        <v>0.04</v>
      </c>
      <c r="Z186" s="134">
        <f t="shared" si="46"/>
        <v>0.04</v>
      </c>
      <c r="AA186" s="134">
        <f t="shared" si="46"/>
        <v>0.04</v>
      </c>
      <c r="AB186" s="134">
        <f t="shared" si="46"/>
        <v>0.04</v>
      </c>
      <c r="AC186" s="134">
        <f t="shared" si="46"/>
        <v>0.04</v>
      </c>
      <c r="AD186" s="134">
        <f t="shared" si="46"/>
        <v>0.04</v>
      </c>
      <c r="AE186" s="134">
        <f t="shared" si="46"/>
        <v>0.04</v>
      </c>
      <c r="AF186" s="134">
        <f t="shared" si="46"/>
        <v>0.04</v>
      </c>
      <c r="AG186" s="136">
        <v>0.99</v>
      </c>
      <c r="AH186" s="55"/>
      <c r="AI186" s="56"/>
      <c r="AK186" s="57"/>
    </row>
    <row r="187" spans="1:37" x14ac:dyDescent="0.25">
      <c r="A187" s="121" t="s">
        <v>191</v>
      </c>
      <c r="B187" s="54">
        <v>2.3E-2</v>
      </c>
      <c r="C187" s="134">
        <f>B187</f>
        <v>2.3E-2</v>
      </c>
      <c r="D187" s="134">
        <f t="shared" si="45"/>
        <v>2.3E-2</v>
      </c>
      <c r="E187" s="134">
        <f t="shared" si="45"/>
        <v>2.3E-2</v>
      </c>
      <c r="F187" s="134">
        <f t="shared" si="45"/>
        <v>2.3E-2</v>
      </c>
      <c r="G187" s="134">
        <f t="shared" si="45"/>
        <v>2.3E-2</v>
      </c>
      <c r="H187" s="134">
        <f t="shared" si="45"/>
        <v>2.3E-2</v>
      </c>
      <c r="I187" s="134">
        <f t="shared" si="45"/>
        <v>2.3E-2</v>
      </c>
      <c r="J187" s="134">
        <f t="shared" si="45"/>
        <v>2.3E-2</v>
      </c>
      <c r="K187" s="134">
        <f t="shared" si="45"/>
        <v>2.3E-2</v>
      </c>
      <c r="L187" s="134">
        <f t="shared" si="45"/>
        <v>2.3E-2</v>
      </c>
      <c r="M187" s="134">
        <f t="shared" si="45"/>
        <v>2.3E-2</v>
      </c>
      <c r="N187" s="134">
        <f t="shared" si="45"/>
        <v>2.3E-2</v>
      </c>
      <c r="O187" s="134">
        <f t="shared" si="45"/>
        <v>2.3E-2</v>
      </c>
      <c r="P187" s="134">
        <f t="shared" si="45"/>
        <v>2.3E-2</v>
      </c>
      <c r="Q187" s="134">
        <f t="shared" si="45"/>
        <v>2.3E-2</v>
      </c>
      <c r="R187" s="134">
        <f t="shared" si="46"/>
        <v>2.3E-2</v>
      </c>
      <c r="S187" s="134">
        <f t="shared" si="46"/>
        <v>2.3E-2</v>
      </c>
      <c r="T187" s="134">
        <f t="shared" si="46"/>
        <v>2.3E-2</v>
      </c>
      <c r="U187" s="134">
        <f t="shared" si="46"/>
        <v>2.3E-2</v>
      </c>
      <c r="V187" s="134">
        <f t="shared" si="46"/>
        <v>2.3E-2</v>
      </c>
      <c r="W187" s="134">
        <f t="shared" si="46"/>
        <v>2.3E-2</v>
      </c>
      <c r="X187" s="134">
        <f t="shared" si="46"/>
        <v>2.3E-2</v>
      </c>
      <c r="Y187" s="134">
        <f t="shared" si="46"/>
        <v>2.3E-2</v>
      </c>
      <c r="Z187" s="134">
        <f t="shared" si="46"/>
        <v>2.3E-2</v>
      </c>
      <c r="AA187" s="134">
        <f t="shared" si="46"/>
        <v>2.3E-2</v>
      </c>
      <c r="AB187" s="134">
        <f t="shared" si="46"/>
        <v>2.3E-2</v>
      </c>
      <c r="AC187" s="134">
        <f t="shared" si="46"/>
        <v>2.3E-2</v>
      </c>
      <c r="AD187" s="134">
        <f t="shared" si="46"/>
        <v>2.3E-2</v>
      </c>
      <c r="AE187" s="134">
        <f t="shared" si="46"/>
        <v>2.3E-2</v>
      </c>
      <c r="AF187" s="134">
        <f t="shared" si="46"/>
        <v>2.3E-2</v>
      </c>
      <c r="AG187" s="136">
        <v>0.97899999999999998</v>
      </c>
      <c r="AH187" s="55"/>
      <c r="AI187" s="56"/>
      <c r="AK187" s="57"/>
    </row>
    <row r="188" spans="1:37" ht="15.75" thickBot="1" x14ac:dyDescent="0.3">
      <c r="A188" s="137" t="s">
        <v>192</v>
      </c>
      <c r="B188" s="138">
        <f t="shared" ref="B188:AG188" si="47">SUM(B98:B187)</f>
        <v>194.70600000000002</v>
      </c>
      <c r="C188" s="138">
        <f t="shared" si="47"/>
        <v>194.70600000000002</v>
      </c>
      <c r="D188" s="138">
        <f t="shared" si="47"/>
        <v>194.70600000000002</v>
      </c>
      <c r="E188" s="138">
        <f t="shared" si="47"/>
        <v>194.70600000000002</v>
      </c>
      <c r="F188" s="138">
        <f t="shared" si="47"/>
        <v>194.70600000000002</v>
      </c>
      <c r="G188" s="138">
        <f t="shared" si="47"/>
        <v>194.70600000000002</v>
      </c>
      <c r="H188" s="138">
        <f t="shared" si="47"/>
        <v>194.70600000000002</v>
      </c>
      <c r="I188" s="138">
        <f t="shared" si="47"/>
        <v>192.10600000000005</v>
      </c>
      <c r="J188" s="138">
        <f t="shared" si="47"/>
        <v>192.10600000000005</v>
      </c>
      <c r="K188" s="138">
        <f t="shared" si="47"/>
        <v>192.10600000000005</v>
      </c>
      <c r="L188" s="138">
        <f t="shared" si="47"/>
        <v>192.10600000000005</v>
      </c>
      <c r="M188" s="138">
        <f t="shared" si="47"/>
        <v>192.10600000000005</v>
      </c>
      <c r="N188" s="138">
        <f t="shared" si="47"/>
        <v>192.10600000000005</v>
      </c>
      <c r="O188" s="138">
        <f t="shared" si="47"/>
        <v>192.10600000000005</v>
      </c>
      <c r="P188" s="138">
        <f t="shared" si="47"/>
        <v>192.10600000000005</v>
      </c>
      <c r="Q188" s="138">
        <f t="shared" si="47"/>
        <v>192.10600000000005</v>
      </c>
      <c r="R188" s="138">
        <f t="shared" si="47"/>
        <v>192.10600000000005</v>
      </c>
      <c r="S188" s="138">
        <f t="shared" si="47"/>
        <v>192.10600000000005</v>
      </c>
      <c r="T188" s="138">
        <f t="shared" si="47"/>
        <v>192.10600000000005</v>
      </c>
      <c r="U188" s="138">
        <f t="shared" si="47"/>
        <v>192.10600000000005</v>
      </c>
      <c r="V188" s="138">
        <f t="shared" si="47"/>
        <v>192.10600000000005</v>
      </c>
      <c r="W188" s="138">
        <f t="shared" si="47"/>
        <v>192.10600000000005</v>
      </c>
      <c r="X188" s="138">
        <f t="shared" si="47"/>
        <v>192.10600000000005</v>
      </c>
      <c r="Y188" s="138">
        <f t="shared" si="47"/>
        <v>192.10600000000005</v>
      </c>
      <c r="Z188" s="138">
        <f t="shared" si="47"/>
        <v>192.10600000000005</v>
      </c>
      <c r="AA188" s="138">
        <f t="shared" si="47"/>
        <v>192.10600000000005</v>
      </c>
      <c r="AB188" s="138">
        <f t="shared" si="47"/>
        <v>192.10600000000005</v>
      </c>
      <c r="AC188" s="138">
        <f t="shared" si="47"/>
        <v>192.10600000000005</v>
      </c>
      <c r="AD188" s="138">
        <f t="shared" si="47"/>
        <v>192.10600000000005</v>
      </c>
      <c r="AE188" s="138">
        <f t="shared" si="47"/>
        <v>192.10600000000005</v>
      </c>
      <c r="AF188" s="138">
        <f t="shared" si="47"/>
        <v>192.10600000000005</v>
      </c>
      <c r="AG188" s="139">
        <f t="shared" si="47"/>
        <v>412.72299999999984</v>
      </c>
      <c r="AH188" s="55"/>
      <c r="AI188" s="56"/>
      <c r="AK188" s="57"/>
    </row>
    <row r="189" spans="1:37" ht="15.75" thickBot="1" x14ac:dyDescent="0.3">
      <c r="A189" s="28" t="s">
        <v>56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55"/>
      <c r="AI189" s="56"/>
      <c r="AK189" s="57"/>
    </row>
    <row r="190" spans="1:37" x14ac:dyDescent="0.25">
      <c r="A190" s="113" t="s">
        <v>193</v>
      </c>
      <c r="B190" s="140">
        <v>0.3</v>
      </c>
      <c r="C190" s="140">
        <f t="shared" ref="C190:R195" si="48">B190</f>
        <v>0.3</v>
      </c>
      <c r="D190" s="140">
        <f t="shared" si="48"/>
        <v>0.3</v>
      </c>
      <c r="E190" s="140">
        <f t="shared" si="48"/>
        <v>0.3</v>
      </c>
      <c r="F190" s="140">
        <f t="shared" si="48"/>
        <v>0.3</v>
      </c>
      <c r="G190" s="140">
        <f t="shared" si="48"/>
        <v>0.3</v>
      </c>
      <c r="H190" s="140">
        <f t="shared" si="48"/>
        <v>0.3</v>
      </c>
      <c r="I190" s="140">
        <f t="shared" si="48"/>
        <v>0.3</v>
      </c>
      <c r="J190" s="140">
        <f t="shared" si="48"/>
        <v>0.3</v>
      </c>
      <c r="K190" s="140">
        <f t="shared" si="48"/>
        <v>0.3</v>
      </c>
      <c r="L190" s="140">
        <f t="shared" si="48"/>
        <v>0.3</v>
      </c>
      <c r="M190" s="140">
        <f t="shared" si="48"/>
        <v>0.3</v>
      </c>
      <c r="N190" s="140">
        <f t="shared" si="48"/>
        <v>0.3</v>
      </c>
      <c r="O190" s="140">
        <f t="shared" si="48"/>
        <v>0.3</v>
      </c>
      <c r="P190" s="140">
        <f t="shared" si="48"/>
        <v>0.3</v>
      </c>
      <c r="Q190" s="140">
        <f t="shared" si="48"/>
        <v>0.3</v>
      </c>
      <c r="R190" s="140">
        <f t="shared" si="48"/>
        <v>0.3</v>
      </c>
      <c r="S190" s="140">
        <f t="shared" ref="S190:AF195" si="49">R190</f>
        <v>0.3</v>
      </c>
      <c r="T190" s="140">
        <f t="shared" si="49"/>
        <v>0.3</v>
      </c>
      <c r="U190" s="140">
        <f t="shared" si="49"/>
        <v>0.3</v>
      </c>
      <c r="V190" s="140">
        <f t="shared" si="49"/>
        <v>0.3</v>
      </c>
      <c r="W190" s="140">
        <f t="shared" si="49"/>
        <v>0.3</v>
      </c>
      <c r="X190" s="140">
        <f t="shared" si="49"/>
        <v>0.3</v>
      </c>
      <c r="Y190" s="140">
        <f t="shared" si="49"/>
        <v>0.3</v>
      </c>
      <c r="Z190" s="140">
        <f t="shared" si="49"/>
        <v>0.3</v>
      </c>
      <c r="AA190" s="140">
        <f t="shared" si="49"/>
        <v>0.3</v>
      </c>
      <c r="AB190" s="140">
        <f t="shared" si="49"/>
        <v>0.3</v>
      </c>
      <c r="AC190" s="140">
        <f t="shared" si="49"/>
        <v>0.3</v>
      </c>
      <c r="AD190" s="140">
        <f t="shared" si="49"/>
        <v>0.3</v>
      </c>
      <c r="AE190" s="140">
        <f t="shared" si="49"/>
        <v>0.3</v>
      </c>
      <c r="AF190" s="140">
        <f t="shared" si="49"/>
        <v>0.3</v>
      </c>
      <c r="AG190" s="141">
        <v>2.4</v>
      </c>
      <c r="AH190" s="55"/>
      <c r="AI190" s="56"/>
      <c r="AK190" s="57"/>
    </row>
    <row r="191" spans="1:37" x14ac:dyDescent="0.25">
      <c r="A191" s="119" t="s">
        <v>194</v>
      </c>
      <c r="B191" s="134">
        <v>0.4</v>
      </c>
      <c r="C191" s="134">
        <f t="shared" si="48"/>
        <v>0.4</v>
      </c>
      <c r="D191" s="134">
        <f t="shared" si="48"/>
        <v>0.4</v>
      </c>
      <c r="E191" s="134">
        <f t="shared" si="48"/>
        <v>0.4</v>
      </c>
      <c r="F191" s="134">
        <f t="shared" si="48"/>
        <v>0.4</v>
      </c>
      <c r="G191" s="134">
        <f t="shared" si="48"/>
        <v>0.4</v>
      </c>
      <c r="H191" s="134">
        <f t="shared" si="48"/>
        <v>0.4</v>
      </c>
      <c r="I191" s="134">
        <f t="shared" si="48"/>
        <v>0.4</v>
      </c>
      <c r="J191" s="134">
        <f t="shared" si="48"/>
        <v>0.4</v>
      </c>
      <c r="K191" s="134">
        <f t="shared" si="48"/>
        <v>0.4</v>
      </c>
      <c r="L191" s="134">
        <f t="shared" si="48"/>
        <v>0.4</v>
      </c>
      <c r="M191" s="134">
        <f t="shared" si="48"/>
        <v>0.4</v>
      </c>
      <c r="N191" s="134">
        <f t="shared" si="48"/>
        <v>0.4</v>
      </c>
      <c r="O191" s="134">
        <f t="shared" si="48"/>
        <v>0.4</v>
      </c>
      <c r="P191" s="134">
        <f t="shared" si="48"/>
        <v>0.4</v>
      </c>
      <c r="Q191" s="134">
        <f t="shared" si="48"/>
        <v>0.4</v>
      </c>
      <c r="R191" s="134">
        <f t="shared" si="48"/>
        <v>0.4</v>
      </c>
      <c r="S191" s="134">
        <f t="shared" si="49"/>
        <v>0.4</v>
      </c>
      <c r="T191" s="134">
        <f t="shared" si="49"/>
        <v>0.4</v>
      </c>
      <c r="U191" s="134">
        <f t="shared" si="49"/>
        <v>0.4</v>
      </c>
      <c r="V191" s="134">
        <f>U191</f>
        <v>0.4</v>
      </c>
      <c r="W191" s="134">
        <f>V191</f>
        <v>0.4</v>
      </c>
      <c r="X191" s="134">
        <f t="shared" si="49"/>
        <v>0.4</v>
      </c>
      <c r="Y191" s="134">
        <f t="shared" si="49"/>
        <v>0.4</v>
      </c>
      <c r="Z191" s="134">
        <f t="shared" si="49"/>
        <v>0.4</v>
      </c>
      <c r="AA191" s="134">
        <f t="shared" si="49"/>
        <v>0.4</v>
      </c>
      <c r="AB191" s="134">
        <f t="shared" si="49"/>
        <v>0.4</v>
      </c>
      <c r="AC191" s="134">
        <f t="shared" si="49"/>
        <v>0.4</v>
      </c>
      <c r="AD191" s="134">
        <f t="shared" si="49"/>
        <v>0.4</v>
      </c>
      <c r="AE191" s="134">
        <f t="shared" si="49"/>
        <v>0.4</v>
      </c>
      <c r="AF191" s="134">
        <f t="shared" si="49"/>
        <v>0.4</v>
      </c>
      <c r="AG191" s="142">
        <v>2</v>
      </c>
      <c r="AH191" s="55"/>
      <c r="AI191" s="56"/>
      <c r="AK191" s="57"/>
    </row>
    <row r="192" spans="1:37" x14ac:dyDescent="0.25">
      <c r="A192" s="119" t="s">
        <v>195</v>
      </c>
      <c r="B192" s="134">
        <v>1.5</v>
      </c>
      <c r="C192" s="134">
        <f t="shared" si="48"/>
        <v>1.5</v>
      </c>
      <c r="D192" s="134">
        <f t="shared" si="48"/>
        <v>1.5</v>
      </c>
      <c r="E192" s="134">
        <f t="shared" si="48"/>
        <v>1.5</v>
      </c>
      <c r="F192" s="134">
        <f t="shared" si="48"/>
        <v>1.5</v>
      </c>
      <c r="G192" s="134">
        <f t="shared" si="48"/>
        <v>1.5</v>
      </c>
      <c r="H192" s="134">
        <f t="shared" si="48"/>
        <v>1.5</v>
      </c>
      <c r="I192" s="134">
        <f t="shared" si="48"/>
        <v>1.5</v>
      </c>
      <c r="J192" s="134">
        <f t="shared" si="48"/>
        <v>1.5</v>
      </c>
      <c r="K192" s="134">
        <f t="shared" si="48"/>
        <v>1.5</v>
      </c>
      <c r="L192" s="134">
        <f t="shared" si="48"/>
        <v>1.5</v>
      </c>
      <c r="M192" s="134">
        <f t="shared" si="48"/>
        <v>1.5</v>
      </c>
      <c r="N192" s="134">
        <f t="shared" si="48"/>
        <v>1.5</v>
      </c>
      <c r="O192" s="134">
        <f t="shared" si="48"/>
        <v>1.5</v>
      </c>
      <c r="P192" s="134">
        <f t="shared" si="48"/>
        <v>1.5</v>
      </c>
      <c r="Q192" s="134">
        <f t="shared" si="48"/>
        <v>1.5</v>
      </c>
      <c r="R192" s="134">
        <f t="shared" si="48"/>
        <v>1.5</v>
      </c>
      <c r="S192" s="134">
        <f t="shared" si="49"/>
        <v>1.5</v>
      </c>
      <c r="T192" s="134">
        <f t="shared" si="49"/>
        <v>1.5</v>
      </c>
      <c r="U192" s="134">
        <f t="shared" si="49"/>
        <v>1.5</v>
      </c>
      <c r="V192" s="134">
        <f t="shared" si="49"/>
        <v>1.5</v>
      </c>
      <c r="W192" s="134">
        <f t="shared" si="49"/>
        <v>1.5</v>
      </c>
      <c r="X192" s="134">
        <f t="shared" si="49"/>
        <v>1.5</v>
      </c>
      <c r="Y192" s="134">
        <f t="shared" si="49"/>
        <v>1.5</v>
      </c>
      <c r="Z192" s="134">
        <f t="shared" si="49"/>
        <v>1.5</v>
      </c>
      <c r="AA192" s="134">
        <f t="shared" si="49"/>
        <v>1.5</v>
      </c>
      <c r="AB192" s="134">
        <f t="shared" si="49"/>
        <v>1.5</v>
      </c>
      <c r="AC192" s="134">
        <f t="shared" si="49"/>
        <v>1.5</v>
      </c>
      <c r="AD192" s="134">
        <f t="shared" si="49"/>
        <v>1.5</v>
      </c>
      <c r="AE192" s="134">
        <f t="shared" si="49"/>
        <v>1.5</v>
      </c>
      <c r="AF192" s="134">
        <f t="shared" si="49"/>
        <v>1.5</v>
      </c>
      <c r="AG192" s="142">
        <v>1.5</v>
      </c>
      <c r="AH192" s="55"/>
      <c r="AI192" s="56"/>
      <c r="AK192" s="57"/>
    </row>
    <row r="193" spans="1:37" x14ac:dyDescent="0.25">
      <c r="A193" s="119" t="s">
        <v>196</v>
      </c>
      <c r="B193" s="134">
        <v>0.3</v>
      </c>
      <c r="C193" s="134">
        <f t="shared" si="48"/>
        <v>0.3</v>
      </c>
      <c r="D193" s="134">
        <f t="shared" si="48"/>
        <v>0.3</v>
      </c>
      <c r="E193" s="134">
        <f t="shared" si="48"/>
        <v>0.3</v>
      </c>
      <c r="F193" s="134">
        <f t="shared" si="48"/>
        <v>0.3</v>
      </c>
      <c r="G193" s="134">
        <f t="shared" si="48"/>
        <v>0.3</v>
      </c>
      <c r="H193" s="134">
        <f t="shared" si="48"/>
        <v>0.3</v>
      </c>
      <c r="I193" s="134">
        <f t="shared" si="48"/>
        <v>0.3</v>
      </c>
      <c r="J193" s="134">
        <f t="shared" si="48"/>
        <v>0.3</v>
      </c>
      <c r="K193" s="134">
        <f t="shared" si="48"/>
        <v>0.3</v>
      </c>
      <c r="L193" s="134">
        <f t="shared" si="48"/>
        <v>0.3</v>
      </c>
      <c r="M193" s="134">
        <f t="shared" si="48"/>
        <v>0.3</v>
      </c>
      <c r="N193" s="134">
        <f t="shared" si="48"/>
        <v>0.3</v>
      </c>
      <c r="O193" s="134">
        <f t="shared" si="48"/>
        <v>0.3</v>
      </c>
      <c r="P193" s="134">
        <f t="shared" si="48"/>
        <v>0.3</v>
      </c>
      <c r="Q193" s="134">
        <f t="shared" si="48"/>
        <v>0.3</v>
      </c>
      <c r="R193" s="134">
        <f t="shared" si="48"/>
        <v>0.3</v>
      </c>
      <c r="S193" s="134">
        <f t="shared" si="49"/>
        <v>0.3</v>
      </c>
      <c r="T193" s="134">
        <f t="shared" si="49"/>
        <v>0.3</v>
      </c>
      <c r="U193" s="134">
        <f t="shared" si="49"/>
        <v>0.3</v>
      </c>
      <c r="V193" s="134">
        <f t="shared" si="49"/>
        <v>0.3</v>
      </c>
      <c r="W193" s="134">
        <f t="shared" si="49"/>
        <v>0.3</v>
      </c>
      <c r="X193" s="134">
        <f t="shared" si="49"/>
        <v>0.3</v>
      </c>
      <c r="Y193" s="134">
        <f t="shared" si="49"/>
        <v>0.3</v>
      </c>
      <c r="Z193" s="134">
        <f t="shared" si="49"/>
        <v>0.3</v>
      </c>
      <c r="AA193" s="134">
        <f t="shared" si="49"/>
        <v>0.3</v>
      </c>
      <c r="AB193" s="134">
        <f t="shared" si="49"/>
        <v>0.3</v>
      </c>
      <c r="AC193" s="134">
        <f t="shared" si="49"/>
        <v>0.3</v>
      </c>
      <c r="AD193" s="134">
        <f t="shared" si="49"/>
        <v>0.3</v>
      </c>
      <c r="AE193" s="134">
        <f t="shared" si="49"/>
        <v>0.3</v>
      </c>
      <c r="AF193" s="134">
        <f t="shared" si="49"/>
        <v>0.3</v>
      </c>
      <c r="AG193" s="142">
        <v>1</v>
      </c>
      <c r="AH193" s="55"/>
      <c r="AI193" s="56"/>
      <c r="AK193" s="57"/>
    </row>
    <row r="194" spans="1:37" x14ac:dyDescent="0.25">
      <c r="A194" s="119" t="s">
        <v>197</v>
      </c>
      <c r="B194" s="134">
        <v>0.4</v>
      </c>
      <c r="C194" s="134">
        <f t="shared" si="48"/>
        <v>0.4</v>
      </c>
      <c r="D194" s="134">
        <f t="shared" si="48"/>
        <v>0.4</v>
      </c>
      <c r="E194" s="134">
        <f t="shared" si="48"/>
        <v>0.4</v>
      </c>
      <c r="F194" s="134">
        <f t="shared" si="48"/>
        <v>0.4</v>
      </c>
      <c r="G194" s="134">
        <f t="shared" si="48"/>
        <v>0.4</v>
      </c>
      <c r="H194" s="134">
        <f t="shared" si="48"/>
        <v>0.4</v>
      </c>
      <c r="I194" s="134">
        <f t="shared" si="48"/>
        <v>0.4</v>
      </c>
      <c r="J194" s="134">
        <f t="shared" si="48"/>
        <v>0.4</v>
      </c>
      <c r="K194" s="134">
        <f t="shared" si="48"/>
        <v>0.4</v>
      </c>
      <c r="L194" s="134">
        <f t="shared" si="48"/>
        <v>0.4</v>
      </c>
      <c r="M194" s="134">
        <f t="shared" si="48"/>
        <v>0.4</v>
      </c>
      <c r="N194" s="134">
        <f t="shared" si="48"/>
        <v>0.4</v>
      </c>
      <c r="O194" s="134">
        <f t="shared" si="48"/>
        <v>0.4</v>
      </c>
      <c r="P194" s="134">
        <f t="shared" si="48"/>
        <v>0.4</v>
      </c>
      <c r="Q194" s="134">
        <f t="shared" si="48"/>
        <v>0.4</v>
      </c>
      <c r="R194" s="134">
        <f t="shared" si="48"/>
        <v>0.4</v>
      </c>
      <c r="S194" s="134">
        <f t="shared" si="49"/>
        <v>0.4</v>
      </c>
      <c r="T194" s="134">
        <f t="shared" si="49"/>
        <v>0.4</v>
      </c>
      <c r="U194" s="134">
        <f t="shared" si="49"/>
        <v>0.4</v>
      </c>
      <c r="V194" s="134">
        <f t="shared" si="49"/>
        <v>0.4</v>
      </c>
      <c r="W194" s="134">
        <f t="shared" si="49"/>
        <v>0.4</v>
      </c>
      <c r="X194" s="134">
        <f t="shared" si="49"/>
        <v>0.4</v>
      </c>
      <c r="Y194" s="134">
        <f t="shared" si="49"/>
        <v>0.4</v>
      </c>
      <c r="Z194" s="134">
        <f t="shared" si="49"/>
        <v>0.4</v>
      </c>
      <c r="AA194" s="134">
        <f t="shared" si="49"/>
        <v>0.4</v>
      </c>
      <c r="AB194" s="134">
        <f t="shared" si="49"/>
        <v>0.4</v>
      </c>
      <c r="AC194" s="134">
        <f t="shared" si="49"/>
        <v>0.4</v>
      </c>
      <c r="AD194" s="134">
        <f t="shared" si="49"/>
        <v>0.4</v>
      </c>
      <c r="AE194" s="134">
        <f t="shared" si="49"/>
        <v>0.4</v>
      </c>
      <c r="AF194" s="134">
        <f t="shared" si="49"/>
        <v>0.4</v>
      </c>
      <c r="AG194" s="142">
        <v>1</v>
      </c>
      <c r="AH194" s="55"/>
      <c r="AI194" s="56"/>
      <c r="AK194" s="57"/>
    </row>
    <row r="195" spans="1:37" ht="15.75" thickBot="1" x14ac:dyDescent="0.3">
      <c r="A195" s="121" t="s">
        <v>198</v>
      </c>
      <c r="B195" s="143">
        <v>0.64</v>
      </c>
      <c r="C195" s="143">
        <f t="shared" si="48"/>
        <v>0.64</v>
      </c>
      <c r="D195" s="143">
        <f t="shared" si="48"/>
        <v>0.64</v>
      </c>
      <c r="E195" s="143">
        <f t="shared" si="48"/>
        <v>0.64</v>
      </c>
      <c r="F195" s="143">
        <f t="shared" si="48"/>
        <v>0.64</v>
      </c>
      <c r="G195" s="143">
        <f t="shared" si="48"/>
        <v>0.64</v>
      </c>
      <c r="H195" s="143">
        <f t="shared" si="48"/>
        <v>0.64</v>
      </c>
      <c r="I195" s="143">
        <f t="shared" si="48"/>
        <v>0.64</v>
      </c>
      <c r="J195" s="143">
        <f t="shared" si="48"/>
        <v>0.64</v>
      </c>
      <c r="K195" s="143">
        <f t="shared" si="48"/>
        <v>0.64</v>
      </c>
      <c r="L195" s="143">
        <f t="shared" si="48"/>
        <v>0.64</v>
      </c>
      <c r="M195" s="143">
        <f t="shared" si="48"/>
        <v>0.64</v>
      </c>
      <c r="N195" s="143">
        <f t="shared" si="48"/>
        <v>0.64</v>
      </c>
      <c r="O195" s="143">
        <f t="shared" si="48"/>
        <v>0.64</v>
      </c>
      <c r="P195" s="143">
        <f t="shared" si="48"/>
        <v>0.64</v>
      </c>
      <c r="Q195" s="143">
        <f t="shared" si="48"/>
        <v>0.64</v>
      </c>
      <c r="R195" s="143">
        <f t="shared" si="48"/>
        <v>0.64</v>
      </c>
      <c r="S195" s="143">
        <f t="shared" si="49"/>
        <v>0.64</v>
      </c>
      <c r="T195" s="143">
        <f t="shared" si="49"/>
        <v>0.64</v>
      </c>
      <c r="U195" s="143">
        <f t="shared" si="49"/>
        <v>0.64</v>
      </c>
      <c r="V195" s="143">
        <f t="shared" si="49"/>
        <v>0.64</v>
      </c>
      <c r="W195" s="143">
        <f t="shared" si="49"/>
        <v>0.64</v>
      </c>
      <c r="X195" s="143">
        <f t="shared" si="49"/>
        <v>0.64</v>
      </c>
      <c r="Y195" s="143">
        <f t="shared" si="49"/>
        <v>0.64</v>
      </c>
      <c r="Z195" s="143">
        <f t="shared" si="49"/>
        <v>0.64</v>
      </c>
      <c r="AA195" s="143">
        <f t="shared" si="49"/>
        <v>0.64</v>
      </c>
      <c r="AB195" s="143">
        <f t="shared" si="49"/>
        <v>0.64</v>
      </c>
      <c r="AC195" s="143">
        <f t="shared" si="49"/>
        <v>0.64</v>
      </c>
      <c r="AD195" s="143">
        <f t="shared" si="49"/>
        <v>0.64</v>
      </c>
      <c r="AE195" s="143">
        <f t="shared" si="49"/>
        <v>0.64</v>
      </c>
      <c r="AF195" s="143">
        <f t="shared" si="49"/>
        <v>0.64</v>
      </c>
      <c r="AG195" s="144">
        <v>0.66</v>
      </c>
      <c r="AH195" s="55"/>
      <c r="AI195" s="56"/>
    </row>
    <row r="196" spans="1:37" ht="15.75" thickBot="1" x14ac:dyDescent="0.3">
      <c r="A196" s="145" t="s">
        <v>56</v>
      </c>
      <c r="B196" s="146">
        <f>SUM(B190:B195)</f>
        <v>3.54</v>
      </c>
      <c r="C196" s="146">
        <f t="shared" ref="C196:K196" si="50">SUM(C190:C195)</f>
        <v>3.54</v>
      </c>
      <c r="D196" s="146">
        <f t="shared" si="50"/>
        <v>3.54</v>
      </c>
      <c r="E196" s="146">
        <f t="shared" si="50"/>
        <v>3.54</v>
      </c>
      <c r="F196" s="146">
        <f t="shared" si="50"/>
        <v>3.54</v>
      </c>
      <c r="G196" s="146">
        <f t="shared" si="50"/>
        <v>3.54</v>
      </c>
      <c r="H196" s="146">
        <f t="shared" si="50"/>
        <v>3.54</v>
      </c>
      <c r="I196" s="146">
        <f t="shared" si="50"/>
        <v>3.54</v>
      </c>
      <c r="J196" s="146">
        <f t="shared" si="50"/>
        <v>3.54</v>
      </c>
      <c r="K196" s="146">
        <f t="shared" si="50"/>
        <v>3.54</v>
      </c>
      <c r="L196" s="146">
        <f>SUM(L190:L195)</f>
        <v>3.54</v>
      </c>
      <c r="M196" s="146">
        <f t="shared" ref="M196:R196" si="51">SUM(M190:M195)</f>
        <v>3.54</v>
      </c>
      <c r="N196" s="146">
        <f t="shared" si="51"/>
        <v>3.54</v>
      </c>
      <c r="O196" s="146">
        <f t="shared" si="51"/>
        <v>3.54</v>
      </c>
      <c r="P196" s="146">
        <f t="shared" si="51"/>
        <v>3.54</v>
      </c>
      <c r="Q196" s="146">
        <f t="shared" si="51"/>
        <v>3.54</v>
      </c>
      <c r="R196" s="146">
        <f t="shared" si="51"/>
        <v>3.54</v>
      </c>
      <c r="S196" s="146">
        <f>SUM(S190:S195)</f>
        <v>3.54</v>
      </c>
      <c r="T196" s="146">
        <f t="shared" ref="T196:AG196" si="52">SUM(T190:T195)</f>
        <v>3.54</v>
      </c>
      <c r="U196" s="146">
        <f t="shared" si="52"/>
        <v>3.54</v>
      </c>
      <c r="V196" s="146">
        <f t="shared" si="52"/>
        <v>3.54</v>
      </c>
      <c r="W196" s="146">
        <f t="shared" si="52"/>
        <v>3.54</v>
      </c>
      <c r="X196" s="146">
        <f t="shared" si="52"/>
        <v>3.54</v>
      </c>
      <c r="Y196" s="146">
        <f t="shared" si="52"/>
        <v>3.54</v>
      </c>
      <c r="Z196" s="146">
        <f t="shared" si="52"/>
        <v>3.54</v>
      </c>
      <c r="AA196" s="146">
        <f t="shared" si="52"/>
        <v>3.54</v>
      </c>
      <c r="AB196" s="146">
        <f t="shared" si="52"/>
        <v>3.54</v>
      </c>
      <c r="AC196" s="146">
        <f t="shared" si="52"/>
        <v>3.54</v>
      </c>
      <c r="AD196" s="146">
        <f t="shared" si="52"/>
        <v>3.54</v>
      </c>
      <c r="AE196" s="146">
        <f t="shared" si="52"/>
        <v>3.54</v>
      </c>
      <c r="AF196" s="146">
        <f t="shared" si="52"/>
        <v>3.54</v>
      </c>
      <c r="AG196" s="147">
        <f t="shared" si="52"/>
        <v>8.56</v>
      </c>
      <c r="AH196" s="55"/>
      <c r="AI196" s="56"/>
    </row>
    <row r="197" spans="1:37" ht="15.75" thickBot="1" x14ac:dyDescent="0.3"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109"/>
      <c r="AH197" s="47"/>
    </row>
    <row r="198" spans="1:37" x14ac:dyDescent="0.25">
      <c r="A198" s="92" t="s">
        <v>199</v>
      </c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9"/>
      <c r="AG198" s="47"/>
      <c r="AH198" s="55"/>
      <c r="AI198" s="56"/>
    </row>
    <row r="199" spans="1:37" x14ac:dyDescent="0.25">
      <c r="A199" s="150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153"/>
      <c r="AH199" s="55"/>
      <c r="AI199" s="56"/>
    </row>
    <row r="200" spans="1:37" x14ac:dyDescent="0.25">
      <c r="A200" s="96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3"/>
      <c r="AH200" s="55"/>
      <c r="AI200" s="56"/>
    </row>
    <row r="201" spans="1:37" x14ac:dyDescent="0.25">
      <c r="A201" s="96" t="s">
        <v>202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3"/>
      <c r="AH201" s="55"/>
      <c r="AI201" s="56"/>
    </row>
    <row r="202" spans="1:37" ht="15.75" thickBot="1" x14ac:dyDescent="0.3">
      <c r="A202" s="156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3"/>
      <c r="AH202" s="55"/>
      <c r="AI202" s="56"/>
    </row>
    <row r="203" spans="1:37" x14ac:dyDescent="0.25"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</row>
    <row r="204" spans="1:37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159" t="s">
        <v>204</v>
      </c>
      <c r="B205" s="160">
        <f>MAX(F73:M73)</f>
        <v>223.54</v>
      </c>
      <c r="C205" s="161">
        <f>INDEX(F9:M9,1,MATCH(MAX(F73:M73),F73:M73,0))</f>
        <v>0.20833333333333301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162" t="str">
        <f ca="1">MID(CELL("filename",C7),FIND("]",CELL("filename",C7))+1,600)</f>
        <v>sample_new_current</v>
      </c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97" t="s">
        <v>205</v>
      </c>
      <c r="B207" s="197"/>
      <c r="C207" s="47"/>
      <c r="D207" s="162" t="e">
        <f ca="1">"Pie Chart of Daily Peak Demand(Inclusive of Export) of Nepal ("&amp;A4&amp;" "&amp;B4&amp;")"</f>
        <v>#VALUE!</v>
      </c>
      <c r="E207" s="47"/>
      <c r="F207" s="47"/>
      <c r="G207" s="162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2" t="e">
        <f ca="1">"Daily Load Curve(Excluding of Export) of Nepal ("&amp;A4&amp;" "&amp;B4&amp;")"</f>
        <v>#VALUE!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ht="12.75" customHeight="1" thickBot="1" x14ac:dyDescent="0.3">
      <c r="A208" s="163" t="s">
        <v>7</v>
      </c>
      <c r="B208" s="164"/>
      <c r="C208" s="47"/>
      <c r="D208" s="16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5.75" thickTop="1" x14ac:dyDescent="0.25">
      <c r="A209" s="163" t="s">
        <v>206</v>
      </c>
      <c r="B209" s="164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6" t="s">
        <v>207</v>
      </c>
      <c r="T209" s="167">
        <v>4.1666666666666664E-2</v>
      </c>
      <c r="U209" s="168">
        <v>8.3333333333333301E-2</v>
      </c>
      <c r="V209" s="168">
        <v>0.125</v>
      </c>
      <c r="W209" s="168">
        <v>0.16666666666666699</v>
      </c>
      <c r="X209" s="168">
        <v>0.20833333333333301</v>
      </c>
      <c r="Y209" s="168">
        <v>0.22916666666666666</v>
      </c>
      <c r="Z209" s="168">
        <v>0.25</v>
      </c>
      <c r="AA209" s="168">
        <v>0.27083333333333331</v>
      </c>
      <c r="AB209" s="168">
        <v>0.29166666666666669</v>
      </c>
      <c r="AC209" s="168">
        <v>0.3125</v>
      </c>
      <c r="AD209" s="169">
        <v>0.33333333333333331</v>
      </c>
      <c r="AE209" s="169">
        <v>0.375</v>
      </c>
      <c r="AF209" s="169">
        <v>0.41666666666666702</v>
      </c>
      <c r="AG209" s="169">
        <v>0.45833333333333298</v>
      </c>
      <c r="AH209" s="169">
        <v>0.5</v>
      </c>
      <c r="AI209" s="169">
        <v>0.54166666666666696</v>
      </c>
      <c r="AJ209" s="169">
        <v>0.58333333333333304</v>
      </c>
      <c r="AK209" s="169">
        <v>0.625</v>
      </c>
      <c r="AL209" s="169">
        <v>0.66666666666666696</v>
      </c>
      <c r="AM209" s="169">
        <v>0.70833333333333304</v>
      </c>
      <c r="AN209" s="169">
        <v>0.72916666666666663</v>
      </c>
      <c r="AO209" s="169">
        <v>0.75</v>
      </c>
      <c r="AP209" s="169">
        <v>0.77083333333333337</v>
      </c>
      <c r="AQ209" s="169">
        <v>0.79166666666666663</v>
      </c>
      <c r="AR209" s="169">
        <v>0.8125</v>
      </c>
      <c r="AS209" s="168">
        <v>0.83333333333333337</v>
      </c>
      <c r="AT209" s="168">
        <v>0.85416666666666663</v>
      </c>
      <c r="AU209" s="168">
        <v>0.875</v>
      </c>
      <c r="AV209" s="168">
        <v>0.91666666666666696</v>
      </c>
      <c r="AW209" s="168">
        <v>0.95833333333333304</v>
      </c>
      <c r="AX209" s="168">
        <v>1</v>
      </c>
    </row>
    <row r="210" spans="1:50" x14ac:dyDescent="0.25">
      <c r="A210" s="163" t="s">
        <v>208</v>
      </c>
      <c r="B210" s="164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 t="s">
        <v>209</v>
      </c>
      <c r="T210" s="170">
        <f t="shared" ref="T210:AX210" si="53">B73</f>
        <v>223.54</v>
      </c>
      <c r="U210" s="170">
        <f t="shared" si="53"/>
        <v>223.54</v>
      </c>
      <c r="V210" s="170">
        <f t="shared" si="53"/>
        <v>223.54</v>
      </c>
      <c r="W210" s="170">
        <f t="shared" si="53"/>
        <v>223.54</v>
      </c>
      <c r="X210" s="170">
        <f t="shared" si="53"/>
        <v>223.54</v>
      </c>
      <c r="Y210" s="170">
        <f t="shared" si="53"/>
        <v>223.54</v>
      </c>
      <c r="Z210" s="170">
        <f t="shared" si="53"/>
        <v>223.54</v>
      </c>
      <c r="AA210" s="170">
        <f t="shared" si="53"/>
        <v>223.54</v>
      </c>
      <c r="AB210" s="170">
        <f t="shared" si="53"/>
        <v>223.54</v>
      </c>
      <c r="AC210" s="170">
        <f t="shared" si="53"/>
        <v>223.54</v>
      </c>
      <c r="AD210" s="170">
        <f t="shared" si="53"/>
        <v>223.54</v>
      </c>
      <c r="AE210" s="170">
        <f t="shared" si="53"/>
        <v>223.54</v>
      </c>
      <c r="AF210" s="170">
        <f t="shared" si="53"/>
        <v>223.54</v>
      </c>
      <c r="AG210" s="170">
        <f t="shared" si="53"/>
        <v>223.54</v>
      </c>
      <c r="AH210" s="170">
        <f t="shared" si="53"/>
        <v>223.54</v>
      </c>
      <c r="AI210" s="170">
        <f t="shared" si="53"/>
        <v>223.54</v>
      </c>
      <c r="AJ210" s="170">
        <f t="shared" si="53"/>
        <v>223.54</v>
      </c>
      <c r="AK210" s="170">
        <f t="shared" si="53"/>
        <v>223.54</v>
      </c>
      <c r="AL210" s="170">
        <f t="shared" si="53"/>
        <v>223.54</v>
      </c>
      <c r="AM210" s="170">
        <f t="shared" si="53"/>
        <v>223.54</v>
      </c>
      <c r="AN210" s="170">
        <f t="shared" si="53"/>
        <v>223.54</v>
      </c>
      <c r="AO210" s="170">
        <f t="shared" si="53"/>
        <v>223.54</v>
      </c>
      <c r="AP210" s="170">
        <f t="shared" si="53"/>
        <v>223.54</v>
      </c>
      <c r="AQ210" s="170">
        <f t="shared" si="53"/>
        <v>223.54</v>
      </c>
      <c r="AR210" s="170">
        <f t="shared" si="53"/>
        <v>223.54</v>
      </c>
      <c r="AS210" s="170">
        <f t="shared" si="53"/>
        <v>223.54</v>
      </c>
      <c r="AT210" s="170">
        <f t="shared" si="53"/>
        <v>223.54</v>
      </c>
      <c r="AU210" s="170">
        <f t="shared" si="53"/>
        <v>223.54</v>
      </c>
      <c r="AV210" s="170">
        <f t="shared" si="53"/>
        <v>223.54</v>
      </c>
      <c r="AW210" s="170">
        <f t="shared" si="53"/>
        <v>223.54</v>
      </c>
      <c r="AX210" s="170">
        <f t="shared" si="53"/>
        <v>223.54</v>
      </c>
    </row>
    <row r="211" spans="1:50" x14ac:dyDescent="0.25">
      <c r="A211" s="163" t="s">
        <v>210</v>
      </c>
      <c r="B211" s="164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63" t="s">
        <v>211</v>
      </c>
      <c r="B212" s="164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3" t="s">
        <v>212</v>
      </c>
      <c r="B213" s="16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3" t="s">
        <v>213</v>
      </c>
      <c r="B214" s="171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3" t="s">
        <v>214</v>
      </c>
      <c r="B215" s="16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A231" s="172" t="s">
        <v>199</v>
      </c>
      <c r="B231" s="173">
        <f t="shared" ref="B231:AF231" si="54">B195</f>
        <v>0.64</v>
      </c>
      <c r="C231" s="173">
        <f t="shared" si="54"/>
        <v>0.64</v>
      </c>
      <c r="D231" s="173">
        <f t="shared" si="54"/>
        <v>0.64</v>
      </c>
      <c r="E231" s="173">
        <f t="shared" si="54"/>
        <v>0.64</v>
      </c>
      <c r="F231" s="173">
        <f t="shared" si="54"/>
        <v>0.64</v>
      </c>
      <c r="G231" s="173">
        <f t="shared" si="54"/>
        <v>0.64</v>
      </c>
      <c r="H231" s="173">
        <f t="shared" si="54"/>
        <v>0.64</v>
      </c>
      <c r="I231" s="173">
        <f t="shared" si="54"/>
        <v>0.64</v>
      </c>
      <c r="J231" s="173">
        <f t="shared" si="54"/>
        <v>0.64</v>
      </c>
      <c r="K231" s="173">
        <f t="shared" si="54"/>
        <v>0.64</v>
      </c>
      <c r="L231" s="173">
        <f t="shared" si="54"/>
        <v>0.64</v>
      </c>
      <c r="M231" s="173">
        <f t="shared" si="54"/>
        <v>0.64</v>
      </c>
      <c r="N231" s="173">
        <f t="shared" si="54"/>
        <v>0.64</v>
      </c>
      <c r="O231" s="173">
        <f t="shared" si="54"/>
        <v>0.64</v>
      </c>
      <c r="P231" s="173">
        <f t="shared" si="54"/>
        <v>0.64</v>
      </c>
      <c r="Q231" s="173">
        <f t="shared" si="54"/>
        <v>0.64</v>
      </c>
      <c r="R231" s="173">
        <f t="shared" si="54"/>
        <v>0.64</v>
      </c>
      <c r="S231" s="173">
        <f t="shared" si="54"/>
        <v>0.64</v>
      </c>
      <c r="T231" s="173">
        <f t="shared" si="54"/>
        <v>0.64</v>
      </c>
      <c r="U231" s="173">
        <f t="shared" si="54"/>
        <v>0.64</v>
      </c>
      <c r="V231" s="173">
        <f t="shared" si="54"/>
        <v>0.64</v>
      </c>
      <c r="W231" s="173">
        <f t="shared" si="54"/>
        <v>0.64</v>
      </c>
      <c r="X231" s="173">
        <f t="shared" si="54"/>
        <v>0.64</v>
      </c>
      <c r="Y231" s="173">
        <f t="shared" si="54"/>
        <v>0.64</v>
      </c>
      <c r="Z231" s="173">
        <f t="shared" si="54"/>
        <v>0.64</v>
      </c>
      <c r="AA231" s="173">
        <f t="shared" si="54"/>
        <v>0.64</v>
      </c>
      <c r="AB231" s="173">
        <f t="shared" si="54"/>
        <v>0.64</v>
      </c>
      <c r="AC231" s="173">
        <f t="shared" si="54"/>
        <v>0.64</v>
      </c>
      <c r="AD231" s="173">
        <f t="shared" si="54"/>
        <v>0.64</v>
      </c>
      <c r="AE231" s="173">
        <f t="shared" si="54"/>
        <v>0.64</v>
      </c>
      <c r="AF231" s="173">
        <f t="shared" si="54"/>
        <v>0.64</v>
      </c>
      <c r="AG231" s="47"/>
      <c r="AH231" s="47"/>
    </row>
    <row r="232" spans="1:34" x14ac:dyDescent="0.25">
      <c r="A232" s="117" t="str">
        <f>A199</f>
        <v>KGA</v>
      </c>
      <c r="B232" s="117" t="str">
        <f>IF(B199&lt;100,"",B199-520)</f>
        <v/>
      </c>
      <c r="C232" s="117" t="str">
        <f t="shared" ref="C232:AF232" si="55">IF(C199&lt;100,"",C199-520)</f>
        <v/>
      </c>
      <c r="D232" s="117" t="str">
        <f t="shared" si="55"/>
        <v/>
      </c>
      <c r="E232" s="117" t="str">
        <f t="shared" si="55"/>
        <v/>
      </c>
      <c r="F232" s="117" t="str">
        <f t="shared" si="55"/>
        <v/>
      </c>
      <c r="G232" s="117" t="str">
        <f t="shared" si="55"/>
        <v/>
      </c>
      <c r="H232" s="117" t="str">
        <f t="shared" si="55"/>
        <v/>
      </c>
      <c r="I232" s="117" t="str">
        <f t="shared" si="55"/>
        <v/>
      </c>
      <c r="J232" s="117" t="str">
        <f t="shared" si="55"/>
        <v/>
      </c>
      <c r="K232" s="117" t="str">
        <f t="shared" si="55"/>
        <v/>
      </c>
      <c r="L232" s="117" t="str">
        <f t="shared" si="55"/>
        <v/>
      </c>
      <c r="M232" s="117" t="str">
        <f t="shared" si="55"/>
        <v/>
      </c>
      <c r="N232" s="117" t="str">
        <f t="shared" si="55"/>
        <v/>
      </c>
      <c r="O232" s="117" t="str">
        <f t="shared" si="55"/>
        <v/>
      </c>
      <c r="P232" s="117" t="str">
        <f t="shared" si="55"/>
        <v/>
      </c>
      <c r="Q232" s="117" t="str">
        <f t="shared" si="55"/>
        <v/>
      </c>
      <c r="R232" s="117" t="str">
        <f t="shared" si="55"/>
        <v/>
      </c>
      <c r="S232" s="117" t="str">
        <f t="shared" si="55"/>
        <v/>
      </c>
      <c r="T232" s="117" t="str">
        <f t="shared" si="55"/>
        <v/>
      </c>
      <c r="U232" s="117" t="str">
        <f t="shared" si="55"/>
        <v/>
      </c>
      <c r="V232" s="117" t="str">
        <f t="shared" si="55"/>
        <v/>
      </c>
      <c r="W232" s="117" t="str">
        <f t="shared" si="55"/>
        <v/>
      </c>
      <c r="X232" s="117" t="str">
        <f t="shared" si="55"/>
        <v/>
      </c>
      <c r="Y232" s="117" t="str">
        <f t="shared" si="55"/>
        <v/>
      </c>
      <c r="Z232" s="117" t="str">
        <f t="shared" si="55"/>
        <v/>
      </c>
      <c r="AA232" s="117" t="str">
        <f t="shared" si="55"/>
        <v/>
      </c>
      <c r="AB232" s="117" t="str">
        <f t="shared" si="55"/>
        <v/>
      </c>
      <c r="AC232" s="117" t="str">
        <f t="shared" si="55"/>
        <v/>
      </c>
      <c r="AD232" s="117" t="str">
        <f t="shared" si="55"/>
        <v/>
      </c>
      <c r="AE232" s="117" t="str">
        <f t="shared" si="55"/>
        <v/>
      </c>
      <c r="AF232" s="117" t="str">
        <f t="shared" si="55"/>
        <v/>
      </c>
      <c r="AG232" s="47"/>
      <c r="AH232" s="47"/>
    </row>
    <row r="233" spans="1:34" x14ac:dyDescent="0.25">
      <c r="A233" s="117" t="str">
        <f>A200</f>
        <v>MMRS</v>
      </c>
      <c r="B233" s="117" t="str">
        <f t="shared" ref="B233:AF233" si="56">IF(B200&lt;100,"",B200-620)</f>
        <v/>
      </c>
      <c r="C233" s="117" t="str">
        <f t="shared" si="56"/>
        <v/>
      </c>
      <c r="D233" s="117" t="str">
        <f t="shared" si="56"/>
        <v/>
      </c>
      <c r="E233" s="117" t="str">
        <f t="shared" si="56"/>
        <v/>
      </c>
      <c r="F233" s="117" t="str">
        <f t="shared" si="56"/>
        <v/>
      </c>
      <c r="G233" s="117" t="str">
        <f t="shared" si="56"/>
        <v/>
      </c>
      <c r="H233" s="117" t="str">
        <f t="shared" si="56"/>
        <v/>
      </c>
      <c r="I233" s="117" t="str">
        <f t="shared" si="56"/>
        <v/>
      </c>
      <c r="J233" s="117" t="str">
        <f t="shared" si="56"/>
        <v/>
      </c>
      <c r="K233" s="117" t="str">
        <f t="shared" si="56"/>
        <v/>
      </c>
      <c r="L233" s="117" t="str">
        <f t="shared" si="56"/>
        <v/>
      </c>
      <c r="M233" s="117" t="str">
        <f t="shared" si="56"/>
        <v/>
      </c>
      <c r="N233" s="117" t="str">
        <f t="shared" si="56"/>
        <v/>
      </c>
      <c r="O233" s="117" t="str">
        <f t="shared" si="56"/>
        <v/>
      </c>
      <c r="P233" s="117" t="str">
        <f t="shared" si="56"/>
        <v/>
      </c>
      <c r="Q233" s="117" t="str">
        <f t="shared" si="56"/>
        <v/>
      </c>
      <c r="R233" s="117" t="str">
        <f t="shared" si="56"/>
        <v/>
      </c>
      <c r="S233" s="117" t="str">
        <f t="shared" si="56"/>
        <v/>
      </c>
      <c r="T233" s="117" t="str">
        <f t="shared" si="56"/>
        <v/>
      </c>
      <c r="U233" s="117" t="str">
        <f t="shared" si="56"/>
        <v/>
      </c>
      <c r="V233" s="117" t="str">
        <f t="shared" si="56"/>
        <v/>
      </c>
      <c r="W233" s="117" t="str">
        <f t="shared" si="56"/>
        <v/>
      </c>
      <c r="X233" s="117" t="str">
        <f t="shared" si="56"/>
        <v/>
      </c>
      <c r="Y233" s="117" t="str">
        <f t="shared" si="56"/>
        <v/>
      </c>
      <c r="Z233" s="117" t="str">
        <f t="shared" si="56"/>
        <v/>
      </c>
      <c r="AA233" s="117" t="str">
        <f t="shared" si="56"/>
        <v/>
      </c>
      <c r="AB233" s="117" t="str">
        <f t="shared" si="56"/>
        <v/>
      </c>
      <c r="AC233" s="117" t="str">
        <f t="shared" si="56"/>
        <v/>
      </c>
      <c r="AD233" s="117" t="str">
        <f t="shared" si="56"/>
        <v/>
      </c>
      <c r="AE233" s="117" t="str">
        <f t="shared" si="56"/>
        <v/>
      </c>
      <c r="AF233" s="117" t="str">
        <f t="shared" si="56"/>
        <v/>
      </c>
      <c r="AG233" s="47"/>
      <c r="AH233" s="47"/>
    </row>
    <row r="234" spans="1:34" x14ac:dyDescent="0.25">
      <c r="A234" s="117" t="str">
        <f>A201</f>
        <v>MRS</v>
      </c>
      <c r="B234" s="117" t="str">
        <f t="shared" ref="B234:AF234" si="57">IF(B201&lt;100,"",B201-330)</f>
        <v/>
      </c>
      <c r="C234" s="117" t="str">
        <f t="shared" si="57"/>
        <v/>
      </c>
      <c r="D234" s="117" t="str">
        <f t="shared" si="57"/>
        <v/>
      </c>
      <c r="E234" s="117" t="str">
        <f t="shared" si="57"/>
        <v/>
      </c>
      <c r="F234" s="117" t="str">
        <f t="shared" si="57"/>
        <v/>
      </c>
      <c r="G234" s="117" t="str">
        <f t="shared" si="57"/>
        <v/>
      </c>
      <c r="H234" s="117" t="str">
        <f t="shared" si="57"/>
        <v/>
      </c>
      <c r="I234" s="117" t="str">
        <f t="shared" si="57"/>
        <v/>
      </c>
      <c r="J234" s="117" t="str">
        <f t="shared" si="57"/>
        <v/>
      </c>
      <c r="K234" s="117" t="str">
        <f t="shared" si="57"/>
        <v/>
      </c>
      <c r="L234" s="117" t="str">
        <f t="shared" si="57"/>
        <v/>
      </c>
      <c r="M234" s="117" t="str">
        <f t="shared" si="57"/>
        <v/>
      </c>
      <c r="N234" s="117" t="str">
        <f t="shared" si="57"/>
        <v/>
      </c>
      <c r="O234" s="117" t="str">
        <f t="shared" si="57"/>
        <v/>
      </c>
      <c r="P234" s="117" t="str">
        <f t="shared" si="57"/>
        <v/>
      </c>
      <c r="Q234" s="117" t="str">
        <f t="shared" si="57"/>
        <v/>
      </c>
      <c r="R234" s="117" t="str">
        <f t="shared" si="57"/>
        <v/>
      </c>
      <c r="S234" s="117" t="str">
        <f t="shared" si="57"/>
        <v/>
      </c>
      <c r="T234" s="117" t="str">
        <f t="shared" si="57"/>
        <v/>
      </c>
      <c r="U234" s="117" t="str">
        <f t="shared" si="57"/>
        <v/>
      </c>
      <c r="V234" s="117" t="str">
        <f t="shared" si="57"/>
        <v/>
      </c>
      <c r="W234" s="117" t="str">
        <f t="shared" si="57"/>
        <v/>
      </c>
      <c r="X234" s="117" t="str">
        <f t="shared" si="57"/>
        <v/>
      </c>
      <c r="Y234" s="117" t="str">
        <f t="shared" si="57"/>
        <v/>
      </c>
      <c r="Z234" s="117" t="str">
        <f t="shared" si="57"/>
        <v/>
      </c>
      <c r="AA234" s="117" t="str">
        <f t="shared" si="57"/>
        <v/>
      </c>
      <c r="AB234" s="117" t="str">
        <f t="shared" si="57"/>
        <v/>
      </c>
      <c r="AC234" s="117" t="str">
        <f t="shared" si="57"/>
        <v/>
      </c>
      <c r="AD234" s="117" t="str">
        <f t="shared" si="57"/>
        <v/>
      </c>
      <c r="AE234" s="117" t="str">
        <f t="shared" si="57"/>
        <v/>
      </c>
      <c r="AF234" s="117" t="str">
        <f t="shared" si="57"/>
        <v/>
      </c>
      <c r="AG234" s="47"/>
      <c r="AH234" s="47"/>
    </row>
    <row r="235" spans="1:34" x14ac:dyDescent="0.25">
      <c r="A235" s="117" t="str">
        <f>A202</f>
        <v>KL 1</v>
      </c>
      <c r="B235" s="117" t="str">
        <f>IF(B202&lt;100,"",B202-1500)</f>
        <v/>
      </c>
      <c r="C235" s="117" t="str">
        <f t="shared" ref="C235:AF235" si="58">IF(C202&lt;100,"",C202-1500)</f>
        <v/>
      </c>
      <c r="D235" s="117" t="str">
        <f t="shared" si="58"/>
        <v/>
      </c>
      <c r="E235" s="117" t="str">
        <f t="shared" si="58"/>
        <v/>
      </c>
      <c r="F235" s="117" t="str">
        <f t="shared" si="58"/>
        <v/>
      </c>
      <c r="G235" s="117" t="str">
        <f t="shared" si="58"/>
        <v/>
      </c>
      <c r="H235" s="117" t="str">
        <f t="shared" si="58"/>
        <v/>
      </c>
      <c r="I235" s="117" t="str">
        <f t="shared" si="58"/>
        <v/>
      </c>
      <c r="J235" s="117" t="str">
        <f t="shared" si="58"/>
        <v/>
      </c>
      <c r="K235" s="117" t="str">
        <f t="shared" si="58"/>
        <v/>
      </c>
      <c r="L235" s="117" t="str">
        <f t="shared" si="58"/>
        <v/>
      </c>
      <c r="M235" s="117" t="str">
        <f t="shared" si="58"/>
        <v/>
      </c>
      <c r="N235" s="117" t="str">
        <f t="shared" si="58"/>
        <v/>
      </c>
      <c r="O235" s="117" t="str">
        <f t="shared" si="58"/>
        <v/>
      </c>
      <c r="P235" s="117" t="str">
        <f t="shared" si="58"/>
        <v/>
      </c>
      <c r="Q235" s="117" t="str">
        <f t="shared" si="58"/>
        <v/>
      </c>
      <c r="R235" s="117" t="str">
        <f t="shared" si="58"/>
        <v/>
      </c>
      <c r="S235" s="117" t="str">
        <f t="shared" si="58"/>
        <v/>
      </c>
      <c r="T235" s="117" t="str">
        <f t="shared" si="58"/>
        <v/>
      </c>
      <c r="U235" s="117" t="str">
        <f t="shared" si="58"/>
        <v/>
      </c>
      <c r="V235" s="117" t="str">
        <f t="shared" si="58"/>
        <v/>
      </c>
      <c r="W235" s="117" t="str">
        <f t="shared" si="58"/>
        <v/>
      </c>
      <c r="X235" s="117" t="str">
        <f t="shared" si="58"/>
        <v/>
      </c>
      <c r="Y235" s="117" t="str">
        <f t="shared" si="58"/>
        <v/>
      </c>
      <c r="Z235" s="117" t="str">
        <f t="shared" si="58"/>
        <v/>
      </c>
      <c r="AA235" s="117" t="str">
        <f t="shared" si="58"/>
        <v/>
      </c>
      <c r="AB235" s="117" t="str">
        <f t="shared" si="58"/>
        <v/>
      </c>
      <c r="AC235" s="117" t="str">
        <f t="shared" si="58"/>
        <v/>
      </c>
      <c r="AD235" s="117" t="str">
        <f t="shared" si="58"/>
        <v/>
      </c>
      <c r="AE235" s="117" t="str">
        <f t="shared" si="58"/>
        <v/>
      </c>
      <c r="AF235" s="117" t="str">
        <f t="shared" si="58"/>
        <v/>
      </c>
      <c r="AG235" s="47"/>
      <c r="AH235" s="47"/>
    </row>
    <row r="236" spans="1:34" x14ac:dyDescent="0.25"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7" priority="257">
      <formula>S$9&gt;=20/24</formula>
    </cfRule>
    <cfRule type="expression" dxfId="256" priority="258">
      <formula>AND(S$9&gt;=14/24,S$9&lt;20/24)</formula>
    </cfRule>
    <cfRule type="expression" dxfId="255" priority="259">
      <formula>AND(S$9&gt;=8/24,S$9&lt;14/24)</formula>
    </cfRule>
    <cfRule type="expression" dxfId="254" priority="260">
      <formula>S$9&lt;8/24</formula>
    </cfRule>
  </conditionalFormatting>
  <conditionalFormatting sqref="B8:AF10 AA79:AF79 B79:Q79 L38:S39 L37:Q37 B54:AF54 B80:AF80 C190:AF196 N41:Q41 L35:Q35 L40:Q40 L58:Q59 L56:R57 S40 AA82:AF89 AA55:AF58 B61:B65 B66:AF70 B55:K59 M60:Q65 T209:AX209 L15:Q31 X15:Z15 M43:Q46 B72:AF74 T56:T57 Y38:Z41 R15:W29 W83:Z89 U83:V84 L11:Z13 Y16:Z30 X16:X29 T38:X40 L51:AF53 C78:AF78 C75:AF76 B75:B78">
    <cfRule type="expression" dxfId="253" priority="253">
      <formula>B$9&gt;=20/24</formula>
    </cfRule>
    <cfRule type="expression" dxfId="252" priority="254">
      <formula>AND(B$9&gt;=14/24,B$9&lt;20/24)</formula>
    </cfRule>
    <cfRule type="expression" dxfId="251" priority="255">
      <formula>AND(B$9&gt;=8/24,B$9&lt;14/24)</formula>
    </cfRule>
    <cfRule type="expression" dxfId="250" priority="256">
      <formula>B$9&lt;8/24</formula>
    </cfRule>
  </conditionalFormatting>
  <conditionalFormatting sqref="B188:AF188">
    <cfRule type="expression" dxfId="249" priority="249">
      <formula>B$9&gt;=20/24</formula>
    </cfRule>
    <cfRule type="expression" dxfId="248" priority="250">
      <formula>AND(B$9&gt;=14/24,B$9&lt;20/24)</formula>
    </cfRule>
    <cfRule type="expression" dxfId="247" priority="251">
      <formula>AND(B$9&gt;=8/24,B$9&lt;14/24)</formula>
    </cfRule>
    <cfRule type="expression" dxfId="246" priority="252">
      <formula>B$9&lt;8/24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245" priority="244">
      <formula>L$9&gt;=20/24</formula>
    </cfRule>
    <cfRule type="expression" dxfId="244" priority="245">
      <formula>AND(L$9&gt;=14/24,L$9&lt;20/24)</formula>
    </cfRule>
    <cfRule type="expression" dxfId="243" priority="246">
      <formula>AND(L$9&gt;=8/24,L$9&lt;14/24)</formula>
    </cfRule>
    <cfRule type="expression" dxfId="242" priority="247">
      <formula>L$9&lt;8/24</formula>
    </cfRule>
  </conditionalFormatting>
  <conditionalFormatting sqref="L41:M41">
    <cfRule type="expression" dxfId="241" priority="240">
      <formula>L$9&gt;=20/24</formula>
    </cfRule>
    <cfRule type="expression" dxfId="240" priority="241">
      <formula>AND(L$9&gt;=14/24,L$9&lt;20/24)</formula>
    </cfRule>
    <cfRule type="expression" dxfId="239" priority="242">
      <formula>AND(L$9&gt;=8/24,L$9&lt;14/24)</formula>
    </cfRule>
    <cfRule type="expression" dxfId="238" priority="243">
      <formula>L$9&lt;8/24</formula>
    </cfRule>
  </conditionalFormatting>
  <conditionalFormatting sqref="Y31:Z31">
    <cfRule type="expression" dxfId="237" priority="236">
      <formula>Y$9&gt;=20/24</formula>
    </cfRule>
    <cfRule type="expression" dxfId="236" priority="237">
      <formula>AND(Y$9&gt;=14/24,Y$9&lt;20/24)</formula>
    </cfRule>
    <cfRule type="expression" dxfId="235" priority="238">
      <formula>AND(Y$9&gt;=8/24,Y$9&lt;14/24)</formula>
    </cfRule>
    <cfRule type="expression" dxfId="234" priority="239">
      <formula>Y$9&lt;8/24</formula>
    </cfRule>
  </conditionalFormatting>
  <conditionalFormatting sqref="R37:Z37">
    <cfRule type="expression" dxfId="233" priority="232">
      <formula>R$9&gt;=20/24</formula>
    </cfRule>
    <cfRule type="expression" dxfId="232" priority="233">
      <formula>AND(R$9&gt;=14/24,R$9&lt;20/24)</formula>
    </cfRule>
    <cfRule type="expression" dxfId="231" priority="234">
      <formula>AND(R$9&gt;=8/24,R$9&lt;14/24)</formula>
    </cfRule>
    <cfRule type="expression" dxfId="230" priority="235">
      <formula>R$9&lt;8/24</formula>
    </cfRule>
  </conditionalFormatting>
  <conditionalFormatting sqref="R55 T55:Z55">
    <cfRule type="expression" dxfId="229" priority="228">
      <formula>R$9&gt;=20/24</formula>
    </cfRule>
    <cfRule type="expression" dxfId="228" priority="229">
      <formula>AND(R$9&gt;=14/24,R$9&lt;20/24)</formula>
    </cfRule>
    <cfRule type="expression" dxfId="227" priority="230">
      <formula>AND(R$9&gt;=8/24,R$9&lt;14/24)</formula>
    </cfRule>
    <cfRule type="expression" dxfId="226" priority="231">
      <formula>R$9&lt;8/24</formula>
    </cfRule>
  </conditionalFormatting>
  <conditionalFormatting sqref="R79:Z79">
    <cfRule type="expression" dxfId="225" priority="224">
      <formula>R$9&gt;=20/24</formula>
    </cfRule>
    <cfRule type="expression" dxfId="224" priority="225">
      <formula>AND(R$9&gt;=14/24,R$9&lt;20/24)</formula>
    </cfRule>
    <cfRule type="expression" dxfId="223" priority="226">
      <formula>AND(R$9&gt;=8/24,R$9&lt;14/24)</formula>
    </cfRule>
    <cfRule type="expression" dxfId="222" priority="227">
      <formula>R$9&lt;8/24</formula>
    </cfRule>
  </conditionalFormatting>
  <conditionalFormatting sqref="T82:Z82">
    <cfRule type="expression" dxfId="221" priority="220">
      <formula>T$9&gt;=20/24</formula>
    </cfRule>
    <cfRule type="expression" dxfId="220" priority="221">
      <formula>AND(T$9&gt;=14/24,T$9&lt;20/24)</formula>
    </cfRule>
    <cfRule type="expression" dxfId="219" priority="222">
      <formula>AND(T$9&gt;=8/24,T$9&lt;14/24)</formula>
    </cfRule>
    <cfRule type="expression" dxfId="218" priority="223">
      <formula>T$9&lt;8/24</formula>
    </cfRule>
  </conditionalFormatting>
  <conditionalFormatting sqref="L33:Q33">
    <cfRule type="expression" dxfId="217" priority="216">
      <formula>L$9&gt;=20/24</formula>
    </cfRule>
    <cfRule type="expression" dxfId="216" priority="217">
      <formula>AND(L$9&gt;=14/24,L$9&lt;20/24)</formula>
    </cfRule>
    <cfRule type="expression" dxfId="215" priority="218">
      <formula>AND(L$9&gt;=8/24,L$9&lt;14/24)</formula>
    </cfRule>
    <cfRule type="expression" dxfId="214" priority="219">
      <formula>L$9&lt;8/24</formula>
    </cfRule>
  </conditionalFormatting>
  <conditionalFormatting sqref="L47:Q47">
    <cfRule type="expression" dxfId="213" priority="212">
      <formula>L$9&gt;=20/24</formula>
    </cfRule>
    <cfRule type="expression" dxfId="212" priority="213">
      <formula>AND(L$9&gt;=14/24,L$9&lt;20/24)</formula>
    </cfRule>
    <cfRule type="expression" dxfId="211" priority="214">
      <formula>AND(L$9&gt;=8/24,L$9&lt;14/24)</formula>
    </cfRule>
    <cfRule type="expression" dxfId="210" priority="215">
      <formula>L$9&lt;8/24</formula>
    </cfRule>
  </conditionalFormatting>
  <conditionalFormatting sqref="L48:Q48">
    <cfRule type="expression" dxfId="209" priority="208">
      <formula>L$9&gt;=20/24</formula>
    </cfRule>
    <cfRule type="expression" dxfId="208" priority="209">
      <formula>AND(L$9&gt;=14/24,L$9&lt;20/24)</formula>
    </cfRule>
    <cfRule type="expression" dxfId="207" priority="210">
      <formula>AND(L$9&gt;=8/24,L$9&lt;14/24)</formula>
    </cfRule>
    <cfRule type="expression" dxfId="206" priority="211">
      <formula>L$9&lt;8/24</formula>
    </cfRule>
  </conditionalFormatting>
  <conditionalFormatting sqref="L43:L46">
    <cfRule type="expression" dxfId="205" priority="204">
      <formula>L$9&gt;=20/24</formula>
    </cfRule>
    <cfRule type="expression" dxfId="204" priority="205">
      <formula>AND(L$9&gt;=14/24,L$9&lt;20/24)</formula>
    </cfRule>
    <cfRule type="expression" dxfId="203" priority="206">
      <formula>AND(L$9&gt;=8/24,L$9&lt;14/24)</formula>
    </cfRule>
    <cfRule type="expression" dxfId="202" priority="207">
      <formula>L$9&lt;8/24</formula>
    </cfRule>
  </conditionalFormatting>
  <conditionalFormatting sqref="R35:AD35">
    <cfRule type="expression" dxfId="201" priority="200">
      <formula>R$9&gt;=20/24</formula>
    </cfRule>
    <cfRule type="expression" dxfId="200" priority="201">
      <formula>AND(R$9&gt;=14/24,R$9&lt;20/24)</formula>
    </cfRule>
    <cfRule type="expression" dxfId="199" priority="202">
      <formula>AND(R$9&gt;=8/24,R$9&lt;14/24)</formula>
    </cfRule>
    <cfRule type="expression" dxfId="198" priority="203">
      <formula>R$9&lt;8/24</formula>
    </cfRule>
  </conditionalFormatting>
  <conditionalFormatting sqref="R30:X31 R33:Z33">
    <cfRule type="expression" dxfId="197" priority="196">
      <formula>R$9&gt;=20/24</formula>
    </cfRule>
    <cfRule type="expression" dxfId="196" priority="197">
      <formula>AND(R$9&gt;=14/24,R$9&lt;20/24)</formula>
    </cfRule>
    <cfRule type="expression" dxfId="195" priority="198">
      <formula>AND(R$9&gt;=8/24,R$9&lt;14/24)</formula>
    </cfRule>
    <cfRule type="expression" dxfId="194" priority="199">
      <formula>R$9&lt;8/24</formula>
    </cfRule>
  </conditionalFormatting>
  <conditionalFormatting sqref="R40:R41 S41:X41 R43:Z46">
    <cfRule type="expression" dxfId="193" priority="192">
      <formula>R$9&gt;=20/24</formula>
    </cfRule>
    <cfRule type="expression" dxfId="192" priority="193">
      <formula>AND(R$9&gt;=14/24,R$9&lt;20/24)</formula>
    </cfRule>
    <cfRule type="expression" dxfId="191" priority="194">
      <formula>AND(R$9&gt;=8/24,R$9&lt;14/24)</formula>
    </cfRule>
    <cfRule type="expression" dxfId="190" priority="195">
      <formula>R$9&lt;8/24</formula>
    </cfRule>
  </conditionalFormatting>
  <conditionalFormatting sqref="R47:Z47">
    <cfRule type="expression" dxfId="189" priority="188">
      <formula>R$9&gt;=20/24</formula>
    </cfRule>
    <cfRule type="expression" dxfId="188" priority="189">
      <formula>AND(R$9&gt;=14/24,R$9&lt;20/24)</formula>
    </cfRule>
    <cfRule type="expression" dxfId="187" priority="190">
      <formula>AND(R$9&gt;=8/24,R$9&lt;14/24)</formula>
    </cfRule>
    <cfRule type="expression" dxfId="186" priority="191">
      <formula>R$9&lt;8/24</formula>
    </cfRule>
  </conditionalFormatting>
  <conditionalFormatting sqref="R48:Z48">
    <cfRule type="expression" dxfId="185" priority="184">
      <formula>R$9&gt;=20/24</formula>
    </cfRule>
    <cfRule type="expression" dxfId="184" priority="185">
      <formula>AND(R$9&gt;=14/24,R$9&lt;20/24)</formula>
    </cfRule>
    <cfRule type="expression" dxfId="183" priority="186">
      <formula>AND(R$9&gt;=8/24,R$9&lt;14/24)</formula>
    </cfRule>
    <cfRule type="expression" dxfId="182" priority="187">
      <formula>R$9&lt;8/24</formula>
    </cfRule>
  </conditionalFormatting>
  <conditionalFormatting sqref="R58:R65 AA59:AF65 U58:Z65">
    <cfRule type="expression" dxfId="181" priority="180">
      <formula>R$9&gt;=20/24</formula>
    </cfRule>
    <cfRule type="expression" dxfId="180" priority="181">
      <formula>AND(R$9&gt;=14/24,R$9&lt;20/24)</formula>
    </cfRule>
    <cfRule type="expression" dxfId="179" priority="182">
      <formula>AND(R$9&gt;=8/24,R$9&lt;14/24)</formula>
    </cfRule>
    <cfRule type="expression" dxfId="178" priority="183">
      <formula>R$9&lt;8/24</formula>
    </cfRule>
  </conditionalFormatting>
  <conditionalFormatting sqref="AA92:AF95">
    <cfRule type="expression" dxfId="177" priority="176">
      <formula>AA$9&gt;=20/24</formula>
    </cfRule>
    <cfRule type="expression" dxfId="176" priority="177">
      <formula>AND(AA$9&gt;=14/24,AA$9&lt;20/24)</formula>
    </cfRule>
    <cfRule type="expression" dxfId="175" priority="178">
      <formula>AND(AA$9&gt;=8/24,AA$9&lt;14/24)</formula>
    </cfRule>
    <cfRule type="expression" dxfId="174" priority="179">
      <formula>AA$9&lt;8/24</formula>
    </cfRule>
  </conditionalFormatting>
  <conditionalFormatting sqref="B60:H60 H61:H65 I60:K65">
    <cfRule type="expression" dxfId="173" priority="172">
      <formula>B$9&gt;=20/24</formula>
    </cfRule>
    <cfRule type="expression" dxfId="172" priority="173">
      <formula>AND(B$9&gt;=14/24,B$9&lt;20/24)</formula>
    </cfRule>
    <cfRule type="expression" dxfId="171" priority="174">
      <formula>AND(B$9&gt;=8/24,B$9&lt;14/24)</formula>
    </cfRule>
    <cfRule type="expression" dxfId="170" priority="175">
      <formula>B$9&lt;8/24</formula>
    </cfRule>
  </conditionalFormatting>
  <conditionalFormatting sqref="T92:Z95">
    <cfRule type="expression" dxfId="169" priority="168">
      <formula>T$9&gt;=20/24</formula>
    </cfRule>
    <cfRule type="expression" dxfId="168" priority="169">
      <formula>AND(T$9&gt;=14/24,T$9&lt;20/24)</formula>
    </cfRule>
    <cfRule type="expression" dxfId="167" priority="170">
      <formula>AND(T$9&gt;=8/24,T$9&lt;14/24)</formula>
    </cfRule>
    <cfRule type="expression" dxfId="166" priority="171">
      <formula>T$9&lt;8/24</formula>
    </cfRule>
  </conditionalFormatting>
  <conditionalFormatting sqref="AG49 B11:AF13 B15:AF31 B33:AF41 B43:AF54">
    <cfRule type="expression" dxfId="165" priority="167">
      <formula>B11&gt;$AG11</formula>
    </cfRule>
  </conditionalFormatting>
  <conditionalFormatting sqref="A97:A153 A82:A95 A11:A13 A15:A31 A43:A70 A78:A80 A72:A76 A33:A41 A166:A197">
    <cfRule type="expression" dxfId="164" priority="166">
      <formula>$AH11=0</formula>
    </cfRule>
  </conditionalFormatting>
  <conditionalFormatting sqref="AA96:AF96">
    <cfRule type="expression" dxfId="163" priority="162">
      <formula>AA$9&gt;=20/24</formula>
    </cfRule>
    <cfRule type="expression" dxfId="162" priority="163">
      <formula>AND(AA$9&gt;=14/24,AA$9&lt;20/24)</formula>
    </cfRule>
    <cfRule type="expression" dxfId="161" priority="164">
      <formula>AND(AA$9&gt;=8/24,AA$9&lt;14/24)</formula>
    </cfRule>
    <cfRule type="expression" dxfId="160" priority="165">
      <formula>AA$9&lt;8/24</formula>
    </cfRule>
  </conditionalFormatting>
  <conditionalFormatting sqref="T96:Z96">
    <cfRule type="expression" dxfId="159" priority="158">
      <formula>T$9&gt;=20/24</formula>
    </cfRule>
    <cfRule type="expression" dxfId="158" priority="159">
      <formula>AND(T$9&gt;=14/24,T$9&lt;20/24)</formula>
    </cfRule>
    <cfRule type="expression" dxfId="157" priority="160">
      <formula>AND(T$9&gt;=8/24,T$9&lt;14/24)</formula>
    </cfRule>
    <cfRule type="expression" dxfId="156" priority="161">
      <formula>T$9&lt;8/24</formula>
    </cfRule>
  </conditionalFormatting>
  <conditionalFormatting sqref="A96">
    <cfRule type="expression" dxfId="155" priority="157">
      <formula>$AH96=0</formula>
    </cfRule>
  </conditionalFormatting>
  <conditionalFormatting sqref="C34:AF34">
    <cfRule type="expression" dxfId="154" priority="153">
      <formula>C$9&gt;=20/24</formula>
    </cfRule>
    <cfRule type="expression" dxfId="153" priority="154">
      <formula>AND(C$9&gt;=14/24,C$9&lt;20/24)</formula>
    </cfRule>
    <cfRule type="expression" dxfId="152" priority="155">
      <formula>AND(C$9&gt;=8/24,C$9&lt;14/24)</formula>
    </cfRule>
    <cfRule type="expression" dxfId="151" priority="156">
      <formula>C$9&lt;8/24</formula>
    </cfRule>
  </conditionalFormatting>
  <conditionalFormatting sqref="R34:AF34">
    <cfRule type="expression" dxfId="150" priority="149">
      <formula>R$9&gt;=20/24</formula>
    </cfRule>
    <cfRule type="expression" dxfId="149" priority="150">
      <formula>AND(R$9&gt;=14/24,R$9&lt;20/24)</formula>
    </cfRule>
    <cfRule type="expression" dxfId="148" priority="151">
      <formula>AND(R$9&gt;=8/24,R$9&lt;14/24)</formula>
    </cfRule>
    <cfRule type="expression" dxfId="147" priority="152">
      <formula>R$9&lt;8/24</formula>
    </cfRule>
  </conditionalFormatting>
  <conditionalFormatting sqref="B34">
    <cfRule type="expression" dxfId="146" priority="145">
      <formula>B$9&gt;=20/24</formula>
    </cfRule>
    <cfRule type="expression" dxfId="145" priority="146">
      <formula>AND(B$9&gt;=14/24,B$9&lt;20/24)</formula>
    </cfRule>
    <cfRule type="expression" dxfId="144" priority="147">
      <formula>AND(B$9&gt;=8/24,B$9&lt;14/24)</formula>
    </cfRule>
    <cfRule type="expression" dxfId="143" priority="148">
      <formula>B$9&lt;8/24</formula>
    </cfRule>
  </conditionalFormatting>
  <conditionalFormatting sqref="C61:G65">
    <cfRule type="expression" dxfId="142" priority="141">
      <formula>C$9&gt;=20/24</formula>
    </cfRule>
    <cfRule type="expression" dxfId="141" priority="142">
      <formula>AND(C$9&gt;=14/24,C$9&lt;20/24)</formula>
    </cfRule>
    <cfRule type="expression" dxfId="140" priority="143">
      <formula>AND(C$9&gt;=8/24,C$9&lt;14/24)</formula>
    </cfRule>
    <cfRule type="expression" dxfId="139" priority="144">
      <formula>C$9&lt;8/24</formula>
    </cfRule>
  </conditionalFormatting>
  <conditionalFormatting sqref="L60:L65">
    <cfRule type="expression" dxfId="138" priority="137">
      <formula>L$9&gt;=20/24</formula>
    </cfRule>
    <cfRule type="expression" dxfId="137" priority="138">
      <formula>AND(L$9&gt;=14/24,L$9&lt;20/24)</formula>
    </cfRule>
    <cfRule type="expression" dxfId="136" priority="139">
      <formula>AND(L$9&gt;=8/24,L$9&lt;14/24)</formula>
    </cfRule>
    <cfRule type="expression" dxfId="135" priority="140">
      <formula>L$9&lt;8/24</formula>
    </cfRule>
  </conditionalFormatting>
  <conditionalFormatting sqref="AL31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Y32:Z32">
    <cfRule type="expression" dxfId="134" priority="132">
      <formula>Y$9&gt;=20/24</formula>
    </cfRule>
    <cfRule type="expression" dxfId="133" priority="133">
      <formula>AND(Y$9&gt;=14/24,Y$9&lt;20/24)</formula>
    </cfRule>
    <cfRule type="expression" dxfId="132" priority="134">
      <formula>AND(Y$9&gt;=8/24,Y$9&lt;14/24)</formula>
    </cfRule>
    <cfRule type="expression" dxfId="131" priority="135">
      <formula>Y$9&lt;8/24</formula>
    </cfRule>
  </conditionalFormatting>
  <conditionalFormatting sqref="L32:Q32">
    <cfRule type="expression" dxfId="130" priority="128">
      <formula>L$9&gt;=20/24</formula>
    </cfRule>
    <cfRule type="expression" dxfId="129" priority="129">
      <formula>AND(L$9&gt;=14/24,L$9&lt;20/24)</formula>
    </cfRule>
    <cfRule type="expression" dxfId="128" priority="130">
      <formula>AND(L$9&gt;=8/24,L$9&lt;14/24)</formula>
    </cfRule>
    <cfRule type="expression" dxfId="127" priority="131">
      <formula>L$9&lt;8/24</formula>
    </cfRule>
  </conditionalFormatting>
  <conditionalFormatting sqref="R32:X32">
    <cfRule type="expression" dxfId="126" priority="124">
      <formula>R$9&gt;=20/24</formula>
    </cfRule>
    <cfRule type="expression" dxfId="125" priority="125">
      <formula>AND(R$9&gt;=14/24,R$9&lt;20/24)</formula>
    </cfRule>
    <cfRule type="expression" dxfId="124" priority="126">
      <formula>AND(R$9&gt;=8/24,R$9&lt;14/24)</formula>
    </cfRule>
    <cfRule type="expression" dxfId="123" priority="127">
      <formula>R$9&lt;8/24</formula>
    </cfRule>
  </conditionalFormatting>
  <conditionalFormatting sqref="B32:AF32">
    <cfRule type="expression" dxfId="122" priority="123">
      <formula>B32&gt;$AG32</formula>
    </cfRule>
  </conditionalFormatting>
  <conditionalFormatting sqref="A32">
    <cfRule type="expression" dxfId="121" priority="122">
      <formula>$AH32=0</formula>
    </cfRule>
  </conditionalFormatting>
  <conditionalFormatting sqref="B81:AF81">
    <cfRule type="expression" dxfId="120" priority="118">
      <formula>B$9&gt;=20/24</formula>
    </cfRule>
    <cfRule type="expression" dxfId="119" priority="119">
      <formula>AND(B$9&gt;=14/24,B$9&lt;20/24)</formula>
    </cfRule>
    <cfRule type="expression" dxfId="118" priority="120">
      <formula>AND(B$9&gt;=8/24,B$9&lt;14/24)</formula>
    </cfRule>
    <cfRule type="expression" dxfId="117" priority="121">
      <formula>B$9&lt;8/24</formula>
    </cfRule>
  </conditionalFormatting>
  <conditionalFormatting sqref="A81">
    <cfRule type="expression" dxfId="116" priority="117">
      <formula>$AH81=0</formula>
    </cfRule>
  </conditionalFormatting>
  <conditionalFormatting sqref="Y14:Z14">
    <cfRule type="expression" dxfId="115" priority="113">
      <formula>Y$9&gt;=20/24</formula>
    </cfRule>
    <cfRule type="expression" dxfId="114" priority="114">
      <formula>AND(Y$9&gt;=14/24,Y$9&lt;20/24)</formula>
    </cfRule>
    <cfRule type="expression" dxfId="113" priority="115">
      <formula>AND(Y$9&gt;=8/24,Y$9&lt;14/24)</formula>
    </cfRule>
    <cfRule type="expression" dxfId="112" priority="116">
      <formula>Y$9&lt;8/24</formula>
    </cfRule>
  </conditionalFormatting>
  <conditionalFormatting sqref="L14:Q14">
    <cfRule type="expression" dxfId="111" priority="109">
      <formula>L$9&gt;=20/24</formula>
    </cfRule>
    <cfRule type="expression" dxfId="110" priority="110">
      <formula>AND(L$9&gt;=14/24,L$9&lt;20/24)</formula>
    </cfRule>
    <cfRule type="expression" dxfId="109" priority="111">
      <formula>AND(L$9&gt;=8/24,L$9&lt;14/24)</formula>
    </cfRule>
    <cfRule type="expression" dxfId="108" priority="112">
      <formula>L$9&lt;8/24</formula>
    </cfRule>
  </conditionalFormatting>
  <conditionalFormatting sqref="R14:X14">
    <cfRule type="expression" dxfId="107" priority="105">
      <formula>R$9&gt;=20/24</formula>
    </cfRule>
    <cfRule type="expression" dxfId="106" priority="106">
      <formula>AND(R$9&gt;=14/24,R$9&lt;20/24)</formula>
    </cfRule>
    <cfRule type="expression" dxfId="105" priority="107">
      <formula>AND(R$9&gt;=8/24,R$9&lt;14/24)</formula>
    </cfRule>
    <cfRule type="expression" dxfId="104" priority="108">
      <formula>R$9&lt;8/24</formula>
    </cfRule>
  </conditionalFormatting>
  <conditionalFormatting sqref="B14:AF14">
    <cfRule type="expression" dxfId="103" priority="104">
      <formula>B14&gt;$AG14</formula>
    </cfRule>
  </conditionalFormatting>
  <conditionalFormatting sqref="A14">
    <cfRule type="expression" dxfId="102" priority="103">
      <formula>$AH14=0</formula>
    </cfRule>
  </conditionalFormatting>
  <conditionalFormatting sqref="A160:A165">
    <cfRule type="expression" dxfId="101" priority="102">
      <formula>$AH160=0</formula>
    </cfRule>
  </conditionalFormatting>
  <conditionalFormatting sqref="A154:A159">
    <cfRule type="expression" dxfId="100" priority="101">
      <formula>$AH154=0</formula>
    </cfRule>
  </conditionalFormatting>
  <conditionalFormatting sqref="N42:Q42 Y42:Z42">
    <cfRule type="expression" dxfId="99" priority="97">
      <formula>N$9&gt;=20/24</formula>
    </cfRule>
    <cfRule type="expression" dxfId="98" priority="98">
      <formula>AND(N$9&gt;=14/24,N$9&lt;20/24)</formula>
    </cfRule>
    <cfRule type="expression" dxfId="97" priority="99">
      <formula>AND(N$9&gt;=8/24,N$9&lt;14/24)</formula>
    </cfRule>
    <cfRule type="expression" dxfId="96" priority="100">
      <formula>N$9&lt;8/24</formula>
    </cfRule>
  </conditionalFormatting>
  <conditionalFormatting sqref="L42:M42">
    <cfRule type="expression" dxfId="95" priority="93">
      <formula>L$9&gt;=20/24</formula>
    </cfRule>
    <cfRule type="expression" dxfId="94" priority="94">
      <formula>AND(L$9&gt;=14/24,L$9&lt;20/24)</formula>
    </cfRule>
    <cfRule type="expression" dxfId="93" priority="95">
      <formula>AND(L$9&gt;=8/24,L$9&lt;14/24)</formula>
    </cfRule>
    <cfRule type="expression" dxfId="92" priority="96">
      <formula>L$9&lt;8/24</formula>
    </cfRule>
  </conditionalFormatting>
  <conditionalFormatting sqref="R42:X42">
    <cfRule type="expression" dxfId="91" priority="89">
      <formula>R$9&gt;=20/24</formula>
    </cfRule>
    <cfRule type="expression" dxfId="90" priority="90">
      <formula>AND(R$9&gt;=14/24,R$9&lt;20/24)</formula>
    </cfRule>
    <cfRule type="expression" dxfId="89" priority="91">
      <formula>AND(R$9&gt;=8/24,R$9&lt;14/24)</formula>
    </cfRule>
    <cfRule type="expression" dxfId="88" priority="92">
      <formula>R$9&lt;8/24</formula>
    </cfRule>
  </conditionalFormatting>
  <conditionalFormatting sqref="B42:AF42">
    <cfRule type="expression" dxfId="87" priority="88">
      <formula>B42&gt;$AG42</formula>
    </cfRule>
  </conditionalFormatting>
  <conditionalFormatting sqref="A42">
    <cfRule type="expression" dxfId="86" priority="87">
      <formula>$AH42=0</formula>
    </cfRule>
  </conditionalFormatting>
  <conditionalFormatting sqref="C77:AF77">
    <cfRule type="expression" dxfId="85" priority="83">
      <formula>C$9&gt;=20/24</formula>
    </cfRule>
    <cfRule type="expression" dxfId="84" priority="84">
      <formula>AND(C$9&gt;=14/24,C$9&lt;20/24)</formula>
    </cfRule>
    <cfRule type="expression" dxfId="83" priority="85">
      <formula>AND(C$9&gt;=8/24,C$9&lt;14/24)</formula>
    </cfRule>
    <cfRule type="expression" dxfId="82" priority="86">
      <formula>C$9&lt;8/24</formula>
    </cfRule>
  </conditionalFormatting>
  <conditionalFormatting sqref="A77">
    <cfRule type="expression" dxfId="81" priority="82">
      <formula>$AH77=0</formula>
    </cfRule>
  </conditionalFormatting>
  <conditionalFormatting sqref="B71:AG71">
    <cfRule type="expression" dxfId="80" priority="78">
      <formula>B$9&gt;=20/24</formula>
    </cfRule>
    <cfRule type="expression" dxfId="79" priority="79">
      <formula>AND(B$9&gt;=14/24,B$9&lt;20/24)</formula>
    </cfRule>
    <cfRule type="expression" dxfId="78" priority="80">
      <formula>AND(B$9&gt;=8/24,B$9&lt;14/24)</formula>
    </cfRule>
    <cfRule type="expression" dxfId="77" priority="81">
      <formula>B$9&lt;8/24</formula>
    </cfRule>
  </conditionalFormatting>
  <conditionalFormatting sqref="A71">
    <cfRule type="expression" dxfId="76" priority="77">
      <formula>$AH71=0</formula>
    </cfRule>
  </conditionalFormatting>
  <conditionalFormatting sqref="AL32:AL33 AL7:AL30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S56:S57">
    <cfRule type="expression" dxfId="75" priority="73">
      <formula>S$9&gt;=20/24</formula>
    </cfRule>
    <cfRule type="expression" dxfId="74" priority="74">
      <formula>AND(S$9&gt;=14/24,S$9&lt;20/24)</formula>
    </cfRule>
    <cfRule type="expression" dxfId="73" priority="75">
      <formula>AND(S$9&gt;=8/24,S$9&lt;14/24)</formula>
    </cfRule>
    <cfRule type="expression" dxfId="72" priority="76">
      <formula>S$9&lt;8/24</formula>
    </cfRule>
  </conditionalFormatting>
  <conditionalFormatting sqref="S55">
    <cfRule type="expression" dxfId="71" priority="69">
      <formula>S$9&gt;=20/24</formula>
    </cfRule>
    <cfRule type="expression" dxfId="70" priority="70">
      <formula>AND(S$9&gt;=14/24,S$9&lt;20/24)</formula>
    </cfRule>
    <cfRule type="expression" dxfId="69" priority="71">
      <formula>AND(S$9&gt;=8/24,S$9&lt;14/24)</formula>
    </cfRule>
    <cfRule type="expression" dxfId="68" priority="72">
      <formula>S$9&lt;8/24</formula>
    </cfRule>
  </conditionalFormatting>
  <conditionalFormatting sqref="S58:T65">
    <cfRule type="expression" dxfId="67" priority="65">
      <formula>S$9&gt;=20/24</formula>
    </cfRule>
    <cfRule type="expression" dxfId="66" priority="66">
      <formula>AND(S$9&gt;=14/24,S$9&lt;20/24)</formula>
    </cfRule>
    <cfRule type="expression" dxfId="65" priority="67">
      <formula>AND(S$9&gt;=8/24,S$9&lt;14/24)</formula>
    </cfRule>
    <cfRule type="expression" dxfId="64" priority="68">
      <formula>S$9&lt;8/24</formula>
    </cfRule>
  </conditionalFormatting>
  <conditionalFormatting sqref="S83:T89 U85:V89">
    <cfRule type="expression" dxfId="63" priority="61">
      <formula>S$9&gt;=20/24</formula>
    </cfRule>
    <cfRule type="expression" dxfId="62" priority="62">
      <formula>AND(S$9&gt;=14/24,S$9&lt;20/24)</formula>
    </cfRule>
    <cfRule type="expression" dxfId="61" priority="63">
      <formula>AND(S$9&gt;=8/24,S$9&lt;14/24)</formula>
    </cfRule>
    <cfRule type="expression" dxfId="60" priority="64">
      <formula>S$9&lt;8/24</formula>
    </cfRule>
  </conditionalFormatting>
  <conditionalFormatting sqref="S82">
    <cfRule type="expression" dxfId="59" priority="57">
      <formula>S$9&gt;=20/24</formula>
    </cfRule>
    <cfRule type="expression" dxfId="58" priority="58">
      <formula>AND(S$9&gt;=14/24,S$9&lt;20/24)</formula>
    </cfRule>
    <cfRule type="expression" dxfId="57" priority="59">
      <formula>AND(S$9&gt;=8/24,S$9&lt;14/24)</formula>
    </cfRule>
    <cfRule type="expression" dxfId="56" priority="60">
      <formula>S$9&lt;8/24</formula>
    </cfRule>
  </conditionalFormatting>
  <conditionalFormatting sqref="B82:Q89 R83:R89">
    <cfRule type="expression" dxfId="55" priority="53">
      <formula>B$9&gt;=20/24</formula>
    </cfRule>
    <cfRule type="expression" dxfId="54" priority="54">
      <formula>AND(B$9&gt;=14/24,B$9&lt;20/24)</formula>
    </cfRule>
    <cfRule type="expression" dxfId="53" priority="55">
      <formula>AND(B$9&gt;=8/24,B$9&lt;14/24)</formula>
    </cfRule>
    <cfRule type="expression" dxfId="52" priority="56">
      <formula>B$9&lt;8/24</formula>
    </cfRule>
  </conditionalFormatting>
  <conditionalFormatting sqref="R82">
    <cfRule type="expression" dxfId="51" priority="49">
      <formula>R$9&gt;=20/24</formula>
    </cfRule>
    <cfRule type="expression" dxfId="50" priority="50">
      <formula>AND(R$9&gt;=14/24,R$9&lt;20/24)</formula>
    </cfRule>
    <cfRule type="expression" dxfId="49" priority="51">
      <formula>AND(R$9&gt;=8/24,R$9&lt;14/24)</formula>
    </cfRule>
    <cfRule type="expression" dxfId="48" priority="52">
      <formula>R$9&lt;8/24</formula>
    </cfRule>
  </conditionalFormatting>
  <conditionalFormatting sqref="S92:S95">
    <cfRule type="expression" dxfId="47" priority="45">
      <formula>S$9&gt;=20/24</formula>
    </cfRule>
    <cfRule type="expression" dxfId="46" priority="46">
      <formula>AND(S$9&gt;=14/24,S$9&lt;20/24)</formula>
    </cfRule>
    <cfRule type="expression" dxfId="45" priority="47">
      <formula>AND(S$9&gt;=8/24,S$9&lt;14/24)</formula>
    </cfRule>
    <cfRule type="expression" dxfId="44" priority="48">
      <formula>S$9&lt;8/24</formula>
    </cfRule>
  </conditionalFormatting>
  <conditionalFormatting sqref="S96">
    <cfRule type="expression" dxfId="43" priority="41">
      <formula>S$9&gt;=20/24</formula>
    </cfRule>
    <cfRule type="expression" dxfId="42" priority="42">
      <formula>AND(S$9&gt;=14/24,S$9&lt;20/24)</formula>
    </cfRule>
    <cfRule type="expression" dxfId="41" priority="43">
      <formula>AND(S$9&gt;=8/24,S$9&lt;14/24)</formula>
    </cfRule>
    <cfRule type="expression" dxfId="40" priority="44">
      <formula>S$9&lt;8/24</formula>
    </cfRule>
  </conditionalFormatting>
  <conditionalFormatting sqref="B93:L95 B92:E92">
    <cfRule type="expression" dxfId="39" priority="37">
      <formula>B$9&gt;=20/24</formula>
    </cfRule>
    <cfRule type="expression" dxfId="38" priority="38">
      <formula>AND(B$9&gt;=14/24,B$9&lt;20/24)</formula>
    </cfRule>
    <cfRule type="expression" dxfId="37" priority="39">
      <formula>AND(B$9&gt;=8/24,B$9&lt;14/24)</formula>
    </cfRule>
    <cfRule type="expression" dxfId="36" priority="40">
      <formula>B$9&lt;8/24</formula>
    </cfRule>
  </conditionalFormatting>
  <conditionalFormatting sqref="M93:Q95 N92:Q92">
    <cfRule type="expression" dxfId="35" priority="33">
      <formula>M$9&gt;=20/24</formula>
    </cfRule>
    <cfRule type="expression" dxfId="34" priority="34">
      <formula>AND(M$9&gt;=14/24,M$9&lt;20/24)</formula>
    </cfRule>
    <cfRule type="expression" dxfId="33" priority="35">
      <formula>AND(M$9&gt;=8/24,M$9&lt;14/24)</formula>
    </cfRule>
    <cfRule type="expression" dxfId="32" priority="36">
      <formula>M$9&lt;8/24</formula>
    </cfRule>
  </conditionalFormatting>
  <conditionalFormatting sqref="R92:R95">
    <cfRule type="expression" dxfId="31" priority="29">
      <formula>R$9&gt;=20/24</formula>
    </cfRule>
    <cfRule type="expression" dxfId="30" priority="30">
      <formula>AND(R$9&gt;=14/24,R$9&lt;20/24)</formula>
    </cfRule>
    <cfRule type="expression" dxfId="29" priority="31">
      <formula>AND(R$9&gt;=8/24,R$9&lt;14/24)</formula>
    </cfRule>
    <cfRule type="expression" dxfId="28" priority="32">
      <formula>R$9&lt;8/24</formula>
    </cfRule>
  </conditionalFormatting>
  <conditionalFormatting sqref="B96:L96">
    <cfRule type="expression" dxfId="27" priority="25">
      <formula>B$9&gt;=20/24</formula>
    </cfRule>
    <cfRule type="expression" dxfId="26" priority="26">
      <formula>AND(B$9&gt;=14/24,B$9&lt;20/24)</formula>
    </cfRule>
    <cfRule type="expression" dxfId="25" priority="27">
      <formula>AND(B$9&gt;=8/24,B$9&lt;14/24)</formula>
    </cfRule>
    <cfRule type="expression" dxfId="24" priority="28">
      <formula>B$9&lt;8/24</formula>
    </cfRule>
  </conditionalFormatting>
  <conditionalFormatting sqref="M96:Q96">
    <cfRule type="expression" dxfId="23" priority="21">
      <formula>M$9&gt;=20/24</formula>
    </cfRule>
    <cfRule type="expression" dxfId="22" priority="22">
      <formula>AND(M$9&gt;=14/24,M$9&lt;20/24)</formula>
    </cfRule>
    <cfRule type="expression" dxfId="21" priority="23">
      <formula>AND(M$9&gt;=8/24,M$9&lt;14/24)</formula>
    </cfRule>
    <cfRule type="expression" dxfId="20" priority="24">
      <formula>M$9&lt;8/24</formula>
    </cfRule>
  </conditionalFormatting>
  <conditionalFormatting sqref="R96">
    <cfRule type="expression" dxfId="19" priority="17">
      <formula>R$9&gt;=20/24</formula>
    </cfRule>
    <cfRule type="expression" dxfId="18" priority="18">
      <formula>AND(R$9&gt;=14/24,R$9&lt;20/24)</formula>
    </cfRule>
    <cfRule type="expression" dxfId="17" priority="19">
      <formula>AND(R$9&gt;=8/24,R$9&lt;14/24)</formula>
    </cfRule>
    <cfRule type="expression" dxfId="16" priority="20">
      <formula>R$9&lt;8/24</formula>
    </cfRule>
  </conditionalFormatting>
  <conditionalFormatting sqref="L92:M92">
    <cfRule type="expression" dxfId="15" priority="13">
      <formula>L$9&gt;=20/24</formula>
    </cfRule>
    <cfRule type="expression" dxfId="14" priority="14">
      <formula>AND(L$9&gt;=14/24,L$9&lt;20/24)</formula>
    </cfRule>
    <cfRule type="expression" dxfId="13" priority="15">
      <formula>AND(L$9&gt;=8/24,L$9&lt;14/24)</formula>
    </cfRule>
    <cfRule type="expression" dxfId="12" priority="16">
      <formula>L$9&lt;8/24</formula>
    </cfRule>
  </conditionalFormatting>
  <conditionalFormatting sqref="F92:K92">
    <cfRule type="expression" dxfId="11" priority="9">
      <formula>F$9&gt;=20/24</formula>
    </cfRule>
    <cfRule type="expression" dxfId="10" priority="10">
      <formula>AND(F$9&gt;=14/24,F$9&lt;20/24)</formula>
    </cfRule>
    <cfRule type="expression" dxfId="9" priority="11">
      <formula>AND(F$9&gt;=8/24,F$9&lt;14/24)</formula>
    </cfRule>
    <cfRule type="expression" dxfId="8" priority="12">
      <formula>F$9&lt;8/24</formula>
    </cfRule>
  </conditionalFormatting>
  <conditionalFormatting sqref="S92:T92">
    <cfRule type="expression" dxfId="7" priority="5">
      <formula>S$9&gt;=20/24</formula>
    </cfRule>
    <cfRule type="expression" dxfId="6" priority="6">
      <formula>AND(S$9&gt;=14/24,S$9&lt;20/24)</formula>
    </cfRule>
    <cfRule type="expression" dxfId="5" priority="7">
      <formula>AND(S$9&gt;=8/24,S$9&lt;14/24)</formula>
    </cfRule>
    <cfRule type="expression" dxfId="4" priority="8">
      <formula>S$9&lt;8/24</formula>
    </cfRule>
  </conditionalFormatting>
  <conditionalFormatting sqref="M92:R92">
    <cfRule type="expression" dxfId="3" priority="1">
      <formula>M$9&gt;=20/24</formula>
    </cfRule>
    <cfRule type="expression" dxfId="2" priority="2">
      <formula>AND(M$9&gt;=14/24,M$9&lt;20/24)</formula>
    </cfRule>
    <cfRule type="expression" dxfId="1" priority="3">
      <formula>AND(M$9&gt;=8/24,M$9&lt;14/24)</formula>
    </cfRule>
    <cfRule type="expression" dxfId="0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new_sample</vt:lpstr>
      <vt:lpstr>Sheet1</vt:lpstr>
      <vt:lpstr>Sheet2</vt:lpstr>
      <vt:lpstr>sample_new_current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2022-09-15T14:34:36Z</dcterms:modified>
</cp:coreProperties>
</file>